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7ba357a058ef4da0" Type="http://schemas.microsoft.com/office/2006/relationships/ui/extensibility" Target="customUI/customUI.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feb140aa7c7244eb"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cloudconvert\server\files\tasks\88a0dc8c-8dec-4002-b2ac-8745a415998c\"/>
    </mc:Choice>
  </mc:AlternateContent>
  <xr:revisionPtr revIDLastSave="0" documentId="8_{D07E7AE7-7D77-443F-B97C-9AB1DF07181D}" xr6:coauthVersionLast="47" xr6:coauthVersionMax="47" xr10:uidLastSave="{00000000-0000-0000-0000-000000000000}"/>
  <bookViews>
    <workbookView xWindow="2340" yWindow="2340" windowWidth="11520" windowHeight="7875" tabRatio="794" xr2:uid="{00000000-000D-0000-FFFF-FFFF00000000}"/>
  </bookViews>
  <sheets>
    <sheet name="Info" sheetId="10" r:id="rId1"/>
    <sheet name="Trial" sheetId="9" state="veryHidden" r:id="rId2"/>
    <sheet name="Instructions" sheetId="4" state="veryHidden" r:id="rId3"/>
    <sheet name="Assumptions" sheetId="2" state="veryHidden" r:id="rId4"/>
    <sheet name="Forecast" sheetId="1" state="veryHidden" r:id="rId5"/>
    <sheet name="Actual" sheetId="12" state="veryHidden" r:id="rId6"/>
    <sheet name="BS" sheetId="6" state="veryHidden" r:id="rId7"/>
    <sheet name="Loans1" sheetId="7" state="veryHidden" r:id="rId8"/>
    <sheet name="Loans2" sheetId="15" state="veryHidden" r:id="rId9"/>
    <sheet name="Loans3" sheetId="16" state="veryHidden" r:id="rId10"/>
    <sheet name="Leases" sheetId="17" state="veryHidden" r:id="rId11"/>
    <sheet name="Report" sheetId="14" state="veryHidden" r:id="rId12"/>
    <sheet name="Pay" sheetId="18" state="hidden" r:id="rId13"/>
  </sheets>
  <definedNames>
    <definedName name="_xlnm._FilterDatabase" localSheetId="11" hidden="1">Report!$A$4:$D$104</definedName>
    <definedName name="BSMonths">BS!$C$4:$BC$4</definedName>
    <definedName name="LoanMonths">Forecast!$C$4:$BB$4</definedName>
    <definedName name="MonthList">Forecast!$C$4:$BB$4</definedName>
    <definedName name="Months">Forecast!$C$4:$BB$4</definedName>
    <definedName name="_xlnm.Print_Area" localSheetId="5">Actual!$B$1:$BG$110</definedName>
    <definedName name="_xlnm.Print_Area" localSheetId="6">BS!$B$1:$BH$87</definedName>
    <definedName name="_xlnm.Print_Area" localSheetId="4">Forecast!$B$1:$BG$110</definedName>
    <definedName name="_xlnm.Print_Area" localSheetId="2">Instructions!$A$1:$A$427</definedName>
    <definedName name="_xlnm.Print_Area" localSheetId="11">Report!$A$1:$M$149</definedName>
    <definedName name="_xlnm.Print_Titles" localSheetId="5">Actual!$B:$B</definedName>
    <definedName name="_xlnm.Print_Titles" localSheetId="3">Assumptions!$1:$3</definedName>
    <definedName name="_xlnm.Print_Titles" localSheetId="6">BS!$B:$B</definedName>
    <definedName name="_xlnm.Print_Titles" localSheetId="4">Forecast!$B:$B</definedName>
    <definedName name="_xlnm.Print_Titles" localSheetId="2">Instructions!$1:$4</definedName>
    <definedName name="_xlnm.Print_Titles" localSheetId="10">Leases!$1:$8</definedName>
    <definedName name="_xlnm.Print_Titles" localSheetId="7">Loans1!$1:$8</definedName>
    <definedName name="_xlnm.Print_Titles" localSheetId="8">Loans2!$1:$8</definedName>
    <definedName name="_xlnm.Print_Titles" localSheetId="9">Loans3!$1:$8</definedName>
    <definedName name="_xlnm.Print_Titles" localSheetId="11">Report!$1:$2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3" i="6" l="1"/>
  <c r="BB3" i="6"/>
  <c r="BA3" i="6"/>
  <c r="AZ3" i="6"/>
  <c r="AY3" i="6"/>
  <c r="AX3" i="6"/>
  <c r="AW3" i="6"/>
  <c r="AV3" i="6"/>
  <c r="AU3" i="6"/>
  <c r="AT3" i="6"/>
  <c r="AS3" i="6"/>
  <c r="AR3" i="6"/>
  <c r="AQ3" i="6"/>
  <c r="AP3" i="6"/>
  <c r="AO3" i="6"/>
  <c r="AN3" i="6"/>
  <c r="AM3" i="6"/>
  <c r="AL3" i="6"/>
  <c r="AK3" i="6"/>
  <c r="AJ3" i="6"/>
  <c r="AI3" i="6"/>
  <c r="AH3" i="6"/>
  <c r="AG3" i="6"/>
  <c r="AF3" i="6"/>
  <c r="AE3" i="6"/>
  <c r="AD3" i="6"/>
  <c r="AC3" i="6"/>
  <c r="AB3" i="6"/>
  <c r="AA3" i="6"/>
  <c r="Z3" i="6"/>
  <c r="Y3" i="6"/>
  <c r="X3" i="6"/>
  <c r="W3" i="6"/>
  <c r="V3" i="6"/>
  <c r="U3" i="6"/>
  <c r="T3" i="6"/>
  <c r="S3" i="6"/>
  <c r="R3" i="6"/>
  <c r="Q3" i="6"/>
  <c r="P3" i="6"/>
  <c r="O3" i="6"/>
  <c r="N3" i="6"/>
  <c r="M3" i="6"/>
  <c r="L3" i="6"/>
  <c r="K3" i="6"/>
  <c r="J3" i="6"/>
  <c r="I3" i="6"/>
  <c r="H3" i="6"/>
  <c r="G3" i="6"/>
  <c r="F3" i="6"/>
  <c r="E3" i="6"/>
  <c r="D3" i="6"/>
  <c r="A1" i="14" l="1"/>
  <c r="A1" i="17"/>
  <c r="A1" i="16"/>
  <c r="A1" i="15"/>
  <c r="A1" i="7"/>
  <c r="B45" i="6"/>
  <c r="B1" i="6"/>
  <c r="B65" i="12"/>
  <c r="B1" i="12"/>
  <c r="B65" i="1"/>
  <c r="B1" i="1"/>
  <c r="B1" i="2"/>
  <c r="BB98" i="12" l="1"/>
  <c r="BA98" i="12"/>
  <c r="AZ98" i="12"/>
  <c r="AY98" i="12"/>
  <c r="AX98" i="12"/>
  <c r="AW98" i="12"/>
  <c r="AV98" i="12"/>
  <c r="AU98" i="12"/>
  <c r="AT98" i="12"/>
  <c r="AS98" i="12"/>
  <c r="AR98" i="12"/>
  <c r="AQ98" i="12"/>
  <c r="AP98" i="12"/>
  <c r="AO98" i="12"/>
  <c r="AN98" i="12"/>
  <c r="AM98" i="12"/>
  <c r="AL98" i="12"/>
  <c r="AK98" i="12"/>
  <c r="AJ98" i="12"/>
  <c r="AI98" i="12"/>
  <c r="AH98" i="12"/>
  <c r="AG98" i="12"/>
  <c r="AF98" i="12"/>
  <c r="AE98" i="12"/>
  <c r="BE98" i="12" s="1"/>
  <c r="AD98" i="12"/>
  <c r="AC98" i="12"/>
  <c r="AB98" i="12"/>
  <c r="AA98" i="12"/>
  <c r="Z98" i="12"/>
  <c r="Y98" i="12"/>
  <c r="X98" i="12"/>
  <c r="W98" i="12"/>
  <c r="V98" i="12"/>
  <c r="U98" i="12"/>
  <c r="T98" i="12"/>
  <c r="S98" i="12"/>
  <c r="R98" i="12"/>
  <c r="Q98" i="12"/>
  <c r="P98" i="12"/>
  <c r="O98" i="12"/>
  <c r="N98" i="12"/>
  <c r="M98" i="12"/>
  <c r="L98" i="12"/>
  <c r="K98" i="12"/>
  <c r="J98" i="12"/>
  <c r="I98" i="12"/>
  <c r="H98" i="12"/>
  <c r="G98" i="12"/>
  <c r="F98" i="12"/>
  <c r="E98" i="12"/>
  <c r="D98" i="12"/>
  <c r="BE60" i="12"/>
  <c r="BD60" i="12"/>
  <c r="BC60" i="12"/>
  <c r="C98" i="12"/>
  <c r="C38" i="6"/>
  <c r="BC114" i="6"/>
  <c r="BB114"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V114" i="6"/>
  <c r="U114" i="6"/>
  <c r="T114" i="6"/>
  <c r="S114" i="6"/>
  <c r="R114" i="6"/>
  <c r="Q114" i="6"/>
  <c r="P114" i="6"/>
  <c r="O114" i="6"/>
  <c r="N114" i="6"/>
  <c r="M114" i="6"/>
  <c r="L114" i="6"/>
  <c r="K114" i="6"/>
  <c r="J114" i="6"/>
  <c r="I114" i="6"/>
  <c r="H114" i="6"/>
  <c r="G114" i="6"/>
  <c r="F114" i="6"/>
  <c r="E114" i="6"/>
  <c r="D114" i="6"/>
  <c r="D109" i="2"/>
  <c r="D108" i="2"/>
  <c r="O18" i="18" s="1"/>
  <c r="O17" i="18" s="1"/>
  <c r="O16" i="18" s="1"/>
  <c r="O15" i="18" s="1"/>
  <c r="O14" i="18" s="1"/>
  <c r="O13" i="18" s="1"/>
  <c r="O12" i="18" s="1"/>
  <c r="O11" i="18" s="1"/>
  <c r="O10" i="18" s="1"/>
  <c r="O9" i="18" s="1"/>
  <c r="O8" i="18" s="1"/>
  <c r="O7" i="18" s="1"/>
  <c r="O6" i="18" s="1"/>
  <c r="O5" i="18" s="1"/>
  <c r="O4" i="18" s="1"/>
  <c r="O3" i="18" s="1"/>
  <c r="BF82" i="6"/>
  <c r="BE82" i="6"/>
  <c r="BD82" i="6"/>
  <c r="BE17" i="12"/>
  <c r="BD17" i="12"/>
  <c r="BC17" i="12"/>
  <c r="BE17" i="1"/>
  <c r="BD17" i="1"/>
  <c r="BC17" i="1"/>
  <c r="BD98" i="12" l="1"/>
  <c r="BC98" i="12"/>
  <c r="N3" i="18"/>
  <c r="Q3" i="18" s="1"/>
  <c r="BB41" i="12"/>
  <c r="BA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E41" i="1"/>
  <c r="D41" i="1"/>
  <c r="C41" i="1"/>
  <c r="N4" i="18" l="1"/>
  <c r="Q4" i="18" s="1"/>
  <c r="P3" i="18"/>
  <c r="BB106" i="12"/>
  <c r="BA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R106" i="12"/>
  <c r="Q106" i="12"/>
  <c r="P106" i="12"/>
  <c r="O106" i="12"/>
  <c r="N106" i="12"/>
  <c r="M106" i="12"/>
  <c r="L106" i="12"/>
  <c r="K106" i="12"/>
  <c r="J106" i="12"/>
  <c r="I106" i="12"/>
  <c r="H106" i="12"/>
  <c r="G106" i="12"/>
  <c r="F106" i="12"/>
  <c r="E106" i="12"/>
  <c r="D106" i="12"/>
  <c r="BB105" i="12"/>
  <c r="BA105" i="12"/>
  <c r="AZ105" i="12"/>
  <c r="AY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R105" i="12"/>
  <c r="Q105" i="12"/>
  <c r="P105" i="12"/>
  <c r="O105" i="12"/>
  <c r="N105" i="12"/>
  <c r="M105" i="12"/>
  <c r="L105" i="12"/>
  <c r="K105" i="12"/>
  <c r="J105" i="12"/>
  <c r="I105" i="12"/>
  <c r="H105" i="12"/>
  <c r="G105" i="12"/>
  <c r="F105" i="12"/>
  <c r="E105" i="12"/>
  <c r="D105" i="12"/>
  <c r="BB104" i="12"/>
  <c r="BA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R104" i="12"/>
  <c r="Q104" i="12"/>
  <c r="P104" i="12"/>
  <c r="O104" i="12"/>
  <c r="N104" i="12"/>
  <c r="M104" i="12"/>
  <c r="L104" i="12"/>
  <c r="K104" i="12"/>
  <c r="J104" i="12"/>
  <c r="I104" i="12"/>
  <c r="H104" i="12"/>
  <c r="G104" i="12"/>
  <c r="F104" i="12"/>
  <c r="E104" i="12"/>
  <c r="D104" i="12"/>
  <c r="BB103" i="12"/>
  <c r="BA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R103" i="12"/>
  <c r="Q103" i="12"/>
  <c r="P103" i="12"/>
  <c r="O103" i="12"/>
  <c r="N103" i="12"/>
  <c r="M103" i="12"/>
  <c r="L103" i="12"/>
  <c r="K103" i="12"/>
  <c r="J103" i="12"/>
  <c r="I103" i="12"/>
  <c r="H103" i="12"/>
  <c r="G103" i="12"/>
  <c r="F103" i="12"/>
  <c r="E103" i="12"/>
  <c r="D103" i="12"/>
  <c r="BB97" i="12"/>
  <c r="BA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R97" i="12"/>
  <c r="Q97" i="12"/>
  <c r="P97" i="12"/>
  <c r="O97" i="12"/>
  <c r="N97" i="12"/>
  <c r="M97" i="12"/>
  <c r="L97" i="12"/>
  <c r="K97" i="12"/>
  <c r="J97" i="12"/>
  <c r="I97" i="12"/>
  <c r="H97" i="12"/>
  <c r="G97" i="12"/>
  <c r="F97" i="12"/>
  <c r="E97" i="12"/>
  <c r="D97" i="12"/>
  <c r="BB94" i="12"/>
  <c r="BA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R94" i="12"/>
  <c r="Q94" i="12"/>
  <c r="P94" i="12"/>
  <c r="O94" i="12"/>
  <c r="N94" i="12"/>
  <c r="M94" i="12"/>
  <c r="L94" i="12"/>
  <c r="K94" i="12"/>
  <c r="J94" i="12"/>
  <c r="I94" i="12"/>
  <c r="H94" i="12"/>
  <c r="G94" i="12"/>
  <c r="F94" i="12"/>
  <c r="E94" i="12"/>
  <c r="D94" i="12"/>
  <c r="BB85" i="12"/>
  <c r="BA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R85" i="12"/>
  <c r="Q85" i="12"/>
  <c r="P85" i="12"/>
  <c r="O85" i="12"/>
  <c r="N85" i="12"/>
  <c r="M85" i="12"/>
  <c r="L85" i="12"/>
  <c r="K85" i="12"/>
  <c r="J85" i="12"/>
  <c r="I85" i="12"/>
  <c r="H85" i="12"/>
  <c r="G85" i="12"/>
  <c r="F85" i="12"/>
  <c r="E85" i="12"/>
  <c r="D85" i="12"/>
  <c r="BB84" i="12"/>
  <c r="BA84" i="12"/>
  <c r="AZ84" i="12"/>
  <c r="AY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R84" i="12"/>
  <c r="Q84" i="12"/>
  <c r="P84" i="12"/>
  <c r="O84" i="12"/>
  <c r="N84" i="12"/>
  <c r="M84" i="12"/>
  <c r="L84" i="12"/>
  <c r="K84" i="12"/>
  <c r="J84" i="12"/>
  <c r="I84" i="12"/>
  <c r="H84" i="12"/>
  <c r="G84" i="12"/>
  <c r="F84" i="12"/>
  <c r="E84" i="12"/>
  <c r="D84" i="12"/>
  <c r="BB83" i="12"/>
  <c r="BA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R83" i="12"/>
  <c r="Q83" i="12"/>
  <c r="P83" i="12"/>
  <c r="O83" i="12"/>
  <c r="N83" i="12"/>
  <c r="M83" i="12"/>
  <c r="L83" i="12"/>
  <c r="K83" i="12"/>
  <c r="J83" i="12"/>
  <c r="I83" i="12"/>
  <c r="H83" i="12"/>
  <c r="G83" i="12"/>
  <c r="F83" i="12"/>
  <c r="E83" i="12"/>
  <c r="D83" i="12"/>
  <c r="BB82" i="12"/>
  <c r="BA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R82" i="12"/>
  <c r="Q82" i="12"/>
  <c r="P82" i="12"/>
  <c r="O82" i="12"/>
  <c r="N82" i="12"/>
  <c r="M82" i="12"/>
  <c r="L82" i="12"/>
  <c r="K82" i="12"/>
  <c r="J82" i="12"/>
  <c r="I82" i="12"/>
  <c r="H82" i="12"/>
  <c r="G82" i="12"/>
  <c r="F82" i="12"/>
  <c r="E82" i="12"/>
  <c r="D82" i="12"/>
  <c r="BB81" i="12"/>
  <c r="BA81" i="12"/>
  <c r="AZ81" i="12"/>
  <c r="AY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R81" i="12"/>
  <c r="Q81" i="12"/>
  <c r="P81" i="12"/>
  <c r="O81" i="12"/>
  <c r="N81" i="12"/>
  <c r="M81" i="12"/>
  <c r="L81" i="12"/>
  <c r="K81" i="12"/>
  <c r="J81" i="12"/>
  <c r="I81" i="12"/>
  <c r="H81" i="12"/>
  <c r="G81" i="12"/>
  <c r="F81" i="12"/>
  <c r="E81" i="12"/>
  <c r="D81" i="12"/>
  <c r="BB80" i="12"/>
  <c r="BA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R80" i="12"/>
  <c r="Q80" i="12"/>
  <c r="P80" i="12"/>
  <c r="O80" i="12"/>
  <c r="N80" i="12"/>
  <c r="M80" i="12"/>
  <c r="L80" i="12"/>
  <c r="K80" i="12"/>
  <c r="J80" i="12"/>
  <c r="I80" i="12"/>
  <c r="H80" i="12"/>
  <c r="G80" i="12"/>
  <c r="F80" i="12"/>
  <c r="E80" i="12"/>
  <c r="D80" i="12"/>
  <c r="BB79" i="12"/>
  <c r="BA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R79" i="12"/>
  <c r="Q79" i="12"/>
  <c r="P79" i="12"/>
  <c r="O79" i="12"/>
  <c r="N79" i="12"/>
  <c r="M79" i="12"/>
  <c r="L79" i="12"/>
  <c r="K79" i="12"/>
  <c r="J79" i="12"/>
  <c r="I79" i="12"/>
  <c r="H79" i="12"/>
  <c r="G79" i="12"/>
  <c r="F79" i="12"/>
  <c r="E79" i="12"/>
  <c r="D79" i="12"/>
  <c r="BB78" i="12"/>
  <c r="BA78" i="12"/>
  <c r="AZ78" i="12"/>
  <c r="AY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R78" i="12"/>
  <c r="Q78" i="12"/>
  <c r="P78" i="12"/>
  <c r="O78" i="12"/>
  <c r="N78" i="12"/>
  <c r="M78" i="12"/>
  <c r="L78" i="12"/>
  <c r="K78" i="12"/>
  <c r="J78" i="12"/>
  <c r="I78" i="12"/>
  <c r="H78" i="12"/>
  <c r="G78" i="12"/>
  <c r="F78" i="12"/>
  <c r="E78" i="12"/>
  <c r="D78" i="12"/>
  <c r="BB76" i="12"/>
  <c r="BA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R76" i="12"/>
  <c r="Q76" i="12"/>
  <c r="P76" i="12"/>
  <c r="O76" i="12"/>
  <c r="N76" i="12"/>
  <c r="M76" i="12"/>
  <c r="L76" i="12"/>
  <c r="K76" i="12"/>
  <c r="J76" i="12"/>
  <c r="I76" i="12"/>
  <c r="H76" i="12"/>
  <c r="G76" i="12"/>
  <c r="F76" i="12"/>
  <c r="E76" i="12"/>
  <c r="D76" i="12"/>
  <c r="BB72" i="12"/>
  <c r="BB89" i="12" s="1"/>
  <c r="BA72" i="12"/>
  <c r="BA89" i="12" s="1"/>
  <c r="AZ72" i="12"/>
  <c r="AZ89" i="12" s="1"/>
  <c r="AY72" i="12"/>
  <c r="AY89" i="12" s="1"/>
  <c r="AX72" i="12"/>
  <c r="AX89" i="12" s="1"/>
  <c r="AW72" i="12"/>
  <c r="AW89" i="12" s="1"/>
  <c r="AV72" i="12"/>
  <c r="AV89" i="12" s="1"/>
  <c r="AU72" i="12"/>
  <c r="AU89" i="12" s="1"/>
  <c r="AT72" i="12"/>
  <c r="AT89" i="12" s="1"/>
  <c r="AS72" i="12"/>
  <c r="AS89" i="12" s="1"/>
  <c r="AR72" i="12"/>
  <c r="AR89" i="12" s="1"/>
  <c r="AQ72" i="12"/>
  <c r="AQ89" i="12" s="1"/>
  <c r="AP72" i="12"/>
  <c r="AP89" i="12" s="1"/>
  <c r="AO72" i="12"/>
  <c r="AO89" i="12" s="1"/>
  <c r="AN72" i="12"/>
  <c r="AN89" i="12" s="1"/>
  <c r="AM72" i="12"/>
  <c r="AM89" i="12" s="1"/>
  <c r="AL72" i="12"/>
  <c r="AL89" i="12" s="1"/>
  <c r="AK72" i="12"/>
  <c r="AK89" i="12" s="1"/>
  <c r="AJ72" i="12"/>
  <c r="AJ89" i="12" s="1"/>
  <c r="AI72" i="12"/>
  <c r="AI89" i="12" s="1"/>
  <c r="AH72" i="12"/>
  <c r="AH89" i="12" s="1"/>
  <c r="AG72" i="12"/>
  <c r="AG89" i="12" s="1"/>
  <c r="AF72" i="12"/>
  <c r="AF89" i="12" s="1"/>
  <c r="AE72" i="12"/>
  <c r="AE89" i="12" s="1"/>
  <c r="AD72" i="12"/>
  <c r="AD89" i="12" s="1"/>
  <c r="AC72" i="12"/>
  <c r="AC89" i="12" s="1"/>
  <c r="AB72" i="12"/>
  <c r="AB89" i="12" s="1"/>
  <c r="AA72" i="12"/>
  <c r="AA89" i="12" s="1"/>
  <c r="Z72" i="12"/>
  <c r="Z89" i="12" s="1"/>
  <c r="Y72" i="12"/>
  <c r="Y89" i="12" s="1"/>
  <c r="X72" i="12"/>
  <c r="X89" i="12" s="1"/>
  <c r="W72" i="12"/>
  <c r="W89" i="12" s="1"/>
  <c r="V72" i="12"/>
  <c r="V89" i="12" s="1"/>
  <c r="U72" i="12"/>
  <c r="U89" i="12" s="1"/>
  <c r="T72" i="12"/>
  <c r="T89" i="12" s="1"/>
  <c r="S72" i="12"/>
  <c r="S89" i="12" s="1"/>
  <c r="R72" i="12"/>
  <c r="R89" i="12" s="1"/>
  <c r="Q72" i="12"/>
  <c r="Q89" i="12" s="1"/>
  <c r="P72" i="12"/>
  <c r="P89" i="12" s="1"/>
  <c r="O72" i="12"/>
  <c r="O89" i="12" s="1"/>
  <c r="N72" i="12"/>
  <c r="N89" i="12" s="1"/>
  <c r="M72" i="12"/>
  <c r="M89" i="12" s="1"/>
  <c r="L72" i="12"/>
  <c r="L89" i="12" s="1"/>
  <c r="K72" i="12"/>
  <c r="K89" i="12" s="1"/>
  <c r="J72" i="12"/>
  <c r="J89" i="12" s="1"/>
  <c r="I72" i="12"/>
  <c r="I89" i="12" s="1"/>
  <c r="H72" i="12"/>
  <c r="H89" i="12" s="1"/>
  <c r="G72" i="12"/>
  <c r="G89" i="12" s="1"/>
  <c r="F72" i="12"/>
  <c r="F89" i="12" s="1"/>
  <c r="E72" i="12"/>
  <c r="E89" i="12" s="1"/>
  <c r="D72" i="12"/>
  <c r="D89" i="12" s="1"/>
  <c r="BF81" i="6"/>
  <c r="BE81" i="6"/>
  <c r="BD81" i="6"/>
  <c r="BF80" i="6"/>
  <c r="BE80" i="6"/>
  <c r="BD80" i="6"/>
  <c r="BF79" i="6"/>
  <c r="BE79" i="6"/>
  <c r="BD79" i="6"/>
  <c r="BF78" i="6"/>
  <c r="BE78" i="6"/>
  <c r="BD78" i="6"/>
  <c r="BF77" i="6"/>
  <c r="BE77" i="6"/>
  <c r="BD77" i="6"/>
  <c r="BF73" i="6"/>
  <c r="BE73" i="6"/>
  <c r="BD73" i="6"/>
  <c r="BF72" i="6"/>
  <c r="BE72" i="6"/>
  <c r="BD72" i="6"/>
  <c r="BF71" i="6"/>
  <c r="BE71" i="6"/>
  <c r="BD71" i="6"/>
  <c r="BF66" i="6"/>
  <c r="BE66" i="6"/>
  <c r="BD66" i="6"/>
  <c r="C83" i="6"/>
  <c r="C81" i="6"/>
  <c r="C80" i="6"/>
  <c r="C85" i="12" s="1"/>
  <c r="C79" i="6"/>
  <c r="C84" i="12" s="1"/>
  <c r="C78" i="6"/>
  <c r="C83" i="12" s="1"/>
  <c r="C77" i="6"/>
  <c r="C82" i="12" s="1"/>
  <c r="C76" i="6"/>
  <c r="C73" i="6"/>
  <c r="C106" i="12" s="1"/>
  <c r="C72" i="6"/>
  <c r="C105" i="12" s="1"/>
  <c r="C71" i="6"/>
  <c r="C104" i="12" s="1"/>
  <c r="C70" i="6"/>
  <c r="C103" i="12" s="1"/>
  <c r="C67" i="6"/>
  <c r="C66" i="6"/>
  <c r="C76" i="12" s="1"/>
  <c r="C65" i="6"/>
  <c r="C97" i="12" s="1"/>
  <c r="C60" i="6"/>
  <c r="C59" i="6"/>
  <c r="C81" i="12" s="1"/>
  <c r="C58" i="6"/>
  <c r="C80" i="12" s="1"/>
  <c r="C57" i="6"/>
  <c r="C79" i="12" s="1"/>
  <c r="C56" i="6"/>
  <c r="C78" i="12" s="1"/>
  <c r="C53" i="6"/>
  <c r="C94" i="12" s="1"/>
  <c r="C52" i="6"/>
  <c r="C51" i="6"/>
  <c r="N5" i="18" l="1"/>
  <c r="Q5" i="18" s="1"/>
  <c r="P4" i="18"/>
  <c r="C109" i="12"/>
  <c r="E107" i="12"/>
  <c r="I107" i="12"/>
  <c r="M107" i="12"/>
  <c r="Q107" i="12"/>
  <c r="U107" i="12"/>
  <c r="Y107" i="12"/>
  <c r="AC107" i="12"/>
  <c r="AG107" i="12"/>
  <c r="AK107" i="12"/>
  <c r="AO107" i="12"/>
  <c r="AS107" i="12"/>
  <c r="AW107" i="12"/>
  <c r="BA107" i="12"/>
  <c r="D107" i="12"/>
  <c r="H107" i="12"/>
  <c r="L107" i="12"/>
  <c r="P107" i="12"/>
  <c r="T107" i="12"/>
  <c r="X107" i="12"/>
  <c r="AB107" i="12"/>
  <c r="AF107" i="12"/>
  <c r="AJ107" i="12"/>
  <c r="AN107" i="12"/>
  <c r="AR107" i="12"/>
  <c r="AV107" i="12"/>
  <c r="AZ107" i="12"/>
  <c r="F107" i="12"/>
  <c r="J107" i="12"/>
  <c r="N107" i="12"/>
  <c r="R107" i="12"/>
  <c r="V107" i="12"/>
  <c r="Z107" i="12"/>
  <c r="AD107" i="12"/>
  <c r="AH107" i="12"/>
  <c r="AL107" i="12"/>
  <c r="AP107" i="12"/>
  <c r="AT107" i="12"/>
  <c r="AX107" i="12"/>
  <c r="BB107" i="12"/>
  <c r="G107" i="12"/>
  <c r="K107" i="12"/>
  <c r="O107" i="12"/>
  <c r="S107" i="12"/>
  <c r="W107" i="12"/>
  <c r="AA107" i="12"/>
  <c r="AE107" i="12"/>
  <c r="AI107" i="12"/>
  <c r="AM107" i="12"/>
  <c r="AQ107" i="12"/>
  <c r="AU107" i="12"/>
  <c r="AY107" i="12"/>
  <c r="N6" i="18" l="1"/>
  <c r="Q6" i="18" s="1"/>
  <c r="P5" i="18"/>
  <c r="C84" i="6"/>
  <c r="BC74" i="6"/>
  <c r="BB74"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V74" i="6"/>
  <c r="U74" i="6"/>
  <c r="T74" i="6"/>
  <c r="S74" i="6"/>
  <c r="R74" i="6"/>
  <c r="Q74" i="6"/>
  <c r="P74" i="6"/>
  <c r="O74" i="6"/>
  <c r="N74" i="6"/>
  <c r="M74" i="6"/>
  <c r="L74" i="6"/>
  <c r="K74" i="6"/>
  <c r="J74" i="6"/>
  <c r="I74" i="6"/>
  <c r="H74" i="6"/>
  <c r="G74" i="6"/>
  <c r="F74" i="6"/>
  <c r="E74" i="6"/>
  <c r="D74" i="6"/>
  <c r="BF59" i="6"/>
  <c r="BE59" i="6"/>
  <c r="BD59" i="6"/>
  <c r="BF58" i="6"/>
  <c r="BE58" i="6"/>
  <c r="BD58" i="6"/>
  <c r="BF53" i="6"/>
  <c r="BE53" i="6"/>
  <c r="BD53" i="6"/>
  <c r="BF52" i="6"/>
  <c r="BE52" i="6"/>
  <c r="BD52" i="6"/>
  <c r="BE105" i="12"/>
  <c r="BD105" i="12"/>
  <c r="BC105" i="12"/>
  <c r="BE104" i="12"/>
  <c r="BD104" i="12"/>
  <c r="BC104" i="12"/>
  <c r="BE103" i="12"/>
  <c r="BD103" i="12"/>
  <c r="BC103" i="12"/>
  <c r="BE102" i="12"/>
  <c r="BD102" i="12"/>
  <c r="BC102" i="12"/>
  <c r="BE101" i="12"/>
  <c r="BD101" i="12"/>
  <c r="BC101" i="12"/>
  <c r="BE100" i="12"/>
  <c r="BD100" i="12"/>
  <c r="BC100" i="12"/>
  <c r="BE99" i="12"/>
  <c r="BD99" i="12"/>
  <c r="BC99" i="12"/>
  <c r="BE94" i="12"/>
  <c r="BD94" i="12"/>
  <c r="BC94" i="12"/>
  <c r="BE85" i="12"/>
  <c r="BD85" i="12"/>
  <c r="BC85" i="12"/>
  <c r="BE84" i="12"/>
  <c r="BD84" i="12"/>
  <c r="BC84" i="12"/>
  <c r="BE83" i="12"/>
  <c r="BD83" i="12"/>
  <c r="BC83" i="12"/>
  <c r="BE82" i="12"/>
  <c r="BD82" i="12"/>
  <c r="BE81" i="12"/>
  <c r="BD81" i="12"/>
  <c r="BC81" i="12"/>
  <c r="BE80" i="12"/>
  <c r="BD80" i="12"/>
  <c r="BC80" i="12"/>
  <c r="BE76" i="12"/>
  <c r="BD76" i="12"/>
  <c r="BE55" i="12"/>
  <c r="BD55" i="12"/>
  <c r="BC55" i="12"/>
  <c r="BE54" i="12"/>
  <c r="BD54" i="12"/>
  <c r="BC54" i="12"/>
  <c r="BE53" i="12"/>
  <c r="BD53" i="12"/>
  <c r="BC53" i="12"/>
  <c r="BB56" i="12"/>
  <c r="BB71" i="12" s="1"/>
  <c r="BA56" i="12"/>
  <c r="BA71" i="12" s="1"/>
  <c r="AZ56" i="12"/>
  <c r="AZ71" i="12" s="1"/>
  <c r="AY56" i="12"/>
  <c r="AY71" i="12" s="1"/>
  <c r="AX56" i="12"/>
  <c r="AX71" i="12" s="1"/>
  <c r="AW56" i="12"/>
  <c r="AW71" i="12" s="1"/>
  <c r="AV56" i="12"/>
  <c r="AV71" i="12" s="1"/>
  <c r="AU56" i="12"/>
  <c r="AU71" i="12" s="1"/>
  <c r="AT56" i="12"/>
  <c r="AT71" i="12" s="1"/>
  <c r="AS56" i="12"/>
  <c r="AS71" i="12" s="1"/>
  <c r="AR56" i="12"/>
  <c r="AR71" i="12" s="1"/>
  <c r="AQ56" i="12"/>
  <c r="AQ71" i="12" s="1"/>
  <c r="AP56" i="12"/>
  <c r="AP71" i="12" s="1"/>
  <c r="AO56" i="12"/>
  <c r="AO71" i="12" s="1"/>
  <c r="AN56" i="12"/>
  <c r="AN71" i="12" s="1"/>
  <c r="AM56" i="12"/>
  <c r="AM71" i="12" s="1"/>
  <c r="AL56" i="12"/>
  <c r="AL71" i="12" s="1"/>
  <c r="AK56" i="12"/>
  <c r="AK71" i="12" s="1"/>
  <c r="AJ56" i="12"/>
  <c r="AJ71" i="12" s="1"/>
  <c r="AI56" i="12"/>
  <c r="AI71" i="12" s="1"/>
  <c r="AH56" i="12"/>
  <c r="AH71" i="12" s="1"/>
  <c r="AG56" i="12"/>
  <c r="AG71" i="12" s="1"/>
  <c r="AF56" i="12"/>
  <c r="AF71" i="12" s="1"/>
  <c r="AE56" i="12"/>
  <c r="AE71" i="12" s="1"/>
  <c r="AD56" i="12"/>
  <c r="AD71" i="12" s="1"/>
  <c r="AC56" i="12"/>
  <c r="AC71" i="12" s="1"/>
  <c r="AB56" i="12"/>
  <c r="AB71" i="12" s="1"/>
  <c r="AA56" i="12"/>
  <c r="AA71" i="12" s="1"/>
  <c r="Z56" i="12"/>
  <c r="Z71" i="12" s="1"/>
  <c r="Y56" i="12"/>
  <c r="Y71" i="12" s="1"/>
  <c r="X56" i="12"/>
  <c r="X71" i="12" s="1"/>
  <c r="W56" i="12"/>
  <c r="W71" i="12" s="1"/>
  <c r="V56" i="12"/>
  <c r="V71" i="12" s="1"/>
  <c r="U56" i="12"/>
  <c r="U71" i="12" s="1"/>
  <c r="T56" i="12"/>
  <c r="T71" i="12" s="1"/>
  <c r="S56" i="12"/>
  <c r="S71" i="12" s="1"/>
  <c r="R56" i="12"/>
  <c r="R71" i="12" s="1"/>
  <c r="Q56" i="12"/>
  <c r="Q71" i="12" s="1"/>
  <c r="P56" i="12"/>
  <c r="P71" i="12" s="1"/>
  <c r="O56" i="12"/>
  <c r="O71" i="12" s="1"/>
  <c r="N56" i="12"/>
  <c r="N71" i="12" s="1"/>
  <c r="M56" i="12"/>
  <c r="M71" i="12" s="1"/>
  <c r="L56" i="12"/>
  <c r="L71" i="12" s="1"/>
  <c r="K56" i="12"/>
  <c r="K71" i="12" s="1"/>
  <c r="J56" i="12"/>
  <c r="J71" i="12" s="1"/>
  <c r="I56" i="12"/>
  <c r="I71" i="12" s="1"/>
  <c r="H56" i="12"/>
  <c r="H71" i="12" s="1"/>
  <c r="G56" i="12"/>
  <c r="G71" i="12" s="1"/>
  <c r="F56" i="12"/>
  <c r="F71" i="12" s="1"/>
  <c r="E56" i="12"/>
  <c r="E71" i="12" s="1"/>
  <c r="D56" i="12"/>
  <c r="D71" i="12" s="1"/>
  <c r="C56" i="12"/>
  <c r="C71" i="12" s="1"/>
  <c r="BE48" i="12"/>
  <c r="BD48" i="12"/>
  <c r="BC48" i="12"/>
  <c r="BB49" i="12"/>
  <c r="BA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C49" i="12"/>
  <c r="BE44" i="12"/>
  <c r="BD44" i="12"/>
  <c r="BC44" i="12"/>
  <c r="BE43" i="12"/>
  <c r="BD43" i="12"/>
  <c r="BC43" i="12"/>
  <c r="BB45" i="12"/>
  <c r="BA45" i="12"/>
  <c r="AZ45" i="12"/>
  <c r="AY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R45" i="12"/>
  <c r="Q45" i="12"/>
  <c r="P45" i="12"/>
  <c r="O45" i="12"/>
  <c r="N45" i="12"/>
  <c r="M45" i="12"/>
  <c r="L45" i="12"/>
  <c r="K45" i="12"/>
  <c r="J45" i="12"/>
  <c r="I45" i="12"/>
  <c r="H45" i="12"/>
  <c r="G45" i="12"/>
  <c r="F45" i="12"/>
  <c r="E45" i="12"/>
  <c r="D45" i="12"/>
  <c r="C45" i="12"/>
  <c r="BB12" i="12"/>
  <c r="BB9" i="12" s="1"/>
  <c r="BA12" i="12"/>
  <c r="BA9" i="12" s="1"/>
  <c r="AZ12" i="12"/>
  <c r="AZ9" i="12" s="1"/>
  <c r="AY12" i="12"/>
  <c r="AY9" i="12" s="1"/>
  <c r="AX12" i="12"/>
  <c r="AX9" i="12" s="1"/>
  <c r="AW12" i="12"/>
  <c r="AW9" i="12" s="1"/>
  <c r="AV12" i="12"/>
  <c r="AV9" i="12" s="1"/>
  <c r="AU12" i="12"/>
  <c r="AU9" i="12" s="1"/>
  <c r="AT12" i="12"/>
  <c r="AT9" i="12" s="1"/>
  <c r="AS12" i="12"/>
  <c r="AS9" i="12" s="1"/>
  <c r="AR12" i="12"/>
  <c r="AR9" i="12" s="1"/>
  <c r="AQ12" i="12"/>
  <c r="AP12" i="12"/>
  <c r="AP9" i="12" s="1"/>
  <c r="AO12" i="12"/>
  <c r="AO9" i="12" s="1"/>
  <c r="AN12" i="12"/>
  <c r="AN9" i="12" s="1"/>
  <c r="AM12" i="12"/>
  <c r="AM9" i="12" s="1"/>
  <c r="AL12" i="12"/>
  <c r="AL9" i="12" s="1"/>
  <c r="AK12" i="12"/>
  <c r="AK9" i="12" s="1"/>
  <c r="AJ12" i="12"/>
  <c r="AJ9" i="12" s="1"/>
  <c r="AI12" i="12"/>
  <c r="AI9" i="12" s="1"/>
  <c r="AH12" i="12"/>
  <c r="AH9" i="12" s="1"/>
  <c r="AG12" i="12"/>
  <c r="AG9" i="12" s="1"/>
  <c r="AF12" i="12"/>
  <c r="AF9" i="12" s="1"/>
  <c r="AE12" i="12"/>
  <c r="AD12" i="12"/>
  <c r="AD9" i="12" s="1"/>
  <c r="AC12" i="12"/>
  <c r="AC9" i="12" s="1"/>
  <c r="AB12" i="12"/>
  <c r="AB9" i="12" s="1"/>
  <c r="AA12" i="12"/>
  <c r="AA9" i="12" s="1"/>
  <c r="Z12" i="12"/>
  <c r="Z9" i="12" s="1"/>
  <c r="Y12" i="12"/>
  <c r="Y9" i="12" s="1"/>
  <c r="X12" i="12"/>
  <c r="X9" i="12" s="1"/>
  <c r="W12" i="12"/>
  <c r="W9" i="12" s="1"/>
  <c r="V12" i="12"/>
  <c r="V9" i="12" s="1"/>
  <c r="U12" i="12"/>
  <c r="U9" i="12" s="1"/>
  <c r="T12" i="12"/>
  <c r="T9" i="12" s="1"/>
  <c r="S12" i="12"/>
  <c r="S9" i="12" s="1"/>
  <c r="R12" i="12"/>
  <c r="R9" i="12" s="1"/>
  <c r="Q12" i="12"/>
  <c r="Q9" i="12" s="1"/>
  <c r="P12" i="12"/>
  <c r="P9" i="12" s="1"/>
  <c r="O12" i="12"/>
  <c r="O9" i="12" s="1"/>
  <c r="N12" i="12"/>
  <c r="N9" i="12" s="1"/>
  <c r="M12" i="12"/>
  <c r="M9" i="12" s="1"/>
  <c r="L12" i="12"/>
  <c r="L9" i="12" s="1"/>
  <c r="K12" i="12"/>
  <c r="K9" i="12" s="1"/>
  <c r="J12" i="12"/>
  <c r="J9" i="12" s="1"/>
  <c r="I12" i="12"/>
  <c r="I9" i="12" s="1"/>
  <c r="H12" i="12"/>
  <c r="H9" i="12" s="1"/>
  <c r="G12" i="12"/>
  <c r="G9" i="12" s="1"/>
  <c r="F12" i="12"/>
  <c r="F9" i="12" s="1"/>
  <c r="E12" i="12"/>
  <c r="E9" i="12" s="1"/>
  <c r="D12" i="12"/>
  <c r="D9" i="12" s="1"/>
  <c r="C12" i="12"/>
  <c r="BB11" i="12"/>
  <c r="BB8" i="12" s="1"/>
  <c r="BB10" i="12" s="1"/>
  <c r="BA11" i="12"/>
  <c r="BA8" i="12" s="1"/>
  <c r="BA10" i="12" s="1"/>
  <c r="AZ11" i="12"/>
  <c r="AZ8" i="12" s="1"/>
  <c r="AY11" i="12"/>
  <c r="AX11" i="12"/>
  <c r="AX8" i="12" s="1"/>
  <c r="AX10" i="12" s="1"/>
  <c r="AW11" i="12"/>
  <c r="AW8" i="12" s="1"/>
  <c r="AW10" i="12" s="1"/>
  <c r="AV11" i="12"/>
  <c r="AV8" i="12" s="1"/>
  <c r="AV10" i="12" s="1"/>
  <c r="AU11" i="12"/>
  <c r="AU13" i="12" s="1"/>
  <c r="AT11" i="12"/>
  <c r="AT8" i="12" s="1"/>
  <c r="AT10" i="12" s="1"/>
  <c r="AS11" i="12"/>
  <c r="AS8" i="12" s="1"/>
  <c r="AS10" i="12" s="1"/>
  <c r="AR11" i="12"/>
  <c r="AR8" i="12" s="1"/>
  <c r="AQ11" i="12"/>
  <c r="AP11" i="12"/>
  <c r="AP8" i="12" s="1"/>
  <c r="AP10" i="12" s="1"/>
  <c r="AO11" i="12"/>
  <c r="AO8" i="12" s="1"/>
  <c r="AO10" i="12" s="1"/>
  <c r="AN11" i="12"/>
  <c r="AN8" i="12" s="1"/>
  <c r="AN10" i="12" s="1"/>
  <c r="AM11" i="12"/>
  <c r="AM13" i="12" s="1"/>
  <c r="AL11" i="12"/>
  <c r="AL8" i="12" s="1"/>
  <c r="AL10" i="12" s="1"/>
  <c r="AK11" i="12"/>
  <c r="AK8" i="12" s="1"/>
  <c r="AK10" i="12" s="1"/>
  <c r="AJ11" i="12"/>
  <c r="AJ8" i="12" s="1"/>
  <c r="AI11" i="12"/>
  <c r="AH11" i="12"/>
  <c r="AH8" i="12" s="1"/>
  <c r="AH10" i="12" s="1"/>
  <c r="AG11" i="12"/>
  <c r="AG8" i="12" s="1"/>
  <c r="AG10" i="12" s="1"/>
  <c r="AF11" i="12"/>
  <c r="AF8" i="12" s="1"/>
  <c r="AF10" i="12" s="1"/>
  <c r="AE11" i="12"/>
  <c r="AE13" i="12" s="1"/>
  <c r="AD11" i="12"/>
  <c r="AD8" i="12" s="1"/>
  <c r="AD10" i="12" s="1"/>
  <c r="AC11" i="12"/>
  <c r="AC8" i="12" s="1"/>
  <c r="AC10" i="12" s="1"/>
  <c r="AB11" i="12"/>
  <c r="AB8" i="12" s="1"/>
  <c r="AA11" i="12"/>
  <c r="Z11" i="12"/>
  <c r="Z8" i="12" s="1"/>
  <c r="Z10" i="12" s="1"/>
  <c r="Y11" i="12"/>
  <c r="Y8" i="12" s="1"/>
  <c r="Y10" i="12" s="1"/>
  <c r="X11" i="12"/>
  <c r="X8" i="12" s="1"/>
  <c r="X10" i="12" s="1"/>
  <c r="W11" i="12"/>
  <c r="W13" i="12" s="1"/>
  <c r="V11" i="12"/>
  <c r="V8" i="12" s="1"/>
  <c r="V10" i="12" s="1"/>
  <c r="U11" i="12"/>
  <c r="U8" i="12" s="1"/>
  <c r="U10" i="12" s="1"/>
  <c r="T11" i="12"/>
  <c r="T8" i="12" s="1"/>
  <c r="S11" i="12"/>
  <c r="R11" i="12"/>
  <c r="R8" i="12" s="1"/>
  <c r="R10" i="12" s="1"/>
  <c r="Q11" i="12"/>
  <c r="Q8" i="12" s="1"/>
  <c r="Q10" i="12" s="1"/>
  <c r="P11" i="12"/>
  <c r="P8" i="12" s="1"/>
  <c r="O11" i="12"/>
  <c r="O13" i="12" s="1"/>
  <c r="N11" i="12"/>
  <c r="N8" i="12" s="1"/>
  <c r="N10" i="12" s="1"/>
  <c r="M11" i="12"/>
  <c r="M8" i="12" s="1"/>
  <c r="M10" i="12" s="1"/>
  <c r="L11" i="12"/>
  <c r="L8" i="12" s="1"/>
  <c r="K11" i="12"/>
  <c r="J11" i="12"/>
  <c r="J8" i="12" s="1"/>
  <c r="J10" i="12" s="1"/>
  <c r="I11" i="12"/>
  <c r="I8" i="12" s="1"/>
  <c r="I10" i="12" s="1"/>
  <c r="H11" i="12"/>
  <c r="H8" i="12" s="1"/>
  <c r="H10" i="12" s="1"/>
  <c r="G11" i="12"/>
  <c r="G13" i="12" s="1"/>
  <c r="F11" i="12"/>
  <c r="F8" i="12" s="1"/>
  <c r="F10" i="12" s="1"/>
  <c r="E11" i="12"/>
  <c r="E8" i="12" s="1"/>
  <c r="E10" i="12" s="1"/>
  <c r="D11" i="12"/>
  <c r="C11" i="12"/>
  <c r="C8" i="12" s="1"/>
  <c r="BB13" i="12"/>
  <c r="BA13" i="12"/>
  <c r="AZ13" i="12"/>
  <c r="BE6" i="12"/>
  <c r="BD6" i="12"/>
  <c r="BC6" i="12"/>
  <c r="BE5" i="12"/>
  <c r="BD5" i="12"/>
  <c r="BC5" i="12"/>
  <c r="BB7" i="12"/>
  <c r="BA7" i="12"/>
  <c r="AZ7" i="12"/>
  <c r="AY7" i="12"/>
  <c r="AX7" i="12"/>
  <c r="AW7" i="12"/>
  <c r="AV7" i="12"/>
  <c r="AU7" i="12"/>
  <c r="AT7" i="12"/>
  <c r="AS7" i="12"/>
  <c r="AR7" i="12"/>
  <c r="AQ7" i="12"/>
  <c r="AP7" i="12"/>
  <c r="AO7" i="12"/>
  <c r="AN7" i="12"/>
  <c r="AM7" i="12"/>
  <c r="AL7" i="12"/>
  <c r="AK7" i="12"/>
  <c r="AJ7" i="12"/>
  <c r="AI7" i="12"/>
  <c r="AH7" i="12"/>
  <c r="AG7" i="12"/>
  <c r="AF7" i="12"/>
  <c r="AE7" i="12"/>
  <c r="AD7" i="12"/>
  <c r="AC7" i="12"/>
  <c r="AB7" i="12"/>
  <c r="AA7" i="12"/>
  <c r="Z7" i="12"/>
  <c r="Y7" i="12"/>
  <c r="X7" i="12"/>
  <c r="W7" i="12"/>
  <c r="V7" i="12"/>
  <c r="U7" i="12"/>
  <c r="T7" i="12"/>
  <c r="S7" i="12"/>
  <c r="R7" i="12"/>
  <c r="Q7" i="12"/>
  <c r="P7" i="12"/>
  <c r="O7" i="12"/>
  <c r="N7" i="12"/>
  <c r="M7" i="12"/>
  <c r="L7" i="12"/>
  <c r="K7" i="12"/>
  <c r="J7" i="12"/>
  <c r="I7" i="12"/>
  <c r="H7" i="12"/>
  <c r="G7" i="12"/>
  <c r="F7" i="12"/>
  <c r="E7" i="12"/>
  <c r="D7" i="12"/>
  <c r="C7" i="12"/>
  <c r="BC108" i="6"/>
  <c r="BB108"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V108" i="6"/>
  <c r="U108" i="6"/>
  <c r="T108" i="6"/>
  <c r="S108" i="6"/>
  <c r="R108" i="6"/>
  <c r="Q108" i="6"/>
  <c r="P108" i="6"/>
  <c r="O108" i="6"/>
  <c r="N108" i="6"/>
  <c r="M108" i="6"/>
  <c r="L108" i="6"/>
  <c r="K108" i="6"/>
  <c r="J108" i="6"/>
  <c r="I108" i="6"/>
  <c r="H108" i="6"/>
  <c r="G108" i="6"/>
  <c r="F108" i="6"/>
  <c r="E108" i="6"/>
  <c r="D108" i="6"/>
  <c r="C108" i="6"/>
  <c r="BC94" i="6"/>
  <c r="BB94" i="6"/>
  <c r="BA94" i="6"/>
  <c r="AZ94" i="6"/>
  <c r="AY94" i="6"/>
  <c r="AX94" i="6"/>
  <c r="AW94" i="6"/>
  <c r="AV94" i="6"/>
  <c r="AU94" i="6"/>
  <c r="AT94" i="6"/>
  <c r="AS94" i="6"/>
  <c r="AR94" i="6"/>
  <c r="AQ94" i="6"/>
  <c r="AP94" i="6"/>
  <c r="AO94" i="6"/>
  <c r="AN94" i="6"/>
  <c r="AM94" i="6"/>
  <c r="AL94" i="6"/>
  <c r="AK94" i="6"/>
  <c r="AJ94" i="6"/>
  <c r="AI94" i="6"/>
  <c r="AH94" i="6"/>
  <c r="AG94" i="6"/>
  <c r="AF94" i="6"/>
  <c r="AE94" i="6"/>
  <c r="AD94" i="6"/>
  <c r="AC94" i="6"/>
  <c r="AB94" i="6"/>
  <c r="AA94" i="6"/>
  <c r="Z94" i="6"/>
  <c r="Y94" i="6"/>
  <c r="X94" i="6"/>
  <c r="W94" i="6"/>
  <c r="V94" i="6"/>
  <c r="U94" i="6"/>
  <c r="T94" i="6"/>
  <c r="S94" i="6"/>
  <c r="R94" i="6"/>
  <c r="Q94" i="6"/>
  <c r="P94" i="6"/>
  <c r="O94" i="6"/>
  <c r="N94" i="6"/>
  <c r="M94" i="6"/>
  <c r="L94" i="6"/>
  <c r="K94" i="6"/>
  <c r="J94" i="6"/>
  <c r="I94" i="6"/>
  <c r="H94" i="6"/>
  <c r="G94" i="6"/>
  <c r="F94" i="6"/>
  <c r="E94" i="6"/>
  <c r="D94" i="6"/>
  <c r="C94" i="6"/>
  <c r="BC92" i="6"/>
  <c r="BB92"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V92" i="6"/>
  <c r="U92" i="6"/>
  <c r="T92" i="6"/>
  <c r="S92" i="6"/>
  <c r="R92" i="6"/>
  <c r="Q92" i="6"/>
  <c r="P92" i="6"/>
  <c r="O92" i="6"/>
  <c r="N92" i="6"/>
  <c r="M92" i="6"/>
  <c r="L92" i="6"/>
  <c r="K92" i="6"/>
  <c r="J92" i="6"/>
  <c r="I92" i="6"/>
  <c r="H92" i="6"/>
  <c r="G92" i="6"/>
  <c r="F92" i="6"/>
  <c r="E92" i="6"/>
  <c r="D92" i="6"/>
  <c r="C92" i="6"/>
  <c r="BC90" i="6"/>
  <c r="BB90" i="6"/>
  <c r="BA90" i="6"/>
  <c r="AZ90" i="6"/>
  <c r="AY90" i="6"/>
  <c r="AX90" i="6"/>
  <c r="AW90" i="6"/>
  <c r="AV90" i="6"/>
  <c r="AU90" i="6"/>
  <c r="AT90" i="6"/>
  <c r="AS90" i="6"/>
  <c r="AR90" i="6"/>
  <c r="AQ90" i="6"/>
  <c r="AP90" i="6"/>
  <c r="AO90" i="6"/>
  <c r="AN90" i="6"/>
  <c r="AM90" i="6"/>
  <c r="AL90" i="6"/>
  <c r="AK90" i="6"/>
  <c r="AJ90" i="6"/>
  <c r="AI90" i="6"/>
  <c r="AH90" i="6"/>
  <c r="AG90" i="6"/>
  <c r="AF90" i="6"/>
  <c r="AE90" i="6"/>
  <c r="AD90" i="6"/>
  <c r="AC90" i="6"/>
  <c r="AB90" i="6"/>
  <c r="AA90" i="6"/>
  <c r="Z90" i="6"/>
  <c r="Y90" i="6"/>
  <c r="X90" i="6"/>
  <c r="W90" i="6"/>
  <c r="V90" i="6"/>
  <c r="U90" i="6"/>
  <c r="T90" i="6"/>
  <c r="S90" i="6"/>
  <c r="R90" i="6"/>
  <c r="Q90" i="6"/>
  <c r="P90" i="6"/>
  <c r="O90" i="6"/>
  <c r="N90" i="6"/>
  <c r="M90" i="6"/>
  <c r="L90" i="6"/>
  <c r="K90" i="6"/>
  <c r="J90" i="6"/>
  <c r="I90" i="6"/>
  <c r="H90" i="6"/>
  <c r="G90" i="6"/>
  <c r="F90" i="6"/>
  <c r="E90" i="6"/>
  <c r="D90" i="6"/>
  <c r="C90" i="6"/>
  <c r="K18" i="18"/>
  <c r="K17" i="18" s="1"/>
  <c r="K16" i="18" s="1"/>
  <c r="K15" i="18" s="1"/>
  <c r="K14" i="18" s="1"/>
  <c r="K13" i="18" s="1"/>
  <c r="K12" i="18" s="1"/>
  <c r="K11" i="18" s="1"/>
  <c r="K10" i="18" s="1"/>
  <c r="K9" i="18" s="1"/>
  <c r="K8" i="18" s="1"/>
  <c r="K7" i="18" s="1"/>
  <c r="K6" i="18" s="1"/>
  <c r="K5" i="18" s="1"/>
  <c r="K4" i="18" s="1"/>
  <c r="K3" i="18" s="1"/>
  <c r="G18" i="18"/>
  <c r="G17" i="18" s="1"/>
  <c r="G16" i="18" s="1"/>
  <c r="G15" i="18" s="1"/>
  <c r="G14" i="18" s="1"/>
  <c r="G13" i="18" s="1"/>
  <c r="G12" i="18" s="1"/>
  <c r="G11" i="18" s="1"/>
  <c r="G10" i="18" s="1"/>
  <c r="G9" i="18" s="1"/>
  <c r="G8" i="18" s="1"/>
  <c r="G7" i="18" s="1"/>
  <c r="G6" i="18" s="1"/>
  <c r="G5" i="18" s="1"/>
  <c r="G4" i="18" s="1"/>
  <c r="G3" i="18" s="1"/>
  <c r="F3" i="18" s="1"/>
  <c r="C18" i="18"/>
  <c r="C17" i="18" s="1"/>
  <c r="C16" i="18" s="1"/>
  <c r="C15" i="18" s="1"/>
  <c r="C14" i="18" s="1"/>
  <c r="C13" i="18" s="1"/>
  <c r="C12" i="18" s="1"/>
  <c r="C11" i="18" s="1"/>
  <c r="C10" i="18" s="1"/>
  <c r="C9" i="18" s="1"/>
  <c r="C8" i="18" s="1"/>
  <c r="C7" i="18" s="1"/>
  <c r="C6" i="18" s="1"/>
  <c r="C5" i="18" s="1"/>
  <c r="C4" i="18" s="1"/>
  <c r="C3" i="18" s="1"/>
  <c r="B3" i="18" s="1"/>
  <c r="K13" i="12" l="1"/>
  <c r="K16" i="12" s="1"/>
  <c r="S13" i="12"/>
  <c r="S50" i="12" s="1"/>
  <c r="S57" i="12" s="1"/>
  <c r="AA13" i="12"/>
  <c r="AA16" i="12" s="1"/>
  <c r="AI13" i="12"/>
  <c r="AI50" i="12" s="1"/>
  <c r="AI57" i="12" s="1"/>
  <c r="AQ13" i="12"/>
  <c r="AQ16" i="12" s="1"/>
  <c r="AY13" i="12"/>
  <c r="AY16" i="12" s="1"/>
  <c r="D13" i="12"/>
  <c r="D50" i="12" s="1"/>
  <c r="D57" i="12" s="1"/>
  <c r="L10" i="12"/>
  <c r="T10" i="12"/>
  <c r="AB10" i="12"/>
  <c r="AJ10" i="12"/>
  <c r="AR10" i="12"/>
  <c r="AZ10" i="12"/>
  <c r="F13" i="12"/>
  <c r="F16" i="12" s="1"/>
  <c r="BE45" i="12"/>
  <c r="N7" i="18"/>
  <c r="Q7" i="18" s="1"/>
  <c r="P6" i="18"/>
  <c r="J3" i="18"/>
  <c r="J4" i="18" s="1"/>
  <c r="AL13" i="12"/>
  <c r="AL50" i="12" s="1"/>
  <c r="AL57" i="12" s="1"/>
  <c r="N13" i="12"/>
  <c r="N50" i="12" s="1"/>
  <c r="N57" i="12" s="1"/>
  <c r="AT13" i="12"/>
  <c r="AT50" i="12" s="1"/>
  <c r="AT57" i="12" s="1"/>
  <c r="V13" i="12"/>
  <c r="V50" i="12" s="1"/>
  <c r="V57" i="12" s="1"/>
  <c r="AD13" i="12"/>
  <c r="AD50" i="12" s="1"/>
  <c r="AD57" i="12" s="1"/>
  <c r="BB50" i="12"/>
  <c r="BB57" i="12" s="1"/>
  <c r="G50" i="12"/>
  <c r="G57" i="12" s="1"/>
  <c r="O50" i="12"/>
  <c r="O57" i="12" s="1"/>
  <c r="W50" i="12"/>
  <c r="W57" i="12" s="1"/>
  <c r="AE50" i="12"/>
  <c r="AE57" i="12" s="1"/>
  <c r="AM50" i="12"/>
  <c r="AM57" i="12" s="1"/>
  <c r="AZ50" i="12"/>
  <c r="AZ57" i="12" s="1"/>
  <c r="AU50" i="12"/>
  <c r="AU57" i="12" s="1"/>
  <c r="BA50" i="12"/>
  <c r="BA57" i="12" s="1"/>
  <c r="I13" i="12"/>
  <c r="I50" i="12" s="1"/>
  <c r="I57" i="12" s="1"/>
  <c r="Q13" i="12"/>
  <c r="Q50" i="12" s="1"/>
  <c r="Y13" i="12"/>
  <c r="Y16" i="12" s="1"/>
  <c r="AG13" i="12"/>
  <c r="AO13" i="12"/>
  <c r="AO16" i="12" s="1"/>
  <c r="AW13" i="12"/>
  <c r="AW50" i="12" s="1"/>
  <c r="AW57" i="12" s="1"/>
  <c r="J13" i="12"/>
  <c r="J50" i="12" s="1"/>
  <c r="R13" i="12"/>
  <c r="R16" i="12" s="1"/>
  <c r="Z13" i="12"/>
  <c r="Z50" i="12" s="1"/>
  <c r="Z57" i="12" s="1"/>
  <c r="AH13" i="12"/>
  <c r="AH50" i="12" s="1"/>
  <c r="AH57" i="12" s="1"/>
  <c r="AP13" i="12"/>
  <c r="AP50" i="12" s="1"/>
  <c r="AX13" i="12"/>
  <c r="AX16" i="12" s="1"/>
  <c r="M13" i="12"/>
  <c r="M50" i="12" s="1"/>
  <c r="M57" i="12" s="1"/>
  <c r="U13" i="12"/>
  <c r="U50" i="12" s="1"/>
  <c r="U57" i="12" s="1"/>
  <c r="AC13" i="12"/>
  <c r="AC16" i="12" s="1"/>
  <c r="AK13" i="12"/>
  <c r="AK16" i="12" s="1"/>
  <c r="AS13" i="12"/>
  <c r="AS50" i="12" s="1"/>
  <c r="AS57" i="12" s="1"/>
  <c r="BE7" i="12"/>
  <c r="E13" i="12"/>
  <c r="E50" i="12" s="1"/>
  <c r="T13" i="12"/>
  <c r="T16" i="12" s="1"/>
  <c r="BD11" i="12"/>
  <c r="BD14" i="12" s="1"/>
  <c r="H13" i="12"/>
  <c r="H16" i="12" s="1"/>
  <c r="AN13" i="12"/>
  <c r="AJ13" i="12"/>
  <c r="AJ16" i="12" s="1"/>
  <c r="X13" i="12"/>
  <c r="X50" i="12" s="1"/>
  <c r="BE12" i="12"/>
  <c r="BE15" i="12" s="1"/>
  <c r="BD45" i="12"/>
  <c r="BC45" i="12"/>
  <c r="P13" i="12"/>
  <c r="P16" i="12" s="1"/>
  <c r="AF13" i="12"/>
  <c r="AV13" i="12"/>
  <c r="AV16" i="12" s="1"/>
  <c r="L13" i="12"/>
  <c r="L16" i="12" s="1"/>
  <c r="AB13" i="12"/>
  <c r="AB16" i="12" s="1"/>
  <c r="AR13" i="12"/>
  <c r="AR16" i="12" s="1"/>
  <c r="P10" i="12"/>
  <c r="BD9" i="12"/>
  <c r="BD12" i="12"/>
  <c r="BD15" i="12" s="1"/>
  <c r="BC11" i="12"/>
  <c r="BC14" i="12" s="1"/>
  <c r="D8" i="12"/>
  <c r="D10" i="12" s="1"/>
  <c r="C13" i="12"/>
  <c r="C16" i="12" s="1"/>
  <c r="G8" i="12"/>
  <c r="K8" i="12"/>
  <c r="K10" i="12" s="1"/>
  <c r="O8" i="12"/>
  <c r="O10" i="12" s="1"/>
  <c r="S8" i="12"/>
  <c r="S10" i="12" s="1"/>
  <c r="W8" i="12"/>
  <c r="W10" i="12" s="1"/>
  <c r="AA8" i="12"/>
  <c r="AA10" i="12" s="1"/>
  <c r="AE8" i="12"/>
  <c r="AI8" i="12"/>
  <c r="AI10" i="12" s="1"/>
  <c r="AM8" i="12"/>
  <c r="AM10" i="12" s="1"/>
  <c r="AQ8" i="12"/>
  <c r="AU8" i="12"/>
  <c r="AU10" i="12" s="1"/>
  <c r="AY8" i="12"/>
  <c r="AY10" i="12" s="1"/>
  <c r="C9" i="12"/>
  <c r="BC9" i="12" s="1"/>
  <c r="AE9" i="12"/>
  <c r="BE9" i="12" s="1"/>
  <c r="AQ9" i="12"/>
  <c r="BA16" i="12"/>
  <c r="BE11" i="12"/>
  <c r="G16" i="12"/>
  <c r="O16" i="12"/>
  <c r="AE16" i="12"/>
  <c r="AM16" i="12"/>
  <c r="AU16" i="12"/>
  <c r="W16" i="12"/>
  <c r="BC12" i="12"/>
  <c r="BC15" i="12" s="1"/>
  <c r="AZ16" i="12"/>
  <c r="BB16" i="12"/>
  <c r="BD7" i="12"/>
  <c r="BC7" i="12"/>
  <c r="F4" i="18"/>
  <c r="H3" i="18"/>
  <c r="D3" i="18"/>
  <c r="B4" i="18"/>
  <c r="BB95" i="1"/>
  <c r="BA95"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E95" i="1"/>
  <c r="D95" i="1"/>
  <c r="BE102" i="1"/>
  <c r="BD102" i="1"/>
  <c r="BC102" i="1"/>
  <c r="BE101" i="1"/>
  <c r="BD101" i="1"/>
  <c r="BC101" i="1"/>
  <c r="BE100" i="1"/>
  <c r="BD100" i="1"/>
  <c r="BC100" i="1"/>
  <c r="BE99" i="1"/>
  <c r="BD99" i="1"/>
  <c r="BC99" i="1"/>
  <c r="BE97" i="1"/>
  <c r="BD97" i="1"/>
  <c r="BC97" i="1"/>
  <c r="BE94" i="1"/>
  <c r="BD94" i="1"/>
  <c r="BC94" i="1"/>
  <c r="BE93" i="1"/>
  <c r="BD93" i="1"/>
  <c r="BC93" i="1"/>
  <c r="BE92" i="1"/>
  <c r="BD92" i="1"/>
  <c r="BC92" i="1"/>
  <c r="BE85" i="1"/>
  <c r="BD85" i="1"/>
  <c r="BC85" i="1"/>
  <c r="BE81" i="1"/>
  <c r="BD81" i="1"/>
  <c r="BC81" i="1"/>
  <c r="BE80" i="1"/>
  <c r="BD80" i="1"/>
  <c r="BC80" i="1"/>
  <c r="BE76" i="1"/>
  <c r="BD76" i="1"/>
  <c r="BC76" i="1"/>
  <c r="C39" i="6"/>
  <c r="D39" i="6" s="1"/>
  <c r="E39" i="6" s="1"/>
  <c r="F39" i="6" s="1"/>
  <c r="G39" i="6" s="1"/>
  <c r="H39" i="6" s="1"/>
  <c r="I39" i="6" s="1"/>
  <c r="J39" i="6" s="1"/>
  <c r="K39" i="6" s="1"/>
  <c r="L39" i="6" s="1"/>
  <c r="M39" i="6" s="1"/>
  <c r="N39" i="6" s="1"/>
  <c r="O39" i="6" s="1"/>
  <c r="P39" i="6" s="1"/>
  <c r="Q39" i="6" s="1"/>
  <c r="R39" i="6" s="1"/>
  <c r="S39" i="6" s="1"/>
  <c r="T39" i="6" s="1"/>
  <c r="U39" i="6" s="1"/>
  <c r="V39" i="6" s="1"/>
  <c r="W39" i="6" s="1"/>
  <c r="X39" i="6" s="1"/>
  <c r="Y39" i="6" s="1"/>
  <c r="Z39" i="6" s="1"/>
  <c r="AA39" i="6" s="1"/>
  <c r="AB39" i="6" s="1"/>
  <c r="AC39" i="6" s="1"/>
  <c r="AD39" i="6" s="1"/>
  <c r="AE39" i="6" s="1"/>
  <c r="AF39" i="6" s="1"/>
  <c r="AG39" i="6" s="1"/>
  <c r="AH39" i="6" s="1"/>
  <c r="AI39" i="6" s="1"/>
  <c r="AJ39" i="6" s="1"/>
  <c r="AK39" i="6" s="1"/>
  <c r="AL39" i="6" s="1"/>
  <c r="AM39" i="6" s="1"/>
  <c r="AN39" i="6" s="1"/>
  <c r="AO39" i="6" s="1"/>
  <c r="AP39" i="6" s="1"/>
  <c r="AQ39" i="6" s="1"/>
  <c r="AR39" i="6" s="1"/>
  <c r="AS39" i="6" s="1"/>
  <c r="AT39" i="6" s="1"/>
  <c r="AU39" i="6" s="1"/>
  <c r="AV39" i="6" s="1"/>
  <c r="AW39" i="6" s="1"/>
  <c r="AX39" i="6" s="1"/>
  <c r="AY39" i="6" s="1"/>
  <c r="AZ39" i="6" s="1"/>
  <c r="BA39" i="6" s="1"/>
  <c r="BB39" i="6" s="1"/>
  <c r="BC39" i="6" s="1"/>
  <c r="C37" i="6"/>
  <c r="C105" i="6" s="1"/>
  <c r="C36" i="6"/>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AI36" i="6" s="1"/>
  <c r="AJ36" i="6" s="1"/>
  <c r="AK36" i="6" s="1"/>
  <c r="AL36" i="6" s="1"/>
  <c r="AM36" i="6" s="1"/>
  <c r="AN36" i="6" s="1"/>
  <c r="AO36" i="6" s="1"/>
  <c r="AP36" i="6" s="1"/>
  <c r="AQ36" i="6" s="1"/>
  <c r="AR36" i="6" s="1"/>
  <c r="AS36" i="6" s="1"/>
  <c r="AT36" i="6" s="1"/>
  <c r="AU36" i="6" s="1"/>
  <c r="AV36" i="6" s="1"/>
  <c r="AW36" i="6" s="1"/>
  <c r="AX36" i="6" s="1"/>
  <c r="AY36" i="6" s="1"/>
  <c r="AZ36" i="6" s="1"/>
  <c r="BA36" i="6" s="1"/>
  <c r="BB36" i="6" s="1"/>
  <c r="BC36" i="6" s="1"/>
  <c r="C35" i="6"/>
  <c r="C34" i="6"/>
  <c r="C33" i="6"/>
  <c r="C32" i="6"/>
  <c r="C29" i="6"/>
  <c r="C28" i="6"/>
  <c r="C27" i="6"/>
  <c r="C26" i="6"/>
  <c r="C23" i="6"/>
  <c r="C22" i="6"/>
  <c r="D22" i="6" s="1"/>
  <c r="E22" i="6" s="1"/>
  <c r="F22" i="6" s="1"/>
  <c r="G22" i="6" s="1"/>
  <c r="H22" i="6" s="1"/>
  <c r="I22" i="6" s="1"/>
  <c r="J22" i="6" s="1"/>
  <c r="K22" i="6" s="1"/>
  <c r="L22" i="6" s="1"/>
  <c r="M22" i="6" s="1"/>
  <c r="N22" i="6" s="1"/>
  <c r="O22" i="6" s="1"/>
  <c r="P22" i="6" s="1"/>
  <c r="Q22" i="6" s="1"/>
  <c r="R22" i="6" s="1"/>
  <c r="S22" i="6" s="1"/>
  <c r="T22" i="6" s="1"/>
  <c r="U22" i="6" s="1"/>
  <c r="V22" i="6" s="1"/>
  <c r="W22" i="6" s="1"/>
  <c r="X22" i="6" s="1"/>
  <c r="Y22" i="6" s="1"/>
  <c r="Z22" i="6" s="1"/>
  <c r="AA22" i="6" s="1"/>
  <c r="AB22" i="6" s="1"/>
  <c r="AC22" i="6" s="1"/>
  <c r="AD22" i="6" s="1"/>
  <c r="AE22" i="6" s="1"/>
  <c r="AF22" i="6" s="1"/>
  <c r="AG22" i="6" s="1"/>
  <c r="AH22" i="6" s="1"/>
  <c r="AI22" i="6" s="1"/>
  <c r="AJ22" i="6" s="1"/>
  <c r="AK22" i="6" s="1"/>
  <c r="AL22" i="6" s="1"/>
  <c r="AM22" i="6" s="1"/>
  <c r="AN22" i="6" s="1"/>
  <c r="AO22" i="6" s="1"/>
  <c r="AP22" i="6" s="1"/>
  <c r="AQ22" i="6" s="1"/>
  <c r="AR22" i="6" s="1"/>
  <c r="AS22" i="6" s="1"/>
  <c r="AT22" i="6" s="1"/>
  <c r="AU22" i="6" s="1"/>
  <c r="AV22" i="6" s="1"/>
  <c r="AW22" i="6" s="1"/>
  <c r="AX22" i="6" s="1"/>
  <c r="AY22" i="6" s="1"/>
  <c r="AZ22" i="6" s="1"/>
  <c r="BA22" i="6" s="1"/>
  <c r="BB22" i="6" s="1"/>
  <c r="BC22" i="6" s="1"/>
  <c r="C21" i="6"/>
  <c r="C16" i="6"/>
  <c r="C15" i="6"/>
  <c r="D15" i="6" s="1"/>
  <c r="E15" i="6" s="1"/>
  <c r="F15" i="6" s="1"/>
  <c r="G15" i="6" s="1"/>
  <c r="H15" i="6" s="1"/>
  <c r="I15" i="6" s="1"/>
  <c r="J15" i="6" s="1"/>
  <c r="K15" i="6" s="1"/>
  <c r="L15" i="6" s="1"/>
  <c r="M15" i="6" s="1"/>
  <c r="N15" i="6" s="1"/>
  <c r="O15" i="6" s="1"/>
  <c r="P15" i="6" s="1"/>
  <c r="Q15" i="6" s="1"/>
  <c r="R15" i="6" s="1"/>
  <c r="S15" i="6" s="1"/>
  <c r="T15" i="6" s="1"/>
  <c r="U15" i="6" s="1"/>
  <c r="V15" i="6" s="1"/>
  <c r="W15" i="6" s="1"/>
  <c r="X15" i="6" s="1"/>
  <c r="Y15" i="6" s="1"/>
  <c r="Z15" i="6" s="1"/>
  <c r="AA15" i="6" s="1"/>
  <c r="AB15" i="6" s="1"/>
  <c r="AC15" i="6" s="1"/>
  <c r="AD15" i="6" s="1"/>
  <c r="AE15" i="6" s="1"/>
  <c r="AF15" i="6" s="1"/>
  <c r="AG15" i="6" s="1"/>
  <c r="AH15" i="6" s="1"/>
  <c r="AI15" i="6" s="1"/>
  <c r="AJ15" i="6" s="1"/>
  <c r="AK15" i="6" s="1"/>
  <c r="AL15" i="6" s="1"/>
  <c r="AM15" i="6" s="1"/>
  <c r="AN15" i="6" s="1"/>
  <c r="AO15" i="6" s="1"/>
  <c r="AP15" i="6" s="1"/>
  <c r="AQ15" i="6" s="1"/>
  <c r="AR15" i="6" s="1"/>
  <c r="AS15" i="6" s="1"/>
  <c r="AT15" i="6" s="1"/>
  <c r="AU15" i="6" s="1"/>
  <c r="AV15" i="6" s="1"/>
  <c r="AW15" i="6" s="1"/>
  <c r="AX15" i="6" s="1"/>
  <c r="AY15" i="6" s="1"/>
  <c r="AZ15" i="6" s="1"/>
  <c r="BA15" i="6" s="1"/>
  <c r="BB15" i="6" s="1"/>
  <c r="BC15" i="6" s="1"/>
  <c r="C14" i="6"/>
  <c r="D14" i="6" s="1"/>
  <c r="E14" i="6" s="1"/>
  <c r="F14" i="6" s="1"/>
  <c r="G14" i="6" s="1"/>
  <c r="H14" i="6" s="1"/>
  <c r="I14" i="6" s="1"/>
  <c r="J14" i="6" s="1"/>
  <c r="K14" i="6" s="1"/>
  <c r="L14" i="6" s="1"/>
  <c r="M14" i="6" s="1"/>
  <c r="N14" i="6" s="1"/>
  <c r="O14" i="6" s="1"/>
  <c r="P14" i="6" s="1"/>
  <c r="Q14" i="6" s="1"/>
  <c r="R14" i="6" s="1"/>
  <c r="S14" i="6" s="1"/>
  <c r="T14" i="6" s="1"/>
  <c r="U14" i="6" s="1"/>
  <c r="V14" i="6" s="1"/>
  <c r="W14" i="6" s="1"/>
  <c r="X14" i="6" s="1"/>
  <c r="Y14" i="6" s="1"/>
  <c r="Z14" i="6" s="1"/>
  <c r="AA14" i="6" s="1"/>
  <c r="AB14" i="6" s="1"/>
  <c r="AC14" i="6" s="1"/>
  <c r="AD14" i="6" s="1"/>
  <c r="AE14" i="6" s="1"/>
  <c r="AF14" i="6" s="1"/>
  <c r="AG14" i="6" s="1"/>
  <c r="AH14" i="6" s="1"/>
  <c r="AI14" i="6" s="1"/>
  <c r="AJ14" i="6" s="1"/>
  <c r="AK14" i="6" s="1"/>
  <c r="AL14" i="6" s="1"/>
  <c r="AM14" i="6" s="1"/>
  <c r="AN14" i="6" s="1"/>
  <c r="AO14" i="6" s="1"/>
  <c r="AP14" i="6" s="1"/>
  <c r="AQ14" i="6" s="1"/>
  <c r="AR14" i="6" s="1"/>
  <c r="AS14" i="6" s="1"/>
  <c r="AT14" i="6" s="1"/>
  <c r="AU14" i="6" s="1"/>
  <c r="AV14" i="6" s="1"/>
  <c r="AW14" i="6" s="1"/>
  <c r="AX14" i="6" s="1"/>
  <c r="AY14" i="6" s="1"/>
  <c r="AZ14" i="6" s="1"/>
  <c r="BA14" i="6" s="1"/>
  <c r="BB14" i="6" s="1"/>
  <c r="BC14" i="6" s="1"/>
  <c r="C13" i="6"/>
  <c r="C12" i="6"/>
  <c r="C9" i="6"/>
  <c r="D9" i="6" s="1"/>
  <c r="E9" i="6" s="1"/>
  <c r="F9" i="6" s="1"/>
  <c r="G9" i="6" s="1"/>
  <c r="H9" i="6" s="1"/>
  <c r="I9" i="6" s="1"/>
  <c r="J9" i="6" s="1"/>
  <c r="K9" i="6" s="1"/>
  <c r="L9" i="6" s="1"/>
  <c r="M9" i="6" s="1"/>
  <c r="N9" i="6" s="1"/>
  <c r="O9" i="6" s="1"/>
  <c r="P9" i="6" s="1"/>
  <c r="Q9" i="6" s="1"/>
  <c r="R9" i="6" s="1"/>
  <c r="S9" i="6" s="1"/>
  <c r="T9" i="6" s="1"/>
  <c r="U9" i="6" s="1"/>
  <c r="V9" i="6" s="1"/>
  <c r="W9" i="6" s="1"/>
  <c r="X9" i="6" s="1"/>
  <c r="Y9" i="6" s="1"/>
  <c r="Z9" i="6" s="1"/>
  <c r="AA9" i="6" s="1"/>
  <c r="AB9" i="6" s="1"/>
  <c r="AC9" i="6" s="1"/>
  <c r="AD9" i="6" s="1"/>
  <c r="AE9" i="6" s="1"/>
  <c r="AF9" i="6" s="1"/>
  <c r="AG9" i="6" s="1"/>
  <c r="AH9" i="6" s="1"/>
  <c r="AI9" i="6" s="1"/>
  <c r="AJ9" i="6" s="1"/>
  <c r="AK9" i="6" s="1"/>
  <c r="AL9" i="6" s="1"/>
  <c r="AM9" i="6" s="1"/>
  <c r="AN9" i="6" s="1"/>
  <c r="AO9" i="6" s="1"/>
  <c r="AP9" i="6" s="1"/>
  <c r="AQ9" i="6" s="1"/>
  <c r="AR9" i="6" s="1"/>
  <c r="AS9" i="6" s="1"/>
  <c r="AT9" i="6" s="1"/>
  <c r="AU9" i="6" s="1"/>
  <c r="AV9" i="6" s="1"/>
  <c r="AW9" i="6" s="1"/>
  <c r="AX9" i="6" s="1"/>
  <c r="AY9" i="6" s="1"/>
  <c r="AZ9" i="6" s="1"/>
  <c r="BA9" i="6" s="1"/>
  <c r="BB9" i="6" s="1"/>
  <c r="BC9" i="6" s="1"/>
  <c r="C8" i="6"/>
  <c r="C7" i="6"/>
  <c r="C95" i="1"/>
  <c r="B6" i="17"/>
  <c r="B5" i="17"/>
  <c r="B4" i="17"/>
  <c r="B6" i="16"/>
  <c r="B5" i="16"/>
  <c r="B4" i="16"/>
  <c r="B6" i="15"/>
  <c r="B5" i="15"/>
  <c r="B4" i="15"/>
  <c r="B6" i="7"/>
  <c r="D9" i="17"/>
  <c r="D9" i="16"/>
  <c r="D9" i="15"/>
  <c r="D9" i="7"/>
  <c r="A10" i="17"/>
  <c r="A11" i="17" s="1"/>
  <c r="I9" i="17"/>
  <c r="A9" i="17"/>
  <c r="B9" i="17" s="1"/>
  <c r="A10" i="16"/>
  <c r="A11" i="16" s="1"/>
  <c r="I9" i="16"/>
  <c r="A9" i="16"/>
  <c r="B9" i="16" s="1"/>
  <c r="A10" i="15"/>
  <c r="A11" i="15" s="1"/>
  <c r="I9" i="15"/>
  <c r="A9" i="15"/>
  <c r="B9" i="15" s="1"/>
  <c r="BE48" i="1"/>
  <c r="BD48" i="1"/>
  <c r="BC48"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E49" i="1"/>
  <c r="D49" i="1"/>
  <c r="C49" i="1"/>
  <c r="BE44" i="1"/>
  <c r="BD44" i="1"/>
  <c r="BC44" i="1"/>
  <c r="BE43" i="1"/>
  <c r="BD43" i="1"/>
  <c r="BC43"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E45" i="1"/>
  <c r="D45" i="1"/>
  <c r="C45" i="1"/>
  <c r="BB12" i="1"/>
  <c r="BB9" i="1" s="1"/>
  <c r="BA12" i="1"/>
  <c r="BA9" i="1" s="1"/>
  <c r="AZ12" i="1"/>
  <c r="AZ9" i="1" s="1"/>
  <c r="AY12" i="1"/>
  <c r="AY9" i="1" s="1"/>
  <c r="AX12" i="1"/>
  <c r="AX9" i="1" s="1"/>
  <c r="AW12" i="1"/>
  <c r="AW9" i="1" s="1"/>
  <c r="AV12" i="1"/>
  <c r="AV9" i="1" s="1"/>
  <c r="AU12" i="1"/>
  <c r="AU9" i="1" s="1"/>
  <c r="AT12" i="1"/>
  <c r="AT9" i="1" s="1"/>
  <c r="AS12" i="1"/>
  <c r="AS9" i="1" s="1"/>
  <c r="AR12" i="1"/>
  <c r="AR9" i="1" s="1"/>
  <c r="AQ12" i="1"/>
  <c r="AP12" i="1"/>
  <c r="AP9" i="1" s="1"/>
  <c r="AO12" i="1"/>
  <c r="AO9" i="1" s="1"/>
  <c r="AN12" i="1"/>
  <c r="AN9" i="1" s="1"/>
  <c r="AM12" i="1"/>
  <c r="AM9" i="1" s="1"/>
  <c r="AL12" i="1"/>
  <c r="AL9" i="1" s="1"/>
  <c r="AK12" i="1"/>
  <c r="AK9" i="1" s="1"/>
  <c r="AJ12" i="1"/>
  <c r="AJ9" i="1" s="1"/>
  <c r="AI12" i="1"/>
  <c r="AI9" i="1" s="1"/>
  <c r="AH12" i="1"/>
  <c r="AH9" i="1" s="1"/>
  <c r="AG12" i="1"/>
  <c r="AG9" i="1" s="1"/>
  <c r="AF12" i="1"/>
  <c r="AF9" i="1" s="1"/>
  <c r="AE12" i="1"/>
  <c r="AD12" i="1"/>
  <c r="AD9" i="1" s="1"/>
  <c r="AC12" i="1"/>
  <c r="AC9" i="1" s="1"/>
  <c r="AB12" i="1"/>
  <c r="AB9" i="1" s="1"/>
  <c r="AA12" i="1"/>
  <c r="AA9" i="1" s="1"/>
  <c r="Z12" i="1"/>
  <c r="Z9" i="1" s="1"/>
  <c r="Y12" i="1"/>
  <c r="Y9" i="1" s="1"/>
  <c r="X12" i="1"/>
  <c r="X9" i="1" s="1"/>
  <c r="W12" i="1"/>
  <c r="W9" i="1" s="1"/>
  <c r="V12" i="1"/>
  <c r="V9" i="1" s="1"/>
  <c r="U12" i="1"/>
  <c r="U9" i="1" s="1"/>
  <c r="T12" i="1"/>
  <c r="T9" i="1" s="1"/>
  <c r="S12" i="1"/>
  <c r="R12" i="1"/>
  <c r="R9" i="1" s="1"/>
  <c r="Q12" i="1"/>
  <c r="Q9" i="1" s="1"/>
  <c r="P12" i="1"/>
  <c r="P9" i="1" s="1"/>
  <c r="O12" i="1"/>
  <c r="O9" i="1" s="1"/>
  <c r="N12" i="1"/>
  <c r="N9" i="1" s="1"/>
  <c r="M12" i="1"/>
  <c r="M9" i="1" s="1"/>
  <c r="L12" i="1"/>
  <c r="L9" i="1" s="1"/>
  <c r="K12" i="1"/>
  <c r="K9" i="1" s="1"/>
  <c r="J12" i="1"/>
  <c r="J9" i="1" s="1"/>
  <c r="I12" i="1"/>
  <c r="I9" i="1" s="1"/>
  <c r="H12" i="1"/>
  <c r="H9" i="1" s="1"/>
  <c r="G12" i="1"/>
  <c r="G9" i="1" s="1"/>
  <c r="F12" i="1"/>
  <c r="F9" i="1" s="1"/>
  <c r="E12" i="1"/>
  <c r="E9" i="1" s="1"/>
  <c r="D12" i="1"/>
  <c r="D9" i="1" s="1"/>
  <c r="C12" i="1"/>
  <c r="C9" i="1" s="1"/>
  <c r="BB11" i="1"/>
  <c r="BB8" i="1" s="1"/>
  <c r="BB10" i="1" s="1"/>
  <c r="BC91" i="6" s="1"/>
  <c r="BA11" i="1"/>
  <c r="BA8" i="1" s="1"/>
  <c r="AZ11" i="1"/>
  <c r="AZ8" i="1" s="1"/>
  <c r="AZ10" i="1" s="1"/>
  <c r="BA91" i="6" s="1"/>
  <c r="AY11" i="1"/>
  <c r="AY8" i="1" s="1"/>
  <c r="AX11" i="1"/>
  <c r="AX8" i="1" s="1"/>
  <c r="AW11" i="1"/>
  <c r="AW8" i="1" s="1"/>
  <c r="AW10" i="1" s="1"/>
  <c r="AX91" i="6" s="1"/>
  <c r="AV11" i="1"/>
  <c r="AV8" i="1" s="1"/>
  <c r="AU11" i="1"/>
  <c r="AU8" i="1" s="1"/>
  <c r="AU10" i="1" s="1"/>
  <c r="AV91" i="6" s="1"/>
  <c r="AT11" i="1"/>
  <c r="AT8" i="1" s="1"/>
  <c r="AT10" i="1" s="1"/>
  <c r="AU91" i="6" s="1"/>
  <c r="AS11" i="1"/>
  <c r="AS8" i="1" s="1"/>
  <c r="AR11" i="1"/>
  <c r="AR8" i="1" s="1"/>
  <c r="AR10" i="1" s="1"/>
  <c r="AS91" i="6" s="1"/>
  <c r="AQ11" i="1"/>
  <c r="AP11" i="1"/>
  <c r="AP8" i="1" s="1"/>
  <c r="AO11" i="1"/>
  <c r="AO8" i="1" s="1"/>
  <c r="AO10" i="1" s="1"/>
  <c r="AP91" i="6" s="1"/>
  <c r="AN11" i="1"/>
  <c r="AN8" i="1" s="1"/>
  <c r="AM11" i="1"/>
  <c r="AM8" i="1" s="1"/>
  <c r="AM10" i="1" s="1"/>
  <c r="AN91" i="6" s="1"/>
  <c r="AL11" i="1"/>
  <c r="AL8" i="1" s="1"/>
  <c r="AL10" i="1" s="1"/>
  <c r="AM91" i="6" s="1"/>
  <c r="AK11" i="1"/>
  <c r="AK8" i="1" s="1"/>
  <c r="AJ11" i="1"/>
  <c r="AJ8" i="1" s="1"/>
  <c r="AJ10" i="1" s="1"/>
  <c r="AK91" i="6" s="1"/>
  <c r="AI11" i="1"/>
  <c r="AI8" i="1" s="1"/>
  <c r="AH11" i="1"/>
  <c r="AH8" i="1" s="1"/>
  <c r="AG11" i="1"/>
  <c r="AG8" i="1" s="1"/>
  <c r="AG10" i="1" s="1"/>
  <c r="AH91" i="6" s="1"/>
  <c r="AF11" i="1"/>
  <c r="AF8" i="1" s="1"/>
  <c r="AE11" i="1"/>
  <c r="AE13" i="1" s="1"/>
  <c r="AD11" i="1"/>
  <c r="AD8" i="1" s="1"/>
  <c r="AD10" i="1" s="1"/>
  <c r="AE91" i="6" s="1"/>
  <c r="AC11" i="1"/>
  <c r="AC8" i="1" s="1"/>
  <c r="AB11" i="1"/>
  <c r="AB8" i="1" s="1"/>
  <c r="AB10" i="1" s="1"/>
  <c r="AC91" i="6" s="1"/>
  <c r="AA11" i="1"/>
  <c r="AA8" i="1" s="1"/>
  <c r="Z11" i="1"/>
  <c r="Z8" i="1" s="1"/>
  <c r="Z10" i="1" s="1"/>
  <c r="AA91" i="6" s="1"/>
  <c r="Y11" i="1"/>
  <c r="Y8" i="1" s="1"/>
  <c r="Y10" i="1" s="1"/>
  <c r="Z91" i="6" s="1"/>
  <c r="X11" i="1"/>
  <c r="X8" i="1" s="1"/>
  <c r="W11" i="1"/>
  <c r="W8" i="1" s="1"/>
  <c r="W10" i="1" s="1"/>
  <c r="X91" i="6" s="1"/>
  <c r="V11" i="1"/>
  <c r="V8" i="1" s="1"/>
  <c r="V10" i="1" s="1"/>
  <c r="W91" i="6" s="1"/>
  <c r="U11" i="1"/>
  <c r="U8" i="1" s="1"/>
  <c r="T11" i="1"/>
  <c r="T8" i="1" s="1"/>
  <c r="T10" i="1" s="1"/>
  <c r="U91" i="6" s="1"/>
  <c r="S11" i="1"/>
  <c r="R11" i="1"/>
  <c r="R8" i="1" s="1"/>
  <c r="R10" i="1" s="1"/>
  <c r="S91" i="6" s="1"/>
  <c r="Q11" i="1"/>
  <c r="Q8" i="1" s="1"/>
  <c r="Q10" i="1" s="1"/>
  <c r="R91" i="6" s="1"/>
  <c r="P11" i="1"/>
  <c r="P8" i="1" s="1"/>
  <c r="O11" i="1"/>
  <c r="O8" i="1" s="1"/>
  <c r="O10" i="1" s="1"/>
  <c r="P91" i="6" s="1"/>
  <c r="N11" i="1"/>
  <c r="N8" i="1" s="1"/>
  <c r="N10" i="1" s="1"/>
  <c r="O91" i="6" s="1"/>
  <c r="M11" i="1"/>
  <c r="M8" i="1" s="1"/>
  <c r="L11" i="1"/>
  <c r="L8" i="1" s="1"/>
  <c r="L10" i="1" s="1"/>
  <c r="M91" i="6" s="1"/>
  <c r="K11" i="1"/>
  <c r="K8" i="1" s="1"/>
  <c r="J11" i="1"/>
  <c r="J8" i="1" s="1"/>
  <c r="J10" i="1" s="1"/>
  <c r="K91" i="6" s="1"/>
  <c r="I11" i="1"/>
  <c r="I8" i="1" s="1"/>
  <c r="I10" i="1" s="1"/>
  <c r="J91" i="6" s="1"/>
  <c r="H11" i="1"/>
  <c r="H8" i="1" s="1"/>
  <c r="H10" i="1" s="1"/>
  <c r="I91" i="6" s="1"/>
  <c r="G11" i="1"/>
  <c r="G8" i="1" s="1"/>
  <c r="G10" i="1" s="1"/>
  <c r="H91" i="6" s="1"/>
  <c r="F11" i="1"/>
  <c r="F8" i="1" s="1"/>
  <c r="F10" i="1" s="1"/>
  <c r="G91" i="6" s="1"/>
  <c r="E11" i="1"/>
  <c r="E8" i="1" s="1"/>
  <c r="D11" i="1"/>
  <c r="D8" i="1" s="1"/>
  <c r="D10" i="1" s="1"/>
  <c r="E91" i="6" s="1"/>
  <c r="C11" i="1"/>
  <c r="C8" i="1" s="1"/>
  <c r="BB13" i="1"/>
  <c r="BA13" i="1"/>
  <c r="AZ13" i="1"/>
  <c r="AY13" i="1"/>
  <c r="AX13" i="1"/>
  <c r="AV13" i="1"/>
  <c r="AT13" i="1"/>
  <c r="AS13" i="1"/>
  <c r="AR13" i="1"/>
  <c r="AQ13" i="1"/>
  <c r="AP13" i="1"/>
  <c r="AN13" i="1"/>
  <c r="AL13" i="1"/>
  <c r="AK13" i="1"/>
  <c r="AJ13" i="1"/>
  <c r="AI13" i="1"/>
  <c r="AH13" i="1"/>
  <c r="AF13" i="1"/>
  <c r="AD13" i="1"/>
  <c r="AC13" i="1"/>
  <c r="AA13" i="1"/>
  <c r="Z13" i="1"/>
  <c r="X13" i="1"/>
  <c r="V13" i="1"/>
  <c r="U13" i="1"/>
  <c r="S13" i="1"/>
  <c r="R13" i="1"/>
  <c r="P13" i="1"/>
  <c r="N13" i="1"/>
  <c r="M13" i="1"/>
  <c r="K13" i="1"/>
  <c r="J13" i="1"/>
  <c r="H13" i="1"/>
  <c r="F13" i="1"/>
  <c r="E13" i="1"/>
  <c r="C13" i="1"/>
  <c r="BE6" i="1"/>
  <c r="BD6" i="1"/>
  <c r="BC6" i="1"/>
  <c r="BE5" i="1"/>
  <c r="BD5" i="1"/>
  <c r="BC5"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AI16" i="12" l="1"/>
  <c r="AA50" i="12"/>
  <c r="AA57" i="12" s="1"/>
  <c r="S16" i="12"/>
  <c r="K50" i="12"/>
  <c r="K57" i="12" s="1"/>
  <c r="AY50" i="12"/>
  <c r="AY57" i="12" s="1"/>
  <c r="AQ50" i="12"/>
  <c r="AQ57" i="12" s="1"/>
  <c r="D16" i="12"/>
  <c r="AH10" i="1"/>
  <c r="AI91" i="6" s="1"/>
  <c r="G13" i="1"/>
  <c r="G50" i="1" s="1"/>
  <c r="O13" i="1"/>
  <c r="O50" i="1" s="1"/>
  <c r="W13" i="1"/>
  <c r="W50" i="1" s="1"/>
  <c r="AM13" i="1"/>
  <c r="AM50" i="1" s="1"/>
  <c r="AU13" i="1"/>
  <c r="AU16" i="1" s="1"/>
  <c r="K10" i="1"/>
  <c r="L91" i="6" s="1"/>
  <c r="AA10" i="1"/>
  <c r="AB91" i="6" s="1"/>
  <c r="AI10" i="1"/>
  <c r="AJ91" i="6" s="1"/>
  <c r="AY10" i="1"/>
  <c r="AZ91" i="6" s="1"/>
  <c r="I13" i="1"/>
  <c r="I50" i="1" s="1"/>
  <c r="Y13" i="1"/>
  <c r="Y16" i="1" s="1"/>
  <c r="AO13" i="1"/>
  <c r="AO16" i="1" s="1"/>
  <c r="AW13" i="1"/>
  <c r="AW16" i="1" s="1"/>
  <c r="M10" i="1"/>
  <c r="N91" i="6" s="1"/>
  <c r="AK10" i="1"/>
  <c r="AL91" i="6" s="1"/>
  <c r="BA10" i="1"/>
  <c r="BB91" i="6" s="1"/>
  <c r="Q13" i="1"/>
  <c r="Q16" i="1" s="1"/>
  <c r="AG13" i="1"/>
  <c r="AG50" i="1" s="1"/>
  <c r="E10" i="1"/>
  <c r="F91" i="6" s="1"/>
  <c r="U10" i="1"/>
  <c r="V91" i="6" s="1"/>
  <c r="AS10" i="1"/>
  <c r="AT91" i="6" s="1"/>
  <c r="D13" i="1"/>
  <c r="D50" i="1" s="1"/>
  <c r="L13" i="1"/>
  <c r="L50" i="1" s="1"/>
  <c r="T13" i="1"/>
  <c r="T16" i="1" s="1"/>
  <c r="AB13" i="1"/>
  <c r="AB50" i="1" s="1"/>
  <c r="AF10" i="1"/>
  <c r="AG91" i="6" s="1"/>
  <c r="AN10" i="1"/>
  <c r="AO91" i="6" s="1"/>
  <c r="F50" i="12"/>
  <c r="F57" i="12" s="1"/>
  <c r="L3" i="18"/>
  <c r="BC95" i="1"/>
  <c r="BD95" i="1"/>
  <c r="BD7" i="1"/>
  <c r="N8" i="18"/>
  <c r="Q8" i="18" s="1"/>
  <c r="P7" i="18"/>
  <c r="AL16" i="12"/>
  <c r="N16" i="12"/>
  <c r="AT16" i="12"/>
  <c r="Z16" i="12"/>
  <c r="AH16" i="12"/>
  <c r="L50" i="12"/>
  <c r="L57" i="12" s="1"/>
  <c r="V16" i="12"/>
  <c r="AX50" i="12"/>
  <c r="AX57" i="12" s="1"/>
  <c r="J16" i="12"/>
  <c r="AD16" i="12"/>
  <c r="U16" i="12"/>
  <c r="AW16" i="12"/>
  <c r="AR50" i="12"/>
  <c r="AR57" i="12" s="1"/>
  <c r="H50" i="12"/>
  <c r="H57" i="12" s="1"/>
  <c r="Q16" i="12"/>
  <c r="R50" i="12"/>
  <c r="R57" i="12" s="1"/>
  <c r="AB50" i="12"/>
  <c r="AB57" i="12" s="1"/>
  <c r="AQ10" i="12"/>
  <c r="Y50" i="12"/>
  <c r="Y57" i="12" s="1"/>
  <c r="I16" i="12"/>
  <c r="AK50" i="12"/>
  <c r="AK57" i="12" s="1"/>
  <c r="AN50" i="12"/>
  <c r="AN57" i="12" s="1"/>
  <c r="AS16" i="12"/>
  <c r="E57" i="12"/>
  <c r="AP57" i="12"/>
  <c r="J57" i="12"/>
  <c r="AG50" i="12"/>
  <c r="AG57" i="12" s="1"/>
  <c r="AJ50" i="12"/>
  <c r="AJ57" i="12" s="1"/>
  <c r="T50" i="12"/>
  <c r="T57" i="12" s="1"/>
  <c r="AO50" i="12"/>
  <c r="AO57" i="12" s="1"/>
  <c r="M16" i="12"/>
  <c r="X57" i="12"/>
  <c r="Q57" i="12"/>
  <c r="AC50" i="12"/>
  <c r="AC57" i="12" s="1"/>
  <c r="AV50" i="12"/>
  <c r="AV57" i="12" s="1"/>
  <c r="AF50" i="12"/>
  <c r="AF57" i="12" s="1"/>
  <c r="P50" i="12"/>
  <c r="P57" i="12" s="1"/>
  <c r="C50" i="12"/>
  <c r="C57" i="12" s="1"/>
  <c r="AP16" i="12"/>
  <c r="AF16" i="12"/>
  <c r="AG16" i="12"/>
  <c r="J50" i="1"/>
  <c r="Z50" i="1"/>
  <c r="AP50" i="1"/>
  <c r="F50" i="1"/>
  <c r="V50" i="1"/>
  <c r="AL50" i="1"/>
  <c r="BB50" i="1"/>
  <c r="N50" i="1"/>
  <c r="AD50" i="1"/>
  <c r="AX50" i="1"/>
  <c r="AA50" i="1"/>
  <c r="AI50" i="1"/>
  <c r="AQ50" i="1"/>
  <c r="AY50" i="1"/>
  <c r="H50" i="1"/>
  <c r="P50" i="1"/>
  <c r="X50" i="1"/>
  <c r="AJ50" i="1"/>
  <c r="AV50" i="1"/>
  <c r="R50" i="1"/>
  <c r="AH50" i="1"/>
  <c r="AT50" i="1"/>
  <c r="K50" i="1"/>
  <c r="S50" i="1"/>
  <c r="AE50" i="1"/>
  <c r="AF50" i="1"/>
  <c r="AN50" i="1"/>
  <c r="AR50" i="1"/>
  <c r="AZ50" i="1"/>
  <c r="E50" i="1"/>
  <c r="M50" i="1"/>
  <c r="U50" i="1"/>
  <c r="AC50" i="1"/>
  <c r="AK50" i="1"/>
  <c r="AS50" i="1"/>
  <c r="BA50" i="1"/>
  <c r="C50" i="1"/>
  <c r="AV10" i="1"/>
  <c r="AW91" i="6" s="1"/>
  <c r="AX10" i="1"/>
  <c r="AY91" i="6" s="1"/>
  <c r="BE95" i="1"/>
  <c r="BC7" i="1"/>
  <c r="BE45" i="1"/>
  <c r="BE13" i="12"/>
  <c r="BE16" i="12" s="1"/>
  <c r="X16" i="12"/>
  <c r="BD13" i="12"/>
  <c r="BD16" i="12" s="1"/>
  <c r="E16" i="12"/>
  <c r="AN16" i="12"/>
  <c r="C10" i="12"/>
  <c r="AE10" i="12"/>
  <c r="BC8" i="12"/>
  <c r="BC10" i="12" s="1"/>
  <c r="BC13" i="12"/>
  <c r="BC16" i="12" s="1"/>
  <c r="BE8" i="12"/>
  <c r="BE10" i="12" s="1"/>
  <c r="BD8" i="12"/>
  <c r="BD10" i="12" s="1"/>
  <c r="G10" i="12"/>
  <c r="BE14" i="12"/>
  <c r="BE7" i="1"/>
  <c r="BF36" i="6"/>
  <c r="BD36" i="6"/>
  <c r="BE36" i="6"/>
  <c r="C109" i="1"/>
  <c r="BF22" i="6"/>
  <c r="BD22" i="6"/>
  <c r="BE22" i="6"/>
  <c r="BF14" i="6"/>
  <c r="BF15" i="6"/>
  <c r="BD14" i="6"/>
  <c r="BD15" i="6"/>
  <c r="BE14" i="6"/>
  <c r="BE15" i="6"/>
  <c r="BF9" i="6"/>
  <c r="BD9" i="6"/>
  <c r="BE9" i="6"/>
  <c r="C99" i="6"/>
  <c r="C100" i="6"/>
  <c r="C111" i="6"/>
  <c r="H4" i="18"/>
  <c r="F5" i="18"/>
  <c r="D4" i="18"/>
  <c r="B5" i="18"/>
  <c r="L4" i="18"/>
  <c r="J5" i="18"/>
  <c r="B10" i="17"/>
  <c r="B11" i="17" s="1"/>
  <c r="B10" i="16"/>
  <c r="B11" i="16" s="1"/>
  <c r="B10" i="15"/>
  <c r="B11" i="15" s="1"/>
  <c r="C40" i="6"/>
  <c r="X10" i="1"/>
  <c r="Y91" i="6" s="1"/>
  <c r="A12" i="17"/>
  <c r="G9" i="17"/>
  <c r="H9" i="17" s="1"/>
  <c r="C10" i="17" s="1"/>
  <c r="A12" i="16"/>
  <c r="G9" i="16"/>
  <c r="H9" i="16" s="1"/>
  <c r="C10" i="16" s="1"/>
  <c r="A12" i="15"/>
  <c r="G9" i="15"/>
  <c r="H9" i="15" s="1"/>
  <c r="C10" i="15" s="1"/>
  <c r="BC11" i="1"/>
  <c r="BC14" i="1" s="1"/>
  <c r="BC9" i="1"/>
  <c r="BD45" i="1"/>
  <c r="BC45" i="1"/>
  <c r="F16" i="1"/>
  <c r="J16" i="1"/>
  <c r="N16" i="1"/>
  <c r="R16" i="1"/>
  <c r="V16" i="1"/>
  <c r="Z16" i="1"/>
  <c r="AD16" i="1"/>
  <c r="AH16" i="1"/>
  <c r="AL16" i="1"/>
  <c r="AP16" i="1"/>
  <c r="AT16" i="1"/>
  <c r="AX16" i="1"/>
  <c r="BB16" i="1"/>
  <c r="E16" i="1"/>
  <c r="M16" i="1"/>
  <c r="U16" i="1"/>
  <c r="AC16" i="1"/>
  <c r="AK16" i="1"/>
  <c r="AS16" i="1"/>
  <c r="BA16" i="1"/>
  <c r="H16" i="1"/>
  <c r="P16" i="1"/>
  <c r="X16" i="1"/>
  <c r="AF16" i="1"/>
  <c r="AJ16" i="1"/>
  <c r="AN16" i="1"/>
  <c r="AR16" i="1"/>
  <c r="AV16" i="1"/>
  <c r="AZ16" i="1"/>
  <c r="C10" i="1"/>
  <c r="D91" i="6" s="1"/>
  <c r="BC8" i="1"/>
  <c r="P10" i="1"/>
  <c r="Q91" i="6" s="1"/>
  <c r="AC10" i="1"/>
  <c r="AD91" i="6" s="1"/>
  <c r="AP10" i="1"/>
  <c r="AQ91" i="6" s="1"/>
  <c r="BC12" i="1"/>
  <c r="BC15" i="1" s="1"/>
  <c r="BD11" i="1"/>
  <c r="BD14" i="1" s="1"/>
  <c r="BE11" i="1"/>
  <c r="BD12" i="1"/>
  <c r="BD15" i="1" s="1"/>
  <c r="BE12" i="1"/>
  <c r="BE15" i="1" s="1"/>
  <c r="S8" i="1"/>
  <c r="AE8" i="1"/>
  <c r="BE8" i="1" s="1"/>
  <c r="AQ8" i="1"/>
  <c r="S9" i="1"/>
  <c r="BD9" i="1" s="1"/>
  <c r="AE9" i="1"/>
  <c r="BE9" i="1" s="1"/>
  <c r="AQ9" i="1"/>
  <c r="K16" i="1"/>
  <c r="S16" i="1"/>
  <c r="AA16" i="1"/>
  <c r="AE16" i="1"/>
  <c r="AI16" i="1"/>
  <c r="AQ16" i="1"/>
  <c r="AY16" i="1"/>
  <c r="C16" i="1"/>
  <c r="D96" i="2"/>
  <c r="D95" i="2"/>
  <c r="D94" i="2"/>
  <c r="D93" i="2"/>
  <c r="D82" i="2"/>
  <c r="D72" i="2"/>
  <c r="D65" i="2"/>
  <c r="D55" i="2"/>
  <c r="T50" i="1" l="1"/>
  <c r="AG16" i="1"/>
  <c r="O16" i="1"/>
  <c r="AO50" i="1"/>
  <c r="I16" i="1"/>
  <c r="AM16" i="1"/>
  <c r="AB16" i="1"/>
  <c r="G16" i="1"/>
  <c r="Q50" i="1"/>
  <c r="W16" i="1"/>
  <c r="Y50" i="1"/>
  <c r="L16" i="1"/>
  <c r="AW50" i="1"/>
  <c r="AU50" i="1"/>
  <c r="D16" i="1"/>
  <c r="N9" i="18"/>
  <c r="Q9" i="18" s="1"/>
  <c r="P8" i="18"/>
  <c r="B6" i="18"/>
  <c r="D5" i="18"/>
  <c r="L5" i="18"/>
  <c r="J6" i="18"/>
  <c r="H5" i="18"/>
  <c r="F6" i="18"/>
  <c r="B12" i="17"/>
  <c r="B12" i="15"/>
  <c r="B12" i="16"/>
  <c r="S10" i="1"/>
  <c r="AQ10" i="1"/>
  <c r="AR91" i="6" s="1"/>
  <c r="A13" i="17"/>
  <c r="A13" i="16"/>
  <c r="F11" i="16"/>
  <c r="D54" i="1" s="1"/>
  <c r="E11" i="16"/>
  <c r="BC10" i="1"/>
  <c r="A13" i="15"/>
  <c r="F11" i="15"/>
  <c r="D53" i="1" s="1"/>
  <c r="E11" i="15"/>
  <c r="BC13" i="1"/>
  <c r="BC16" i="1" s="1"/>
  <c r="BD13" i="1"/>
  <c r="BD16" i="1" s="1"/>
  <c r="BE13" i="1"/>
  <c r="BE16" i="1" s="1"/>
  <c r="BE14" i="1"/>
  <c r="BE10" i="1"/>
  <c r="BD8" i="1"/>
  <c r="AE10" i="1"/>
  <c r="AF91" i="6" s="1"/>
  <c r="N10" i="18" l="1"/>
  <c r="Q10" i="18" s="1"/>
  <c r="P9" i="18"/>
  <c r="T91" i="6"/>
  <c r="B13" i="16"/>
  <c r="B13" i="17"/>
  <c r="L6" i="18"/>
  <c r="J7" i="18"/>
  <c r="F7" i="18"/>
  <c r="H6" i="18"/>
  <c r="B7" i="18"/>
  <c r="D6" i="18"/>
  <c r="B13" i="15"/>
  <c r="A14" i="17"/>
  <c r="E12" i="17"/>
  <c r="F12" i="17"/>
  <c r="E55" i="1" s="1"/>
  <c r="E12" i="16"/>
  <c r="F12" i="16"/>
  <c r="E54" i="1" s="1"/>
  <c r="A14" i="16"/>
  <c r="G11" i="16"/>
  <c r="D105" i="1" s="1"/>
  <c r="I11" i="16"/>
  <c r="I11" i="15"/>
  <c r="G11" i="15"/>
  <c r="D104" i="1" s="1"/>
  <c r="A14" i="15"/>
  <c r="E12" i="15"/>
  <c r="F12" i="15"/>
  <c r="E53" i="1" s="1"/>
  <c r="BD10" i="1"/>
  <c r="E11" i="2"/>
  <c r="E10" i="2"/>
  <c r="E9" i="2"/>
  <c r="D9" i="2"/>
  <c r="D10" i="2" s="1"/>
  <c r="D11" i="2" s="1"/>
  <c r="BF87" i="6"/>
  <c r="BE87" i="6"/>
  <c r="BD87" i="6"/>
  <c r="BF57" i="6"/>
  <c r="BE57" i="6"/>
  <c r="BD57" i="6"/>
  <c r="BF56" i="6"/>
  <c r="BE56" i="6"/>
  <c r="BD56" i="6"/>
  <c r="C54" i="6"/>
  <c r="D48" i="6"/>
  <c r="E48" i="6" s="1"/>
  <c r="F48" i="6" s="1"/>
  <c r="G48" i="6" s="1"/>
  <c r="H48" i="6" s="1"/>
  <c r="I48" i="6" s="1"/>
  <c r="J48" i="6" s="1"/>
  <c r="K48" i="6" s="1"/>
  <c r="L48" i="6" s="1"/>
  <c r="M48" i="6" s="1"/>
  <c r="N48" i="6" s="1"/>
  <c r="O48" i="6" s="1"/>
  <c r="P48" i="6" s="1"/>
  <c r="Q48" i="6" s="1"/>
  <c r="R48" i="6" s="1"/>
  <c r="S48" i="6" s="1"/>
  <c r="T48" i="6" s="1"/>
  <c r="U48" i="6" s="1"/>
  <c r="V48" i="6" s="1"/>
  <c r="W48" i="6" s="1"/>
  <c r="X48" i="6" s="1"/>
  <c r="Y48" i="6" s="1"/>
  <c r="Z48" i="6" s="1"/>
  <c r="AA48" i="6" s="1"/>
  <c r="AB48" i="6" s="1"/>
  <c r="AC48" i="6" s="1"/>
  <c r="AD48" i="6" s="1"/>
  <c r="AE48" i="6" s="1"/>
  <c r="AF48" i="6" s="1"/>
  <c r="AG48" i="6" s="1"/>
  <c r="AH48" i="6" s="1"/>
  <c r="AI48" i="6" s="1"/>
  <c r="AJ48" i="6" s="1"/>
  <c r="AK48" i="6" s="1"/>
  <c r="AL48" i="6" s="1"/>
  <c r="AM48" i="6" s="1"/>
  <c r="AN48" i="6" s="1"/>
  <c r="AO48" i="6" s="1"/>
  <c r="AP48" i="6" s="1"/>
  <c r="AQ48" i="6" s="1"/>
  <c r="AR48" i="6" s="1"/>
  <c r="AS48" i="6" s="1"/>
  <c r="AT48" i="6" s="1"/>
  <c r="AU48" i="6" s="1"/>
  <c r="AV48" i="6" s="1"/>
  <c r="AW48" i="6" s="1"/>
  <c r="AX48" i="6" s="1"/>
  <c r="AY48" i="6" s="1"/>
  <c r="AZ48" i="6" s="1"/>
  <c r="BA48" i="6" s="1"/>
  <c r="BB48" i="6" s="1"/>
  <c r="BC48" i="6" s="1"/>
  <c r="C48" i="6"/>
  <c r="BC47" i="6"/>
  <c r="BB47" i="6"/>
  <c r="BA47" i="6"/>
  <c r="AZ47" i="6"/>
  <c r="AY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I47" i="6"/>
  <c r="H47" i="6"/>
  <c r="G47" i="6"/>
  <c r="F47" i="6"/>
  <c r="E47" i="6"/>
  <c r="D47" i="6"/>
  <c r="C68" i="12"/>
  <c r="D68" i="12" s="1"/>
  <c r="E68" i="12" s="1"/>
  <c r="F68" i="12" s="1"/>
  <c r="G68" i="12" s="1"/>
  <c r="H68" i="12" s="1"/>
  <c r="I68" i="12" s="1"/>
  <c r="J68" i="12" s="1"/>
  <c r="K68" i="12" s="1"/>
  <c r="L68" i="12" s="1"/>
  <c r="M68" i="12" s="1"/>
  <c r="N68" i="12" s="1"/>
  <c r="O68" i="12" s="1"/>
  <c r="P68" i="12" s="1"/>
  <c r="Q68" i="12" s="1"/>
  <c r="R68" i="12" s="1"/>
  <c r="S68" i="12" s="1"/>
  <c r="T68" i="12" s="1"/>
  <c r="U68" i="12" s="1"/>
  <c r="V68" i="12" s="1"/>
  <c r="W68" i="12" s="1"/>
  <c r="X68" i="12" s="1"/>
  <c r="Y68" i="12" s="1"/>
  <c r="Z68" i="12" s="1"/>
  <c r="AA68" i="12" s="1"/>
  <c r="AB68" i="12" s="1"/>
  <c r="AC68" i="12" s="1"/>
  <c r="AD68" i="12" s="1"/>
  <c r="AE68" i="12" s="1"/>
  <c r="AF68" i="12" s="1"/>
  <c r="AG68" i="12" s="1"/>
  <c r="AH68" i="12" s="1"/>
  <c r="AI68" i="12" s="1"/>
  <c r="AJ68" i="12" s="1"/>
  <c r="AK68" i="12" s="1"/>
  <c r="AL68" i="12" s="1"/>
  <c r="AM68" i="12" s="1"/>
  <c r="AN68" i="12" s="1"/>
  <c r="AO68" i="12" s="1"/>
  <c r="AP68" i="12" s="1"/>
  <c r="AQ68" i="12" s="1"/>
  <c r="AR68" i="12" s="1"/>
  <c r="AS68" i="12" s="1"/>
  <c r="AT68" i="12" s="1"/>
  <c r="AU68" i="12" s="1"/>
  <c r="AV68" i="12" s="1"/>
  <c r="AW68" i="12" s="1"/>
  <c r="AX68" i="12" s="1"/>
  <c r="AY68" i="12" s="1"/>
  <c r="AZ68" i="12" s="1"/>
  <c r="BA68" i="12" s="1"/>
  <c r="BB68" i="12" s="1"/>
  <c r="BG68" i="12" s="1"/>
  <c r="BB67" i="12"/>
  <c r="BA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BE47" i="12"/>
  <c r="BE49" i="12" s="1"/>
  <c r="BD47" i="12"/>
  <c r="BD49" i="12" s="1"/>
  <c r="BC47" i="12"/>
  <c r="BC49" i="12" s="1"/>
  <c r="BE40" i="12"/>
  <c r="BD40" i="12"/>
  <c r="BC40" i="12"/>
  <c r="BE39" i="12"/>
  <c r="BD39" i="12"/>
  <c r="BC39" i="12"/>
  <c r="BE38" i="12"/>
  <c r="BD38" i="12"/>
  <c r="BC38" i="12"/>
  <c r="BE37" i="12"/>
  <c r="BD37" i="12"/>
  <c r="BC37" i="12"/>
  <c r="BE36" i="12"/>
  <c r="BD36" i="12"/>
  <c r="BC36" i="12"/>
  <c r="BE35" i="12"/>
  <c r="BD35" i="12"/>
  <c r="BC35" i="12"/>
  <c r="BE34" i="12"/>
  <c r="BD34" i="12"/>
  <c r="BC34" i="12"/>
  <c r="BE33" i="12"/>
  <c r="BD33" i="12"/>
  <c r="BC33" i="12"/>
  <c r="BE32" i="12"/>
  <c r="BD32" i="12"/>
  <c r="BC32" i="12"/>
  <c r="BE31" i="12"/>
  <c r="BD31" i="12"/>
  <c r="BC31" i="12"/>
  <c r="BE30" i="12"/>
  <c r="BD30" i="12"/>
  <c r="BC30" i="12"/>
  <c r="BE29" i="12"/>
  <c r="BD29" i="12"/>
  <c r="BC29" i="12"/>
  <c r="BE28" i="12"/>
  <c r="BD28" i="12"/>
  <c r="BC28" i="12"/>
  <c r="BE27" i="12"/>
  <c r="BD27" i="12"/>
  <c r="BC27" i="12"/>
  <c r="BE26" i="12"/>
  <c r="BD26" i="12"/>
  <c r="BC26" i="12"/>
  <c r="BE25" i="12"/>
  <c r="BD25" i="12"/>
  <c r="BC25" i="12"/>
  <c r="BE24" i="12"/>
  <c r="BD24" i="12"/>
  <c r="BC24" i="12"/>
  <c r="BE23" i="12"/>
  <c r="BD23" i="12"/>
  <c r="BC23" i="12"/>
  <c r="BE22" i="12"/>
  <c r="BD22" i="12"/>
  <c r="BC22" i="12"/>
  <c r="BE21" i="12"/>
  <c r="BD21" i="12"/>
  <c r="BC21" i="12"/>
  <c r="BE20" i="12"/>
  <c r="BD20" i="12"/>
  <c r="BC20" i="12"/>
  <c r="BE19" i="12"/>
  <c r="BD19" i="12"/>
  <c r="BC19" i="12"/>
  <c r="C4"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C67" i="1"/>
  <c r="D67" i="1"/>
  <c r="E67"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N67" i="1"/>
  <c r="AO67" i="1"/>
  <c r="AP67" i="1"/>
  <c r="AQ67" i="1"/>
  <c r="AR67" i="1"/>
  <c r="AS67" i="1"/>
  <c r="AT67" i="1"/>
  <c r="AU67" i="1"/>
  <c r="AV67" i="1"/>
  <c r="AW67" i="1"/>
  <c r="AX67" i="1"/>
  <c r="AY67" i="1"/>
  <c r="AZ67" i="1"/>
  <c r="BA67" i="1"/>
  <c r="BB67" i="1"/>
  <c r="C68" i="1"/>
  <c r="D68" i="1" s="1"/>
  <c r="E68" i="1" s="1"/>
  <c r="F68" i="1" s="1"/>
  <c r="G68" i="1" s="1"/>
  <c r="H68" i="1" s="1"/>
  <c r="I68" i="1" s="1"/>
  <c r="J68" i="1" s="1"/>
  <c r="K68" i="1" s="1"/>
  <c r="L68" i="1" s="1"/>
  <c r="M68" i="1" s="1"/>
  <c r="N68" i="1" s="1"/>
  <c r="O68" i="1" s="1"/>
  <c r="P68" i="1" s="1"/>
  <c r="Q68" i="1" s="1"/>
  <c r="R68" i="1" s="1"/>
  <c r="S68" i="1" s="1"/>
  <c r="T68" i="1" s="1"/>
  <c r="U68" i="1" s="1"/>
  <c r="V68" i="1" s="1"/>
  <c r="W68" i="1" s="1"/>
  <c r="X68" i="1" s="1"/>
  <c r="Y68" i="1" s="1"/>
  <c r="Z68" i="1" s="1"/>
  <c r="AA68" i="1" s="1"/>
  <c r="AB68" i="1" s="1"/>
  <c r="AC68" i="1" s="1"/>
  <c r="AD68" i="1" s="1"/>
  <c r="AE68" i="1" s="1"/>
  <c r="AF68" i="1" s="1"/>
  <c r="AG68" i="1" s="1"/>
  <c r="AH68" i="1" s="1"/>
  <c r="AI68" i="1" s="1"/>
  <c r="AJ68" i="1" s="1"/>
  <c r="AK68" i="1" s="1"/>
  <c r="AL68" i="1" s="1"/>
  <c r="AM68" i="1" s="1"/>
  <c r="AN68" i="1" s="1"/>
  <c r="AO68" i="1" s="1"/>
  <c r="AP68" i="1" s="1"/>
  <c r="AQ68" i="1" s="1"/>
  <c r="AR68" i="1" s="1"/>
  <c r="AS68" i="1" s="1"/>
  <c r="AT68" i="1" s="1"/>
  <c r="AU68" i="1" s="1"/>
  <c r="AV68" i="1" s="1"/>
  <c r="AW68" i="1" s="1"/>
  <c r="AX68" i="1" s="1"/>
  <c r="AY68" i="1" s="1"/>
  <c r="AZ68" i="1" s="1"/>
  <c r="BA68" i="1" s="1"/>
  <c r="BB68" i="1" s="1"/>
  <c r="BG68" i="1" s="1"/>
  <c r="BE39" i="6"/>
  <c r="BB3" i="1"/>
  <c r="BA3" i="1"/>
  <c r="AZ3" i="1"/>
  <c r="AY3" i="1"/>
  <c r="AX3" i="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E3" i="1"/>
  <c r="D3" i="1"/>
  <c r="C3" i="1"/>
  <c r="BF43" i="6"/>
  <c r="BE43" i="6"/>
  <c r="BD43" i="6"/>
  <c r="BE47" i="1"/>
  <c r="BE49" i="1" s="1"/>
  <c r="BE40" i="1"/>
  <c r="BE39" i="1"/>
  <c r="BE38" i="1"/>
  <c r="BE37" i="1"/>
  <c r="BE36" i="1"/>
  <c r="BE35" i="1"/>
  <c r="BE34" i="1"/>
  <c r="BE33" i="1"/>
  <c r="BE32" i="1"/>
  <c r="BE31" i="1"/>
  <c r="BE30" i="1"/>
  <c r="BE29" i="1"/>
  <c r="BE28" i="1"/>
  <c r="BE27" i="1"/>
  <c r="BE26" i="1"/>
  <c r="BE25" i="1"/>
  <c r="BE24" i="1"/>
  <c r="BE23" i="1"/>
  <c r="BE22" i="1"/>
  <c r="BE21" i="1"/>
  <c r="BE20" i="1"/>
  <c r="BE19" i="1"/>
  <c r="BD47" i="1"/>
  <c r="BD49" i="1" s="1"/>
  <c r="BD40" i="1"/>
  <c r="BD39" i="1"/>
  <c r="BD38" i="1"/>
  <c r="BD37" i="1"/>
  <c r="BD36" i="1"/>
  <c r="BD35" i="1"/>
  <c r="BD34" i="1"/>
  <c r="BD33" i="1"/>
  <c r="BD32" i="1"/>
  <c r="BD31" i="1"/>
  <c r="BD30" i="1"/>
  <c r="BD29" i="1"/>
  <c r="BD28" i="1"/>
  <c r="BD27" i="1"/>
  <c r="BD26" i="1"/>
  <c r="BD25" i="1"/>
  <c r="BD24" i="1"/>
  <c r="BD23" i="1"/>
  <c r="BD22" i="1"/>
  <c r="BD21" i="1"/>
  <c r="BD20" i="1"/>
  <c r="BD19" i="1"/>
  <c r="BC47" i="1"/>
  <c r="BC49" i="1" s="1"/>
  <c r="BC40" i="1"/>
  <c r="BC39" i="1"/>
  <c r="BC38" i="1"/>
  <c r="BC37" i="1"/>
  <c r="BC36" i="1"/>
  <c r="BC35" i="1"/>
  <c r="BC34" i="1"/>
  <c r="BC33" i="1"/>
  <c r="BC32" i="1"/>
  <c r="BC31" i="1"/>
  <c r="BC30" i="1"/>
  <c r="BC29" i="1"/>
  <c r="BC28" i="1"/>
  <c r="BC27" i="1"/>
  <c r="BC26" i="1"/>
  <c r="BC25" i="1"/>
  <c r="BC24" i="1"/>
  <c r="BC23" i="1"/>
  <c r="BC22" i="1"/>
  <c r="BC21" i="1"/>
  <c r="BC20" i="1"/>
  <c r="BC19" i="1"/>
  <c r="C11" i="2"/>
  <c r="BF23" i="1" s="1"/>
  <c r="I9" i="7"/>
  <c r="C4" i="6"/>
  <c r="D4" i="6"/>
  <c r="A9" i="7"/>
  <c r="B9" i="7" s="1"/>
  <c r="A10" i="7"/>
  <c r="A11" i="7" s="1"/>
  <c r="C4" i="1"/>
  <c r="B5" i="7"/>
  <c r="G9" i="7"/>
  <c r="B4" i="7"/>
  <c r="C30" i="6"/>
  <c r="C10" i="6"/>
  <c r="BC109" i="1"/>
  <c r="C88" i="12"/>
  <c r="F88" i="12"/>
  <c r="E88" i="12"/>
  <c r="G88" i="12"/>
  <c r="H88" i="12"/>
  <c r="I88" i="12"/>
  <c r="J88" i="12"/>
  <c r="K88" i="12"/>
  <c r="L88" i="12"/>
  <c r="BD65" i="6"/>
  <c r="N88" i="12"/>
  <c r="M88" i="12"/>
  <c r="P88" i="12"/>
  <c r="O88" i="12"/>
  <c r="BC52" i="12"/>
  <c r="BC56" i="12" s="1"/>
  <c r="BD70" i="6"/>
  <c r="BD74" i="6" s="1"/>
  <c r="R88" i="12"/>
  <c r="Q88" i="12"/>
  <c r="S88" i="12"/>
  <c r="T88" i="12"/>
  <c r="V88" i="12"/>
  <c r="U88" i="12"/>
  <c r="W88" i="12"/>
  <c r="X88" i="12"/>
  <c r="BE65" i="6"/>
  <c r="Y88" i="12"/>
  <c r="Z88" i="12"/>
  <c r="AA88" i="12"/>
  <c r="AB88" i="12"/>
  <c r="BD52" i="12"/>
  <c r="BD56" i="12" s="1"/>
  <c r="AC88" i="12"/>
  <c r="BE70" i="6"/>
  <c r="BE74" i="6" s="1"/>
  <c r="AE88" i="12"/>
  <c r="AD88" i="12"/>
  <c r="AF88" i="12"/>
  <c r="AH88" i="12"/>
  <c r="AI88" i="12"/>
  <c r="AJ88" i="12"/>
  <c r="AK88" i="12"/>
  <c r="BF65" i="6"/>
  <c r="AL88" i="12"/>
  <c r="AM88" i="12"/>
  <c r="AN88" i="12"/>
  <c r="AO88" i="12"/>
  <c r="BE52" i="12"/>
  <c r="BE56" i="12" s="1"/>
  <c r="AP88" i="12"/>
  <c r="BF70" i="6"/>
  <c r="BF74" i="6" s="1"/>
  <c r="AQ88" i="12"/>
  <c r="AR88" i="12"/>
  <c r="AS88" i="12"/>
  <c r="AT88" i="12"/>
  <c r="AU88" i="12"/>
  <c r="AV88" i="12"/>
  <c r="AX88" i="12"/>
  <c r="AY88" i="12"/>
  <c r="AZ88" i="12"/>
  <c r="BA88" i="12"/>
  <c r="BB88" i="12"/>
  <c r="BF25" i="1" l="1"/>
  <c r="BG25" i="1" s="1"/>
  <c r="C122" i="6"/>
  <c r="C116" i="6" s="1"/>
  <c r="BF32" i="1"/>
  <c r="BG32" i="1" s="1"/>
  <c r="BF19" i="1"/>
  <c r="BG19" i="1" s="1"/>
  <c r="BF52" i="12"/>
  <c r="BG52" i="12" s="1"/>
  <c r="BG65" i="6"/>
  <c r="BH65" i="6" s="1"/>
  <c r="BF40" i="1"/>
  <c r="BG40" i="1" s="1"/>
  <c r="D122" i="6"/>
  <c r="BG82" i="6"/>
  <c r="BH82" i="6" s="1"/>
  <c r="BF17" i="12"/>
  <c r="BG17" i="12" s="1"/>
  <c r="BF17" i="1"/>
  <c r="BG17" i="1" s="1"/>
  <c r="BF60" i="12"/>
  <c r="BG60" i="12" s="1"/>
  <c r="BF98" i="12"/>
  <c r="BG98" i="12" s="1"/>
  <c r="BG81" i="6"/>
  <c r="BH81" i="6" s="1"/>
  <c r="BG80" i="6"/>
  <c r="BH80" i="6" s="1"/>
  <c r="BG79" i="6"/>
  <c r="BH79" i="6" s="1"/>
  <c r="BG78" i="6"/>
  <c r="BH78" i="6" s="1"/>
  <c r="BG77" i="6"/>
  <c r="BH77" i="6" s="1"/>
  <c r="BG73" i="6"/>
  <c r="BH73" i="6" s="1"/>
  <c r="BG72" i="6"/>
  <c r="BH72" i="6" s="1"/>
  <c r="BG71" i="6"/>
  <c r="BH71" i="6" s="1"/>
  <c r="BG66" i="6"/>
  <c r="BH66" i="6" s="1"/>
  <c r="BF55" i="12"/>
  <c r="BG55" i="12" s="1"/>
  <c r="BF54" i="12"/>
  <c r="BG54" i="12" s="1"/>
  <c r="BF53" i="12"/>
  <c r="BG53" i="12" s="1"/>
  <c r="BF48" i="12"/>
  <c r="BG48" i="12" s="1"/>
  <c r="BF44" i="12"/>
  <c r="BG44" i="12" s="1"/>
  <c r="BF43" i="12"/>
  <c r="BF6" i="12"/>
  <c r="BG6" i="12" s="1"/>
  <c r="BF5" i="12"/>
  <c r="BF81" i="12"/>
  <c r="BG81" i="12" s="1"/>
  <c r="BF80" i="12"/>
  <c r="BG80" i="12" s="1"/>
  <c r="BF76" i="12"/>
  <c r="BG59" i="6"/>
  <c r="BH59" i="6" s="1"/>
  <c r="BG58" i="6"/>
  <c r="BH58" i="6" s="1"/>
  <c r="BG53" i="6"/>
  <c r="BH53" i="6" s="1"/>
  <c r="BG52" i="6"/>
  <c r="BH52" i="6" s="1"/>
  <c r="BF105" i="12"/>
  <c r="BG105" i="12" s="1"/>
  <c r="BF104" i="12"/>
  <c r="BG104" i="12" s="1"/>
  <c r="BF103" i="12"/>
  <c r="BG103" i="12" s="1"/>
  <c r="BF102" i="12"/>
  <c r="BG102" i="12" s="1"/>
  <c r="BF101" i="12"/>
  <c r="BG101" i="12" s="1"/>
  <c r="BF100" i="12"/>
  <c r="BG100" i="12" s="1"/>
  <c r="BF99" i="12"/>
  <c r="BG99" i="12" s="1"/>
  <c r="BF94" i="12"/>
  <c r="BG94" i="12" s="1"/>
  <c r="BF85" i="12"/>
  <c r="BG85" i="12" s="1"/>
  <c r="BF84" i="12"/>
  <c r="BG84" i="12" s="1"/>
  <c r="BF83" i="12"/>
  <c r="BG83" i="12" s="1"/>
  <c r="BF82" i="12"/>
  <c r="BF48" i="1"/>
  <c r="BG48" i="1" s="1"/>
  <c r="BF44" i="1"/>
  <c r="BG44" i="1" s="1"/>
  <c r="BF43" i="1"/>
  <c r="BF6" i="1"/>
  <c r="BG6" i="1" s="1"/>
  <c r="BF5" i="1"/>
  <c r="BF12" i="12"/>
  <c r="BF11" i="12"/>
  <c r="BF102" i="1"/>
  <c r="BG102" i="1" s="1"/>
  <c r="BF101" i="1"/>
  <c r="BG101" i="1" s="1"/>
  <c r="BF100" i="1"/>
  <c r="BG100" i="1" s="1"/>
  <c r="BF99" i="1"/>
  <c r="BG99" i="1" s="1"/>
  <c r="BF97" i="1"/>
  <c r="BG97" i="1" s="1"/>
  <c r="BF94" i="1"/>
  <c r="BG94" i="1" s="1"/>
  <c r="BF93" i="1"/>
  <c r="BG93" i="1" s="1"/>
  <c r="BF92" i="1"/>
  <c r="BF85" i="1"/>
  <c r="BG85" i="1" s="1"/>
  <c r="BF81" i="1"/>
  <c r="BG81" i="1" s="1"/>
  <c r="BF80" i="1"/>
  <c r="BG80" i="1" s="1"/>
  <c r="BF76" i="1"/>
  <c r="BG76" i="1" s="1"/>
  <c r="BG14" i="6"/>
  <c r="BH14" i="6" s="1"/>
  <c r="BF9" i="12"/>
  <c r="BG9" i="12" s="1"/>
  <c r="BF8" i="12"/>
  <c r="BG22" i="6"/>
  <c r="BH22" i="6" s="1"/>
  <c r="BG36" i="6"/>
  <c r="BH36" i="6" s="1"/>
  <c r="BG9" i="6"/>
  <c r="BH9" i="6" s="1"/>
  <c r="BF12" i="1"/>
  <c r="BG15" i="6"/>
  <c r="BH15" i="6" s="1"/>
  <c r="BF11" i="1"/>
  <c r="BF9" i="1"/>
  <c r="BG9" i="1" s="1"/>
  <c r="BF8" i="1"/>
  <c r="BF30" i="1"/>
  <c r="BG30" i="1" s="1"/>
  <c r="BG39" i="6"/>
  <c r="BH39" i="6" s="1"/>
  <c r="N11" i="18"/>
  <c r="Q11" i="18" s="1"/>
  <c r="P10" i="18"/>
  <c r="C121" i="6" s="1"/>
  <c r="BD41" i="12"/>
  <c r="BE41" i="12"/>
  <c r="BC41" i="12"/>
  <c r="BC41" i="1"/>
  <c r="BC50" i="1" s="1"/>
  <c r="BE41" i="1"/>
  <c r="BE50" i="1" s="1"/>
  <c r="BD41" i="1"/>
  <c r="BD50" i="1" s="1"/>
  <c r="D4" i="12"/>
  <c r="E4" i="12" s="1"/>
  <c r="F4" i="12" s="1"/>
  <c r="G4" i="12" s="1"/>
  <c r="H4" i="12" s="1"/>
  <c r="I4" i="12" s="1"/>
  <c r="J4" i="12" s="1"/>
  <c r="K4" i="12" s="1"/>
  <c r="L4" i="12" s="1"/>
  <c r="M4" i="12" s="1"/>
  <c r="N4" i="12" s="1"/>
  <c r="O4" i="12" s="1"/>
  <c r="P4" i="12" s="1"/>
  <c r="Q4" i="12" s="1"/>
  <c r="R4" i="12" s="1"/>
  <c r="S4" i="12" s="1"/>
  <c r="T4" i="12" s="1"/>
  <c r="U4" i="12" s="1"/>
  <c r="V4" i="12" s="1"/>
  <c r="W4" i="12" s="1"/>
  <c r="X4" i="12" s="1"/>
  <c r="Y4" i="12" s="1"/>
  <c r="Z4" i="12" s="1"/>
  <c r="AA4" i="12" s="1"/>
  <c r="AB4" i="12" s="1"/>
  <c r="AC4" i="12" s="1"/>
  <c r="AD4" i="12" s="1"/>
  <c r="AE4" i="12" s="1"/>
  <c r="AF4" i="12" s="1"/>
  <c r="AG4" i="12" s="1"/>
  <c r="AH4" i="12" s="1"/>
  <c r="AI4" i="12" s="1"/>
  <c r="AJ4" i="12" s="1"/>
  <c r="AK4" i="12" s="1"/>
  <c r="AL4" i="12" s="1"/>
  <c r="AM4" i="12" s="1"/>
  <c r="AN4" i="12" s="1"/>
  <c r="AO4" i="12" s="1"/>
  <c r="AP4" i="12" s="1"/>
  <c r="AQ4" i="12" s="1"/>
  <c r="AR4" i="12" s="1"/>
  <c r="AS4" i="12" s="1"/>
  <c r="AT4" i="12" s="1"/>
  <c r="AU4" i="12" s="1"/>
  <c r="AV4" i="12" s="1"/>
  <c r="AW4" i="12" s="1"/>
  <c r="AX4" i="12" s="1"/>
  <c r="AY4" i="12" s="1"/>
  <c r="AZ4" i="12" s="1"/>
  <c r="BA4" i="12" s="1"/>
  <c r="BB4" i="12" s="1"/>
  <c r="BG4" i="12" s="1"/>
  <c r="BE83" i="6"/>
  <c r="C68" i="6"/>
  <c r="C74" i="6"/>
  <c r="BC78" i="12"/>
  <c r="C61" i="6"/>
  <c r="C62" i="6" s="1"/>
  <c r="BD97" i="12"/>
  <c r="BE106" i="12"/>
  <c r="BC97" i="12"/>
  <c r="BE97" i="12"/>
  <c r="BF106" i="12"/>
  <c r="BF97" i="12"/>
  <c r="BD106" i="12"/>
  <c r="C86" i="12"/>
  <c r="C59" i="12"/>
  <c r="B14" i="17"/>
  <c r="B14" i="16"/>
  <c r="B14" i="15"/>
  <c r="E4" i="6"/>
  <c r="H7" i="18"/>
  <c r="F8" i="18"/>
  <c r="J8" i="18"/>
  <c r="L7" i="18"/>
  <c r="D7" i="18"/>
  <c r="B8" i="18"/>
  <c r="B10" i="7"/>
  <c r="B11" i="7" s="1"/>
  <c r="D10" i="17"/>
  <c r="D10" i="16"/>
  <c r="D10" i="15"/>
  <c r="A12" i="7"/>
  <c r="D21" i="6"/>
  <c r="E21" i="6" s="1"/>
  <c r="C24" i="6"/>
  <c r="C41" i="6" s="1"/>
  <c r="C17" i="6"/>
  <c r="C18" i="6" s="1"/>
  <c r="A15" i="17"/>
  <c r="I12" i="17"/>
  <c r="G12" i="17"/>
  <c r="E106" i="1" s="1"/>
  <c r="F13" i="17"/>
  <c r="F55" i="1" s="1"/>
  <c r="E13" i="17"/>
  <c r="F13" i="16"/>
  <c r="F54" i="1" s="1"/>
  <c r="E13" i="16"/>
  <c r="A15" i="16"/>
  <c r="I12" i="16"/>
  <c r="G12" i="16"/>
  <c r="E105" i="1" s="1"/>
  <c r="D4" i="1"/>
  <c r="D11" i="7" s="1"/>
  <c r="A15" i="15"/>
  <c r="F13" i="15"/>
  <c r="F53" i="1" s="1"/>
  <c r="E13" i="15"/>
  <c r="I12" i="15"/>
  <c r="G12" i="15"/>
  <c r="E104" i="1" s="1"/>
  <c r="H9" i="7"/>
  <c r="C10" i="7" s="1"/>
  <c r="BF21" i="1"/>
  <c r="BG21" i="1" s="1"/>
  <c r="BF26" i="1"/>
  <c r="BG26" i="1" s="1"/>
  <c r="BF36" i="1"/>
  <c r="BG36" i="1" s="1"/>
  <c r="BG56" i="6"/>
  <c r="BG87" i="6"/>
  <c r="BH87" i="6" s="1"/>
  <c r="BF33" i="1"/>
  <c r="BG33" i="1" s="1"/>
  <c r="BF39" i="1"/>
  <c r="BG39" i="1" s="1"/>
  <c r="BF24" i="1"/>
  <c r="BG24" i="1" s="1"/>
  <c r="BF37" i="1"/>
  <c r="BG37" i="1" s="1"/>
  <c r="BF22" i="1"/>
  <c r="BG22" i="1" s="1"/>
  <c r="BF31" i="1"/>
  <c r="BG31" i="1" s="1"/>
  <c r="BF28" i="1"/>
  <c r="BG28" i="1" s="1"/>
  <c r="BF47" i="1"/>
  <c r="BF27" i="1"/>
  <c r="BG27" i="1" s="1"/>
  <c r="BG70" i="6"/>
  <c r="BF29" i="1"/>
  <c r="BG29" i="1" s="1"/>
  <c r="BF20" i="1"/>
  <c r="BG20" i="1" s="1"/>
  <c r="BF34" i="1"/>
  <c r="BG34" i="1" s="1"/>
  <c r="BF35" i="1"/>
  <c r="BG35" i="1" s="1"/>
  <c r="BF38" i="1"/>
  <c r="BG38" i="1" s="1"/>
  <c r="BG43" i="6"/>
  <c r="BH43" i="6" s="1"/>
  <c r="BF47" i="12"/>
  <c r="BG109" i="1"/>
  <c r="BC79" i="12"/>
  <c r="BF78" i="12"/>
  <c r="BE78" i="12"/>
  <c r="BD79" i="12"/>
  <c r="BF79" i="12"/>
  <c r="BG23" i="1"/>
  <c r="BD78" i="12"/>
  <c r="BE79" i="12"/>
  <c r="C72" i="12"/>
  <c r="C89" i="12" s="1"/>
  <c r="BC109" i="12"/>
  <c r="BG109" i="12"/>
  <c r="D10" i="7"/>
  <c r="BG83" i="6"/>
  <c r="BH83" i="6" s="1"/>
  <c r="BF19" i="12"/>
  <c r="BF20" i="12"/>
  <c r="BG20" i="12" s="1"/>
  <c r="BF21" i="12"/>
  <c r="BG21" i="12" s="1"/>
  <c r="BF22" i="12"/>
  <c r="BG22" i="12" s="1"/>
  <c r="BF23" i="12"/>
  <c r="BG23" i="12" s="1"/>
  <c r="BF24" i="12"/>
  <c r="BG24" i="12" s="1"/>
  <c r="BF25" i="12"/>
  <c r="BG25" i="12" s="1"/>
  <c r="BF26" i="12"/>
  <c r="BG26" i="12" s="1"/>
  <c r="BF27" i="12"/>
  <c r="BG27" i="12" s="1"/>
  <c r="BF28" i="12"/>
  <c r="BG28" i="12" s="1"/>
  <c r="BF29" i="12"/>
  <c r="BG29" i="12" s="1"/>
  <c r="BF30" i="12"/>
  <c r="BG30" i="12" s="1"/>
  <c r="BF31" i="12"/>
  <c r="BG31" i="12" s="1"/>
  <c r="BF32" i="12"/>
  <c r="BG32" i="12" s="1"/>
  <c r="BF33" i="12"/>
  <c r="BG33" i="12" s="1"/>
  <c r="BF34" i="12"/>
  <c r="BG34" i="12" s="1"/>
  <c r="BF35" i="12"/>
  <c r="BG35" i="12" s="1"/>
  <c r="BF36" i="12"/>
  <c r="BG36" i="12" s="1"/>
  <c r="BF37" i="12"/>
  <c r="BG37" i="12" s="1"/>
  <c r="BF38" i="12"/>
  <c r="BG38" i="12" s="1"/>
  <c r="BF39" i="12"/>
  <c r="BG39" i="12" s="1"/>
  <c r="BF40" i="12"/>
  <c r="BG40" i="12" s="1"/>
  <c r="BG57" i="6"/>
  <c r="BH57" i="6" s="1"/>
  <c r="BD71" i="12"/>
  <c r="BD88" i="12"/>
  <c r="AW88" i="12"/>
  <c r="BF88" i="12" s="1"/>
  <c r="BF71" i="12"/>
  <c r="AG88" i="12"/>
  <c r="BE88" i="12" s="1"/>
  <c r="BE71" i="12"/>
  <c r="D88" i="12"/>
  <c r="BC71" i="12"/>
  <c r="C123" i="6" l="1"/>
  <c r="D116" i="6"/>
  <c r="BG56" i="12"/>
  <c r="BF10" i="1"/>
  <c r="BG8" i="1"/>
  <c r="BG10" i="1" s="1"/>
  <c r="BF15" i="1"/>
  <c r="BG12" i="1"/>
  <c r="BG15" i="1" s="1"/>
  <c r="BF10" i="12"/>
  <c r="BG8" i="12"/>
  <c r="BG10" i="12" s="1"/>
  <c r="BF15" i="12"/>
  <c r="BG12" i="12"/>
  <c r="BG15" i="12" s="1"/>
  <c r="BF7" i="1"/>
  <c r="BG5" i="1"/>
  <c r="BG7" i="1" s="1"/>
  <c r="BF14" i="1"/>
  <c r="BF7" i="12"/>
  <c r="BG5" i="12"/>
  <c r="BG7" i="12" s="1"/>
  <c r="BF14" i="12"/>
  <c r="BG11" i="1"/>
  <c r="BF13" i="1"/>
  <c r="BF95" i="1"/>
  <c r="BG92" i="1"/>
  <c r="BG95" i="1" s="1"/>
  <c r="BF13" i="12"/>
  <c r="BG11" i="12"/>
  <c r="BG43" i="1"/>
  <c r="BG45" i="1" s="1"/>
  <c r="BF45" i="1"/>
  <c r="BF45" i="12"/>
  <c r="BG43" i="12"/>
  <c r="BG45" i="12" s="1"/>
  <c r="BF56" i="12"/>
  <c r="E121" i="6"/>
  <c r="E122" i="6"/>
  <c r="D121" i="6"/>
  <c r="D123" i="6" s="1"/>
  <c r="N12" i="18"/>
  <c r="Q12" i="18" s="1"/>
  <c r="P11" i="18"/>
  <c r="C61" i="12"/>
  <c r="D67" i="6" s="1"/>
  <c r="BE50" i="12"/>
  <c r="BE57" i="12" s="1"/>
  <c r="BC50" i="12"/>
  <c r="BC57" i="12" s="1"/>
  <c r="BD50" i="12"/>
  <c r="BD57" i="12" s="1"/>
  <c r="BF107" i="12"/>
  <c r="BG41" i="1"/>
  <c r="BF41" i="12"/>
  <c r="BF41" i="1"/>
  <c r="BD107" i="12"/>
  <c r="BE107" i="12"/>
  <c r="C85" i="6"/>
  <c r="C86" i="6" s="1"/>
  <c r="C107" i="12"/>
  <c r="BC106" i="12"/>
  <c r="BC107" i="12" s="1"/>
  <c r="BH70" i="6"/>
  <c r="BH74" i="6" s="1"/>
  <c r="BG74" i="6"/>
  <c r="BH56" i="6"/>
  <c r="D54" i="6"/>
  <c r="BG97" i="12"/>
  <c r="D59" i="12"/>
  <c r="B15" i="17"/>
  <c r="BG47" i="12"/>
  <c r="BG49" i="12" s="1"/>
  <c r="BF49" i="12"/>
  <c r="BG19" i="12"/>
  <c r="BG41" i="12" s="1"/>
  <c r="B15" i="16"/>
  <c r="B15" i="15"/>
  <c r="F4" i="6"/>
  <c r="J9" i="18"/>
  <c r="L8" i="18"/>
  <c r="D8" i="18"/>
  <c r="B9" i="18"/>
  <c r="H8" i="18"/>
  <c r="F9" i="18"/>
  <c r="C42" i="6"/>
  <c r="B12" i="7"/>
  <c r="E12" i="7" s="1"/>
  <c r="D11" i="17"/>
  <c r="E11" i="17" s="1"/>
  <c r="D11" i="16"/>
  <c r="D11" i="15"/>
  <c r="A13" i="7"/>
  <c r="F21" i="6"/>
  <c r="I13" i="17"/>
  <c r="G13" i="17"/>
  <c r="F106" i="1" s="1"/>
  <c r="E10" i="17"/>
  <c r="F10" i="17"/>
  <c r="C55" i="1" s="1"/>
  <c r="A16" i="17"/>
  <c r="I13" i="16"/>
  <c r="G13" i="16"/>
  <c r="F105" i="1" s="1"/>
  <c r="E4" i="1"/>
  <c r="A16" i="16"/>
  <c r="E10" i="16"/>
  <c r="F10" i="16"/>
  <c r="C54" i="1" s="1"/>
  <c r="I13" i="15"/>
  <c r="G13" i="15"/>
  <c r="F104" i="1" s="1"/>
  <c r="E10" i="15"/>
  <c r="F10" i="15"/>
  <c r="C53" i="1" s="1"/>
  <c r="A16" i="15"/>
  <c r="BG47" i="1"/>
  <c r="BG49" i="1" s="1"/>
  <c r="BF49" i="1"/>
  <c r="BG78" i="12"/>
  <c r="E10" i="7"/>
  <c r="I10" i="7" s="1"/>
  <c r="D86" i="12"/>
  <c r="F10" i="7"/>
  <c r="C70" i="12"/>
  <c r="C62" i="12"/>
  <c r="BG79" i="12"/>
  <c r="E11" i="7"/>
  <c r="BG71" i="12"/>
  <c r="BC88" i="12"/>
  <c r="BG88" i="12" s="1"/>
  <c r="E116" i="6" l="1"/>
  <c r="BF16" i="1"/>
  <c r="BG14" i="12"/>
  <c r="BG13" i="12"/>
  <c r="BG16" i="12" s="1"/>
  <c r="BF16" i="12"/>
  <c r="BG14" i="1"/>
  <c r="BG13" i="1"/>
  <c r="BG16" i="1" s="1"/>
  <c r="D68" i="6"/>
  <c r="E123" i="6"/>
  <c r="F121" i="6"/>
  <c r="F122" i="6"/>
  <c r="N13" i="18"/>
  <c r="Q13" i="18" s="1"/>
  <c r="P12" i="18"/>
  <c r="D70" i="12"/>
  <c r="D61" i="12"/>
  <c r="E67" i="6" s="1"/>
  <c r="BF50" i="12"/>
  <c r="BF57" i="12" s="1"/>
  <c r="BF50" i="1"/>
  <c r="B16" i="16"/>
  <c r="BG106" i="12"/>
  <c r="BG107" i="12" s="1"/>
  <c r="B16" i="17"/>
  <c r="D62" i="12"/>
  <c r="E54" i="6"/>
  <c r="E59" i="12"/>
  <c r="E61" i="12" s="1"/>
  <c r="B16" i="15"/>
  <c r="G4" i="6"/>
  <c r="B10" i="18"/>
  <c r="D9" i="18"/>
  <c r="H9" i="18"/>
  <c r="F10" i="18"/>
  <c r="L9" i="18"/>
  <c r="J10" i="18"/>
  <c r="F12" i="7"/>
  <c r="E52" i="1" s="1"/>
  <c r="B13" i="7"/>
  <c r="E13" i="7" s="1"/>
  <c r="D12" i="17"/>
  <c r="D12" i="16"/>
  <c r="D12" i="15"/>
  <c r="D12" i="7"/>
  <c r="A14" i="7"/>
  <c r="G21" i="6"/>
  <c r="C52" i="1"/>
  <c r="F4" i="1"/>
  <c r="I10" i="17"/>
  <c r="I11" i="17" s="1"/>
  <c r="G10" i="17"/>
  <c r="A17" i="17"/>
  <c r="A17" i="16"/>
  <c r="I10" i="16"/>
  <c r="G10" i="16"/>
  <c r="A17" i="15"/>
  <c r="F15" i="15"/>
  <c r="H53" i="1" s="1"/>
  <c r="E15" i="15"/>
  <c r="I10" i="15"/>
  <c r="G10" i="15"/>
  <c r="I11" i="7"/>
  <c r="G10" i="7"/>
  <c r="E86" i="12"/>
  <c r="F59" i="12"/>
  <c r="BC86" i="1"/>
  <c r="I12" i="7"/>
  <c r="BG50" i="12" l="1"/>
  <c r="BG57" i="12" s="1"/>
  <c r="BG50" i="1"/>
  <c r="F67" i="6"/>
  <c r="F123" i="6"/>
  <c r="G121" i="6"/>
  <c r="G122" i="6"/>
  <c r="N14" i="18"/>
  <c r="Q14" i="18" s="1"/>
  <c r="P13" i="18"/>
  <c r="F70" i="12"/>
  <c r="F61" i="12"/>
  <c r="B17" i="16"/>
  <c r="B17" i="17"/>
  <c r="E70" i="12"/>
  <c r="E68" i="6"/>
  <c r="F54" i="6"/>
  <c r="E62" i="12"/>
  <c r="B17" i="15"/>
  <c r="BC99" i="6"/>
  <c r="BC93" i="6"/>
  <c r="D13" i="15"/>
  <c r="G12" i="7"/>
  <c r="E103" i="1" s="1"/>
  <c r="H4" i="6"/>
  <c r="F11" i="18"/>
  <c r="H10" i="18"/>
  <c r="L10" i="18"/>
  <c r="J11" i="18"/>
  <c r="D10" i="18"/>
  <c r="B11" i="18"/>
  <c r="F13" i="7"/>
  <c r="F52" i="1" s="1"/>
  <c r="B14" i="7"/>
  <c r="A15" i="7"/>
  <c r="D13" i="7"/>
  <c r="H10" i="17"/>
  <c r="C106" i="1"/>
  <c r="D29" i="6" s="1"/>
  <c r="H10" i="16"/>
  <c r="C11" i="16" s="1"/>
  <c r="H11" i="16" s="1"/>
  <c r="C12" i="16" s="1"/>
  <c r="H12" i="16" s="1"/>
  <c r="C13" i="16" s="1"/>
  <c r="C105" i="1"/>
  <c r="D28" i="6" s="1"/>
  <c r="E28" i="6" s="1"/>
  <c r="F28" i="6" s="1"/>
  <c r="G28" i="6" s="1"/>
  <c r="H10" i="15"/>
  <c r="C11" i="15" s="1"/>
  <c r="H11" i="15" s="1"/>
  <c r="C12" i="15" s="1"/>
  <c r="H12" i="15" s="1"/>
  <c r="C13" i="15" s="1"/>
  <c r="C104" i="1"/>
  <c r="D27" i="6" s="1"/>
  <c r="E27" i="6" s="1"/>
  <c r="F27" i="6" s="1"/>
  <c r="G27" i="6" s="1"/>
  <c r="C103" i="1"/>
  <c r="D26" i="6" s="1"/>
  <c r="H21" i="6"/>
  <c r="C56" i="1"/>
  <c r="E56" i="1"/>
  <c r="A18" i="17"/>
  <c r="G4" i="1"/>
  <c r="A18" i="16"/>
  <c r="E16" i="16"/>
  <c r="F16" i="16"/>
  <c r="I54" i="1" s="1"/>
  <c r="E16" i="15"/>
  <c r="F16" i="15"/>
  <c r="I53" i="1" s="1"/>
  <c r="I15" i="15"/>
  <c r="G15" i="15"/>
  <c r="H104" i="1" s="1"/>
  <c r="A18" i="15"/>
  <c r="BD86" i="1"/>
  <c r="H10" i="7"/>
  <c r="C11" i="7" s="1"/>
  <c r="F86" i="12"/>
  <c r="BE86" i="1"/>
  <c r="BF86" i="1"/>
  <c r="I13" i="7"/>
  <c r="B18" i="17" l="1"/>
  <c r="G67" i="6"/>
  <c r="G68" i="6" s="1"/>
  <c r="G123" i="6"/>
  <c r="H121" i="6"/>
  <c r="H122" i="6"/>
  <c r="N15" i="18"/>
  <c r="Q15" i="18" s="1"/>
  <c r="P14" i="18"/>
  <c r="B18" i="16"/>
  <c r="F68" i="6"/>
  <c r="G54" i="6"/>
  <c r="H59" i="12"/>
  <c r="G59" i="12"/>
  <c r="G61" i="12" s="1"/>
  <c r="H112" i="6"/>
  <c r="B18" i="15"/>
  <c r="E112" i="6"/>
  <c r="F112" i="6"/>
  <c r="G112" i="6"/>
  <c r="H106" i="6"/>
  <c r="E106" i="6"/>
  <c r="F106" i="6"/>
  <c r="G106" i="6"/>
  <c r="H101" i="6"/>
  <c r="E101" i="6"/>
  <c r="F101" i="6"/>
  <c r="G101" i="6"/>
  <c r="BB99" i="6"/>
  <c r="BB93" i="6"/>
  <c r="D30" i="6"/>
  <c r="D14" i="7"/>
  <c r="E14" i="7" s="1"/>
  <c r="I14" i="7" s="1"/>
  <c r="H13" i="15"/>
  <c r="C14" i="15" s="1"/>
  <c r="G13" i="7"/>
  <c r="F103" i="1" s="1"/>
  <c r="D101" i="6"/>
  <c r="C101" i="6"/>
  <c r="D112" i="6"/>
  <c r="C112" i="6"/>
  <c r="D106" i="6"/>
  <c r="C106" i="6"/>
  <c r="I4" i="6"/>
  <c r="J12" i="18"/>
  <c r="L11" i="18"/>
  <c r="D11" i="18"/>
  <c r="B12" i="18"/>
  <c r="H11" i="18"/>
  <c r="F12" i="18"/>
  <c r="C11" i="17"/>
  <c r="F11" i="17"/>
  <c r="F11" i="7"/>
  <c r="G11" i="7" s="1"/>
  <c r="B15" i="7"/>
  <c r="A16" i="7"/>
  <c r="E57" i="1"/>
  <c r="E71" i="1"/>
  <c r="E88" i="1" s="1"/>
  <c r="C57" i="1"/>
  <c r="C58" i="1" s="1"/>
  <c r="D105" i="6" s="1"/>
  <c r="C71" i="1"/>
  <c r="C88" i="1" s="1"/>
  <c r="I21" i="6"/>
  <c r="F56" i="1"/>
  <c r="F17" i="17"/>
  <c r="J55" i="1" s="1"/>
  <c r="E17" i="17"/>
  <c r="H4" i="1"/>
  <c r="A19" i="17"/>
  <c r="I16" i="16"/>
  <c r="G16" i="16"/>
  <c r="I105" i="1" s="1"/>
  <c r="A19" i="16"/>
  <c r="E17" i="16"/>
  <c r="F17" i="16"/>
  <c r="J54" i="1" s="1"/>
  <c r="F17" i="15"/>
  <c r="J53" i="1" s="1"/>
  <c r="E17" i="15"/>
  <c r="A19" i="15"/>
  <c r="I16" i="15"/>
  <c r="G16" i="15"/>
  <c r="I104" i="1" s="1"/>
  <c r="BG86" i="1"/>
  <c r="F62" i="12"/>
  <c r="BB74" i="12" s="1"/>
  <c r="BB92" i="12" s="1"/>
  <c r="G86" i="12"/>
  <c r="B19" i="17" l="1"/>
  <c r="H67" i="6"/>
  <c r="H123" i="6"/>
  <c r="I121" i="6"/>
  <c r="I122" i="6"/>
  <c r="I112" i="6"/>
  <c r="N16" i="18"/>
  <c r="Q16" i="18" s="1"/>
  <c r="P15" i="18"/>
  <c r="H70" i="12"/>
  <c r="H61" i="12"/>
  <c r="B19" i="16"/>
  <c r="G70" i="12"/>
  <c r="H54" i="6"/>
  <c r="B19" i="15"/>
  <c r="J59" i="12"/>
  <c r="I59" i="12"/>
  <c r="I101" i="6"/>
  <c r="I106" i="6"/>
  <c r="D15" i="7"/>
  <c r="E15" i="7" s="1"/>
  <c r="I15" i="7" s="1"/>
  <c r="J4" i="6"/>
  <c r="D12" i="18"/>
  <c r="B13" i="18"/>
  <c r="H12" i="18"/>
  <c r="F13" i="18"/>
  <c r="L12" i="18"/>
  <c r="J13" i="18"/>
  <c r="D52" i="1"/>
  <c r="C59" i="1"/>
  <c r="D117" i="6" s="1"/>
  <c r="D55" i="1"/>
  <c r="G11" i="17"/>
  <c r="D106" i="1" s="1"/>
  <c r="E29" i="6" s="1"/>
  <c r="F29" i="6" s="1"/>
  <c r="G29" i="6" s="1"/>
  <c r="B16" i="7"/>
  <c r="F16" i="7" s="1"/>
  <c r="D15" i="15"/>
  <c r="A17" i="7"/>
  <c r="D103" i="1"/>
  <c r="E26" i="6" s="1"/>
  <c r="F26" i="6" s="1"/>
  <c r="G26" i="6" s="1"/>
  <c r="I4" i="1"/>
  <c r="BA93" i="6" s="1"/>
  <c r="F57" i="1"/>
  <c r="F71" i="1"/>
  <c r="F88" i="1" s="1"/>
  <c r="C72" i="1"/>
  <c r="J21" i="6"/>
  <c r="A20" i="17"/>
  <c r="E18" i="17"/>
  <c r="F18" i="17"/>
  <c r="K55" i="1" s="1"/>
  <c r="I17" i="17"/>
  <c r="G17" i="17"/>
  <c r="J106" i="1" s="1"/>
  <c r="I17" i="16"/>
  <c r="G17" i="16"/>
  <c r="J105" i="1" s="1"/>
  <c r="A20" i="16"/>
  <c r="I17" i="15"/>
  <c r="G17" i="15"/>
  <c r="J104" i="1" s="1"/>
  <c r="A20" i="15"/>
  <c r="H62" i="12"/>
  <c r="H86" i="12"/>
  <c r="G62" i="12"/>
  <c r="BA74" i="12" s="1"/>
  <c r="BA92" i="12" s="1"/>
  <c r="K59" i="12"/>
  <c r="H11" i="7"/>
  <c r="C12" i="7" s="1"/>
  <c r="H12" i="7" s="1"/>
  <c r="C13" i="7" s="1"/>
  <c r="H13" i="7" s="1"/>
  <c r="I67" i="6" l="1"/>
  <c r="I68" i="6" s="1"/>
  <c r="B20" i="17"/>
  <c r="I123" i="6"/>
  <c r="J121" i="6"/>
  <c r="J122" i="6"/>
  <c r="B20" i="16"/>
  <c r="J112" i="6"/>
  <c r="D118" i="6"/>
  <c r="N17" i="18"/>
  <c r="Q17" i="18" s="1"/>
  <c r="P16" i="18"/>
  <c r="J70" i="12"/>
  <c r="J61" i="12"/>
  <c r="K70" i="12"/>
  <c r="K61" i="12"/>
  <c r="I70" i="12"/>
  <c r="I61" i="12"/>
  <c r="H68" i="6"/>
  <c r="I54" i="6"/>
  <c r="B20" i="15"/>
  <c r="J101" i="6"/>
  <c r="J106" i="6"/>
  <c r="J4" i="1"/>
  <c r="AZ93" i="6" s="1"/>
  <c r="K4" i="6"/>
  <c r="H13" i="18"/>
  <c r="F14" i="18"/>
  <c r="L13" i="18"/>
  <c r="J14" i="18"/>
  <c r="B14" i="18"/>
  <c r="D13" i="18"/>
  <c r="D56" i="1"/>
  <c r="D71" i="1" s="1"/>
  <c r="D88" i="1" s="1"/>
  <c r="H11" i="17"/>
  <c r="C12" i="17" s="1"/>
  <c r="H12" i="17" s="1"/>
  <c r="C13" i="17" s="1"/>
  <c r="E16" i="7"/>
  <c r="I16" i="7" s="1"/>
  <c r="B17" i="7"/>
  <c r="E17" i="7" s="1"/>
  <c r="D16" i="15"/>
  <c r="A18" i="7"/>
  <c r="D16" i="7"/>
  <c r="C62" i="1"/>
  <c r="C70" i="1"/>
  <c r="K21" i="6"/>
  <c r="I52" i="1"/>
  <c r="A21" i="17"/>
  <c r="I18" i="17"/>
  <c r="G18" i="17"/>
  <c r="K106" i="1" s="1"/>
  <c r="A21" i="16"/>
  <c r="A21" i="15"/>
  <c r="C14" i="7"/>
  <c r="F14" i="7"/>
  <c r="I62" i="12"/>
  <c r="I86" i="12"/>
  <c r="J62" i="12"/>
  <c r="B21" i="17" l="1"/>
  <c r="J67" i="6"/>
  <c r="K67" i="6" s="1"/>
  <c r="L67" i="6" s="1"/>
  <c r="B21" i="16"/>
  <c r="J123" i="6"/>
  <c r="K121" i="6"/>
  <c r="K122" i="6"/>
  <c r="K112" i="6"/>
  <c r="N18" i="18"/>
  <c r="P17" i="18"/>
  <c r="J54" i="6"/>
  <c r="B21" i="15"/>
  <c r="M59" i="12"/>
  <c r="L59" i="12"/>
  <c r="L61" i="12" s="1"/>
  <c r="K101" i="6"/>
  <c r="K106" i="6"/>
  <c r="D17" i="7"/>
  <c r="D17" i="17"/>
  <c r="K4" i="1"/>
  <c r="AY93" i="6" s="1"/>
  <c r="D17" i="16"/>
  <c r="D17" i="15"/>
  <c r="G16" i="7"/>
  <c r="I103" i="1" s="1"/>
  <c r="L4" i="6"/>
  <c r="L14" i="18"/>
  <c r="J15" i="18"/>
  <c r="F15" i="18"/>
  <c r="H14" i="18"/>
  <c r="D14" i="18"/>
  <c r="B15" i="18"/>
  <c r="D57" i="1"/>
  <c r="F17" i="7"/>
  <c r="J52" i="1" s="1"/>
  <c r="B18" i="7"/>
  <c r="F18" i="7" s="1"/>
  <c r="A19" i="7"/>
  <c r="E30" i="6"/>
  <c r="L21" i="6"/>
  <c r="A22" i="17"/>
  <c r="E20" i="16"/>
  <c r="F20" i="16"/>
  <c r="M54" i="1" s="1"/>
  <c r="A22" i="16"/>
  <c r="A22" i="15"/>
  <c r="E20" i="15"/>
  <c r="F20" i="15"/>
  <c r="M53" i="1" s="1"/>
  <c r="G52" i="1"/>
  <c r="G14" i="7"/>
  <c r="J86" i="12"/>
  <c r="K62" i="12"/>
  <c r="N59" i="12"/>
  <c r="I17" i="7"/>
  <c r="B22" i="17" l="1"/>
  <c r="J68" i="6"/>
  <c r="K68" i="6"/>
  <c r="M67" i="6"/>
  <c r="B22" i="16"/>
  <c r="K123" i="6"/>
  <c r="L121" i="6"/>
  <c r="L122" i="6"/>
  <c r="L112" i="6"/>
  <c r="P18" i="18"/>
  <c r="Q18" i="18"/>
  <c r="N70" i="12"/>
  <c r="N61" i="12"/>
  <c r="M70" i="12"/>
  <c r="M61" i="12"/>
  <c r="D18" i="15"/>
  <c r="L70" i="12"/>
  <c r="K54" i="6"/>
  <c r="B22" i="15"/>
  <c r="L101" i="6"/>
  <c r="L106" i="6"/>
  <c r="L4" i="1"/>
  <c r="D18" i="16"/>
  <c r="D18" i="7"/>
  <c r="D18" i="17"/>
  <c r="D58" i="1"/>
  <c r="E105" i="6" s="1"/>
  <c r="M4" i="6"/>
  <c r="H15" i="18"/>
  <c r="F16" i="18"/>
  <c r="D15" i="18"/>
  <c r="B16" i="18"/>
  <c r="J16" i="18"/>
  <c r="L15" i="18"/>
  <c r="G17" i="7"/>
  <c r="J103" i="1" s="1"/>
  <c r="E18" i="7"/>
  <c r="G18" i="7" s="1"/>
  <c r="B19" i="7"/>
  <c r="A20" i="7"/>
  <c r="G103" i="1"/>
  <c r="H26" i="6" s="1"/>
  <c r="G30" i="6"/>
  <c r="F30" i="6"/>
  <c r="M21" i="6"/>
  <c r="J56" i="1"/>
  <c r="K52" i="1"/>
  <c r="F21" i="17"/>
  <c r="N55" i="1" s="1"/>
  <c r="E21" i="17"/>
  <c r="A23" i="17"/>
  <c r="E21" i="16"/>
  <c r="F21" i="16"/>
  <c r="N54" i="1" s="1"/>
  <c r="A23" i="16"/>
  <c r="I20" i="16"/>
  <c r="G20" i="16"/>
  <c r="M105" i="1" s="1"/>
  <c r="I20" i="15"/>
  <c r="G20" i="15"/>
  <c r="M104" i="1" s="1"/>
  <c r="A23" i="15"/>
  <c r="E21" i="15"/>
  <c r="F21" i="15"/>
  <c r="N53" i="1" s="1"/>
  <c r="H14" i="7"/>
  <c r="K86" i="12"/>
  <c r="L62" i="12"/>
  <c r="L68" i="6"/>
  <c r="O59" i="12"/>
  <c r="M62" i="12"/>
  <c r="B23" i="17" l="1"/>
  <c r="B23" i="16"/>
  <c r="N67" i="6"/>
  <c r="O67" i="6" s="1"/>
  <c r="L123" i="6"/>
  <c r="M121" i="6"/>
  <c r="M122" i="6"/>
  <c r="M112" i="6"/>
  <c r="O70" i="12"/>
  <c r="O61" i="12"/>
  <c r="D19" i="17"/>
  <c r="B23" i="15"/>
  <c r="L54" i="6"/>
  <c r="M4" i="1"/>
  <c r="D20" i="16" s="1"/>
  <c r="D19" i="7"/>
  <c r="E19" i="7" s="1"/>
  <c r="M101" i="6"/>
  <c r="M106" i="6"/>
  <c r="D19" i="15"/>
  <c r="D19" i="16"/>
  <c r="E58" i="1"/>
  <c r="F58" i="1" s="1"/>
  <c r="D59" i="1"/>
  <c r="E117" i="6" s="1"/>
  <c r="D72" i="1"/>
  <c r="N4" i="6"/>
  <c r="D16" i="18"/>
  <c r="B17" i="18"/>
  <c r="H16" i="18"/>
  <c r="F17" i="18"/>
  <c r="L16" i="18"/>
  <c r="J17" i="18"/>
  <c r="I18" i="7"/>
  <c r="C15" i="7"/>
  <c r="F15" i="7"/>
  <c r="B20" i="7"/>
  <c r="E20" i="7" s="1"/>
  <c r="A21" i="7"/>
  <c r="K103" i="1"/>
  <c r="J57" i="1"/>
  <c r="J71" i="1"/>
  <c r="J88" i="1" s="1"/>
  <c r="N21" i="6"/>
  <c r="E22" i="17"/>
  <c r="F22" i="17"/>
  <c r="O55" i="1" s="1"/>
  <c r="I21" i="17"/>
  <c r="G21" i="17"/>
  <c r="N106" i="1" s="1"/>
  <c r="A24" i="17"/>
  <c r="I21" i="16"/>
  <c r="G21" i="16"/>
  <c r="N105" i="1" s="1"/>
  <c r="F22" i="16"/>
  <c r="O54" i="1" s="1"/>
  <c r="E22" i="16"/>
  <c r="A24" i="16"/>
  <c r="A24" i="15"/>
  <c r="I21" i="15"/>
  <c r="G21" i="15"/>
  <c r="N104" i="1" s="1"/>
  <c r="L86" i="12"/>
  <c r="BC72" i="12"/>
  <c r="N62" i="12"/>
  <c r="P59" i="12"/>
  <c r="M68" i="6"/>
  <c r="BC58" i="12"/>
  <c r="B24" i="17" l="1"/>
  <c r="B24" i="16"/>
  <c r="P67" i="6"/>
  <c r="B24" i="15"/>
  <c r="M123" i="6"/>
  <c r="N121" i="6"/>
  <c r="N122" i="6"/>
  <c r="N112" i="6"/>
  <c r="E118" i="6"/>
  <c r="P70" i="12"/>
  <c r="P61" i="12"/>
  <c r="D70" i="1"/>
  <c r="D20" i="17"/>
  <c r="M54" i="6"/>
  <c r="BC59" i="12"/>
  <c r="D20" i="15"/>
  <c r="D20" i="7"/>
  <c r="N4" i="1"/>
  <c r="N101" i="6"/>
  <c r="N106" i="6"/>
  <c r="E72" i="1"/>
  <c r="F105" i="6"/>
  <c r="F72" i="1"/>
  <c r="G105" i="6"/>
  <c r="E59" i="1"/>
  <c r="F117" i="6" s="1"/>
  <c r="D62" i="1"/>
  <c r="F59" i="1"/>
  <c r="G117" i="6" s="1"/>
  <c r="O4" i="6"/>
  <c r="H17" i="18"/>
  <c r="F18" i="18"/>
  <c r="H18" i="18" s="1"/>
  <c r="L17" i="18"/>
  <c r="J18" i="18"/>
  <c r="L18" i="18" s="1"/>
  <c r="B18" i="18"/>
  <c r="D18" i="18" s="1"/>
  <c r="D17" i="18"/>
  <c r="I19" i="7"/>
  <c r="B21" i="7"/>
  <c r="F21" i="7" s="1"/>
  <c r="G15" i="7"/>
  <c r="H103" i="1" s="1"/>
  <c r="H52" i="1"/>
  <c r="A22" i="7"/>
  <c r="O21" i="6"/>
  <c r="A25" i="17"/>
  <c r="B25" i="17" s="1"/>
  <c r="I22" i="17"/>
  <c r="G22" i="17"/>
  <c r="O106" i="1" s="1"/>
  <c r="A25" i="16"/>
  <c r="I22" i="16"/>
  <c r="G22" i="16"/>
  <c r="O105" i="1" s="1"/>
  <c r="A25" i="15"/>
  <c r="M86" i="12"/>
  <c r="N68" i="6"/>
  <c r="O62" i="12"/>
  <c r="I20" i="7"/>
  <c r="B25" i="16" l="1"/>
  <c r="Q67" i="6"/>
  <c r="B25" i="15"/>
  <c r="N123" i="6"/>
  <c r="O121" i="6"/>
  <c r="O122" i="6"/>
  <c r="O112" i="6"/>
  <c r="F118" i="6"/>
  <c r="G118" i="6" s="1"/>
  <c r="BC62" i="12"/>
  <c r="BC61" i="12"/>
  <c r="F62" i="1"/>
  <c r="E70" i="1"/>
  <c r="D21" i="7"/>
  <c r="N54" i="6"/>
  <c r="R59" i="12"/>
  <c r="Q59" i="12"/>
  <c r="D21" i="16"/>
  <c r="O4" i="1"/>
  <c r="E62" i="1"/>
  <c r="O101" i="6"/>
  <c r="O106" i="6"/>
  <c r="F70" i="1"/>
  <c r="I26" i="6"/>
  <c r="J26" i="6" s="1"/>
  <c r="K26" i="6" s="1"/>
  <c r="L26" i="6" s="1"/>
  <c r="P4" i="6"/>
  <c r="E21" i="7"/>
  <c r="I21" i="7" s="1"/>
  <c r="H15" i="7"/>
  <c r="C16" i="7" s="1"/>
  <c r="H16" i="7" s="1"/>
  <c r="C17" i="7" s="1"/>
  <c r="H17" i="7" s="1"/>
  <c r="C18" i="7" s="1"/>
  <c r="H18" i="7" s="1"/>
  <c r="F19" i="7" s="1"/>
  <c r="G19" i="7" s="1"/>
  <c r="B22" i="7"/>
  <c r="A23" i="7"/>
  <c r="P21" i="6"/>
  <c r="BD21" i="6" s="1"/>
  <c r="N52" i="1"/>
  <c r="A26" i="17"/>
  <c r="B26" i="17" s="1"/>
  <c r="F24" i="16"/>
  <c r="Q54" i="1" s="1"/>
  <c r="E24" i="16"/>
  <c r="A26" i="16"/>
  <c r="F24" i="15"/>
  <c r="Q53" i="1" s="1"/>
  <c r="E24" i="15"/>
  <c r="A26" i="15"/>
  <c r="N86" i="12"/>
  <c r="BC70" i="12"/>
  <c r="P62" i="12"/>
  <c r="O68" i="6"/>
  <c r="S59" i="12"/>
  <c r="F20" i="7"/>
  <c r="B26" i="16" l="1"/>
  <c r="B26" i="15"/>
  <c r="O123" i="6"/>
  <c r="P121" i="6"/>
  <c r="P122" i="6"/>
  <c r="P112" i="6"/>
  <c r="S70" i="12"/>
  <c r="S61" i="12"/>
  <c r="Q70" i="12"/>
  <c r="Q61" i="12"/>
  <c r="R67" i="6" s="1"/>
  <c r="R70" i="12"/>
  <c r="R61" i="12"/>
  <c r="D22" i="17"/>
  <c r="O54" i="6"/>
  <c r="P4" i="1"/>
  <c r="D23" i="16" s="1"/>
  <c r="D22" i="7"/>
  <c r="D22" i="15"/>
  <c r="P101" i="6"/>
  <c r="P106" i="6"/>
  <c r="G21" i="7"/>
  <c r="N103" i="1" s="1"/>
  <c r="L52" i="1"/>
  <c r="Q4" i="6"/>
  <c r="C19" i="7"/>
  <c r="H19" i="7" s="1"/>
  <c r="C20" i="7" s="1"/>
  <c r="B23" i="7"/>
  <c r="E22" i="7"/>
  <c r="I22" i="7" s="1"/>
  <c r="F22" i="7"/>
  <c r="O52" i="1" s="1"/>
  <c r="A24" i="7"/>
  <c r="L103" i="1"/>
  <c r="M26" i="6" s="1"/>
  <c r="Q21" i="6"/>
  <c r="N56" i="1"/>
  <c r="A27" i="17"/>
  <c r="B27" i="17" s="1"/>
  <c r="E25" i="16"/>
  <c r="F25" i="16"/>
  <c r="R54" i="1" s="1"/>
  <c r="I24" i="16"/>
  <c r="G24" i="16"/>
  <c r="Q105" i="1" s="1"/>
  <c r="A27" i="16"/>
  <c r="A27" i="15"/>
  <c r="E25" i="15"/>
  <c r="F25" i="15"/>
  <c r="R53" i="1" s="1"/>
  <c r="I24" i="15"/>
  <c r="G24" i="15"/>
  <c r="Q104" i="1" s="1"/>
  <c r="O86" i="12"/>
  <c r="P68" i="6"/>
  <c r="T59" i="12"/>
  <c r="R62" i="12"/>
  <c r="Q62" i="12"/>
  <c r="M52" i="1"/>
  <c r="G20" i="7"/>
  <c r="B27" i="16" l="1"/>
  <c r="B27" i="15"/>
  <c r="S67" i="6"/>
  <c r="T67" i="6" s="1"/>
  <c r="P123" i="6"/>
  <c r="Q121" i="6"/>
  <c r="Q122" i="6"/>
  <c r="Q112" i="6"/>
  <c r="T70" i="12"/>
  <c r="T61" i="12"/>
  <c r="P54" i="6"/>
  <c r="BD51" i="6"/>
  <c r="BD54" i="6" s="1"/>
  <c r="D23" i="7"/>
  <c r="E23" i="7" s="1"/>
  <c r="I23" i="7" s="1"/>
  <c r="Q4" i="1"/>
  <c r="Q101" i="6"/>
  <c r="Q106" i="6"/>
  <c r="R4" i="6"/>
  <c r="G22" i="7"/>
  <c r="O103" i="1" s="1"/>
  <c r="B24" i="7"/>
  <c r="A25" i="7"/>
  <c r="M103" i="1"/>
  <c r="N26" i="6" s="1"/>
  <c r="O26" i="6" s="1"/>
  <c r="N57" i="1"/>
  <c r="N71" i="1"/>
  <c r="N88" i="1" s="1"/>
  <c r="R21" i="6"/>
  <c r="F26" i="17"/>
  <c r="S55" i="1" s="1"/>
  <c r="E26" i="17"/>
  <c r="A28" i="17"/>
  <c r="B28" i="17" s="1"/>
  <c r="A28" i="16"/>
  <c r="F26" i="16"/>
  <c r="S54" i="1" s="1"/>
  <c r="E26" i="16"/>
  <c r="I25" i="16"/>
  <c r="G25" i="16"/>
  <c r="R105" i="1" s="1"/>
  <c r="I25" i="15"/>
  <c r="G25" i="15"/>
  <c r="R104" i="1" s="1"/>
  <c r="A28" i="15"/>
  <c r="B28" i="15" s="1"/>
  <c r="E26" i="15"/>
  <c r="F26" i="15"/>
  <c r="S53" i="1" s="1"/>
  <c r="BD83" i="6"/>
  <c r="P86" i="12"/>
  <c r="BD67" i="6"/>
  <c r="BD68" i="6" s="1"/>
  <c r="Q68" i="6"/>
  <c r="S62" i="12"/>
  <c r="U59" i="12"/>
  <c r="H20" i="7"/>
  <c r="C21" i="7" s="1"/>
  <c r="H21" i="7" s="1"/>
  <c r="C22" i="7" s="1"/>
  <c r="BC52" i="1"/>
  <c r="B28" i="16" l="1"/>
  <c r="U67" i="6"/>
  <c r="Q123" i="6"/>
  <c r="R121" i="6"/>
  <c r="R122" i="6"/>
  <c r="R112" i="6"/>
  <c r="U70" i="12"/>
  <c r="U61" i="12"/>
  <c r="D24" i="7"/>
  <c r="E24" i="7" s="1"/>
  <c r="I24" i="7" s="1"/>
  <c r="Q54" i="6"/>
  <c r="R4" i="1"/>
  <c r="D24" i="17"/>
  <c r="R101" i="6"/>
  <c r="R106" i="6"/>
  <c r="P26" i="6"/>
  <c r="H22" i="7"/>
  <c r="C23" i="7" s="1"/>
  <c r="S4" i="6"/>
  <c r="B25" i="7"/>
  <c r="F25" i="7" s="1"/>
  <c r="A26" i="7"/>
  <c r="BC103" i="1"/>
  <c r="S21" i="6"/>
  <c r="A29" i="17"/>
  <c r="B29" i="17" s="1"/>
  <c r="I26" i="17"/>
  <c r="G26" i="17"/>
  <c r="S106" i="1" s="1"/>
  <c r="I26" i="16"/>
  <c r="G26" i="16"/>
  <c r="S105" i="1" s="1"/>
  <c r="A29" i="16"/>
  <c r="A29" i="15"/>
  <c r="B29" i="15" s="1"/>
  <c r="I26" i="15"/>
  <c r="G26" i="15"/>
  <c r="S104" i="1" s="1"/>
  <c r="BC89" i="12"/>
  <c r="Q86" i="12"/>
  <c r="R68" i="6"/>
  <c r="V59" i="12"/>
  <c r="T62" i="12"/>
  <c r="B29" i="16" l="1"/>
  <c r="F23" i="7"/>
  <c r="P52" i="1" s="1"/>
  <c r="V67" i="6"/>
  <c r="R123" i="6"/>
  <c r="S121" i="6"/>
  <c r="S122" i="6"/>
  <c r="S112" i="6"/>
  <c r="V70" i="12"/>
  <c r="V61" i="12"/>
  <c r="D25" i="15"/>
  <c r="D25" i="16"/>
  <c r="R54" i="6"/>
  <c r="S4" i="1"/>
  <c r="D25" i="17"/>
  <c r="D25" i="7"/>
  <c r="S101" i="6"/>
  <c r="S106" i="6"/>
  <c r="E25" i="7"/>
  <c r="I25" i="7" s="1"/>
  <c r="B26" i="7"/>
  <c r="F26" i="7" s="1"/>
  <c r="T4" i="6"/>
  <c r="A27" i="7"/>
  <c r="T21" i="6"/>
  <c r="R52" i="1"/>
  <c r="A30" i="17"/>
  <c r="B30" i="17" s="1"/>
  <c r="A30" i="16"/>
  <c r="F28" i="15"/>
  <c r="U53" i="1" s="1"/>
  <c r="E28" i="15"/>
  <c r="A30" i="15"/>
  <c r="B30" i="15" s="1"/>
  <c r="R86" i="12"/>
  <c r="S68" i="6"/>
  <c r="U62" i="12"/>
  <c r="B30" i="16" l="1"/>
  <c r="G23" i="7"/>
  <c r="P103" i="1" s="1"/>
  <c r="Q26" i="6" s="1"/>
  <c r="W67" i="6"/>
  <c r="S123" i="6"/>
  <c r="T121" i="6"/>
  <c r="T122" i="6"/>
  <c r="T112" i="6"/>
  <c r="D26" i="17"/>
  <c r="D26" i="15"/>
  <c r="D26" i="16"/>
  <c r="S54" i="6"/>
  <c r="T4" i="1"/>
  <c r="D27" i="17" s="1"/>
  <c r="D26" i="7"/>
  <c r="E26" i="7"/>
  <c r="G26" i="7" s="1"/>
  <c r="X59" i="12"/>
  <c r="W59" i="12"/>
  <c r="G25" i="7"/>
  <c r="R103" i="1" s="1"/>
  <c r="T101" i="6"/>
  <c r="T106" i="6"/>
  <c r="B27" i="7"/>
  <c r="U4" i="6"/>
  <c r="A28" i="7"/>
  <c r="U21" i="6"/>
  <c r="S52" i="1"/>
  <c r="A31" i="17"/>
  <c r="B31" i="17" s="1"/>
  <c r="A31" i="16"/>
  <c r="E29" i="16"/>
  <c r="F29" i="16"/>
  <c r="V54" i="1" s="1"/>
  <c r="A31" i="15"/>
  <c r="B31" i="15" s="1"/>
  <c r="E29" i="15"/>
  <c r="F29" i="15"/>
  <c r="V53" i="1" s="1"/>
  <c r="I28" i="15"/>
  <c r="G28" i="15"/>
  <c r="U104" i="1" s="1"/>
  <c r="H23" i="7"/>
  <c r="S86" i="12"/>
  <c r="Y59" i="12"/>
  <c r="T68" i="6"/>
  <c r="V62" i="12"/>
  <c r="B31" i="16" l="1"/>
  <c r="T123" i="6"/>
  <c r="U121" i="6"/>
  <c r="U122" i="6"/>
  <c r="U112" i="6"/>
  <c r="X70" i="12"/>
  <c r="X61" i="12"/>
  <c r="Y70" i="12"/>
  <c r="Y61" i="12"/>
  <c r="W70" i="12"/>
  <c r="W61" i="12"/>
  <c r="X67" i="6" s="1"/>
  <c r="D27" i="15"/>
  <c r="T54" i="6"/>
  <c r="U4" i="1"/>
  <c r="D27" i="7"/>
  <c r="E27" i="7" s="1"/>
  <c r="I26" i="7"/>
  <c r="U101" i="6"/>
  <c r="U106" i="6"/>
  <c r="B28" i="7"/>
  <c r="V4" i="6"/>
  <c r="A29" i="7"/>
  <c r="S103" i="1"/>
  <c r="V21" i="6"/>
  <c r="S56" i="1"/>
  <c r="F30" i="17"/>
  <c r="W55" i="1" s="1"/>
  <c r="E30" i="17"/>
  <c r="A32" i="17"/>
  <c r="B32" i="17" s="1"/>
  <c r="F30" i="16"/>
  <c r="W54" i="1" s="1"/>
  <c r="E30" i="16"/>
  <c r="I29" i="16"/>
  <c r="G29" i="16"/>
  <c r="V105" i="1" s="1"/>
  <c r="A32" i="16"/>
  <c r="F30" i="15"/>
  <c r="W53" i="1" s="1"/>
  <c r="E30" i="15"/>
  <c r="I29" i="15"/>
  <c r="G29" i="15"/>
  <c r="V104" i="1" s="1"/>
  <c r="A32" i="15"/>
  <c r="B32" i="15" s="1"/>
  <c r="C24" i="7"/>
  <c r="F24" i="7"/>
  <c r="T86" i="12"/>
  <c r="U68" i="6"/>
  <c r="X62" i="12"/>
  <c r="W62" i="12"/>
  <c r="Z59" i="12"/>
  <c r="B32" i="16" l="1"/>
  <c r="I27" i="7"/>
  <c r="Y67" i="6"/>
  <c r="Z67" i="6" s="1"/>
  <c r="U123" i="6"/>
  <c r="V121" i="6"/>
  <c r="V122" i="6"/>
  <c r="V112" i="6"/>
  <c r="Z70" i="12"/>
  <c r="Z61" i="12"/>
  <c r="D28" i="17"/>
  <c r="D28" i="7"/>
  <c r="E28" i="7" s="1"/>
  <c r="I28" i="7" s="1"/>
  <c r="D28" i="16"/>
  <c r="U54" i="6"/>
  <c r="V4" i="1"/>
  <c r="W4" i="1" s="1"/>
  <c r="D30" i="17" s="1"/>
  <c r="B29" i="7"/>
  <c r="F29" i="7" s="1"/>
  <c r="V101" i="6"/>
  <c r="V106" i="6"/>
  <c r="W4" i="6"/>
  <c r="A30" i="7"/>
  <c r="S57" i="1"/>
  <c r="S71" i="1"/>
  <c r="S88" i="1" s="1"/>
  <c r="W21" i="6"/>
  <c r="A33" i="17"/>
  <c r="B33" i="17" s="1"/>
  <c r="I30" i="17"/>
  <c r="G30" i="17"/>
  <c r="W106" i="1" s="1"/>
  <c r="F31" i="17"/>
  <c r="X55" i="1" s="1"/>
  <c r="E31" i="17"/>
  <c r="A33" i="16"/>
  <c r="I30" i="16"/>
  <c r="G30" i="16"/>
  <c r="W105" i="1" s="1"/>
  <c r="I30" i="15"/>
  <c r="G30" i="15"/>
  <c r="W104" i="1" s="1"/>
  <c r="A33" i="15"/>
  <c r="B33" i="15" s="1"/>
  <c r="Q52" i="1"/>
  <c r="G24" i="7"/>
  <c r="U86" i="12"/>
  <c r="Y62" i="12"/>
  <c r="V68" i="6"/>
  <c r="AA59" i="12"/>
  <c r="B33" i="16" l="1"/>
  <c r="AA67" i="6"/>
  <c r="V123" i="6"/>
  <c r="W121" i="6"/>
  <c r="W122" i="6"/>
  <c r="W112" i="6"/>
  <c r="AA70" i="12"/>
  <c r="AA61" i="12"/>
  <c r="V54" i="6"/>
  <c r="D29" i="7"/>
  <c r="E29" i="7"/>
  <c r="G29" i="7" s="1"/>
  <c r="B30" i="7"/>
  <c r="F30" i="7" s="1"/>
  <c r="W101" i="6"/>
  <c r="W106" i="6"/>
  <c r="X4" i="6"/>
  <c r="D30" i="7"/>
  <c r="A31" i="7"/>
  <c r="Q103" i="1"/>
  <c r="R26" i="6" s="1"/>
  <c r="S26" i="6" s="1"/>
  <c r="T26" i="6" s="1"/>
  <c r="X21" i="6"/>
  <c r="V52" i="1"/>
  <c r="X4" i="1"/>
  <c r="A34" i="17"/>
  <c r="B34" i="17" s="1"/>
  <c r="I31" i="17"/>
  <c r="G31" i="17"/>
  <c r="X106" i="1" s="1"/>
  <c r="A34" i="16"/>
  <c r="A34" i="15"/>
  <c r="B34" i="15" s="1"/>
  <c r="H24" i="7"/>
  <c r="C25" i="7" s="1"/>
  <c r="H25" i="7" s="1"/>
  <c r="C26" i="7" s="1"/>
  <c r="H26" i="7" s="1"/>
  <c r="V86" i="12"/>
  <c r="Z62" i="12"/>
  <c r="W68" i="6"/>
  <c r="B34" i="16" l="1"/>
  <c r="AB67" i="6"/>
  <c r="W123" i="6"/>
  <c r="X121" i="6"/>
  <c r="X122" i="6"/>
  <c r="X112" i="6"/>
  <c r="I29" i="7"/>
  <c r="W54" i="6"/>
  <c r="E30" i="7"/>
  <c r="G30" i="7" s="1"/>
  <c r="AC59" i="12"/>
  <c r="AB59" i="12"/>
  <c r="B31" i="7"/>
  <c r="E31" i="7" s="1"/>
  <c r="X101" i="6"/>
  <c r="X106" i="6"/>
  <c r="Y4" i="6"/>
  <c r="D31" i="16"/>
  <c r="D31" i="15"/>
  <c r="D31" i="7"/>
  <c r="A32" i="7"/>
  <c r="V103" i="1"/>
  <c r="Y21" i="6"/>
  <c r="W52" i="1"/>
  <c r="A35" i="17"/>
  <c r="B35" i="17" s="1"/>
  <c r="Y4" i="1"/>
  <c r="A35" i="16"/>
  <c r="E33" i="16"/>
  <c r="F33" i="16"/>
  <c r="Z54" i="1" s="1"/>
  <c r="E33" i="15"/>
  <c r="F33" i="15"/>
  <c r="Z53" i="1" s="1"/>
  <c r="A35" i="15"/>
  <c r="B35" i="15" s="1"/>
  <c r="C27" i="7"/>
  <c r="F27" i="7"/>
  <c r="W86" i="12"/>
  <c r="BD58" i="12"/>
  <c r="AC86" i="12"/>
  <c r="AA62" i="12"/>
  <c r="X68" i="6"/>
  <c r="BD72" i="12"/>
  <c r="B35" i="16" l="1"/>
  <c r="X123" i="6"/>
  <c r="Y121" i="6"/>
  <c r="Y122" i="6"/>
  <c r="Y112" i="6"/>
  <c r="AC70" i="12"/>
  <c r="AC61" i="12"/>
  <c r="AB70" i="12"/>
  <c r="AB61" i="12"/>
  <c r="AC67" i="6" s="1"/>
  <c r="I30" i="7"/>
  <c r="X54" i="6"/>
  <c r="F31" i="7"/>
  <c r="G31" i="7" s="1"/>
  <c r="AE59" i="12"/>
  <c r="AD59" i="12"/>
  <c r="BD59" i="12"/>
  <c r="B32" i="7"/>
  <c r="Y101" i="6"/>
  <c r="Y106" i="6"/>
  <c r="Z4" i="6"/>
  <c r="D32" i="7"/>
  <c r="A33" i="7"/>
  <c r="W103" i="1"/>
  <c r="Z21" i="6"/>
  <c r="W56" i="1"/>
  <c r="A36" i="17"/>
  <c r="B36" i="17" s="1"/>
  <c r="F34" i="17"/>
  <c r="AA55" i="1" s="1"/>
  <c r="E34" i="17"/>
  <c r="Z4" i="1"/>
  <c r="F34" i="16"/>
  <c r="AA54" i="1" s="1"/>
  <c r="E34" i="16"/>
  <c r="A36" i="16"/>
  <c r="I33" i="16"/>
  <c r="G33" i="16"/>
  <c r="Z105" i="1" s="1"/>
  <c r="F34" i="15"/>
  <c r="AA53" i="1" s="1"/>
  <c r="E34" i="15"/>
  <c r="A36" i="15"/>
  <c r="B36" i="15" s="1"/>
  <c r="I33" i="15"/>
  <c r="G33" i="15"/>
  <c r="Z104" i="1" s="1"/>
  <c r="T52" i="1"/>
  <c r="G27" i="7"/>
  <c r="X86" i="12"/>
  <c r="Y68" i="6"/>
  <c r="AD86" i="12"/>
  <c r="AC62" i="12"/>
  <c r="AB62" i="12"/>
  <c r="I31" i="7"/>
  <c r="B36" i="16" l="1"/>
  <c r="AD67" i="6"/>
  <c r="Y123" i="6"/>
  <c r="Z121" i="6"/>
  <c r="Z122" i="6"/>
  <c r="Z112" i="6"/>
  <c r="BD62" i="12"/>
  <c r="BD61" i="12"/>
  <c r="AD70" i="12"/>
  <c r="AD61" i="12"/>
  <c r="AE70" i="12"/>
  <c r="AE61" i="12"/>
  <c r="X52" i="1"/>
  <c r="Y54" i="6"/>
  <c r="AE62" i="12"/>
  <c r="AF59" i="12"/>
  <c r="E32" i="7"/>
  <c r="I32" i="7" s="1"/>
  <c r="B33" i="7"/>
  <c r="Z101" i="6"/>
  <c r="Z106" i="6"/>
  <c r="AA4" i="6"/>
  <c r="D33" i="17"/>
  <c r="D33" i="16"/>
  <c r="D33" i="15"/>
  <c r="D33" i="7"/>
  <c r="A34" i="7"/>
  <c r="T103" i="1"/>
  <c r="U26" i="6" s="1"/>
  <c r="X103" i="1"/>
  <c r="W57" i="1"/>
  <c r="W71" i="1"/>
  <c r="W88" i="1" s="1"/>
  <c r="AA21" i="6"/>
  <c r="I34" i="17"/>
  <c r="G34" i="17"/>
  <c r="AA106" i="1" s="1"/>
  <c r="AA4" i="1"/>
  <c r="A37" i="17"/>
  <c r="B37" i="17" s="1"/>
  <c r="F35" i="17"/>
  <c r="AB55" i="1" s="1"/>
  <c r="E35" i="17"/>
  <c r="I34" i="16"/>
  <c r="G34" i="16"/>
  <c r="AA105" i="1" s="1"/>
  <c r="A37" i="16"/>
  <c r="F35" i="16"/>
  <c r="AB54" i="1" s="1"/>
  <c r="E35" i="16"/>
  <c r="A37" i="15"/>
  <c r="B37" i="15" s="1"/>
  <c r="I34" i="15"/>
  <c r="G34" i="15"/>
  <c r="AA104" i="1" s="1"/>
  <c r="H27" i="7"/>
  <c r="Y86" i="12"/>
  <c r="BD70" i="12"/>
  <c r="AD62" i="12"/>
  <c r="Z68" i="6"/>
  <c r="B37" i="16" l="1"/>
  <c r="AE67" i="6"/>
  <c r="AF67" i="6" s="1"/>
  <c r="E33" i="7"/>
  <c r="I33" i="7" s="1"/>
  <c r="Z123" i="6"/>
  <c r="AA121" i="6"/>
  <c r="AA122" i="6"/>
  <c r="AA112" i="6"/>
  <c r="AF70" i="12"/>
  <c r="AF61" i="12"/>
  <c r="AF86" i="12"/>
  <c r="AE86" i="12"/>
  <c r="AF62" i="12"/>
  <c r="Z54" i="6"/>
  <c r="B34" i="7"/>
  <c r="E34" i="7" s="1"/>
  <c r="AG59" i="12"/>
  <c r="AA101" i="6"/>
  <c r="AA106" i="6"/>
  <c r="AB4" i="6"/>
  <c r="C28" i="7"/>
  <c r="F28" i="7"/>
  <c r="D34" i="7"/>
  <c r="A35" i="7"/>
  <c r="AB21" i="6"/>
  <c r="I35" i="17"/>
  <c r="G35" i="17"/>
  <c r="AB106" i="1" s="1"/>
  <c r="A38" i="17"/>
  <c r="B38" i="17" s="1"/>
  <c r="AB4" i="1"/>
  <c r="I35" i="16"/>
  <c r="G35" i="16"/>
  <c r="AB105" i="1" s="1"/>
  <c r="A38" i="16"/>
  <c r="A38" i="15"/>
  <c r="B38" i="15" s="1"/>
  <c r="AH59" i="12"/>
  <c r="Z86" i="12"/>
  <c r="AA68" i="6"/>
  <c r="B38" i="16" l="1"/>
  <c r="AG67" i="6"/>
  <c r="AA123" i="6"/>
  <c r="AB121" i="6"/>
  <c r="AB122" i="6"/>
  <c r="AB112" i="6"/>
  <c r="AH70" i="12"/>
  <c r="AH61" i="12"/>
  <c r="AG70" i="12"/>
  <c r="AG61" i="12"/>
  <c r="AG86" i="12"/>
  <c r="B35" i="7"/>
  <c r="F35" i="7" s="1"/>
  <c r="AA54" i="6"/>
  <c r="F34" i="7"/>
  <c r="AA52" i="1" s="1"/>
  <c r="AB101" i="6"/>
  <c r="AB106" i="6"/>
  <c r="AC4" i="6"/>
  <c r="U52" i="1"/>
  <c r="G28" i="7"/>
  <c r="U103" i="1" s="1"/>
  <c r="D35" i="15"/>
  <c r="D35" i="7"/>
  <c r="A36" i="7"/>
  <c r="AC21" i="6"/>
  <c r="BE21" i="6" s="1"/>
  <c r="AC4" i="1"/>
  <c r="A39" i="17"/>
  <c r="B39" i="17" s="1"/>
  <c r="A39" i="16"/>
  <c r="E37" i="16"/>
  <c r="F37" i="16"/>
  <c r="AD54" i="1" s="1"/>
  <c r="A39" i="15"/>
  <c r="B39" i="15" s="1"/>
  <c r="E37" i="15"/>
  <c r="F37" i="15"/>
  <c r="AD53" i="1" s="1"/>
  <c r="AG62" i="12"/>
  <c r="AB68" i="6"/>
  <c r="AH62" i="12"/>
  <c r="I34" i="7"/>
  <c r="B39" i="16" l="1"/>
  <c r="AH67" i="6"/>
  <c r="AI67" i="6" s="1"/>
  <c r="AB123" i="6"/>
  <c r="AC121" i="6"/>
  <c r="AC122" i="6"/>
  <c r="AC112" i="6"/>
  <c r="D36" i="17"/>
  <c r="AH86" i="12"/>
  <c r="AA86" i="12"/>
  <c r="AB86" i="12"/>
  <c r="B36" i="7"/>
  <c r="E35" i="7"/>
  <c r="G35" i="7" s="1"/>
  <c r="G34" i="7"/>
  <c r="AA103" i="1" s="1"/>
  <c r="AB54" i="6"/>
  <c r="AI59" i="12"/>
  <c r="AC101" i="6"/>
  <c r="AC106" i="6"/>
  <c r="V26" i="6"/>
  <c r="W26" i="6" s="1"/>
  <c r="X26" i="6" s="1"/>
  <c r="Y26" i="6" s="1"/>
  <c r="AD4" i="6"/>
  <c r="H28" i="7"/>
  <c r="C29" i="7" s="1"/>
  <c r="H29" i="7" s="1"/>
  <c r="C30" i="7" s="1"/>
  <c r="H30" i="7" s="1"/>
  <c r="C31" i="7" s="1"/>
  <c r="H31" i="7" s="1"/>
  <c r="C32" i="7" s="1"/>
  <c r="D36" i="16"/>
  <c r="D36" i="15"/>
  <c r="D36" i="7"/>
  <c r="A37" i="7"/>
  <c r="AD21" i="6"/>
  <c r="AA56" i="1"/>
  <c r="AB52" i="1"/>
  <c r="AD4" i="1"/>
  <c r="A40" i="17"/>
  <c r="B40" i="17" s="1"/>
  <c r="I37" i="16"/>
  <c r="G37" i="16"/>
  <c r="AD105" i="1" s="1"/>
  <c r="A40" i="16"/>
  <c r="F38" i="16"/>
  <c r="AE54" i="1" s="1"/>
  <c r="E38" i="16"/>
  <c r="F38" i="15"/>
  <c r="AE53" i="1" s="1"/>
  <c r="E38" i="15"/>
  <c r="A40" i="15"/>
  <c r="B40" i="15" s="1"/>
  <c r="I37" i="15"/>
  <c r="G37" i="15"/>
  <c r="AD104" i="1" s="1"/>
  <c r="AJ59" i="12"/>
  <c r="AC68" i="6"/>
  <c r="B40" i="16" l="1"/>
  <c r="D12" i="6"/>
  <c r="C78" i="1" s="1"/>
  <c r="E12" i="6"/>
  <c r="F12" i="6"/>
  <c r="G12" i="6"/>
  <c r="H12" i="6"/>
  <c r="I12" i="6"/>
  <c r="J12" i="6"/>
  <c r="K12" i="6"/>
  <c r="L12" i="6"/>
  <c r="M12" i="6"/>
  <c r="N12" i="6"/>
  <c r="O12" i="6"/>
  <c r="P12" i="6"/>
  <c r="Q12" i="6"/>
  <c r="R12" i="6"/>
  <c r="S12" i="6"/>
  <c r="T12" i="6"/>
  <c r="U12" i="6"/>
  <c r="V12" i="6"/>
  <c r="W12" i="6"/>
  <c r="X12" i="6"/>
  <c r="Y12" i="6"/>
  <c r="Z12" i="6"/>
  <c r="AA12" i="6"/>
  <c r="AB12" i="6"/>
  <c r="AC12" i="6"/>
  <c r="AD12" i="6"/>
  <c r="B37" i="7"/>
  <c r="AC123" i="6"/>
  <c r="AD121" i="6"/>
  <c r="AD122" i="6"/>
  <c r="AD112" i="6"/>
  <c r="AJ70" i="12"/>
  <c r="AJ61" i="12"/>
  <c r="AI70" i="12"/>
  <c r="AI61" i="12"/>
  <c r="AJ67" i="6" s="1"/>
  <c r="I35" i="7"/>
  <c r="AI86" i="12"/>
  <c r="E36" i="7"/>
  <c r="AI62" i="12"/>
  <c r="AC54" i="6"/>
  <c r="BE51" i="6"/>
  <c r="BE54" i="6" s="1"/>
  <c r="AD101" i="6"/>
  <c r="AD106" i="6"/>
  <c r="AE4" i="6"/>
  <c r="F32" i="7"/>
  <c r="G32" i="7" s="1"/>
  <c r="D37" i="17"/>
  <c r="D37" i="16"/>
  <c r="D37" i="15"/>
  <c r="D37" i="7"/>
  <c r="A38" i="7"/>
  <c r="AB103" i="1"/>
  <c r="AA57" i="1"/>
  <c r="AA71" i="1"/>
  <c r="AA88" i="1" s="1"/>
  <c r="AE21" i="6"/>
  <c r="AE4" i="1"/>
  <c r="F39" i="17"/>
  <c r="AF55" i="1" s="1"/>
  <c r="E39" i="17"/>
  <c r="A41" i="17"/>
  <c r="B41" i="17" s="1"/>
  <c r="I38" i="16"/>
  <c r="G38" i="16"/>
  <c r="AE105" i="1" s="1"/>
  <c r="A41" i="16"/>
  <c r="F39" i="16"/>
  <c r="AF54" i="1" s="1"/>
  <c r="E39" i="16"/>
  <c r="A41" i="15"/>
  <c r="B41" i="15" s="1"/>
  <c r="I38" i="15"/>
  <c r="G38" i="15"/>
  <c r="AE104" i="1" s="1"/>
  <c r="F39" i="15"/>
  <c r="AF53" i="1" s="1"/>
  <c r="E39" i="15"/>
  <c r="BD89" i="12"/>
  <c r="AD68" i="6"/>
  <c r="BE67" i="6"/>
  <c r="AJ62" i="12"/>
  <c r="B41" i="16" l="1"/>
  <c r="I36" i="7"/>
  <c r="AE12" i="6"/>
  <c r="AD78" i="1" s="1"/>
  <c r="AK67" i="6"/>
  <c r="B38" i="7"/>
  <c r="E38" i="7" s="1"/>
  <c r="E37" i="7"/>
  <c r="I37" i="7" s="1"/>
  <c r="AD123" i="6"/>
  <c r="AE121" i="6"/>
  <c r="AE122" i="6"/>
  <c r="AE112" i="6"/>
  <c r="D38" i="15"/>
  <c r="AJ86" i="12"/>
  <c r="BE68" i="6"/>
  <c r="AD54" i="6"/>
  <c r="AK59" i="12"/>
  <c r="AE101" i="6"/>
  <c r="AE106" i="6"/>
  <c r="V78" i="1"/>
  <c r="N78" i="1"/>
  <c r="Z78" i="1"/>
  <c r="R78" i="1"/>
  <c r="J78" i="1"/>
  <c r="Y78" i="1"/>
  <c r="U78" i="1"/>
  <c r="Q78" i="1"/>
  <c r="M78" i="1"/>
  <c r="I78" i="1"/>
  <c r="E78" i="1"/>
  <c r="AB78" i="1"/>
  <c r="X78" i="1"/>
  <c r="T78" i="1"/>
  <c r="L78" i="1"/>
  <c r="H78" i="1"/>
  <c r="D78" i="1"/>
  <c r="F78" i="1"/>
  <c r="BE12" i="6"/>
  <c r="AC78" i="1"/>
  <c r="BD12" i="6"/>
  <c r="P78" i="1"/>
  <c r="AA78" i="1"/>
  <c r="W78" i="1"/>
  <c r="S78" i="1"/>
  <c r="O78" i="1"/>
  <c r="K78" i="1"/>
  <c r="G78" i="1"/>
  <c r="AF4" i="6"/>
  <c r="Y52" i="1"/>
  <c r="H32" i="7"/>
  <c r="Y103" i="1"/>
  <c r="Z26" i="6" s="1"/>
  <c r="D38" i="17"/>
  <c r="D38" i="7"/>
  <c r="A39" i="7"/>
  <c r="AF21" i="6"/>
  <c r="A42" i="17"/>
  <c r="B42" i="17" s="1"/>
  <c r="F40" i="17"/>
  <c r="AG55" i="1" s="1"/>
  <c r="E40" i="17"/>
  <c r="AF4" i="1"/>
  <c r="I39" i="17"/>
  <c r="G39" i="17"/>
  <c r="AF106" i="1" s="1"/>
  <c r="I39" i="16"/>
  <c r="G39" i="16"/>
  <c r="AF105" i="1" s="1"/>
  <c r="A42" i="16"/>
  <c r="I39" i="15"/>
  <c r="G39" i="15"/>
  <c r="AF104" i="1" s="1"/>
  <c r="A42" i="15"/>
  <c r="B42" i="15" s="1"/>
  <c r="AE68" i="6"/>
  <c r="B42" i="16" l="1"/>
  <c r="C33" i="7"/>
  <c r="F33" i="7"/>
  <c r="F38" i="7"/>
  <c r="G38" i="7" s="1"/>
  <c r="B39" i="7"/>
  <c r="E39" i="7" s="1"/>
  <c r="AF12" i="6"/>
  <c r="AE78" i="1" s="1"/>
  <c r="AE123" i="6"/>
  <c r="AF121" i="6"/>
  <c r="AF122" i="6"/>
  <c r="AF112" i="6"/>
  <c r="AK70" i="12"/>
  <c r="AK61" i="12"/>
  <c r="AL67" i="6" s="1"/>
  <c r="D39" i="16"/>
  <c r="AK62" i="12"/>
  <c r="AK86" i="12"/>
  <c r="AE54" i="6"/>
  <c r="AM59" i="12"/>
  <c r="AL59" i="12"/>
  <c r="AF101" i="6"/>
  <c r="AF106" i="6"/>
  <c r="BC78" i="1"/>
  <c r="BD78" i="1"/>
  <c r="AG4" i="6"/>
  <c r="D39" i="17"/>
  <c r="D39" i="15"/>
  <c r="D39" i="7"/>
  <c r="A40" i="7"/>
  <c r="AG21" i="6"/>
  <c r="A43" i="17"/>
  <c r="B43" i="17" s="1"/>
  <c r="AG4" i="1"/>
  <c r="I40" i="17"/>
  <c r="G40" i="17"/>
  <c r="AG106" i="1" s="1"/>
  <c r="A43" i="16"/>
  <c r="A43" i="15"/>
  <c r="B43" i="15" s="1"/>
  <c r="AF68" i="6"/>
  <c r="I38" i="7"/>
  <c r="AN59" i="12"/>
  <c r="B43" i="16" l="1"/>
  <c r="Z52" i="1"/>
  <c r="BD52" i="1" s="1"/>
  <c r="G33" i="7"/>
  <c r="Z103" i="1" s="1"/>
  <c r="AE52" i="1"/>
  <c r="F39" i="7"/>
  <c r="AF52" i="1" s="1"/>
  <c r="B40" i="7"/>
  <c r="E40" i="7" s="1"/>
  <c r="AG12" i="6"/>
  <c r="AF78" i="1" s="1"/>
  <c r="AF123" i="6"/>
  <c r="AG121" i="6"/>
  <c r="AG122" i="6"/>
  <c r="AG112" i="6"/>
  <c r="AN70" i="12"/>
  <c r="AN61" i="12"/>
  <c r="AL70" i="12"/>
  <c r="AL61" i="12"/>
  <c r="AM67" i="6" s="1"/>
  <c r="AM70" i="12"/>
  <c r="AM61" i="12"/>
  <c r="AL86" i="12"/>
  <c r="AF54" i="6"/>
  <c r="AL62" i="12"/>
  <c r="AG101" i="6"/>
  <c r="AG106" i="6"/>
  <c r="AH4" i="6"/>
  <c r="D40" i="17"/>
  <c r="D40" i="16"/>
  <c r="D40" i="15"/>
  <c r="D40" i="7"/>
  <c r="A41" i="7"/>
  <c r="AE103" i="1"/>
  <c r="AH21" i="6"/>
  <c r="AH4" i="1"/>
  <c r="A44" i="17"/>
  <c r="B44" i="17" s="1"/>
  <c r="A44" i="16"/>
  <c r="B44" i="16" s="1"/>
  <c r="F42" i="16"/>
  <c r="AI54" i="1" s="1"/>
  <c r="E42" i="16"/>
  <c r="F42" i="15"/>
  <c r="AI53" i="1" s="1"/>
  <c r="E42" i="15"/>
  <c r="A44" i="15"/>
  <c r="B44" i="15" s="1"/>
  <c r="AG68" i="6"/>
  <c r="AM62" i="12"/>
  <c r="I39" i="7"/>
  <c r="AO59" i="12"/>
  <c r="H33" i="7" l="1"/>
  <c r="C34" i="7" s="1"/>
  <c r="H34" i="7" s="1"/>
  <c r="C35" i="7" s="1"/>
  <c r="H35" i="7" s="1"/>
  <c r="AA26" i="6"/>
  <c r="AB26" i="6" s="1"/>
  <c r="AC26" i="6" s="1"/>
  <c r="BD103" i="1"/>
  <c r="F40" i="7"/>
  <c r="G40" i="7" s="1"/>
  <c r="G39" i="7"/>
  <c r="AF103" i="1" s="1"/>
  <c r="B41" i="7"/>
  <c r="AN67" i="6"/>
  <c r="AO67" i="6" s="1"/>
  <c r="AH12" i="6"/>
  <c r="AG78" i="1" s="1"/>
  <c r="AG123" i="6"/>
  <c r="AH121" i="6"/>
  <c r="AH122" i="6"/>
  <c r="AH112" i="6"/>
  <c r="AO70" i="12"/>
  <c r="AO61" i="12"/>
  <c r="AM86" i="12"/>
  <c r="AG54" i="6"/>
  <c r="AH101" i="6"/>
  <c r="AH106" i="6"/>
  <c r="AI4" i="6"/>
  <c r="F37" i="7"/>
  <c r="D41" i="16"/>
  <c r="D41" i="7"/>
  <c r="A42" i="7"/>
  <c r="AI21" i="6"/>
  <c r="AF56" i="1"/>
  <c r="A45" i="17"/>
  <c r="B45" i="17" s="1"/>
  <c r="F43" i="17"/>
  <c r="AJ55" i="1" s="1"/>
  <c r="E43" i="17"/>
  <c r="AI4" i="1"/>
  <c r="F43" i="16"/>
  <c r="AJ54" i="1" s="1"/>
  <c r="E43" i="16"/>
  <c r="I42" i="16"/>
  <c r="G42" i="16"/>
  <c r="AI105" i="1" s="1"/>
  <c r="A45" i="16"/>
  <c r="B45" i="16" s="1"/>
  <c r="I42" i="15"/>
  <c r="G42" i="15"/>
  <c r="AI104" i="1" s="1"/>
  <c r="A45" i="15"/>
  <c r="B45" i="15" s="1"/>
  <c r="F43" i="15"/>
  <c r="AJ53" i="1" s="1"/>
  <c r="E43" i="15"/>
  <c r="AH68" i="6"/>
  <c r="AP59" i="12"/>
  <c r="BE58" i="12"/>
  <c r="BE59" i="12" s="1"/>
  <c r="BE61" i="12" s="1"/>
  <c r="I40" i="7"/>
  <c r="AN62" i="12"/>
  <c r="C36" i="7" l="1"/>
  <c r="F36" i="7"/>
  <c r="AG52" i="1"/>
  <c r="B42" i="7"/>
  <c r="E42" i="7" s="1"/>
  <c r="E41" i="7"/>
  <c r="I41" i="7" s="1"/>
  <c r="AP67" i="6"/>
  <c r="AH123" i="6"/>
  <c r="AI121" i="6"/>
  <c r="AI122" i="6"/>
  <c r="AI112" i="6"/>
  <c r="AP70" i="12"/>
  <c r="AP61" i="12"/>
  <c r="D42" i="15"/>
  <c r="AH54" i="6"/>
  <c r="AI101" i="6"/>
  <c r="AI106" i="6"/>
  <c r="AJ4" i="6"/>
  <c r="G37" i="7"/>
  <c r="AD52" i="1"/>
  <c r="D42" i="17"/>
  <c r="D42" i="7"/>
  <c r="A43" i="7"/>
  <c r="AG103" i="1"/>
  <c r="AF57" i="1"/>
  <c r="AF71" i="1"/>
  <c r="AF88" i="1" s="1"/>
  <c r="AJ21" i="6"/>
  <c r="AJ4" i="1"/>
  <c r="I43" i="17"/>
  <c r="G43" i="17"/>
  <c r="AJ106" i="1" s="1"/>
  <c r="F44" i="17"/>
  <c r="AK55" i="1" s="1"/>
  <c r="E44" i="17"/>
  <c r="A46" i="17"/>
  <c r="B46" i="17" s="1"/>
  <c r="A46" i="16"/>
  <c r="B46" i="16" s="1"/>
  <c r="I43" i="16"/>
  <c r="G43" i="16"/>
  <c r="AJ105" i="1" s="1"/>
  <c r="I43" i="15"/>
  <c r="G43" i="15"/>
  <c r="AJ104" i="1" s="1"/>
  <c r="A46" i="15"/>
  <c r="B46" i="15" s="1"/>
  <c r="AI68" i="6"/>
  <c r="BE89" i="12"/>
  <c r="BE72" i="12"/>
  <c r="AO62" i="12"/>
  <c r="BE62" i="12"/>
  <c r="AQ59" i="12"/>
  <c r="AC52" i="1" l="1"/>
  <c r="G36" i="7"/>
  <c r="AC103" i="1" s="1"/>
  <c r="AD26" i="6" s="1"/>
  <c r="B43" i="7"/>
  <c r="F43" i="7" s="1"/>
  <c r="AQ67" i="6"/>
  <c r="AI123" i="6"/>
  <c r="AJ121" i="6"/>
  <c r="AJ122" i="6"/>
  <c r="AJ112" i="6"/>
  <c r="AQ70" i="12"/>
  <c r="AQ61" i="12"/>
  <c r="AN86" i="12"/>
  <c r="C74" i="12"/>
  <c r="C92" i="12" s="1"/>
  <c r="AH75" i="12"/>
  <c r="AH93" i="12" s="1"/>
  <c r="BB75" i="12"/>
  <c r="BB93" i="12" s="1"/>
  <c r="BB95" i="12" s="1"/>
  <c r="AN75" i="12"/>
  <c r="AN93" i="12" s="1"/>
  <c r="AN74" i="12"/>
  <c r="AN92" i="12" s="1"/>
  <c r="AT74" i="12"/>
  <c r="AT92" i="12" s="1"/>
  <c r="D75" i="12"/>
  <c r="D93" i="12" s="1"/>
  <c r="AJ75" i="12"/>
  <c r="AJ93" i="12" s="1"/>
  <c r="AY75" i="12"/>
  <c r="AY93" i="12" s="1"/>
  <c r="N74" i="12"/>
  <c r="N92" i="12" s="1"/>
  <c r="AQ75" i="12"/>
  <c r="AQ93" i="12" s="1"/>
  <c r="AI74" i="12"/>
  <c r="AI92" i="12" s="1"/>
  <c r="AC74" i="12"/>
  <c r="AC92" i="12" s="1"/>
  <c r="AY74" i="12"/>
  <c r="AY92" i="12" s="1"/>
  <c r="R75" i="12"/>
  <c r="R93" i="12" s="1"/>
  <c r="AG74" i="12"/>
  <c r="AG92" i="12" s="1"/>
  <c r="AS75" i="12"/>
  <c r="AS93" i="12" s="1"/>
  <c r="AC75" i="12"/>
  <c r="AC93" i="12" s="1"/>
  <c r="S75" i="12"/>
  <c r="S93" i="12" s="1"/>
  <c r="W75" i="12"/>
  <c r="W93" i="12" s="1"/>
  <c r="Z75" i="12"/>
  <c r="Z93" i="12" s="1"/>
  <c r="T74" i="12"/>
  <c r="T92" i="12" s="1"/>
  <c r="K75" i="12"/>
  <c r="K93" i="12" s="1"/>
  <c r="R74" i="12"/>
  <c r="R92" i="12" s="1"/>
  <c r="AM75" i="12"/>
  <c r="AM93" i="12" s="1"/>
  <c r="U74" i="12"/>
  <c r="U92" i="12" s="1"/>
  <c r="O74" i="12"/>
  <c r="O92" i="12" s="1"/>
  <c r="AW74" i="12"/>
  <c r="AW92" i="12" s="1"/>
  <c r="AA75" i="12"/>
  <c r="AA93" i="12" s="1"/>
  <c r="AS74" i="12"/>
  <c r="AS92" i="12" s="1"/>
  <c r="AL74" i="12"/>
  <c r="AL92" i="12" s="1"/>
  <c r="AZ74" i="12"/>
  <c r="AZ92" i="12" s="1"/>
  <c r="Y74" i="12"/>
  <c r="Y92" i="12" s="1"/>
  <c r="AU75" i="12"/>
  <c r="AU93" i="12" s="1"/>
  <c r="AB75" i="12"/>
  <c r="AB93" i="12" s="1"/>
  <c r="AB74" i="12"/>
  <c r="AB92" i="12" s="1"/>
  <c r="S74" i="12"/>
  <c r="S92" i="12" s="1"/>
  <c r="AF75" i="12"/>
  <c r="AF93" i="12" s="1"/>
  <c r="AV74" i="12"/>
  <c r="AV92" i="12" s="1"/>
  <c r="L74" i="12"/>
  <c r="L92" i="12" s="1"/>
  <c r="E75" i="12"/>
  <c r="E93" i="12" s="1"/>
  <c r="AR74" i="12"/>
  <c r="AR92" i="12" s="1"/>
  <c r="AG75" i="12"/>
  <c r="AG93" i="12" s="1"/>
  <c r="AJ74" i="12"/>
  <c r="AJ92" i="12" s="1"/>
  <c r="L75" i="12"/>
  <c r="L93" i="12" s="1"/>
  <c r="O75" i="12"/>
  <c r="O93" i="12" s="1"/>
  <c r="U75" i="12"/>
  <c r="U93" i="12" s="1"/>
  <c r="H75" i="12"/>
  <c r="H93" i="12" s="1"/>
  <c r="AD75" i="12"/>
  <c r="AD93" i="12" s="1"/>
  <c r="X74" i="12"/>
  <c r="X92" i="12" s="1"/>
  <c r="G74" i="12"/>
  <c r="G92" i="12" s="1"/>
  <c r="P74" i="12"/>
  <c r="P92" i="12" s="1"/>
  <c r="AK75" i="12"/>
  <c r="AK93" i="12" s="1"/>
  <c r="M74" i="12"/>
  <c r="M92" i="12" s="1"/>
  <c r="AR75" i="12"/>
  <c r="AR93" i="12" s="1"/>
  <c r="AO74" i="12"/>
  <c r="AO92" i="12" s="1"/>
  <c r="F74" i="12"/>
  <c r="F92" i="12" s="1"/>
  <c r="AO75" i="12"/>
  <c r="AO93" i="12" s="1"/>
  <c r="H74" i="12"/>
  <c r="H92" i="12" s="1"/>
  <c r="T75" i="12"/>
  <c r="T93" i="12" s="1"/>
  <c r="W74" i="12"/>
  <c r="W92" i="12" s="1"/>
  <c r="AP75" i="12"/>
  <c r="AP93" i="12" s="1"/>
  <c r="K74" i="12"/>
  <c r="K92" i="12" s="1"/>
  <c r="AE74" i="12"/>
  <c r="AE92" i="12" s="1"/>
  <c r="AT75" i="12"/>
  <c r="AT93" i="12" s="1"/>
  <c r="G75" i="12"/>
  <c r="G93" i="12" s="1"/>
  <c r="AW75" i="12"/>
  <c r="AW93" i="12" s="1"/>
  <c r="X75" i="12"/>
  <c r="X93" i="12" s="1"/>
  <c r="AD74" i="12"/>
  <c r="AD92" i="12" s="1"/>
  <c r="AI75" i="12"/>
  <c r="AI93" i="12" s="1"/>
  <c r="AZ75" i="12"/>
  <c r="AZ93" i="12" s="1"/>
  <c r="AU74" i="12"/>
  <c r="AU92" i="12" s="1"/>
  <c r="P75" i="12"/>
  <c r="P93" i="12" s="1"/>
  <c r="AK74" i="12"/>
  <c r="AK92" i="12" s="1"/>
  <c r="C75" i="12"/>
  <c r="C93" i="12" s="1"/>
  <c r="N75" i="12"/>
  <c r="N93" i="12" s="1"/>
  <c r="V75" i="12"/>
  <c r="V93" i="12" s="1"/>
  <c r="V74" i="12"/>
  <c r="V92" i="12" s="1"/>
  <c r="AX75" i="12"/>
  <c r="AX93" i="12" s="1"/>
  <c r="AX74" i="12"/>
  <c r="AX92" i="12" s="1"/>
  <c r="I74" i="12"/>
  <c r="I92" i="12" s="1"/>
  <c r="J75" i="12"/>
  <c r="J93" i="12" s="1"/>
  <c r="AF74" i="12"/>
  <c r="AF92" i="12" s="1"/>
  <c r="Q74" i="12"/>
  <c r="Q92" i="12" s="1"/>
  <c r="AV75" i="12"/>
  <c r="AV93" i="12" s="1"/>
  <c r="BA75" i="12"/>
  <c r="BA93" i="12" s="1"/>
  <c r="BA95" i="12" s="1"/>
  <c r="AH74" i="12"/>
  <c r="AH92" i="12" s="1"/>
  <c r="D74" i="12"/>
  <c r="D92" i="12" s="1"/>
  <c r="AQ74" i="12"/>
  <c r="AQ92" i="12" s="1"/>
  <c r="J74" i="12"/>
  <c r="J92" i="12" s="1"/>
  <c r="I75" i="12"/>
  <c r="I93" i="12" s="1"/>
  <c r="AE75" i="12"/>
  <c r="AE93" i="12" s="1"/>
  <c r="AL75" i="12"/>
  <c r="AL93" i="12" s="1"/>
  <c r="Q75" i="12"/>
  <c r="Q93" i="12" s="1"/>
  <c r="F75" i="12"/>
  <c r="F93" i="12" s="1"/>
  <c r="M75" i="12"/>
  <c r="M93" i="12" s="1"/>
  <c r="E74" i="12"/>
  <c r="E92" i="12" s="1"/>
  <c r="Y75" i="12"/>
  <c r="Y93" i="12" s="1"/>
  <c r="AP74" i="12"/>
  <c r="AP92" i="12" s="1"/>
  <c r="AA74" i="12"/>
  <c r="AA92" i="12" s="1"/>
  <c r="AM74" i="12"/>
  <c r="AM92" i="12" s="1"/>
  <c r="Z74" i="12"/>
  <c r="Z92" i="12" s="1"/>
  <c r="AI54" i="6"/>
  <c r="AJ101" i="6"/>
  <c r="AJ106" i="6"/>
  <c r="AK4" i="6"/>
  <c r="AD103" i="1"/>
  <c r="D43" i="16"/>
  <c r="D43" i="15"/>
  <c r="D43" i="7"/>
  <c r="A44" i="7"/>
  <c r="AK21" i="6"/>
  <c r="I44" i="17"/>
  <c r="G44" i="17"/>
  <c r="AK106" i="1" s="1"/>
  <c r="A47" i="17"/>
  <c r="B47" i="17" s="1"/>
  <c r="AK4" i="1"/>
  <c r="A47" i="16"/>
  <c r="B47" i="16" s="1"/>
  <c r="A47" i="15"/>
  <c r="B47" i="15" s="1"/>
  <c r="AJ68" i="6"/>
  <c r="AR59" i="12"/>
  <c r="BE70" i="12"/>
  <c r="AP62" i="12"/>
  <c r="I42" i="7"/>
  <c r="AJ95" i="12" l="1"/>
  <c r="B44" i="7"/>
  <c r="F44" i="7" s="1"/>
  <c r="H36" i="7"/>
  <c r="C37" i="7" s="1"/>
  <c r="H37" i="7" s="1"/>
  <c r="C38" i="7" s="1"/>
  <c r="H38" i="7" s="1"/>
  <c r="C39" i="7" s="1"/>
  <c r="H39" i="7" s="1"/>
  <c r="C40" i="7" s="1"/>
  <c r="H40" i="7" s="1"/>
  <c r="C41" i="7" s="1"/>
  <c r="E43" i="7"/>
  <c r="G43" i="7" s="1"/>
  <c r="AR67" i="6"/>
  <c r="E95" i="12"/>
  <c r="K95" i="12"/>
  <c r="AJ123" i="6"/>
  <c r="AK121" i="6"/>
  <c r="AK122" i="6"/>
  <c r="AK112" i="6"/>
  <c r="AR70" i="12"/>
  <c r="AR61" i="12"/>
  <c r="AO86" i="12"/>
  <c r="BF83" i="6"/>
  <c r="Z95" i="12"/>
  <c r="J95" i="12"/>
  <c r="AS95" i="12"/>
  <c r="AM95" i="12"/>
  <c r="D95" i="12"/>
  <c r="AQ95" i="12"/>
  <c r="AD95" i="12"/>
  <c r="AY95" i="12"/>
  <c r="AA95" i="12"/>
  <c r="AK95" i="12"/>
  <c r="AU95" i="12"/>
  <c r="AP95" i="12"/>
  <c r="AH95" i="12"/>
  <c r="AF95" i="12"/>
  <c r="AX95" i="12"/>
  <c r="R95" i="12"/>
  <c r="S95" i="12"/>
  <c r="Q95" i="12"/>
  <c r="AO95" i="12"/>
  <c r="P95" i="12"/>
  <c r="L95" i="12"/>
  <c r="AB95" i="12"/>
  <c r="AZ95" i="12"/>
  <c r="AW95" i="12"/>
  <c r="AG95" i="12"/>
  <c r="AI95" i="12"/>
  <c r="V95" i="12"/>
  <c r="AE95" i="12"/>
  <c r="H95" i="12"/>
  <c r="G95" i="12"/>
  <c r="AV95" i="12"/>
  <c r="AL95" i="12"/>
  <c r="O95" i="12"/>
  <c r="M95" i="12"/>
  <c r="X95" i="12"/>
  <c r="AR95" i="12"/>
  <c r="U95" i="12"/>
  <c r="T95" i="12"/>
  <c r="N95" i="12"/>
  <c r="AT95" i="12"/>
  <c r="I95" i="12"/>
  <c r="W95" i="12"/>
  <c r="F95" i="12"/>
  <c r="Y95" i="12"/>
  <c r="AC95" i="12"/>
  <c r="AN95" i="12"/>
  <c r="BC93" i="12"/>
  <c r="BF93" i="12"/>
  <c r="BE93" i="12"/>
  <c r="BD93" i="12"/>
  <c r="BD92" i="12"/>
  <c r="BF92" i="12"/>
  <c r="BE92" i="12"/>
  <c r="C95" i="12"/>
  <c r="BC92" i="12"/>
  <c r="BF74" i="12"/>
  <c r="BD74" i="12"/>
  <c r="BC75" i="12"/>
  <c r="BF75" i="12"/>
  <c r="BE75" i="12"/>
  <c r="BD75" i="12"/>
  <c r="BE74" i="12"/>
  <c r="BC74" i="12"/>
  <c r="AJ54" i="6"/>
  <c r="AK101" i="6"/>
  <c r="AK106" i="6"/>
  <c r="AE26" i="6"/>
  <c r="AF26" i="6" s="1"/>
  <c r="AG26" i="6" s="1"/>
  <c r="AH26" i="6" s="1"/>
  <c r="AL4" i="6"/>
  <c r="D44" i="17"/>
  <c r="D44" i="16"/>
  <c r="D44" i="15"/>
  <c r="D44" i="7"/>
  <c r="A45" i="7"/>
  <c r="AL21" i="6"/>
  <c r="AJ52" i="1"/>
  <c r="AL4" i="1"/>
  <c r="A48" i="17"/>
  <c r="B48" i="17" s="1"/>
  <c r="A48" i="16"/>
  <c r="B48" i="16" s="1"/>
  <c r="F46" i="16"/>
  <c r="AM54" i="1" s="1"/>
  <c r="E46" i="16"/>
  <c r="F46" i="15"/>
  <c r="AM53" i="1" s="1"/>
  <c r="E46" i="15"/>
  <c r="A48" i="15"/>
  <c r="B48" i="15" s="1"/>
  <c r="AK68" i="6"/>
  <c r="AS59" i="12"/>
  <c r="AQ62" i="12"/>
  <c r="E44" i="7" l="1"/>
  <c r="I44" i="7" s="1"/>
  <c r="F41" i="7"/>
  <c r="G41" i="7" s="1"/>
  <c r="H41" i="7" s="1"/>
  <c r="B45" i="7"/>
  <c r="AS67" i="6"/>
  <c r="I43" i="7"/>
  <c r="BC95" i="12"/>
  <c r="AK123" i="6"/>
  <c r="AL121" i="6"/>
  <c r="AL122" i="6"/>
  <c r="AL112" i="6"/>
  <c r="AS70" i="12"/>
  <c r="AS61" i="12"/>
  <c r="AP86" i="12"/>
  <c r="BF95" i="12"/>
  <c r="BE95" i="12"/>
  <c r="BD95" i="12"/>
  <c r="BG93" i="12"/>
  <c r="BG92" i="12"/>
  <c r="BG74" i="12"/>
  <c r="BG75" i="12"/>
  <c r="AK54" i="6"/>
  <c r="AL101" i="6"/>
  <c r="AL106" i="6"/>
  <c r="AM4" i="6"/>
  <c r="D45" i="7"/>
  <c r="A46" i="7"/>
  <c r="AJ103" i="1"/>
  <c r="AM21" i="6"/>
  <c r="AK52" i="1"/>
  <c r="AJ56" i="1"/>
  <c r="A49" i="17"/>
  <c r="B49" i="17" s="1"/>
  <c r="F47" i="17"/>
  <c r="AN55" i="1" s="1"/>
  <c r="E47" i="17"/>
  <c r="AM4" i="1"/>
  <c r="F47" i="16"/>
  <c r="AN54" i="1" s="1"/>
  <c r="E47" i="16"/>
  <c r="I46" i="16"/>
  <c r="G46" i="16"/>
  <c r="AM105" i="1" s="1"/>
  <c r="A49" i="16"/>
  <c r="B49" i="16" s="1"/>
  <c r="I46" i="15"/>
  <c r="G46" i="15"/>
  <c r="AM104" i="1" s="1"/>
  <c r="F47" i="15"/>
  <c r="AN53" i="1" s="1"/>
  <c r="E47" i="15"/>
  <c r="A49" i="15"/>
  <c r="B49" i="15" s="1"/>
  <c r="AL68" i="6"/>
  <c r="AT59" i="12"/>
  <c r="AR62" i="12"/>
  <c r="AT67" i="6" l="1"/>
  <c r="G44" i="7"/>
  <c r="AK103" i="1" s="1"/>
  <c r="B46" i="7"/>
  <c r="AH52" i="1"/>
  <c r="AH103" i="1"/>
  <c r="AI26" i="6" s="1"/>
  <c r="E45" i="7"/>
  <c r="I45" i="7" s="1"/>
  <c r="AL123" i="6"/>
  <c r="AM121" i="6"/>
  <c r="AM122" i="6"/>
  <c r="AM112" i="6"/>
  <c r="AT70" i="12"/>
  <c r="AT61" i="12"/>
  <c r="AQ86" i="12"/>
  <c r="BG95" i="12"/>
  <c r="AL54" i="6"/>
  <c r="AM101" i="6"/>
  <c r="AM106" i="6"/>
  <c r="AN4" i="6"/>
  <c r="D46" i="16"/>
  <c r="D46" i="15"/>
  <c r="D46" i="7"/>
  <c r="A47" i="7"/>
  <c r="AJ57" i="1"/>
  <c r="AJ71" i="1"/>
  <c r="AJ88" i="1" s="1"/>
  <c r="AN21" i="6"/>
  <c r="AN4" i="1"/>
  <c r="I47" i="17"/>
  <c r="G47" i="17"/>
  <c r="AN106" i="1" s="1"/>
  <c r="F48" i="17"/>
  <c r="AO55" i="1" s="1"/>
  <c r="E48" i="17"/>
  <c r="A50" i="17"/>
  <c r="B50" i="17" s="1"/>
  <c r="I47" i="16"/>
  <c r="G47" i="16"/>
  <c r="AN105" i="1" s="1"/>
  <c r="A50" i="16"/>
  <c r="B50" i="16" s="1"/>
  <c r="F48" i="16"/>
  <c r="AO54" i="1" s="1"/>
  <c r="E48" i="16"/>
  <c r="F48" i="15"/>
  <c r="AO53" i="1" s="1"/>
  <c r="E48" i="15"/>
  <c r="A50" i="15"/>
  <c r="I47" i="15"/>
  <c r="G47" i="15"/>
  <c r="AN104" i="1" s="1"/>
  <c r="C42" i="7"/>
  <c r="F42" i="7"/>
  <c r="AM68" i="6"/>
  <c r="AS62" i="12"/>
  <c r="AU59" i="12"/>
  <c r="AU67" i="6" l="1"/>
  <c r="E46" i="7"/>
  <c r="I46" i="7" s="1"/>
  <c r="B47" i="7"/>
  <c r="F47" i="7" s="1"/>
  <c r="AM123" i="6"/>
  <c r="AN121" i="6"/>
  <c r="AN122" i="6"/>
  <c r="AN112" i="6"/>
  <c r="AU70" i="12"/>
  <c r="AU61" i="12"/>
  <c r="AR86" i="12"/>
  <c r="AO4" i="1"/>
  <c r="AM54" i="6"/>
  <c r="AN101" i="6"/>
  <c r="AN106" i="6"/>
  <c r="AO4" i="6"/>
  <c r="B50" i="15"/>
  <c r="D47" i="17"/>
  <c r="D13" i="17"/>
  <c r="D14" i="17"/>
  <c r="D15" i="17"/>
  <c r="D16" i="17"/>
  <c r="D21" i="17"/>
  <c r="D23" i="17"/>
  <c r="D29" i="17"/>
  <c r="D31" i="17"/>
  <c r="D32" i="17"/>
  <c r="D34" i="17"/>
  <c r="D35" i="17"/>
  <c r="D41" i="17"/>
  <c r="D43" i="17"/>
  <c r="D45" i="17"/>
  <c r="D46" i="17"/>
  <c r="D14" i="16"/>
  <c r="D13" i="16"/>
  <c r="D15" i="16"/>
  <c r="D16" i="16"/>
  <c r="D22" i="16"/>
  <c r="D24" i="16"/>
  <c r="D27" i="16"/>
  <c r="D29" i="16"/>
  <c r="D30" i="16"/>
  <c r="D32" i="16"/>
  <c r="D34" i="16"/>
  <c r="D35" i="16"/>
  <c r="D38" i="16"/>
  <c r="D42" i="16"/>
  <c r="D45" i="16"/>
  <c r="D47" i="16"/>
  <c r="D47" i="15"/>
  <c r="D14" i="15"/>
  <c r="D21" i="15"/>
  <c r="D23" i="15"/>
  <c r="D24" i="15"/>
  <c r="D28" i="15"/>
  <c r="D29" i="15"/>
  <c r="D30" i="15"/>
  <c r="D32" i="15"/>
  <c r="D34" i="15"/>
  <c r="D41" i="15"/>
  <c r="D45" i="15"/>
  <c r="D47" i="7"/>
  <c r="A48" i="7"/>
  <c r="AO21" i="6"/>
  <c r="A51" i="17"/>
  <c r="I48" i="17"/>
  <c r="G48" i="17"/>
  <c r="AO106" i="1" s="1"/>
  <c r="A51" i="16"/>
  <c r="I48" i="16"/>
  <c r="G48" i="16"/>
  <c r="AO105" i="1" s="1"/>
  <c r="I48" i="15"/>
  <c r="G48" i="15"/>
  <c r="AO104" i="1" s="1"/>
  <c r="A51" i="15"/>
  <c r="AI52" i="1"/>
  <c r="G42" i="7"/>
  <c r="AN68" i="6"/>
  <c r="AV59" i="12"/>
  <c r="AT62" i="12"/>
  <c r="AV67" i="6" l="1"/>
  <c r="E47" i="7"/>
  <c r="I47" i="7" s="1"/>
  <c r="B48" i="7"/>
  <c r="E48" i="7" s="1"/>
  <c r="E18" i="15"/>
  <c r="E22" i="15"/>
  <c r="E31" i="15"/>
  <c r="E35" i="15"/>
  <c r="E44" i="15"/>
  <c r="E18" i="16"/>
  <c r="E31" i="16"/>
  <c r="E40" i="16"/>
  <c r="E44" i="16"/>
  <c r="E15" i="17"/>
  <c r="E28" i="17"/>
  <c r="E37" i="17"/>
  <c r="E41" i="17"/>
  <c r="E41" i="15"/>
  <c r="E15" i="16"/>
  <c r="E28" i="16"/>
  <c r="E25" i="17"/>
  <c r="AN123" i="6"/>
  <c r="AO121" i="6"/>
  <c r="AO122" i="6"/>
  <c r="AO112" i="6"/>
  <c r="AV70" i="12"/>
  <c r="AV61" i="12"/>
  <c r="AS86" i="12"/>
  <c r="AP4" i="1"/>
  <c r="D48" i="16"/>
  <c r="D48" i="17"/>
  <c r="D48" i="15"/>
  <c r="AN54" i="6"/>
  <c r="AO101" i="6"/>
  <c r="AO106" i="6"/>
  <c r="AF99" i="6"/>
  <c r="AN99" i="6"/>
  <c r="AC99" i="6"/>
  <c r="AI99" i="6"/>
  <c r="AJ99" i="6"/>
  <c r="AS99" i="6"/>
  <c r="AW99" i="6"/>
  <c r="AA99" i="6"/>
  <c r="AE99" i="6"/>
  <c r="AX99" i="6"/>
  <c r="BA99" i="6"/>
  <c r="AQ99" i="6"/>
  <c r="T99" i="6"/>
  <c r="AP99" i="6"/>
  <c r="AK99" i="6"/>
  <c r="AM99" i="6"/>
  <c r="AD99" i="6"/>
  <c r="X99" i="6"/>
  <c r="AL99" i="6"/>
  <c r="AZ99" i="6"/>
  <c r="AG99" i="6"/>
  <c r="AU99" i="6"/>
  <c r="AT99" i="6"/>
  <c r="AV99" i="6"/>
  <c r="U99" i="6"/>
  <c r="W99" i="6"/>
  <c r="AO99" i="6"/>
  <c r="Y99" i="6"/>
  <c r="AH99" i="6"/>
  <c r="AY99" i="6"/>
  <c r="AR99" i="6"/>
  <c r="V99" i="6"/>
  <c r="Z99" i="6"/>
  <c r="AB99" i="6"/>
  <c r="AV93" i="6"/>
  <c r="AR93" i="6"/>
  <c r="AX93" i="6"/>
  <c r="AI93" i="6"/>
  <c r="AP93" i="6"/>
  <c r="AT93" i="6"/>
  <c r="AB93" i="6"/>
  <c r="AM93" i="6"/>
  <c r="AK93" i="6"/>
  <c r="AU93" i="6"/>
  <c r="AH93" i="6"/>
  <c r="AF93" i="6"/>
  <c r="AS93" i="6"/>
  <c r="AO93" i="6"/>
  <c r="AW93" i="6"/>
  <c r="X93" i="6"/>
  <c r="V93" i="6"/>
  <c r="AA93" i="6"/>
  <c r="U93" i="6"/>
  <c r="AN93" i="6"/>
  <c r="T93" i="6"/>
  <c r="Z93" i="6"/>
  <c r="W93" i="6"/>
  <c r="AD93" i="6"/>
  <c r="AE93" i="6"/>
  <c r="Y93" i="6"/>
  <c r="AJ93" i="6"/>
  <c r="AQ93" i="6"/>
  <c r="AC93" i="6"/>
  <c r="AL93" i="6"/>
  <c r="AG93" i="6"/>
  <c r="AP4" i="6"/>
  <c r="E16" i="17"/>
  <c r="E20" i="17"/>
  <c r="E24" i="17"/>
  <c r="E29" i="17"/>
  <c r="E33" i="17"/>
  <c r="E38" i="17"/>
  <c r="E42" i="17"/>
  <c r="E46" i="17"/>
  <c r="B51" i="17"/>
  <c r="E41" i="16"/>
  <c r="B51" i="16"/>
  <c r="E40" i="15"/>
  <c r="B51" i="15"/>
  <c r="E14" i="17"/>
  <c r="H13" i="17"/>
  <c r="E19" i="17"/>
  <c r="E23" i="17"/>
  <c r="E27" i="17"/>
  <c r="E32" i="17"/>
  <c r="E36" i="17"/>
  <c r="E45" i="17"/>
  <c r="H13" i="16"/>
  <c r="E14" i="16"/>
  <c r="E19" i="16"/>
  <c r="E23" i="16"/>
  <c r="E27" i="16"/>
  <c r="E32" i="16"/>
  <c r="E36" i="16"/>
  <c r="E45" i="16"/>
  <c r="F14" i="15"/>
  <c r="G53" i="1" s="1"/>
  <c r="E14" i="15"/>
  <c r="E19" i="15"/>
  <c r="E23" i="15"/>
  <c r="E27" i="15"/>
  <c r="E32" i="15"/>
  <c r="E36" i="15"/>
  <c r="E45" i="15"/>
  <c r="D48" i="7"/>
  <c r="A49" i="7"/>
  <c r="B49" i="7" s="1"/>
  <c r="AI103" i="1"/>
  <c r="AJ26" i="6" s="1"/>
  <c r="AK26" i="6" s="1"/>
  <c r="AL26" i="6" s="1"/>
  <c r="AP21" i="6"/>
  <c r="BF21" i="6" s="1"/>
  <c r="AN52" i="1"/>
  <c r="E49" i="17"/>
  <c r="A52" i="17"/>
  <c r="F50" i="16"/>
  <c r="AQ54" i="1" s="1"/>
  <c r="E50" i="16"/>
  <c r="A52" i="16"/>
  <c r="A52" i="15"/>
  <c r="F50" i="15"/>
  <c r="AQ53" i="1" s="1"/>
  <c r="E50" i="15"/>
  <c r="H42" i="7"/>
  <c r="C43" i="7" s="1"/>
  <c r="H43" i="7" s="1"/>
  <c r="C44" i="7" s="1"/>
  <c r="H44" i="7" s="1"/>
  <c r="AO68" i="6"/>
  <c r="F48" i="7"/>
  <c r="AU62" i="12"/>
  <c r="AW59" i="12"/>
  <c r="G47" i="7" l="1"/>
  <c r="AN103" i="1" s="1"/>
  <c r="AW67" i="6"/>
  <c r="I31" i="16"/>
  <c r="I18" i="16"/>
  <c r="I40" i="16"/>
  <c r="I44" i="16"/>
  <c r="I28" i="16"/>
  <c r="I15" i="16"/>
  <c r="AF13" i="6"/>
  <c r="AA13" i="6"/>
  <c r="Y13" i="6"/>
  <c r="AE13" i="6"/>
  <c r="W13" i="6"/>
  <c r="AD13" i="6"/>
  <c r="AB13" i="6"/>
  <c r="AC13" i="6"/>
  <c r="AG13" i="6"/>
  <c r="X13" i="6"/>
  <c r="Z13" i="6"/>
  <c r="AO123" i="6"/>
  <c r="AP121" i="6"/>
  <c r="AP122" i="6"/>
  <c r="AP112" i="6"/>
  <c r="D49" i="16"/>
  <c r="E49" i="16" s="1"/>
  <c r="I49" i="16" s="1"/>
  <c r="AQ4" i="1"/>
  <c r="AR4" i="1" s="1"/>
  <c r="AS4" i="1" s="1"/>
  <c r="AT4" i="1" s="1"/>
  <c r="AU4" i="1" s="1"/>
  <c r="AV4" i="1" s="1"/>
  <c r="AW4" i="1" s="1"/>
  <c r="AX4" i="1" s="1"/>
  <c r="AY4" i="1" s="1"/>
  <c r="AZ4" i="1" s="1"/>
  <c r="BA4" i="1" s="1"/>
  <c r="BB4" i="1" s="1"/>
  <c r="BG4" i="1" s="1"/>
  <c r="AW70" i="12"/>
  <c r="AW61" i="12"/>
  <c r="D49" i="17"/>
  <c r="D49" i="15"/>
  <c r="E49" i="15" s="1"/>
  <c r="S93" i="6"/>
  <c r="AT86" i="12"/>
  <c r="AO54" i="6"/>
  <c r="AP101" i="6"/>
  <c r="AP106" i="6"/>
  <c r="AQ4" i="6"/>
  <c r="B52" i="17"/>
  <c r="B52" i="16"/>
  <c r="I41" i="16"/>
  <c r="B52" i="15"/>
  <c r="C14" i="17"/>
  <c r="F14" i="17"/>
  <c r="G55" i="1" s="1"/>
  <c r="I14" i="17"/>
  <c r="I16" i="17" s="1"/>
  <c r="I45" i="16"/>
  <c r="I23" i="16"/>
  <c r="I36" i="16"/>
  <c r="I19" i="16"/>
  <c r="I32" i="16"/>
  <c r="I14" i="16"/>
  <c r="I27" i="16"/>
  <c r="C14" i="16"/>
  <c r="F14" i="16"/>
  <c r="G54" i="1" s="1"/>
  <c r="I14" i="15"/>
  <c r="G14" i="15"/>
  <c r="D49" i="7"/>
  <c r="E49" i="7" s="1"/>
  <c r="A50" i="7"/>
  <c r="B50" i="7" s="1"/>
  <c r="AQ21" i="6"/>
  <c r="AO52" i="1"/>
  <c r="AN56" i="1"/>
  <c r="A53" i="17"/>
  <c r="I50" i="16"/>
  <c r="G50" i="16"/>
  <c r="AQ105" i="1" s="1"/>
  <c r="F51" i="16"/>
  <c r="AR54" i="1" s="1"/>
  <c r="E51" i="16"/>
  <c r="A53" i="16"/>
  <c r="F51" i="15"/>
  <c r="AR53" i="1" s="1"/>
  <c r="E51" i="15"/>
  <c r="I50" i="15"/>
  <c r="G50" i="15"/>
  <c r="AQ104" i="1" s="1"/>
  <c r="A53" i="15"/>
  <c r="C45" i="7"/>
  <c r="F45" i="7"/>
  <c r="AP68" i="6"/>
  <c r="I48" i="7"/>
  <c r="G48" i="7"/>
  <c r="AX59" i="12"/>
  <c r="AV62" i="12"/>
  <c r="AX67" i="6" l="1"/>
  <c r="I15" i="17"/>
  <c r="I18" i="15"/>
  <c r="D51" i="15"/>
  <c r="S99" i="6"/>
  <c r="V13" i="6"/>
  <c r="V79" i="1" s="1"/>
  <c r="AP123" i="6"/>
  <c r="AQ121" i="6"/>
  <c r="AQ122" i="6"/>
  <c r="AQ112" i="6"/>
  <c r="R99" i="6"/>
  <c r="K93" i="6"/>
  <c r="N99" i="6"/>
  <c r="M99" i="6"/>
  <c r="L2" i="14"/>
  <c r="C146" i="14" s="1"/>
  <c r="L99" i="6"/>
  <c r="G93" i="6"/>
  <c r="O93" i="6"/>
  <c r="L93" i="6"/>
  <c r="K99" i="6"/>
  <c r="D53" i="15"/>
  <c r="D53" i="17"/>
  <c r="G99" i="6"/>
  <c r="P99" i="6"/>
  <c r="F99" i="6"/>
  <c r="E99" i="6"/>
  <c r="J93" i="6"/>
  <c r="D51" i="16"/>
  <c r="D93" i="6"/>
  <c r="I93" i="6"/>
  <c r="D50" i="16"/>
  <c r="Q93" i="6"/>
  <c r="D53" i="16"/>
  <c r="M1" i="14"/>
  <c r="H99" i="6"/>
  <c r="Q99" i="6"/>
  <c r="J99" i="6"/>
  <c r="E93" i="6"/>
  <c r="N93" i="6"/>
  <c r="D50" i="17"/>
  <c r="E50" i="17" s="1"/>
  <c r="R93" i="6"/>
  <c r="P93" i="6"/>
  <c r="D52" i="17"/>
  <c r="D50" i="15"/>
  <c r="I99" i="6"/>
  <c r="O99" i="6"/>
  <c r="M93" i="6"/>
  <c r="H93" i="6"/>
  <c r="D52" i="16"/>
  <c r="F93" i="6"/>
  <c r="D99" i="6"/>
  <c r="D52" i="15"/>
  <c r="D51" i="17"/>
  <c r="AX70" i="12"/>
  <c r="AX61" i="12"/>
  <c r="AU86" i="12"/>
  <c r="AP54" i="6"/>
  <c r="BF51" i="6"/>
  <c r="BF54" i="6" s="1"/>
  <c r="Z79" i="1"/>
  <c r="AQ101" i="6"/>
  <c r="AQ106" i="6"/>
  <c r="X79" i="1"/>
  <c r="AE79" i="1"/>
  <c r="W79" i="1"/>
  <c r="AA79" i="1"/>
  <c r="BE13" i="6"/>
  <c r="AC79" i="1"/>
  <c r="AF79" i="1"/>
  <c r="AD79" i="1"/>
  <c r="AB79" i="1"/>
  <c r="Y79" i="1"/>
  <c r="AR4" i="6"/>
  <c r="B53" i="17"/>
  <c r="B53" i="16"/>
  <c r="B53" i="15"/>
  <c r="G14" i="17"/>
  <c r="H14" i="17" s="1"/>
  <c r="I19" i="17"/>
  <c r="I23" i="17" s="1"/>
  <c r="G14" i="16"/>
  <c r="G56" i="1"/>
  <c r="G57" i="1" s="1"/>
  <c r="I19" i="15"/>
  <c r="H14" i="15"/>
  <c r="C15" i="15" s="1"/>
  <c r="H15" i="15" s="1"/>
  <c r="C16" i="15" s="1"/>
  <c r="H16" i="15" s="1"/>
  <c r="C17" i="15" s="1"/>
  <c r="H17" i="15" s="1"/>
  <c r="G104" i="1"/>
  <c r="H27" i="6" s="1"/>
  <c r="I27" i="6" s="1"/>
  <c r="J27" i="6" s="1"/>
  <c r="K27" i="6" s="1"/>
  <c r="D50" i="7"/>
  <c r="E50" i="7" s="1"/>
  <c r="A51" i="7"/>
  <c r="B51" i="7" s="1"/>
  <c r="AO103" i="1"/>
  <c r="AN57" i="1"/>
  <c r="AN71" i="1"/>
  <c r="AN88" i="1" s="1"/>
  <c r="AR21" i="6"/>
  <c r="AO56" i="1"/>
  <c r="F52" i="17"/>
  <c r="AS55" i="1" s="1"/>
  <c r="E52" i="17"/>
  <c r="A54" i="17"/>
  <c r="D54" i="17" s="1"/>
  <c r="F52" i="16"/>
  <c r="AS54" i="1" s="1"/>
  <c r="E52" i="16"/>
  <c r="A54" i="16"/>
  <c r="D54" i="16" s="1"/>
  <c r="I51" i="16"/>
  <c r="G51" i="16"/>
  <c r="AR105" i="1" s="1"/>
  <c r="I51" i="15"/>
  <c r="G51" i="15"/>
  <c r="AR104" i="1" s="1"/>
  <c r="A54" i="15"/>
  <c r="D54" i="15" s="1"/>
  <c r="F52" i="15"/>
  <c r="AS53" i="1" s="1"/>
  <c r="E52" i="15"/>
  <c r="AL52" i="1"/>
  <c r="G45" i="7"/>
  <c r="BF67" i="6"/>
  <c r="AQ68" i="6"/>
  <c r="AW62" i="12"/>
  <c r="I49" i="7"/>
  <c r="AY59" i="12"/>
  <c r="AY67" i="6" l="1"/>
  <c r="C18" i="15"/>
  <c r="F18" i="15"/>
  <c r="C15" i="17"/>
  <c r="F15" i="17"/>
  <c r="I22" i="15"/>
  <c r="O13" i="6"/>
  <c r="J12" i="14"/>
  <c r="B78" i="14"/>
  <c r="K37" i="14"/>
  <c r="K107" i="14"/>
  <c r="C43" i="14"/>
  <c r="B39" i="14"/>
  <c r="J92" i="14"/>
  <c r="C5" i="14"/>
  <c r="J23" i="14"/>
  <c r="K29" i="14"/>
  <c r="B29" i="14"/>
  <c r="K53" i="14"/>
  <c r="K79" i="14"/>
  <c r="B100" i="14"/>
  <c r="C135" i="14"/>
  <c r="K135" i="14" s="1"/>
  <c r="J8" i="14"/>
  <c r="B35" i="14"/>
  <c r="K35" i="14"/>
  <c r="K21" i="14"/>
  <c r="C77" i="14"/>
  <c r="B92" i="14"/>
  <c r="K99" i="14"/>
  <c r="B5" i="14"/>
  <c r="J22" i="14"/>
  <c r="K27" i="14"/>
  <c r="B25" i="14"/>
  <c r="B48" i="14"/>
  <c r="J78" i="14"/>
  <c r="C102" i="14"/>
  <c r="C128" i="14"/>
  <c r="G128" i="14" s="1"/>
  <c r="J13" i="6"/>
  <c r="H13" i="6"/>
  <c r="R13" i="6"/>
  <c r="L13" i="6"/>
  <c r="P13" i="6"/>
  <c r="BD13" i="6" s="1"/>
  <c r="N13" i="6"/>
  <c r="G13" i="6"/>
  <c r="K13" i="6"/>
  <c r="Q13" i="6"/>
  <c r="T13" i="6"/>
  <c r="D13" i="6"/>
  <c r="C79" i="1" s="1"/>
  <c r="E13" i="6"/>
  <c r="F13" i="6"/>
  <c r="I13" i="6"/>
  <c r="S13" i="6"/>
  <c r="M13" i="6"/>
  <c r="U13" i="6"/>
  <c r="U79" i="1" s="1"/>
  <c r="C8" i="14"/>
  <c r="J19" i="14"/>
  <c r="J27" i="14"/>
  <c r="C22" i="14"/>
  <c r="K31" i="14"/>
  <c r="K39" i="14"/>
  <c r="J33" i="14"/>
  <c r="B44" i="14"/>
  <c r="C53" i="14"/>
  <c r="C80" i="14"/>
  <c r="K83" i="14"/>
  <c r="B95" i="14"/>
  <c r="K100" i="14"/>
  <c r="C116" i="14"/>
  <c r="K116" i="14" s="1"/>
  <c r="C141" i="14"/>
  <c r="K141" i="14" s="1"/>
  <c r="B8" i="14"/>
  <c r="J5" i="14"/>
  <c r="B31" i="14"/>
  <c r="K25" i="14"/>
  <c r="K33" i="14"/>
  <c r="K22" i="14"/>
  <c r="J37" i="14"/>
  <c r="K48" i="14"/>
  <c r="C74" i="14"/>
  <c r="K74" i="14"/>
  <c r="C90" i="14"/>
  <c r="C98" i="14"/>
  <c r="K104" i="14"/>
  <c r="C119" i="14"/>
  <c r="K119" i="14" s="1"/>
  <c r="E51" i="17"/>
  <c r="C145" i="14"/>
  <c r="K96" i="14"/>
  <c r="C96" i="14"/>
  <c r="K60" i="14"/>
  <c r="C60" i="14"/>
  <c r="C144" i="14"/>
  <c r="K144" i="14" s="1"/>
  <c r="K17" i="14"/>
  <c r="C17" i="14"/>
  <c r="J17" i="14"/>
  <c r="B17" i="14"/>
  <c r="AQ123" i="6"/>
  <c r="B11" i="14"/>
  <c r="B19" i="14"/>
  <c r="C11" i="14"/>
  <c r="C19" i="14"/>
  <c r="J6" i="14"/>
  <c r="K8" i="14"/>
  <c r="K12" i="14"/>
  <c r="K19" i="14"/>
  <c r="J21" i="14"/>
  <c r="J24" i="14"/>
  <c r="J28" i="14"/>
  <c r="B32" i="14"/>
  <c r="B36" i="14"/>
  <c r="B40" i="14"/>
  <c r="C23" i="14"/>
  <c r="C26" i="14"/>
  <c r="C28" i="14"/>
  <c r="C30" i="14"/>
  <c r="C32" i="14"/>
  <c r="C34" i="14"/>
  <c r="C36" i="14"/>
  <c r="C38" i="14"/>
  <c r="C40" i="14"/>
  <c r="C24" i="14"/>
  <c r="B26" i="14"/>
  <c r="J30" i="14"/>
  <c r="J34" i="14"/>
  <c r="J38" i="14"/>
  <c r="K23" i="14"/>
  <c r="K43" i="14"/>
  <c r="B43" i="14"/>
  <c r="C47" i="14"/>
  <c r="C48" i="14"/>
  <c r="K54" i="14"/>
  <c r="C54" i="14"/>
  <c r="C72" i="14"/>
  <c r="C79" i="14"/>
  <c r="B84" i="14"/>
  <c r="C82" i="14"/>
  <c r="K73" i="14"/>
  <c r="J83" i="14"/>
  <c r="K80" i="14"/>
  <c r="J79" i="14"/>
  <c r="B91" i="14"/>
  <c r="C92" i="14"/>
  <c r="D92" i="14" s="1"/>
  <c r="E92" i="14" s="1"/>
  <c r="J91" i="14"/>
  <c r="B99" i="14"/>
  <c r="C99" i="14"/>
  <c r="C103" i="14"/>
  <c r="B98" i="14"/>
  <c r="D98" i="14" s="1"/>
  <c r="E98" i="14" s="1"/>
  <c r="K101" i="14"/>
  <c r="J95" i="14"/>
  <c r="J97" i="14"/>
  <c r="J107" i="14"/>
  <c r="C114" i="14"/>
  <c r="G114" i="14" s="1"/>
  <c r="C120" i="14"/>
  <c r="G120" i="14" s="1"/>
  <c r="B129" i="14"/>
  <c r="J129" i="14" s="1"/>
  <c r="C136" i="14"/>
  <c r="G136" i="14" s="1"/>
  <c r="C142" i="14"/>
  <c r="B143" i="14"/>
  <c r="F143" i="14" s="1"/>
  <c r="B3" i="14"/>
  <c r="B65" i="14" s="1"/>
  <c r="B110" i="14" s="1"/>
  <c r="B12" i="14"/>
  <c r="I2" i="14"/>
  <c r="F65" i="14" s="1"/>
  <c r="C6" i="14"/>
  <c r="C9" i="14"/>
  <c r="K6" i="14"/>
  <c r="J9" i="14"/>
  <c r="J11" i="14"/>
  <c r="K58" i="14"/>
  <c r="K70" i="14" s="1"/>
  <c r="B21" i="14"/>
  <c r="J20" i="14"/>
  <c r="J25" i="14"/>
  <c r="J29" i="14"/>
  <c r="B33" i="14"/>
  <c r="B37" i="14"/>
  <c r="C20" i="14"/>
  <c r="K24" i="14"/>
  <c r="K26" i="14"/>
  <c r="K28" i="14"/>
  <c r="K30" i="14"/>
  <c r="K32" i="14"/>
  <c r="K34" i="14"/>
  <c r="K36" i="14"/>
  <c r="K38" i="14"/>
  <c r="K40" i="14"/>
  <c r="B23" i="14"/>
  <c r="B27" i="14"/>
  <c r="J31" i="14"/>
  <c r="J35" i="14"/>
  <c r="J39" i="14"/>
  <c r="J44" i="14"/>
  <c r="C44" i="14"/>
  <c r="J47" i="14"/>
  <c r="K47" i="14"/>
  <c r="K49" i="14" s="1"/>
  <c r="C52" i="14"/>
  <c r="C55" i="14"/>
  <c r="C73" i="14"/>
  <c r="B79" i="14"/>
  <c r="C81" i="14"/>
  <c r="C76" i="14"/>
  <c r="C87" i="14"/>
  <c r="K72" i="14"/>
  <c r="K77" i="14"/>
  <c r="K81" i="14"/>
  <c r="J84" i="14"/>
  <c r="B90" i="14"/>
  <c r="K91" i="14"/>
  <c r="K90" i="14"/>
  <c r="C95" i="14"/>
  <c r="C100" i="14"/>
  <c r="D100" i="14" s="1"/>
  <c r="E100" i="14" s="1"/>
  <c r="C104" i="14"/>
  <c r="J98" i="14"/>
  <c r="K102" i="14"/>
  <c r="J99" i="14"/>
  <c r="J100" i="14"/>
  <c r="B116" i="14"/>
  <c r="B121" i="14"/>
  <c r="J121" i="14" s="1"/>
  <c r="C122" i="14"/>
  <c r="C129" i="14"/>
  <c r="K129" i="14" s="1"/>
  <c r="C133" i="14"/>
  <c r="C143" i="14"/>
  <c r="G143" i="14" s="1"/>
  <c r="C140" i="14"/>
  <c r="G140" i="14" s="1"/>
  <c r="B6" i="14"/>
  <c r="B9" i="14"/>
  <c r="H2" i="14"/>
  <c r="F44" i="14" s="1"/>
  <c r="C12" i="14"/>
  <c r="C58" i="14"/>
  <c r="C70" i="14" s="1"/>
  <c r="K5" i="14"/>
  <c r="K9" i="14"/>
  <c r="K11" i="14"/>
  <c r="B20" i="14"/>
  <c r="B22" i="14"/>
  <c r="J26" i="14"/>
  <c r="B30" i="14"/>
  <c r="B34" i="14"/>
  <c r="B38" i="14"/>
  <c r="C21" i="14"/>
  <c r="C25" i="14"/>
  <c r="D25" i="14" s="1"/>
  <c r="E25" i="14" s="1"/>
  <c r="C27" i="14"/>
  <c r="C29" i="14"/>
  <c r="C31" i="14"/>
  <c r="C33" i="14"/>
  <c r="C35" i="14"/>
  <c r="C37" i="14"/>
  <c r="C39" i="14"/>
  <c r="J40" i="14"/>
  <c r="B24" i="14"/>
  <c r="B28" i="14"/>
  <c r="J32" i="14"/>
  <c r="J36" i="14"/>
  <c r="K20" i="14"/>
  <c r="J43" i="14"/>
  <c r="K44" i="14"/>
  <c r="J48" i="14"/>
  <c r="B47" i="14"/>
  <c r="K52" i="14"/>
  <c r="K55" i="14"/>
  <c r="B74" i="14"/>
  <c r="B83" i="14"/>
  <c r="C83" i="14"/>
  <c r="C78" i="14"/>
  <c r="J74" i="14"/>
  <c r="K76" i="14"/>
  <c r="K78" i="14"/>
  <c r="L78" i="14" s="1"/>
  <c r="M78" i="14" s="1"/>
  <c r="K82" i="14"/>
  <c r="K87" i="14"/>
  <c r="C91" i="14"/>
  <c r="J90" i="14"/>
  <c r="K92" i="14"/>
  <c r="C97" i="14"/>
  <c r="C101" i="14"/>
  <c r="B97" i="14"/>
  <c r="K97" i="14"/>
  <c r="K103" i="14"/>
  <c r="K95" i="14"/>
  <c r="K98" i="14"/>
  <c r="L98" i="14" s="1"/>
  <c r="M98" i="14" s="1"/>
  <c r="C115" i="14"/>
  <c r="K115" i="14" s="1"/>
  <c r="B122" i="14"/>
  <c r="C121" i="14"/>
  <c r="K121" i="14" s="1"/>
  <c r="C134" i="14"/>
  <c r="K134" i="14" s="1"/>
  <c r="B146" i="14"/>
  <c r="J146" i="14" s="1"/>
  <c r="AR121" i="6"/>
  <c r="AR122" i="6"/>
  <c r="AR112" i="6"/>
  <c r="AY70" i="12"/>
  <c r="AY61" i="12"/>
  <c r="AZ67" i="6" s="1"/>
  <c r="AV86" i="12"/>
  <c r="K146" i="14"/>
  <c r="G146" i="14"/>
  <c r="BF68" i="6"/>
  <c r="AQ54" i="6"/>
  <c r="AR101" i="6"/>
  <c r="AR106" i="6"/>
  <c r="AS4" i="6"/>
  <c r="B54" i="17"/>
  <c r="I20" i="17"/>
  <c r="I24" i="17" s="1"/>
  <c r="F16" i="17"/>
  <c r="B54" i="16"/>
  <c r="B54" i="15"/>
  <c r="G106" i="1"/>
  <c r="G71" i="1"/>
  <c r="G88" i="1" s="1"/>
  <c r="I27" i="17"/>
  <c r="H14" i="16"/>
  <c r="G105" i="1"/>
  <c r="F19" i="15"/>
  <c r="G58" i="1"/>
  <c r="I23" i="15"/>
  <c r="D51" i="7"/>
  <c r="A52" i="7"/>
  <c r="B52" i="7" s="1"/>
  <c r="AL103" i="1"/>
  <c r="AO57" i="1"/>
  <c r="AO71" i="1"/>
  <c r="AO88" i="1" s="1"/>
  <c r="AS21" i="6"/>
  <c r="E53" i="17"/>
  <c r="F53" i="17"/>
  <c r="AT55" i="1" s="1"/>
  <c r="I52" i="17"/>
  <c r="G52" i="17"/>
  <c r="AS106" i="1" s="1"/>
  <c r="A55" i="17"/>
  <c r="D55" i="17" s="1"/>
  <c r="E53" i="16"/>
  <c r="I52" i="16"/>
  <c r="G52" i="16"/>
  <c r="A55" i="16"/>
  <c r="D55" i="16" s="1"/>
  <c r="A55" i="15"/>
  <c r="D55" i="15" s="1"/>
  <c r="E53" i="15"/>
  <c r="I52" i="15"/>
  <c r="G52" i="15"/>
  <c r="H45" i="7"/>
  <c r="AR68" i="6"/>
  <c r="AX62" i="12"/>
  <c r="F51" i="7"/>
  <c r="E51" i="7"/>
  <c r="AZ59" i="12"/>
  <c r="I50" i="7"/>
  <c r="L5" i="14" l="1"/>
  <c r="M5" i="14" s="1"/>
  <c r="L48" i="14"/>
  <c r="M48" i="14" s="1"/>
  <c r="L99" i="14"/>
  <c r="M99" i="14" s="1"/>
  <c r="L31" i="14"/>
  <c r="M31" i="14" s="1"/>
  <c r="B7" i="14"/>
  <c r="D31" i="14"/>
  <c r="E31" i="14" s="1"/>
  <c r="L23" i="14"/>
  <c r="M23" i="14" s="1"/>
  <c r="J14" i="14"/>
  <c r="L22" i="14"/>
  <c r="M22" i="14" s="1"/>
  <c r="L32" i="14"/>
  <c r="M32" i="14" s="1"/>
  <c r="K136" i="14"/>
  <c r="D30" i="14"/>
  <c r="E30" i="14" s="1"/>
  <c r="H55" i="1"/>
  <c r="G15" i="17"/>
  <c r="H106" i="1" s="1"/>
  <c r="K53" i="1"/>
  <c r="G18" i="15"/>
  <c r="K104" i="1" s="1"/>
  <c r="L27" i="6" s="1"/>
  <c r="I25" i="17"/>
  <c r="I28" i="17" s="1"/>
  <c r="C15" i="16"/>
  <c r="F15" i="16"/>
  <c r="K79" i="1"/>
  <c r="D78" i="14"/>
  <c r="E78" i="14" s="1"/>
  <c r="L92" i="14"/>
  <c r="M92" i="14" s="1"/>
  <c r="L37" i="14"/>
  <c r="M37" i="14" s="1"/>
  <c r="J10" i="14"/>
  <c r="C14" i="14"/>
  <c r="L107" i="14"/>
  <c r="M107" i="14" s="1"/>
  <c r="L12" i="14"/>
  <c r="M12" i="14" s="1"/>
  <c r="L27" i="14"/>
  <c r="M27" i="14" s="1"/>
  <c r="D5" i="14"/>
  <c r="E5" i="14" s="1"/>
  <c r="C45" i="14"/>
  <c r="G102" i="14"/>
  <c r="D35" i="14"/>
  <c r="E35" i="14" s="1"/>
  <c r="L79" i="14"/>
  <c r="M79" i="14" s="1"/>
  <c r="D39" i="14"/>
  <c r="E39" i="14" s="1"/>
  <c r="K128" i="14"/>
  <c r="L35" i="14"/>
  <c r="M35" i="14" s="1"/>
  <c r="L29" i="14"/>
  <c r="M29" i="14" s="1"/>
  <c r="L100" i="14"/>
  <c r="M100" i="14" s="1"/>
  <c r="G119" i="14"/>
  <c r="C10" i="14"/>
  <c r="D79" i="1"/>
  <c r="F37" i="14"/>
  <c r="D29" i="14"/>
  <c r="E29" i="14" s="1"/>
  <c r="T79" i="1"/>
  <c r="G135" i="14"/>
  <c r="L74" i="14"/>
  <c r="M74" i="14" s="1"/>
  <c r="C13" i="14"/>
  <c r="D23" i="14"/>
  <c r="E23" i="14" s="1"/>
  <c r="D48" i="14"/>
  <c r="E48" i="14" s="1"/>
  <c r="L21" i="14"/>
  <c r="M21" i="14" s="1"/>
  <c r="B14" i="14"/>
  <c r="G141" i="14"/>
  <c r="K45" i="14"/>
  <c r="L83" i="14"/>
  <c r="M83" i="14" s="1"/>
  <c r="J7" i="14"/>
  <c r="L25" i="14"/>
  <c r="M25" i="14" s="1"/>
  <c r="L95" i="14"/>
  <c r="M95" i="14" s="1"/>
  <c r="D47" i="14"/>
  <c r="E47" i="14" s="1"/>
  <c r="D24" i="14"/>
  <c r="E24" i="14" s="1"/>
  <c r="D34" i="14"/>
  <c r="E34" i="14" s="1"/>
  <c r="AH13" i="6"/>
  <c r="AI13" i="6"/>
  <c r="AJ13" i="6"/>
  <c r="AK13" i="6"/>
  <c r="AL13" i="6"/>
  <c r="AM13" i="6"/>
  <c r="AN13" i="6"/>
  <c r="AO13" i="6"/>
  <c r="AP13" i="6"/>
  <c r="AQ13" i="6"/>
  <c r="AR13" i="6"/>
  <c r="AI12" i="6"/>
  <c r="AJ12" i="6"/>
  <c r="AK12" i="6"/>
  <c r="AL12" i="6"/>
  <c r="AM12" i="6"/>
  <c r="AN12" i="6"/>
  <c r="AO12" i="6"/>
  <c r="AP12" i="6"/>
  <c r="AQ12" i="6"/>
  <c r="AR12" i="6"/>
  <c r="G116" i="14"/>
  <c r="D28" i="14"/>
  <c r="E28" i="14" s="1"/>
  <c r="D116" i="14"/>
  <c r="E116" i="14" s="1"/>
  <c r="F38" i="14"/>
  <c r="F43" i="14"/>
  <c r="F45" i="14" s="1"/>
  <c r="G81" i="14"/>
  <c r="L39" i="14"/>
  <c r="M39" i="14" s="1"/>
  <c r="AS12" i="6"/>
  <c r="AS13" i="6"/>
  <c r="L33" i="14"/>
  <c r="M33" i="14" s="1"/>
  <c r="D8" i="14"/>
  <c r="E8" i="14" s="1"/>
  <c r="D91" i="14"/>
  <c r="E91" i="14" s="1"/>
  <c r="K15" i="14"/>
  <c r="F9" i="14"/>
  <c r="F23" i="14"/>
  <c r="G53" i="14"/>
  <c r="F92" i="14"/>
  <c r="F95" i="14"/>
  <c r="F12" i="14"/>
  <c r="F40" i="14"/>
  <c r="F20" i="14"/>
  <c r="F21" i="14"/>
  <c r="F74" i="14"/>
  <c r="G90" i="14"/>
  <c r="F121" i="14"/>
  <c r="G5" i="14"/>
  <c r="F39" i="14"/>
  <c r="G39" i="14"/>
  <c r="G24" i="14"/>
  <c r="G47" i="14"/>
  <c r="F83" i="14"/>
  <c r="G95" i="14"/>
  <c r="F146" i="14"/>
  <c r="H146" i="14" s="1"/>
  <c r="I146" i="14" s="1"/>
  <c r="D74" i="14"/>
  <c r="E74" i="14" s="1"/>
  <c r="B45" i="14"/>
  <c r="G144" i="14"/>
  <c r="D95" i="14"/>
  <c r="E95" i="14" s="1"/>
  <c r="D22" i="14"/>
  <c r="E22" i="14" s="1"/>
  <c r="B10" i="14"/>
  <c r="F19" i="14"/>
  <c r="G26" i="14"/>
  <c r="G40" i="14"/>
  <c r="F32" i="14"/>
  <c r="G82" i="14"/>
  <c r="G100" i="14"/>
  <c r="D40" i="14"/>
  <c r="E40" i="14" s="1"/>
  <c r="K145" i="14"/>
  <c r="G145" i="14"/>
  <c r="G96" i="14"/>
  <c r="G60" i="14"/>
  <c r="G17" i="14"/>
  <c r="D27" i="14"/>
  <c r="E27" i="14" s="1"/>
  <c r="D17" i="14"/>
  <c r="E17" i="14" s="1"/>
  <c r="L17" i="14"/>
  <c r="M17" i="14" s="1"/>
  <c r="F17" i="14"/>
  <c r="G129" i="14"/>
  <c r="G8" i="14"/>
  <c r="G58" i="14"/>
  <c r="G70" i="14" s="1"/>
  <c r="J15" i="14"/>
  <c r="F35" i="14"/>
  <c r="F26" i="14"/>
  <c r="G20" i="14"/>
  <c r="G28" i="14"/>
  <c r="G33" i="14"/>
  <c r="F24" i="14"/>
  <c r="G52" i="14"/>
  <c r="G73" i="14"/>
  <c r="G83" i="14"/>
  <c r="F91" i="14"/>
  <c r="F100" i="14"/>
  <c r="G104" i="14"/>
  <c r="L40" i="14"/>
  <c r="M40" i="14" s="1"/>
  <c r="G6" i="14"/>
  <c r="G11" i="14"/>
  <c r="G14" i="14" s="1"/>
  <c r="G38" i="14"/>
  <c r="G21" i="14"/>
  <c r="G27" i="14"/>
  <c r="G22" i="14"/>
  <c r="F25" i="14"/>
  <c r="F28" i="14"/>
  <c r="F47" i="14"/>
  <c r="G72" i="14"/>
  <c r="F84" i="14"/>
  <c r="F78" i="14"/>
  <c r="F97" i="14"/>
  <c r="G103" i="14"/>
  <c r="K143" i="14"/>
  <c r="L44" i="14"/>
  <c r="M44" i="14" s="1"/>
  <c r="F110" i="14"/>
  <c r="B49" i="14"/>
  <c r="G121" i="14"/>
  <c r="P79" i="1"/>
  <c r="D121" i="14"/>
  <c r="E121" i="14" s="1"/>
  <c r="J143" i="14"/>
  <c r="D143" i="14"/>
  <c r="E143" i="14" s="1"/>
  <c r="N79" i="1"/>
  <c r="D83" i="14"/>
  <c r="E83" i="14" s="1"/>
  <c r="D37" i="14"/>
  <c r="E37" i="14" s="1"/>
  <c r="L38" i="14"/>
  <c r="M38" i="14" s="1"/>
  <c r="L20" i="14"/>
  <c r="M20" i="14" s="1"/>
  <c r="F3" i="14"/>
  <c r="K120" i="14"/>
  <c r="AR123" i="6"/>
  <c r="L36" i="14"/>
  <c r="M36" i="14" s="1"/>
  <c r="B93" i="14"/>
  <c r="D32" i="14"/>
  <c r="E32" i="14" s="1"/>
  <c r="M79" i="1"/>
  <c r="G79" i="1"/>
  <c r="L9" i="14"/>
  <c r="M9" i="14" s="1"/>
  <c r="D11" i="14"/>
  <c r="E11" i="14" s="1"/>
  <c r="L91" i="14"/>
  <c r="M91" i="14" s="1"/>
  <c r="L24" i="14"/>
  <c r="M24" i="14" s="1"/>
  <c r="K122" i="14"/>
  <c r="D122" i="14"/>
  <c r="E122" i="14" s="1"/>
  <c r="D33" i="14"/>
  <c r="E33" i="14" s="1"/>
  <c r="B13" i="14"/>
  <c r="B15" i="14"/>
  <c r="F122" i="14"/>
  <c r="J122" i="14"/>
  <c r="G142" i="14"/>
  <c r="K142" i="14"/>
  <c r="J49" i="14"/>
  <c r="F6" i="14"/>
  <c r="G12" i="14"/>
  <c r="F11" i="14"/>
  <c r="F31" i="14"/>
  <c r="G34" i="14"/>
  <c r="F34" i="14"/>
  <c r="G35" i="14"/>
  <c r="F33" i="14"/>
  <c r="G36" i="14"/>
  <c r="G44" i="14"/>
  <c r="H44" i="14" s="1"/>
  <c r="I44" i="14" s="1"/>
  <c r="G29" i="14"/>
  <c r="G25" i="14"/>
  <c r="G37" i="14"/>
  <c r="F48" i="14"/>
  <c r="G54" i="14"/>
  <c r="G74" i="14"/>
  <c r="G79" i="14"/>
  <c r="G76" i="14"/>
  <c r="G77" i="14"/>
  <c r="G87" i="14"/>
  <c r="F90" i="14"/>
  <c r="G99" i="14"/>
  <c r="G98" i="14"/>
  <c r="G97" i="14"/>
  <c r="G115" i="14"/>
  <c r="D146" i="14"/>
  <c r="E146" i="14" s="1"/>
  <c r="J93" i="14"/>
  <c r="K56" i="14"/>
  <c r="K69" i="14" s="1"/>
  <c r="K86" i="14" s="1"/>
  <c r="L43" i="14"/>
  <c r="M43" i="14" s="1"/>
  <c r="D38" i="14"/>
  <c r="E38" i="14" s="1"/>
  <c r="C56" i="14"/>
  <c r="C69" i="14" s="1"/>
  <c r="C86" i="14" s="1"/>
  <c r="L30" i="14"/>
  <c r="M30" i="14" s="1"/>
  <c r="L79" i="1"/>
  <c r="F5" i="14"/>
  <c r="G9" i="14"/>
  <c r="F8" i="14"/>
  <c r="F10" i="14" s="1"/>
  <c r="G19" i="14"/>
  <c r="F27" i="14"/>
  <c r="G30" i="14"/>
  <c r="F22" i="14"/>
  <c r="F30" i="14"/>
  <c r="G31" i="14"/>
  <c r="F29" i="14"/>
  <c r="G32" i="14"/>
  <c r="F36" i="14"/>
  <c r="G23" i="14"/>
  <c r="G43" i="14"/>
  <c r="G48" i="14"/>
  <c r="G55" i="14"/>
  <c r="F79" i="14"/>
  <c r="G78" i="14"/>
  <c r="G80" i="14"/>
  <c r="G91" i="14"/>
  <c r="G92" i="14"/>
  <c r="G101" i="14"/>
  <c r="F98" i="14"/>
  <c r="F99" i="14"/>
  <c r="D99" i="14"/>
  <c r="E99" i="14" s="1"/>
  <c r="D26" i="14"/>
  <c r="E26" i="14" s="1"/>
  <c r="L90" i="14"/>
  <c r="M90" i="14" s="1"/>
  <c r="D9" i="14"/>
  <c r="E9" i="14" s="1"/>
  <c r="J45" i="14"/>
  <c r="J116" i="14"/>
  <c r="L116" i="14" s="1"/>
  <c r="M116" i="14" s="1"/>
  <c r="C137" i="14"/>
  <c r="K93" i="14"/>
  <c r="D20" i="14"/>
  <c r="E20" i="14" s="1"/>
  <c r="D6" i="14"/>
  <c r="E6" i="14" s="1"/>
  <c r="L97" i="14"/>
  <c r="M97" i="14" s="1"/>
  <c r="D36" i="14"/>
  <c r="E36" i="14" s="1"/>
  <c r="K10" i="14"/>
  <c r="B41" i="14"/>
  <c r="L8" i="14"/>
  <c r="C7" i="14"/>
  <c r="D44" i="14"/>
  <c r="E44" i="14" s="1"/>
  <c r="C93" i="14"/>
  <c r="C49" i="14"/>
  <c r="K105" i="14"/>
  <c r="D129" i="14"/>
  <c r="E129" i="14" s="1"/>
  <c r="F129" i="14"/>
  <c r="G133" i="14"/>
  <c r="G134" i="14"/>
  <c r="D97" i="14"/>
  <c r="E97" i="14" s="1"/>
  <c r="L11" i="14"/>
  <c r="M11" i="14" s="1"/>
  <c r="C15" i="14"/>
  <c r="D79" i="14"/>
  <c r="E79" i="14" s="1"/>
  <c r="L26" i="14"/>
  <c r="M26" i="14" s="1"/>
  <c r="D21" i="14"/>
  <c r="E21" i="14" s="1"/>
  <c r="K7" i="14"/>
  <c r="L34" i="14"/>
  <c r="M34" i="14" s="1"/>
  <c r="J41" i="14"/>
  <c r="K41" i="14"/>
  <c r="C41" i="14"/>
  <c r="J13" i="14"/>
  <c r="F116" i="14"/>
  <c r="K133" i="14"/>
  <c r="D19" i="14"/>
  <c r="E19" i="14" s="1"/>
  <c r="D12" i="14"/>
  <c r="E12" i="14" s="1"/>
  <c r="L19" i="14"/>
  <c r="M19" i="14" s="1"/>
  <c r="K13" i="14"/>
  <c r="L28" i="14"/>
  <c r="M28" i="14" s="1"/>
  <c r="D43" i="14"/>
  <c r="E43" i="14" s="1"/>
  <c r="C105" i="14"/>
  <c r="K140" i="14"/>
  <c r="K14" i="14"/>
  <c r="L6" i="14"/>
  <c r="M6" i="14" s="1"/>
  <c r="L47" i="14"/>
  <c r="M47" i="14" s="1"/>
  <c r="D90" i="14"/>
  <c r="E90" i="14" s="1"/>
  <c r="C117" i="14"/>
  <c r="G122" i="14"/>
  <c r="K114" i="14"/>
  <c r="K117" i="14" s="1"/>
  <c r="I79" i="1"/>
  <c r="O79" i="1"/>
  <c r="H79" i="1"/>
  <c r="AS121" i="6"/>
  <c r="AS122" i="6"/>
  <c r="R79" i="1"/>
  <c r="J79" i="1"/>
  <c r="S79" i="1"/>
  <c r="AS112" i="6"/>
  <c r="E79" i="1"/>
  <c r="Q79" i="1"/>
  <c r="F79" i="1"/>
  <c r="AZ70" i="12"/>
  <c r="AZ61" i="12"/>
  <c r="BA67" i="6" s="1"/>
  <c r="AW86" i="12"/>
  <c r="AM26" i="6"/>
  <c r="L129" i="14"/>
  <c r="M129" i="14" s="1"/>
  <c r="L121" i="14"/>
  <c r="M121" i="14" s="1"/>
  <c r="L146" i="14"/>
  <c r="M146" i="14" s="1"/>
  <c r="H143" i="14"/>
  <c r="I143" i="14" s="1"/>
  <c r="H29" i="6"/>
  <c r="I29" i="6" s="1"/>
  <c r="H28" i="6"/>
  <c r="H105" i="6"/>
  <c r="AR54" i="6"/>
  <c r="AS101" i="6"/>
  <c r="AS106" i="6"/>
  <c r="G59" i="1"/>
  <c r="AT4" i="6"/>
  <c r="I29" i="17"/>
  <c r="B55" i="17"/>
  <c r="I55" i="1"/>
  <c r="G16" i="17"/>
  <c r="I106" i="1" s="1"/>
  <c r="B55" i="16"/>
  <c r="B55" i="15"/>
  <c r="I32" i="17"/>
  <c r="I36" i="17" s="1"/>
  <c r="G72" i="1"/>
  <c r="I27" i="15"/>
  <c r="L53" i="1"/>
  <c r="G19" i="15"/>
  <c r="D52" i="7"/>
  <c r="A53" i="7"/>
  <c r="B53" i="7" s="1"/>
  <c r="AS105" i="1"/>
  <c r="AS104" i="1"/>
  <c r="AT21" i="6"/>
  <c r="AR52" i="1"/>
  <c r="E54" i="17"/>
  <c r="A56" i="17"/>
  <c r="D56" i="17" s="1"/>
  <c r="I53" i="17"/>
  <c r="G53" i="17"/>
  <c r="AT106" i="1" s="1"/>
  <c r="A56" i="16"/>
  <c r="D56" i="16" s="1"/>
  <c r="E54" i="16"/>
  <c r="I53" i="16"/>
  <c r="E54" i="15"/>
  <c r="A56" i="15"/>
  <c r="D56" i="15" s="1"/>
  <c r="C46" i="7"/>
  <c r="F46" i="7"/>
  <c r="AS68" i="6"/>
  <c r="AY62" i="12"/>
  <c r="G51" i="7"/>
  <c r="I51" i="7"/>
  <c r="BA59" i="12"/>
  <c r="F52" i="7"/>
  <c r="E52" i="7"/>
  <c r="H29" i="14" l="1"/>
  <c r="I29" i="14" s="1"/>
  <c r="L14" i="14"/>
  <c r="K137" i="14"/>
  <c r="H36" i="14"/>
  <c r="I36" i="14" s="1"/>
  <c r="H24" i="14"/>
  <c r="I24" i="14" s="1"/>
  <c r="G49" i="14"/>
  <c r="G10" i="14"/>
  <c r="H26" i="14"/>
  <c r="I26" i="14" s="1"/>
  <c r="H22" i="14"/>
  <c r="I22" i="14" s="1"/>
  <c r="H18" i="15"/>
  <c r="C19" i="15" s="1"/>
  <c r="H19" i="15" s="1"/>
  <c r="C20" i="15" s="1"/>
  <c r="H20" i="15" s="1"/>
  <c r="C21" i="15" s="1"/>
  <c r="H21" i="15" s="1"/>
  <c r="I32" i="15"/>
  <c r="I31" i="15"/>
  <c r="H15" i="17"/>
  <c r="C16" i="17" s="1"/>
  <c r="H16" i="17" s="1"/>
  <c r="C17" i="17" s="1"/>
  <c r="H17" i="17" s="1"/>
  <c r="C18" i="17" s="1"/>
  <c r="H18" i="17" s="1"/>
  <c r="H54" i="1"/>
  <c r="H56" i="1" s="1"/>
  <c r="G15" i="16"/>
  <c r="H105" i="1" s="1"/>
  <c r="I28" i="6" s="1"/>
  <c r="C50" i="14"/>
  <c r="C57" i="14" s="1"/>
  <c r="C59" i="14" s="1"/>
  <c r="D14" i="14"/>
  <c r="H95" i="14"/>
  <c r="I95" i="14" s="1"/>
  <c r="C16" i="14"/>
  <c r="H92" i="14"/>
  <c r="I92" i="14" s="1"/>
  <c r="G117" i="14"/>
  <c r="H37" i="14"/>
  <c r="I37" i="14" s="1"/>
  <c r="H116" i="14"/>
  <c r="I116" i="14" s="1"/>
  <c r="D49" i="14"/>
  <c r="E49" i="14" s="1"/>
  <c r="H19" i="14"/>
  <c r="I19" i="14" s="1"/>
  <c r="H38" i="14"/>
  <c r="I38" i="14" s="1"/>
  <c r="H40" i="14"/>
  <c r="I40" i="14" s="1"/>
  <c r="H47" i="14"/>
  <c r="I47" i="14" s="1"/>
  <c r="G7" i="14"/>
  <c r="H21" i="14"/>
  <c r="I21" i="14" s="1"/>
  <c r="J16" i="14"/>
  <c r="H121" i="14"/>
  <c r="I121" i="14" s="1"/>
  <c r="L15" i="14"/>
  <c r="H20" i="14"/>
  <c r="I20" i="14" s="1"/>
  <c r="AT12" i="6"/>
  <c r="AS78" i="1" s="1"/>
  <c r="AT13" i="6"/>
  <c r="AS79" i="1" s="1"/>
  <c r="H39" i="14"/>
  <c r="I39" i="14" s="1"/>
  <c r="H74" i="14"/>
  <c r="I74" i="14" s="1"/>
  <c r="F13" i="14"/>
  <c r="H83" i="14"/>
  <c r="I83" i="14" s="1"/>
  <c r="H32" i="14"/>
  <c r="I32" i="14" s="1"/>
  <c r="H100" i="14"/>
  <c r="I100" i="14" s="1"/>
  <c r="H129" i="14"/>
  <c r="I129" i="14" s="1"/>
  <c r="K50" i="14"/>
  <c r="K57" i="14" s="1"/>
  <c r="K59" i="14" s="1"/>
  <c r="B50" i="14"/>
  <c r="J50" i="14"/>
  <c r="H31" i="14"/>
  <c r="I31" i="14" s="1"/>
  <c r="H122" i="14"/>
  <c r="I122" i="14" s="1"/>
  <c r="H97" i="14"/>
  <c r="I97" i="14" s="1"/>
  <c r="H8" i="14"/>
  <c r="I8" i="14" s="1"/>
  <c r="G137" i="14"/>
  <c r="H27" i="14"/>
  <c r="I27" i="14" s="1"/>
  <c r="F49" i="14"/>
  <c r="G15" i="14"/>
  <c r="H91" i="14"/>
  <c r="I91" i="14" s="1"/>
  <c r="G56" i="14"/>
  <c r="G69" i="14" s="1"/>
  <c r="G86" i="14" s="1"/>
  <c r="F93" i="14"/>
  <c r="H6" i="14"/>
  <c r="I6" i="14" s="1"/>
  <c r="L143" i="14"/>
  <c r="M143" i="14" s="1"/>
  <c r="H25" i="14"/>
  <c r="I25" i="14" s="1"/>
  <c r="H17" i="14"/>
  <c r="I17" i="14" s="1"/>
  <c r="H90" i="14"/>
  <c r="I90" i="14" s="1"/>
  <c r="H79" i="14"/>
  <c r="I79" i="14" s="1"/>
  <c r="F7" i="14"/>
  <c r="H28" i="14"/>
  <c r="I28" i="14" s="1"/>
  <c r="H33" i="14"/>
  <c r="I33" i="14" s="1"/>
  <c r="H78" i="14"/>
  <c r="I78" i="14" s="1"/>
  <c r="H35" i="14"/>
  <c r="I35" i="14" s="1"/>
  <c r="F15" i="14"/>
  <c r="L93" i="14"/>
  <c r="M93" i="14" s="1"/>
  <c r="G45" i="14"/>
  <c r="H30" i="14"/>
  <c r="I30" i="14" s="1"/>
  <c r="G105" i="14"/>
  <c r="L122" i="14"/>
  <c r="M122" i="14" s="1"/>
  <c r="H34" i="14"/>
  <c r="I34" i="14" s="1"/>
  <c r="H43" i="14"/>
  <c r="H45" i="14" s="1"/>
  <c r="I45" i="14" s="1"/>
  <c r="H98" i="14"/>
  <c r="I98" i="14" s="1"/>
  <c r="G41" i="14"/>
  <c r="F41" i="14"/>
  <c r="H9" i="14"/>
  <c r="I9" i="14" s="1"/>
  <c r="G13" i="14"/>
  <c r="D15" i="14"/>
  <c r="L10" i="14"/>
  <c r="M10" i="14" s="1"/>
  <c r="H99" i="14"/>
  <c r="I99" i="14" s="1"/>
  <c r="G93" i="14"/>
  <c r="H23" i="14"/>
  <c r="I23" i="14" s="1"/>
  <c r="H48" i="14"/>
  <c r="I48" i="14" s="1"/>
  <c r="H5" i="14"/>
  <c r="I5" i="14" s="1"/>
  <c r="D10" i="14"/>
  <c r="E10" i="14" s="1"/>
  <c r="F14" i="14"/>
  <c r="H14" i="14" s="1"/>
  <c r="L45" i="14"/>
  <c r="M45" i="14" s="1"/>
  <c r="L7" i="14"/>
  <c r="M7" i="14" s="1"/>
  <c r="D13" i="14"/>
  <c r="L41" i="14"/>
  <c r="M41" i="14" s="1"/>
  <c r="L49" i="14"/>
  <c r="M49" i="14" s="1"/>
  <c r="D45" i="14"/>
  <c r="E45" i="14" s="1"/>
  <c r="D7" i="14"/>
  <c r="E7" i="14" s="1"/>
  <c r="D93" i="14"/>
  <c r="E93" i="14" s="1"/>
  <c r="M8" i="14"/>
  <c r="K16" i="14"/>
  <c r="L13" i="14"/>
  <c r="D41" i="14"/>
  <c r="E41" i="14" s="1"/>
  <c r="AS123" i="6"/>
  <c r="BD79" i="1"/>
  <c r="BC79" i="1"/>
  <c r="AT121" i="6"/>
  <c r="AT122" i="6"/>
  <c r="AT112" i="6"/>
  <c r="H117" i="6"/>
  <c r="BA70" i="12"/>
  <c r="BA61" i="12"/>
  <c r="BB67" i="6" s="1"/>
  <c r="AX86" i="12"/>
  <c r="H30" i="6"/>
  <c r="I56" i="1"/>
  <c r="I71" i="1" s="1"/>
  <c r="I88" i="1" s="1"/>
  <c r="B16" i="14"/>
  <c r="AS54" i="6"/>
  <c r="AT101" i="6"/>
  <c r="AT106" i="6"/>
  <c r="AQ79" i="1"/>
  <c r="J29" i="6"/>
  <c r="K29" i="6" s="1"/>
  <c r="L29" i="6" s="1"/>
  <c r="AO78" i="1"/>
  <c r="AR78" i="1"/>
  <c r="AL79" i="1"/>
  <c r="AK78" i="1"/>
  <c r="BF13" i="6"/>
  <c r="AP79" i="1"/>
  <c r="AH79" i="1"/>
  <c r="AG79" i="1"/>
  <c r="AO79" i="1"/>
  <c r="AL78" i="1"/>
  <c r="AN79" i="1"/>
  <c r="AJ79" i="1"/>
  <c r="AR79" i="1"/>
  <c r="AK79" i="1"/>
  <c r="AM79" i="1"/>
  <c r="AI79" i="1"/>
  <c r="AN78" i="1"/>
  <c r="AJ78" i="1"/>
  <c r="AQ78" i="1"/>
  <c r="AM78" i="1"/>
  <c r="AI78" i="1"/>
  <c r="AH78" i="1"/>
  <c r="BF12" i="6"/>
  <c r="AP78" i="1"/>
  <c r="AU4" i="6"/>
  <c r="B56" i="17"/>
  <c r="I33" i="17"/>
  <c r="I37" i="17" s="1"/>
  <c r="B56" i="16"/>
  <c r="B56" i="15"/>
  <c r="I45" i="17"/>
  <c r="I49" i="17" s="1"/>
  <c r="L104" i="1"/>
  <c r="G62" i="1"/>
  <c r="G70" i="1"/>
  <c r="D53" i="7"/>
  <c r="A54" i="7"/>
  <c r="B54" i="7" s="1"/>
  <c r="AR103" i="1"/>
  <c r="AU21" i="6"/>
  <c r="AS52" i="1"/>
  <c r="A57" i="17"/>
  <c r="D57" i="17" s="1"/>
  <c r="E55" i="17"/>
  <c r="F55" i="16"/>
  <c r="AV54" i="1" s="1"/>
  <c r="E55" i="16"/>
  <c r="I54" i="16"/>
  <c r="A57" i="16"/>
  <c r="D57" i="16" s="1"/>
  <c r="A57" i="15"/>
  <c r="D57" i="15" s="1"/>
  <c r="F55" i="15"/>
  <c r="AV53" i="1" s="1"/>
  <c r="E55" i="15"/>
  <c r="AM52" i="1"/>
  <c r="G46" i="7"/>
  <c r="AT68" i="6"/>
  <c r="F53" i="7"/>
  <c r="E53" i="7"/>
  <c r="BB59" i="12"/>
  <c r="I52" i="7"/>
  <c r="G52" i="7"/>
  <c r="AZ62" i="12"/>
  <c r="I35" i="15" l="1"/>
  <c r="C19" i="17"/>
  <c r="F19" i="17"/>
  <c r="C22" i="15"/>
  <c r="F22" i="15"/>
  <c r="J28" i="6"/>
  <c r="K28" i="6" s="1"/>
  <c r="I30" i="6"/>
  <c r="H15" i="16"/>
  <c r="C16" i="16" s="1"/>
  <c r="H16" i="16" s="1"/>
  <c r="C17" i="16" s="1"/>
  <c r="H17" i="16" s="1"/>
  <c r="H71" i="1"/>
  <c r="H88" i="1" s="1"/>
  <c r="H57" i="1"/>
  <c r="H58" i="1" s="1"/>
  <c r="D16" i="14"/>
  <c r="G16" i="14"/>
  <c r="L16" i="14"/>
  <c r="F16" i="14"/>
  <c r="AU13" i="6"/>
  <c r="AU12" i="6"/>
  <c r="F50" i="14"/>
  <c r="K68" i="14"/>
  <c r="K61" i="14"/>
  <c r="C68" i="14"/>
  <c r="C61" i="14"/>
  <c r="H15" i="14"/>
  <c r="M13" i="14"/>
  <c r="L50" i="14"/>
  <c r="M50" i="14" s="1"/>
  <c r="E13" i="14"/>
  <c r="D50" i="14"/>
  <c r="E50" i="14" s="1"/>
  <c r="G50" i="14"/>
  <c r="G57" i="14" s="1"/>
  <c r="G59" i="14" s="1"/>
  <c r="G62" i="14" s="1"/>
  <c r="H93" i="14"/>
  <c r="I93" i="14" s="1"/>
  <c r="H12" i="14"/>
  <c r="I12" i="14" s="1"/>
  <c r="H10" i="14"/>
  <c r="I10" i="14" s="1"/>
  <c r="I43" i="14"/>
  <c r="H41" i="14"/>
  <c r="I41" i="14" s="1"/>
  <c r="H11" i="14"/>
  <c r="I11" i="14" s="1"/>
  <c r="H7" i="14"/>
  <c r="I7" i="14" s="1"/>
  <c r="H49" i="14"/>
  <c r="I49" i="14" s="1"/>
  <c r="AT123" i="6"/>
  <c r="AU121" i="6"/>
  <c r="AU122" i="6"/>
  <c r="AU112" i="6"/>
  <c r="H118" i="6"/>
  <c r="BB70" i="12"/>
  <c r="BB61" i="12"/>
  <c r="BC67" i="6" s="1"/>
  <c r="C130" i="14" s="1"/>
  <c r="AY86" i="12"/>
  <c r="M27" i="6"/>
  <c r="N27" i="6" s="1"/>
  <c r="O27" i="6" s="1"/>
  <c r="I57" i="1"/>
  <c r="C62" i="14"/>
  <c r="K62" i="14"/>
  <c r="AT54" i="6"/>
  <c r="AU101" i="6"/>
  <c r="AU106" i="6"/>
  <c r="BE79" i="1"/>
  <c r="BE78" i="1"/>
  <c r="AV4" i="6"/>
  <c r="B57" i="17"/>
  <c r="I38" i="17"/>
  <c r="B57" i="16"/>
  <c r="B57" i="15"/>
  <c r="F23" i="17"/>
  <c r="F23" i="15"/>
  <c r="D54" i="7"/>
  <c r="E54" i="7" s="1"/>
  <c r="A55" i="7"/>
  <c r="B55" i="7" s="1"/>
  <c r="AS103" i="1"/>
  <c r="AM103" i="1"/>
  <c r="AV21" i="6"/>
  <c r="AT52" i="1"/>
  <c r="AS56" i="1"/>
  <c r="F56" i="17"/>
  <c r="AW55" i="1" s="1"/>
  <c r="E56" i="17"/>
  <c r="A58" i="17"/>
  <c r="D58" i="17" s="1"/>
  <c r="I55" i="16"/>
  <c r="G55" i="16"/>
  <c r="AV105" i="1" s="1"/>
  <c r="A58" i="16"/>
  <c r="D58" i="16" s="1"/>
  <c r="F56" i="16"/>
  <c r="AW54" i="1" s="1"/>
  <c r="E56" i="16"/>
  <c r="A58" i="15"/>
  <c r="D58" i="15" s="1"/>
  <c r="F56" i="15"/>
  <c r="AW53" i="1" s="1"/>
  <c r="E56" i="15"/>
  <c r="I55" i="15"/>
  <c r="G55" i="15"/>
  <c r="AV104" i="1" s="1"/>
  <c r="H46" i="7"/>
  <c r="C47" i="7" s="1"/>
  <c r="H47" i="7" s="1"/>
  <c r="C48" i="7" s="1"/>
  <c r="H48" i="7" s="1"/>
  <c r="BE52" i="1"/>
  <c r="AU68" i="6"/>
  <c r="BF58" i="12"/>
  <c r="BF59" i="12" s="1"/>
  <c r="BF61" i="12" s="1"/>
  <c r="I53" i="7"/>
  <c r="G53" i="7"/>
  <c r="BA62" i="12"/>
  <c r="I36" i="15" l="1"/>
  <c r="I40" i="15" s="1"/>
  <c r="J30" i="6"/>
  <c r="G19" i="17"/>
  <c r="L106" i="1" s="1"/>
  <c r="M29" i="6" s="1"/>
  <c r="L55" i="1"/>
  <c r="I42" i="17"/>
  <c r="I41" i="17"/>
  <c r="I58" i="1"/>
  <c r="J105" i="6" s="1"/>
  <c r="C18" i="16"/>
  <c r="F18" i="16"/>
  <c r="O53" i="1"/>
  <c r="G22" i="15"/>
  <c r="O104" i="1" s="1"/>
  <c r="BC104" i="1" s="1"/>
  <c r="F19" i="16"/>
  <c r="I41" i="15"/>
  <c r="I105" i="6"/>
  <c r="H59" i="1"/>
  <c r="H72" i="1"/>
  <c r="H16" i="14"/>
  <c r="AV12" i="6"/>
  <c r="AU78" i="1" s="1"/>
  <c r="AV13" i="6"/>
  <c r="G68" i="14"/>
  <c r="G61" i="14"/>
  <c r="H13" i="14"/>
  <c r="AU123" i="6"/>
  <c r="AV121" i="6"/>
  <c r="AV122" i="6"/>
  <c r="AV112" i="6"/>
  <c r="AZ86" i="12"/>
  <c r="G130" i="14"/>
  <c r="G131" i="14" s="1"/>
  <c r="C131" i="14"/>
  <c r="K130" i="14"/>
  <c r="K131" i="14" s="1"/>
  <c r="AT78" i="1"/>
  <c r="AU54" i="6"/>
  <c r="AV101" i="6"/>
  <c r="AV106" i="6"/>
  <c r="BE103" i="1"/>
  <c r="AN26" i="6"/>
  <c r="AO26" i="6" s="1"/>
  <c r="AP26" i="6" s="1"/>
  <c r="AT79" i="1"/>
  <c r="AW4" i="6"/>
  <c r="B58" i="17"/>
  <c r="B58" i="16"/>
  <c r="B58" i="15"/>
  <c r="K30" i="6"/>
  <c r="P55" i="1"/>
  <c r="G23" i="17"/>
  <c r="P53" i="1"/>
  <c r="G23" i="15"/>
  <c r="D55" i="7"/>
  <c r="A56" i="7"/>
  <c r="B56" i="7" s="1"/>
  <c r="AT103" i="1"/>
  <c r="AS57" i="1"/>
  <c r="AS71" i="1"/>
  <c r="AS88" i="1" s="1"/>
  <c r="AW21" i="6"/>
  <c r="I56" i="17"/>
  <c r="G56" i="17"/>
  <c r="AW106" i="1" s="1"/>
  <c r="A59" i="17"/>
  <c r="D59" i="17" s="1"/>
  <c r="E57" i="17"/>
  <c r="F57" i="17"/>
  <c r="AX55" i="1" s="1"/>
  <c r="E57" i="16"/>
  <c r="F57" i="16"/>
  <c r="AX54" i="1" s="1"/>
  <c r="I56" i="16"/>
  <c r="G56" i="16"/>
  <c r="AW105" i="1" s="1"/>
  <c r="A59" i="16"/>
  <c r="D59" i="16" s="1"/>
  <c r="I56" i="15"/>
  <c r="G56" i="15"/>
  <c r="AW104" i="1" s="1"/>
  <c r="A59" i="15"/>
  <c r="D59" i="15" s="1"/>
  <c r="E57" i="15"/>
  <c r="C49" i="7"/>
  <c r="F49" i="7"/>
  <c r="AV68" i="6"/>
  <c r="BF62" i="12"/>
  <c r="BG58" i="12"/>
  <c r="E55" i="7"/>
  <c r="BF89" i="12"/>
  <c r="BG89" i="12" s="1"/>
  <c r="BF72" i="12"/>
  <c r="BG72" i="12" s="1"/>
  <c r="I54" i="7"/>
  <c r="BB62" i="12"/>
  <c r="I44" i="15" l="1"/>
  <c r="H19" i="17"/>
  <c r="J58" i="1"/>
  <c r="K105" i="6" s="1"/>
  <c r="I59" i="1"/>
  <c r="I62" i="1" s="1"/>
  <c r="I46" i="17"/>
  <c r="I50" i="17" s="1"/>
  <c r="H22" i="15"/>
  <c r="C23" i="15" s="1"/>
  <c r="H23" i="15" s="1"/>
  <c r="C24" i="15" s="1"/>
  <c r="H24" i="15" s="1"/>
  <c r="C25" i="15" s="1"/>
  <c r="H25" i="15" s="1"/>
  <c r="C26" i="15" s="1"/>
  <c r="H26" i="15" s="1"/>
  <c r="I72" i="1"/>
  <c r="I51" i="17"/>
  <c r="P27" i="6"/>
  <c r="BD27" i="6" s="1"/>
  <c r="O56" i="1"/>
  <c r="BC53" i="1"/>
  <c r="K54" i="1"/>
  <c r="K56" i="1" s="1"/>
  <c r="G18" i="16"/>
  <c r="K105" i="1" s="1"/>
  <c r="L28" i="6" s="1"/>
  <c r="L30" i="6" s="1"/>
  <c r="I45" i="15"/>
  <c r="I49" i="15" s="1"/>
  <c r="I53" i="15" s="1"/>
  <c r="H70" i="1"/>
  <c r="I117" i="6"/>
  <c r="I118" i="6" s="1"/>
  <c r="H62" i="1"/>
  <c r="L54" i="1"/>
  <c r="G19" i="16"/>
  <c r="AW12" i="6"/>
  <c r="AV78" i="1" s="1"/>
  <c r="I13" i="14"/>
  <c r="H50" i="14"/>
  <c r="I50" i="14" s="1"/>
  <c r="AV123" i="6"/>
  <c r="AW121" i="6"/>
  <c r="AW122" i="6"/>
  <c r="AW112" i="6"/>
  <c r="BA86" i="12"/>
  <c r="BB86" i="12"/>
  <c r="C84" i="14" s="1"/>
  <c r="D84" i="14" s="1"/>
  <c r="E84" i="14" s="1"/>
  <c r="AV54" i="6"/>
  <c r="BG59" i="12"/>
  <c r="AW101" i="6"/>
  <c r="AW106" i="6"/>
  <c r="AU79" i="1"/>
  <c r="AX4" i="6"/>
  <c r="B59" i="17"/>
  <c r="B59" i="16"/>
  <c r="B59" i="15"/>
  <c r="P106" i="1"/>
  <c r="P104" i="1"/>
  <c r="D56" i="7"/>
  <c r="A57" i="7"/>
  <c r="B57" i="7" s="1"/>
  <c r="AX21" i="6"/>
  <c r="A60" i="17"/>
  <c r="D60" i="17" s="1"/>
  <c r="E58" i="17"/>
  <c r="I57" i="17"/>
  <c r="G57" i="17"/>
  <c r="AX106" i="1" s="1"/>
  <c r="A60" i="16"/>
  <c r="D60" i="16" s="1"/>
  <c r="E58" i="16"/>
  <c r="I57" i="16"/>
  <c r="G57" i="16"/>
  <c r="AX105" i="1" s="1"/>
  <c r="E58" i="15"/>
  <c r="A60" i="15"/>
  <c r="D60" i="15" s="1"/>
  <c r="AP52" i="1"/>
  <c r="G49" i="7"/>
  <c r="AW68" i="6"/>
  <c r="E56" i="7"/>
  <c r="F56" i="7"/>
  <c r="BF70" i="12"/>
  <c r="I55" i="7"/>
  <c r="C20" i="17" l="1"/>
  <c r="F20" i="17"/>
  <c r="J72" i="1"/>
  <c r="I70" i="1"/>
  <c r="J59" i="1"/>
  <c r="K117" i="6" s="1"/>
  <c r="J117" i="6"/>
  <c r="J118" i="6" s="1"/>
  <c r="I54" i="17"/>
  <c r="I55" i="17" s="1"/>
  <c r="H18" i="16"/>
  <c r="C19" i="16" s="1"/>
  <c r="H19" i="16" s="1"/>
  <c r="C20" i="16" s="1"/>
  <c r="H20" i="16" s="1"/>
  <c r="C21" i="16" s="1"/>
  <c r="H21" i="16" s="1"/>
  <c r="C22" i="16" s="1"/>
  <c r="H22" i="16" s="1"/>
  <c r="K57" i="1"/>
  <c r="K58" i="1" s="1"/>
  <c r="L105" i="6" s="1"/>
  <c r="K71" i="1"/>
  <c r="K88" i="1" s="1"/>
  <c r="O71" i="1"/>
  <c r="O88" i="1" s="1"/>
  <c r="O57" i="1"/>
  <c r="L105" i="1"/>
  <c r="BC54" i="1"/>
  <c r="L56" i="1"/>
  <c r="I54" i="15"/>
  <c r="I57" i="15" s="1"/>
  <c r="AW123" i="6"/>
  <c r="AX121" i="6"/>
  <c r="AX122" i="6"/>
  <c r="AX112" i="6"/>
  <c r="BG62" i="12"/>
  <c r="BG61" i="12"/>
  <c r="C85" i="14"/>
  <c r="K84" i="14"/>
  <c r="L84" i="14" s="1"/>
  <c r="M84" i="14" s="1"/>
  <c r="G84" i="14"/>
  <c r="H84" i="14" s="1"/>
  <c r="I84" i="14" s="1"/>
  <c r="Q27" i="6"/>
  <c r="R27" i="6" s="1"/>
  <c r="S27" i="6" s="1"/>
  <c r="T27" i="6" s="1"/>
  <c r="AW54" i="6"/>
  <c r="AX101" i="6"/>
  <c r="AX106" i="6"/>
  <c r="AY4" i="6"/>
  <c r="B60" i="17"/>
  <c r="B60" i="16"/>
  <c r="B60" i="15"/>
  <c r="F27" i="17"/>
  <c r="C27" i="15"/>
  <c r="F27" i="15"/>
  <c r="D57" i="7"/>
  <c r="A58" i="7"/>
  <c r="B58" i="7" s="1"/>
  <c r="AP103" i="1"/>
  <c r="AY21" i="6"/>
  <c r="AW52" i="1"/>
  <c r="E59" i="17"/>
  <c r="I58" i="17"/>
  <c r="A61" i="17"/>
  <c r="D61" i="17" s="1"/>
  <c r="F59" i="16"/>
  <c r="AZ54" i="1" s="1"/>
  <c r="E59" i="16"/>
  <c r="I58" i="16"/>
  <c r="A61" i="16"/>
  <c r="D61" i="16" s="1"/>
  <c r="A61" i="15"/>
  <c r="D61" i="15" s="1"/>
  <c r="I58" i="15"/>
  <c r="F59" i="15"/>
  <c r="AZ53" i="1" s="1"/>
  <c r="E59" i="15"/>
  <c r="H49" i="7"/>
  <c r="AX68" i="6"/>
  <c r="BG70" i="12"/>
  <c r="F57" i="7"/>
  <c r="E57" i="7"/>
  <c r="F55" i="7"/>
  <c r="G56" i="7"/>
  <c r="I56" i="7"/>
  <c r="G20" i="17" l="1"/>
  <c r="M106" i="1" s="1"/>
  <c r="M55" i="1"/>
  <c r="K118" i="6"/>
  <c r="J62" i="1"/>
  <c r="J70" i="1"/>
  <c r="K72" i="1"/>
  <c r="K59" i="1"/>
  <c r="L117" i="6" s="1"/>
  <c r="L57" i="1"/>
  <c r="L58" i="1" s="1"/>
  <c r="M105" i="6" s="1"/>
  <c r="L71" i="1"/>
  <c r="L88" i="1" s="1"/>
  <c r="BC105" i="1"/>
  <c r="M28" i="6"/>
  <c r="C23" i="16"/>
  <c r="F23" i="16"/>
  <c r="AX123" i="6"/>
  <c r="AY121" i="6"/>
  <c r="AY122" i="6"/>
  <c r="AY112" i="6"/>
  <c r="AQ26" i="6"/>
  <c r="AX54" i="6"/>
  <c r="AY101" i="6"/>
  <c r="AY106" i="6"/>
  <c r="AZ4" i="6"/>
  <c r="B61" i="17"/>
  <c r="B61" i="16"/>
  <c r="B61" i="15"/>
  <c r="C50" i="7"/>
  <c r="F50" i="7"/>
  <c r="T55" i="1"/>
  <c r="G27" i="17"/>
  <c r="T53" i="1"/>
  <c r="G27" i="15"/>
  <c r="D58" i="7"/>
  <c r="E58" i="7" s="1"/>
  <c r="A59" i="7"/>
  <c r="B59" i="7" s="1"/>
  <c r="AW103" i="1"/>
  <c r="AZ21" i="6"/>
  <c r="AX52" i="1"/>
  <c r="AW56" i="1"/>
  <c r="I59" i="17"/>
  <c r="E60" i="17"/>
  <c r="I59" i="16"/>
  <c r="G59" i="16"/>
  <c r="AZ105" i="1" s="1"/>
  <c r="F60" i="16"/>
  <c r="E60" i="16"/>
  <c r="I59" i="15"/>
  <c r="G59" i="15"/>
  <c r="AZ104" i="1" s="1"/>
  <c r="F60" i="15"/>
  <c r="E60" i="15"/>
  <c r="AY68" i="6"/>
  <c r="AV52" i="1"/>
  <c r="G55" i="7"/>
  <c r="G57" i="7"/>
  <c r="I57" i="7"/>
  <c r="H20" i="17" l="1"/>
  <c r="C21" i="17" s="1"/>
  <c r="H21" i="17" s="1"/>
  <c r="C22" i="17" s="1"/>
  <c r="H22" i="17" s="1"/>
  <c r="C23" i="17" s="1"/>
  <c r="H23" i="17" s="1"/>
  <c r="C24" i="17" s="1"/>
  <c r="BC55" i="1"/>
  <c r="BC56" i="1" s="1"/>
  <c r="BC57" i="1" s="1"/>
  <c r="M56" i="1"/>
  <c r="N29" i="6"/>
  <c r="O29" i="6" s="1"/>
  <c r="P29" i="6" s="1"/>
  <c r="BC106" i="1"/>
  <c r="K70" i="1"/>
  <c r="K62" i="1"/>
  <c r="L118" i="6"/>
  <c r="L59" i="1"/>
  <c r="M117" i="6" s="1"/>
  <c r="L72" i="1"/>
  <c r="N28" i="6"/>
  <c r="M30" i="6"/>
  <c r="G23" i="16"/>
  <c r="P54" i="1"/>
  <c r="P56" i="1" s="1"/>
  <c r="AY123" i="6"/>
  <c r="AZ121" i="6"/>
  <c r="AZ122" i="6"/>
  <c r="AZ112" i="6"/>
  <c r="AY54" i="6"/>
  <c r="AZ101" i="6"/>
  <c r="AZ106" i="6"/>
  <c r="BA4" i="6"/>
  <c r="AQ52" i="1"/>
  <c r="G50" i="7"/>
  <c r="AQ103" i="1" s="1"/>
  <c r="T106" i="1"/>
  <c r="BD26" i="6"/>
  <c r="H27" i="15"/>
  <c r="C28" i="15" s="1"/>
  <c r="H28" i="15" s="1"/>
  <c r="C29" i="15" s="1"/>
  <c r="H29" i="15" s="1"/>
  <c r="C30" i="15" s="1"/>
  <c r="H30" i="15" s="1"/>
  <c r="T104" i="1"/>
  <c r="D59" i="7"/>
  <c r="E59" i="7" s="1"/>
  <c r="A60" i="7"/>
  <c r="B60" i="7" s="1"/>
  <c r="AX103" i="1"/>
  <c r="AV103" i="1"/>
  <c r="AW57" i="1"/>
  <c r="AW71" i="1"/>
  <c r="AW88" i="1" s="1"/>
  <c r="BA21" i="6"/>
  <c r="I60" i="17"/>
  <c r="E61" i="17"/>
  <c r="F61" i="17"/>
  <c r="BB55" i="1" s="1"/>
  <c r="B55" i="14" s="1"/>
  <c r="D55" i="14" s="1"/>
  <c r="E55" i="14" s="1"/>
  <c r="I60" i="16"/>
  <c r="G60" i="16"/>
  <c r="E61" i="16"/>
  <c r="F61" i="16"/>
  <c r="BB54" i="1" s="1"/>
  <c r="B54" i="14" s="1"/>
  <c r="D54" i="14" s="1"/>
  <c r="E54" i="14" s="1"/>
  <c r="I60" i="15"/>
  <c r="G60" i="15"/>
  <c r="E61" i="15"/>
  <c r="AZ68" i="6"/>
  <c r="I58" i="7"/>
  <c r="F24" i="17" l="1"/>
  <c r="BD29" i="6"/>
  <c r="Q29" i="6"/>
  <c r="M71" i="1"/>
  <c r="M57" i="1"/>
  <c r="M58" i="1" s="1"/>
  <c r="N105" i="6" s="1"/>
  <c r="Q55" i="1"/>
  <c r="Q56" i="1" s="1"/>
  <c r="Q57" i="1" s="1"/>
  <c r="G24" i="17"/>
  <c r="M118" i="6"/>
  <c r="L70" i="1"/>
  <c r="L62" i="1"/>
  <c r="C31" i="15"/>
  <c r="F31" i="15"/>
  <c r="P71" i="1"/>
  <c r="P88" i="1" s="1"/>
  <c r="P57" i="1"/>
  <c r="H23" i="16"/>
  <c r="C24" i="16" s="1"/>
  <c r="H24" i="16" s="1"/>
  <c r="C25" i="16" s="1"/>
  <c r="H25" i="16" s="1"/>
  <c r="C26" i="16" s="1"/>
  <c r="H26" i="16" s="1"/>
  <c r="P105" i="1"/>
  <c r="F25" i="17"/>
  <c r="O28" i="6"/>
  <c r="N30" i="6"/>
  <c r="BA54" i="1"/>
  <c r="BA53" i="1"/>
  <c r="AW13" i="6"/>
  <c r="AX13" i="6"/>
  <c r="AY13" i="6"/>
  <c r="AZ13" i="6"/>
  <c r="AX12" i="6"/>
  <c r="AY12" i="6"/>
  <c r="AZ12" i="6"/>
  <c r="BA12" i="6"/>
  <c r="BA13" i="6"/>
  <c r="AZ123" i="6"/>
  <c r="BA121" i="6"/>
  <c r="BA122" i="6"/>
  <c r="BA112" i="6"/>
  <c r="U27" i="6"/>
  <c r="V27" i="6" s="1"/>
  <c r="W27" i="6" s="1"/>
  <c r="X27" i="6" s="1"/>
  <c r="AZ54" i="6"/>
  <c r="BA101" i="6"/>
  <c r="BA106" i="6"/>
  <c r="AR26" i="6"/>
  <c r="AS26" i="6" s="1"/>
  <c r="AT26" i="6" s="1"/>
  <c r="AU26" i="6" s="1"/>
  <c r="BB4" i="6"/>
  <c r="H50" i="7"/>
  <c r="C51" i="7" s="1"/>
  <c r="H51" i="7" s="1"/>
  <c r="C52" i="7" s="1"/>
  <c r="H52" i="7" s="1"/>
  <c r="C53" i="7" s="1"/>
  <c r="H53" i="7" s="1"/>
  <c r="C54" i="7" s="1"/>
  <c r="F32" i="17"/>
  <c r="F32" i="15"/>
  <c r="BD39" i="6"/>
  <c r="D60" i="7"/>
  <c r="A61" i="7"/>
  <c r="D61" i="7" s="1"/>
  <c r="BB21" i="6"/>
  <c r="I61" i="17"/>
  <c r="G61" i="17"/>
  <c r="BB106" i="1" s="1"/>
  <c r="B104" i="14" s="1"/>
  <c r="D104" i="14" s="1"/>
  <c r="E104" i="14" s="1"/>
  <c r="I61" i="16"/>
  <c r="G61" i="16"/>
  <c r="BB105" i="1" s="1"/>
  <c r="B103" i="14" s="1"/>
  <c r="I61" i="15"/>
  <c r="BA68" i="6"/>
  <c r="F60" i="7"/>
  <c r="E60" i="7"/>
  <c r="I59" i="7"/>
  <c r="N58" i="1" l="1"/>
  <c r="O105" i="6" s="1"/>
  <c r="Q71" i="1"/>
  <c r="Q88" i="1" s="1"/>
  <c r="M59" i="1"/>
  <c r="N117" i="6" s="1"/>
  <c r="Q106" i="1"/>
  <c r="R29" i="6" s="1"/>
  <c r="H24" i="17"/>
  <c r="C25" i="17" s="1"/>
  <c r="M72" i="1"/>
  <c r="M88" i="1"/>
  <c r="BC71" i="1"/>
  <c r="BC88" i="1" s="1"/>
  <c r="O58" i="1"/>
  <c r="O59" i="1" s="1"/>
  <c r="P117" i="6" s="1"/>
  <c r="N118" i="6"/>
  <c r="N72" i="1"/>
  <c r="N59" i="1"/>
  <c r="O117" i="6" s="1"/>
  <c r="M62" i="1"/>
  <c r="M70" i="1"/>
  <c r="X53" i="1"/>
  <c r="G31" i="15"/>
  <c r="X104" i="1" s="1"/>
  <c r="Y27" i="6" s="1"/>
  <c r="C27" i="16"/>
  <c r="F27" i="16"/>
  <c r="P28" i="6"/>
  <c r="O30" i="6"/>
  <c r="R55" i="1"/>
  <c r="R56" i="1" s="1"/>
  <c r="G25" i="17"/>
  <c r="R106" i="1" s="1"/>
  <c r="F28" i="16"/>
  <c r="BA105" i="1"/>
  <c r="BA104" i="1"/>
  <c r="BB12" i="6"/>
  <c r="BB13" i="6"/>
  <c r="BA123" i="6"/>
  <c r="BB121" i="6"/>
  <c r="BB122" i="6"/>
  <c r="BB112" i="6"/>
  <c r="D103" i="14"/>
  <c r="E103" i="14" s="1"/>
  <c r="BA54" i="6"/>
  <c r="BB101" i="6"/>
  <c r="BB106" i="6"/>
  <c r="AZ79" i="1"/>
  <c r="AZ78" i="1"/>
  <c r="AY79" i="1"/>
  <c r="AW79" i="1"/>
  <c r="AV79" i="1"/>
  <c r="AX79" i="1"/>
  <c r="AY78" i="1"/>
  <c r="AX78" i="1"/>
  <c r="AW78" i="1"/>
  <c r="BC4" i="6"/>
  <c r="F116" i="6" s="1"/>
  <c r="F54" i="7"/>
  <c r="G54" i="7" s="1"/>
  <c r="B61" i="7"/>
  <c r="F61" i="7" s="1"/>
  <c r="BA52" i="1" s="1"/>
  <c r="Y55" i="1"/>
  <c r="G32" i="17"/>
  <c r="Y53" i="1"/>
  <c r="G32" i="15"/>
  <c r="BC21" i="6"/>
  <c r="BB68" i="6"/>
  <c r="I60" i="7"/>
  <c r="G60" i="7"/>
  <c r="S29" i="6" l="1"/>
  <c r="T29" i="6" s="1"/>
  <c r="U29" i="6" s="1"/>
  <c r="O72" i="1"/>
  <c r="BC72" i="1" s="1"/>
  <c r="O70" i="1"/>
  <c r="P105" i="6"/>
  <c r="BC58" i="1"/>
  <c r="BC59" i="1" s="1"/>
  <c r="BC62" i="1" s="1"/>
  <c r="O62" i="1"/>
  <c r="P58" i="1"/>
  <c r="Q105" i="6" s="1"/>
  <c r="O118" i="6"/>
  <c r="P118" i="6" s="1"/>
  <c r="N62" i="1"/>
  <c r="N70" i="1"/>
  <c r="H31" i="15"/>
  <c r="C32" i="15" s="1"/>
  <c r="H32" i="15" s="1"/>
  <c r="C33" i="15" s="1"/>
  <c r="H33" i="15" s="1"/>
  <c r="C34" i="15" s="1"/>
  <c r="H34" i="15" s="1"/>
  <c r="G27" i="16"/>
  <c r="T54" i="1"/>
  <c r="T56" i="1" s="1"/>
  <c r="H25" i="17"/>
  <c r="C26" i="17" s="1"/>
  <c r="H26" i="17" s="1"/>
  <c r="C27" i="17" s="1"/>
  <c r="H27" i="17" s="1"/>
  <c r="R57" i="1"/>
  <c r="R71" i="1"/>
  <c r="R88" i="1" s="1"/>
  <c r="U54" i="1"/>
  <c r="G28" i="16"/>
  <c r="U105" i="1" s="1"/>
  <c r="BD28" i="6"/>
  <c r="BD30" i="6" s="1"/>
  <c r="Q28" i="6"/>
  <c r="P30" i="6"/>
  <c r="BC13" i="6"/>
  <c r="BA79" i="1" s="1"/>
  <c r="BC12" i="6"/>
  <c r="BA78" i="1" s="1"/>
  <c r="BB123" i="6"/>
  <c r="BC122" i="6"/>
  <c r="G116" i="6"/>
  <c r="H116" i="6" s="1"/>
  <c r="I116" i="6" s="1"/>
  <c r="J116" i="6" s="1"/>
  <c r="K116" i="6" s="1"/>
  <c r="L116" i="6" s="1"/>
  <c r="M116" i="6" s="1"/>
  <c r="N116" i="6" s="1"/>
  <c r="O116" i="6" s="1"/>
  <c r="P116" i="6" s="1"/>
  <c r="Q116" i="6" s="1"/>
  <c r="R116" i="6" s="1"/>
  <c r="S116" i="6" s="1"/>
  <c r="T116" i="6" s="1"/>
  <c r="U116" i="6" s="1"/>
  <c r="V116" i="6" s="1"/>
  <c r="W116" i="6" s="1"/>
  <c r="X116" i="6" s="1"/>
  <c r="Y116" i="6" s="1"/>
  <c r="Z116" i="6" s="1"/>
  <c r="AA116" i="6" s="1"/>
  <c r="AB116" i="6" s="1"/>
  <c r="AC116" i="6" s="1"/>
  <c r="AD116" i="6" s="1"/>
  <c r="AE116" i="6" s="1"/>
  <c r="AF116" i="6" s="1"/>
  <c r="AG116" i="6" s="1"/>
  <c r="AH116" i="6" s="1"/>
  <c r="AI116" i="6" s="1"/>
  <c r="AJ116" i="6" s="1"/>
  <c r="AK116" i="6" s="1"/>
  <c r="AL116" i="6" s="1"/>
  <c r="AM116" i="6" s="1"/>
  <c r="AN116" i="6" s="1"/>
  <c r="AO116" i="6" s="1"/>
  <c r="AP116" i="6" s="1"/>
  <c r="AQ116" i="6" s="1"/>
  <c r="AR116" i="6" s="1"/>
  <c r="AS116" i="6" s="1"/>
  <c r="AT116" i="6" s="1"/>
  <c r="AU116" i="6" s="1"/>
  <c r="AV116" i="6" s="1"/>
  <c r="AW116" i="6" s="1"/>
  <c r="AX116" i="6" s="1"/>
  <c r="AY116" i="6" s="1"/>
  <c r="AZ116" i="6" s="1"/>
  <c r="BA116" i="6" s="1"/>
  <c r="BB116" i="6" s="1"/>
  <c r="C115" i="6"/>
  <c r="D115" i="6" s="1"/>
  <c r="D119" i="6" s="1"/>
  <c r="C60" i="1" s="1"/>
  <c r="BC121" i="6"/>
  <c r="BC112" i="6"/>
  <c r="BG21" i="6"/>
  <c r="BH21" i="6" s="1"/>
  <c r="B128" i="14"/>
  <c r="BB54" i="6"/>
  <c r="BC101" i="6"/>
  <c r="BC106" i="6"/>
  <c r="BH48" i="6"/>
  <c r="BH4" i="6"/>
  <c r="E61" i="7"/>
  <c r="G61" i="7" s="1"/>
  <c r="BA103" i="1" s="1"/>
  <c r="AU52" i="1"/>
  <c r="H54" i="7"/>
  <c r="C55" i="7" s="1"/>
  <c r="H55" i="7" s="1"/>
  <c r="C56" i="7" s="1"/>
  <c r="H56" i="7" s="1"/>
  <c r="C57" i="7" s="1"/>
  <c r="H57" i="7" s="1"/>
  <c r="AU103" i="1"/>
  <c r="Y106" i="1"/>
  <c r="Y104" i="1"/>
  <c r="BB52" i="1"/>
  <c r="BC68" i="6"/>
  <c r="BC70" i="1" l="1"/>
  <c r="P72" i="1"/>
  <c r="Q58" i="1"/>
  <c r="R105" i="6" s="1"/>
  <c r="P59" i="1"/>
  <c r="P70" i="1" s="1"/>
  <c r="T57" i="1"/>
  <c r="T71" i="1"/>
  <c r="T88" i="1" s="1"/>
  <c r="C35" i="15"/>
  <c r="F35" i="15"/>
  <c r="T105" i="1"/>
  <c r="H27" i="16"/>
  <c r="C28" i="16" s="1"/>
  <c r="H28" i="16" s="1"/>
  <c r="C29" i="16" s="1"/>
  <c r="H29" i="16" s="1"/>
  <c r="C30" i="16" s="1"/>
  <c r="H30" i="16" s="1"/>
  <c r="C28" i="17"/>
  <c r="F28" i="17"/>
  <c r="F29" i="17"/>
  <c r="G29" i="17" s="1"/>
  <c r="R28" i="6"/>
  <c r="Q30" i="6"/>
  <c r="BC116" i="6"/>
  <c r="C61" i="1"/>
  <c r="D23" i="6" s="1"/>
  <c r="BC123" i="6"/>
  <c r="D120" i="6"/>
  <c r="D38" i="6" s="1"/>
  <c r="C98" i="1" s="1"/>
  <c r="E115" i="6"/>
  <c r="E119" i="6" s="1"/>
  <c r="B52" i="14"/>
  <c r="BG12" i="6"/>
  <c r="BH12" i="6" s="1"/>
  <c r="B119" i="14"/>
  <c r="AV26" i="6"/>
  <c r="AW26" i="6" s="1"/>
  <c r="AX26" i="6" s="1"/>
  <c r="AY26" i="6" s="1"/>
  <c r="D128" i="14"/>
  <c r="E128" i="14" s="1"/>
  <c r="J128" i="14"/>
  <c r="L128" i="14" s="1"/>
  <c r="M128" i="14" s="1"/>
  <c r="F128" i="14"/>
  <c r="BG13" i="6"/>
  <c r="BH13" i="6" s="1"/>
  <c r="B120" i="14"/>
  <c r="Z27" i="6"/>
  <c r="AA27" i="6" s="1"/>
  <c r="AB27" i="6" s="1"/>
  <c r="BC54" i="6"/>
  <c r="BG51" i="6"/>
  <c r="I61" i="7"/>
  <c r="BB79" i="1"/>
  <c r="BB78" i="1"/>
  <c r="F58" i="7"/>
  <c r="C58" i="7"/>
  <c r="F36" i="17"/>
  <c r="BB103" i="1"/>
  <c r="BG67" i="6"/>
  <c r="BG68" i="6" s="1"/>
  <c r="R58" i="1" l="1"/>
  <c r="S105" i="6" s="1"/>
  <c r="P62" i="1"/>
  <c r="Q59" i="1"/>
  <c r="R117" i="6" s="1"/>
  <c r="Q117" i="6"/>
  <c r="Q118" i="6" s="1"/>
  <c r="Q72" i="1"/>
  <c r="C31" i="16"/>
  <c r="F31" i="16"/>
  <c r="U55" i="1"/>
  <c r="U56" i="1" s="1"/>
  <c r="G28" i="17"/>
  <c r="U106" i="1" s="1"/>
  <c r="V29" i="6" s="1"/>
  <c r="AB53" i="1"/>
  <c r="G35" i="15"/>
  <c r="AB104" i="1" s="1"/>
  <c r="BD104" i="1" s="1"/>
  <c r="V55" i="1"/>
  <c r="V56" i="1" s="1"/>
  <c r="V57" i="1" s="1"/>
  <c r="F32" i="16"/>
  <c r="Y54" i="1" s="1"/>
  <c r="V106" i="1"/>
  <c r="S28" i="6"/>
  <c r="R30" i="6"/>
  <c r="D24" i="6"/>
  <c r="C107" i="1"/>
  <c r="E120" i="6"/>
  <c r="E38" i="6" s="1"/>
  <c r="D60" i="1"/>
  <c r="F115" i="6"/>
  <c r="F119" i="6" s="1"/>
  <c r="BF78" i="1"/>
  <c r="BG78" i="1" s="1"/>
  <c r="B76" i="14"/>
  <c r="D76" i="14" s="1"/>
  <c r="E76" i="14" s="1"/>
  <c r="F76" i="14"/>
  <c r="H76" i="14" s="1"/>
  <c r="I76" i="14" s="1"/>
  <c r="J76" i="14"/>
  <c r="L76" i="14" s="1"/>
  <c r="M76" i="14" s="1"/>
  <c r="BF79" i="1"/>
  <c r="BG79" i="1" s="1"/>
  <c r="B77" i="14"/>
  <c r="D77" i="14" s="1"/>
  <c r="E77" i="14" s="1"/>
  <c r="J77" i="14"/>
  <c r="L77" i="14" s="1"/>
  <c r="M77" i="14" s="1"/>
  <c r="F77" i="14"/>
  <c r="H77" i="14" s="1"/>
  <c r="I77" i="14" s="1"/>
  <c r="D119" i="14"/>
  <c r="E119" i="14" s="1"/>
  <c r="J119" i="14"/>
  <c r="F119" i="14"/>
  <c r="B101" i="14"/>
  <c r="J120" i="14"/>
  <c r="F120" i="14"/>
  <c r="H120" i="14" s="1"/>
  <c r="I120" i="14" s="1"/>
  <c r="D120" i="14"/>
  <c r="E120" i="14" s="1"/>
  <c r="H128" i="14"/>
  <c r="I128" i="14" s="1"/>
  <c r="D52" i="14"/>
  <c r="BG54" i="6"/>
  <c r="BH51" i="6"/>
  <c r="BH54" i="6" s="1"/>
  <c r="G58" i="7"/>
  <c r="AY52" i="1"/>
  <c r="AC55" i="1"/>
  <c r="G36" i="17"/>
  <c r="BH67" i="6"/>
  <c r="R59" i="1" l="1"/>
  <c r="S117" i="6" s="1"/>
  <c r="S58" i="1"/>
  <c r="T105" i="6" s="1"/>
  <c r="R72" i="1"/>
  <c r="Q62" i="1"/>
  <c r="Q70" i="1"/>
  <c r="R118" i="6"/>
  <c r="V71" i="1"/>
  <c r="V88" i="1" s="1"/>
  <c r="W29" i="6"/>
  <c r="X29" i="6" s="1"/>
  <c r="Y29" i="6" s="1"/>
  <c r="Z29" i="6" s="1"/>
  <c r="AB56" i="1"/>
  <c r="BD53" i="1"/>
  <c r="H28" i="17"/>
  <c r="C29" i="17" s="1"/>
  <c r="H29" i="17" s="1"/>
  <c r="C30" i="17" s="1"/>
  <c r="H30" i="17" s="1"/>
  <c r="C31" i="17" s="1"/>
  <c r="H31" i="17" s="1"/>
  <c r="C32" i="17" s="1"/>
  <c r="H32" i="17" s="1"/>
  <c r="C33" i="17" s="1"/>
  <c r="AC27" i="6"/>
  <c r="BE27" i="6" s="1"/>
  <c r="U57" i="1"/>
  <c r="U71" i="1"/>
  <c r="U88" i="1" s="1"/>
  <c r="X54" i="1"/>
  <c r="X56" i="1" s="1"/>
  <c r="G31" i="16"/>
  <c r="X105" i="1" s="1"/>
  <c r="H35" i="15"/>
  <c r="G32" i="16"/>
  <c r="Y105" i="1" s="1"/>
  <c r="T28" i="6"/>
  <c r="S30" i="6"/>
  <c r="Y56" i="1"/>
  <c r="D98" i="1"/>
  <c r="D61" i="1"/>
  <c r="E23" i="6" s="1"/>
  <c r="F120" i="6"/>
  <c r="F38" i="6" s="1"/>
  <c r="E60" i="1"/>
  <c r="G115" i="6"/>
  <c r="G119" i="6" s="1"/>
  <c r="F60" i="1" s="1"/>
  <c r="F61" i="1" s="1"/>
  <c r="L120" i="14"/>
  <c r="M120" i="14" s="1"/>
  <c r="H119" i="14"/>
  <c r="I119" i="14" s="1"/>
  <c r="E52" i="14"/>
  <c r="L119" i="14"/>
  <c r="M119" i="14" s="1"/>
  <c r="D101" i="14"/>
  <c r="BH68" i="6"/>
  <c r="H58" i="7"/>
  <c r="AY103" i="1"/>
  <c r="AC106" i="1"/>
  <c r="C36" i="15" l="1"/>
  <c r="F36" i="15"/>
  <c r="S118" i="6"/>
  <c r="R62" i="1"/>
  <c r="R70" i="1"/>
  <c r="S59" i="1"/>
  <c r="T117" i="6" s="1"/>
  <c r="T58" i="1"/>
  <c r="U105" i="6" s="1"/>
  <c r="S72" i="1"/>
  <c r="F33" i="17"/>
  <c r="Z55" i="1" s="1"/>
  <c r="BD105" i="1"/>
  <c r="X57" i="1"/>
  <c r="X71" i="1"/>
  <c r="X88" i="1" s="1"/>
  <c r="BD54" i="1"/>
  <c r="H31" i="16"/>
  <c r="C32" i="16" s="1"/>
  <c r="H32" i="16" s="1"/>
  <c r="C33" i="16" s="1"/>
  <c r="H33" i="16" s="1"/>
  <c r="C34" i="16" s="1"/>
  <c r="H34" i="16" s="1"/>
  <c r="C35" i="16" s="1"/>
  <c r="H35" i="16" s="1"/>
  <c r="AB71" i="1"/>
  <c r="AB88" i="1" s="1"/>
  <c r="AB57" i="1"/>
  <c r="Y57" i="1"/>
  <c r="Y71" i="1"/>
  <c r="Y88" i="1" s="1"/>
  <c r="U28" i="6"/>
  <c r="T30" i="6"/>
  <c r="E98" i="1"/>
  <c r="E107" i="1" s="1"/>
  <c r="E24" i="6"/>
  <c r="D107" i="1"/>
  <c r="E61" i="1"/>
  <c r="F23" i="6" s="1"/>
  <c r="G120" i="6"/>
  <c r="G38" i="6" s="1"/>
  <c r="F98" i="1" s="1"/>
  <c r="F107" i="1" s="1"/>
  <c r="H115" i="6"/>
  <c r="H119" i="6" s="1"/>
  <c r="G60" i="1" s="1"/>
  <c r="E101" i="14"/>
  <c r="AZ26" i="6"/>
  <c r="C59" i="7"/>
  <c r="F59" i="7"/>
  <c r="F45" i="17"/>
  <c r="AC53" i="1" l="1"/>
  <c r="G36" i="15"/>
  <c r="AC104" i="1" s="1"/>
  <c r="AD27" i="6" s="1"/>
  <c r="AE27" i="6" s="1"/>
  <c r="AF27" i="6" s="1"/>
  <c r="AG27" i="6" s="1"/>
  <c r="S62" i="1"/>
  <c r="T118" i="6"/>
  <c r="S70" i="1"/>
  <c r="T59" i="1"/>
  <c r="T62" i="1" s="1"/>
  <c r="U58" i="1"/>
  <c r="V105" i="6" s="1"/>
  <c r="T72" i="1"/>
  <c r="G33" i="17"/>
  <c r="Z106" i="1" s="1"/>
  <c r="F36" i="16"/>
  <c r="AC54" i="1" s="1"/>
  <c r="C36" i="16"/>
  <c r="V28" i="6"/>
  <c r="U30" i="6"/>
  <c r="Z56" i="1"/>
  <c r="BD55" i="1"/>
  <c r="BD56" i="1" s="1"/>
  <c r="BD57" i="1" s="1"/>
  <c r="BB74" i="1"/>
  <c r="BB75" i="1"/>
  <c r="G23" i="6"/>
  <c r="G24" i="6" s="1"/>
  <c r="F24" i="6"/>
  <c r="G61" i="1"/>
  <c r="BA74" i="1" s="1"/>
  <c r="H120" i="6"/>
  <c r="H38" i="6" s="1"/>
  <c r="G98" i="1" s="1"/>
  <c r="G107" i="1" s="1"/>
  <c r="I115" i="6"/>
  <c r="I119" i="6" s="1"/>
  <c r="H60" i="1" s="1"/>
  <c r="AZ52" i="1"/>
  <c r="G59" i="7"/>
  <c r="AL55" i="1"/>
  <c r="G45" i="17"/>
  <c r="AC56" i="1" l="1"/>
  <c r="AC57" i="1" s="1"/>
  <c r="H36" i="15"/>
  <c r="C37" i="15" s="1"/>
  <c r="H37" i="15" s="1"/>
  <c r="C38" i="15" s="1"/>
  <c r="H38" i="15" s="1"/>
  <c r="C39" i="15" s="1"/>
  <c r="H39" i="15" s="1"/>
  <c r="C40" i="15" s="1"/>
  <c r="U72" i="1"/>
  <c r="U59" i="1"/>
  <c r="V117" i="6" s="1"/>
  <c r="V58" i="1"/>
  <c r="W105" i="6" s="1"/>
  <c r="T70" i="1"/>
  <c r="U117" i="6"/>
  <c r="U118" i="6" s="1"/>
  <c r="H33" i="17"/>
  <c r="C34" i="17" s="1"/>
  <c r="H34" i="17" s="1"/>
  <c r="C35" i="17" s="1"/>
  <c r="H35" i="17" s="1"/>
  <c r="C36" i="17" s="1"/>
  <c r="H36" i="17" s="1"/>
  <c r="C37" i="17" s="1"/>
  <c r="G36" i="16"/>
  <c r="H36" i="16" s="1"/>
  <c r="C37" i="16" s="1"/>
  <c r="H37" i="16" s="1"/>
  <c r="C38" i="16" s="1"/>
  <c r="H38" i="16" s="1"/>
  <c r="C39" i="16" s="1"/>
  <c r="H39" i="16" s="1"/>
  <c r="AC71" i="1"/>
  <c r="AC88" i="1" s="1"/>
  <c r="F38" i="17"/>
  <c r="Z57" i="1"/>
  <c r="Z71" i="1"/>
  <c r="AA29" i="6"/>
  <c r="AB29" i="6" s="1"/>
  <c r="AC29" i="6" s="1"/>
  <c r="BD106" i="1"/>
  <c r="W28" i="6"/>
  <c r="V30" i="6"/>
  <c r="BA75" i="1"/>
  <c r="H23" i="6"/>
  <c r="H24" i="6" s="1"/>
  <c r="H61" i="1"/>
  <c r="I120" i="6"/>
  <c r="I38" i="6" s="1"/>
  <c r="H98" i="1" s="1"/>
  <c r="H107" i="1" s="1"/>
  <c r="J115" i="6"/>
  <c r="J119" i="6" s="1"/>
  <c r="I60" i="1" s="1"/>
  <c r="F52" i="14"/>
  <c r="H52" i="14" s="1"/>
  <c r="J52" i="14"/>
  <c r="AZ103" i="1"/>
  <c r="H59" i="7"/>
  <c r="C60" i="7" s="1"/>
  <c r="H60" i="7" s="1"/>
  <c r="C61" i="7" s="1"/>
  <c r="H61" i="7" s="1"/>
  <c r="BF52" i="1"/>
  <c r="BG52" i="1" s="1"/>
  <c r="AL106" i="1"/>
  <c r="F40" i="15" l="1"/>
  <c r="G40" i="15" s="1"/>
  <c r="AG53" i="1"/>
  <c r="V118" i="6"/>
  <c r="U62" i="1"/>
  <c r="U70" i="1"/>
  <c r="W58" i="1"/>
  <c r="X105" i="6" s="1"/>
  <c r="V59" i="1"/>
  <c r="W117" i="6" s="1"/>
  <c r="V72" i="1"/>
  <c r="AC105" i="1"/>
  <c r="F37" i="17"/>
  <c r="G37" i="17" s="1"/>
  <c r="AD106" i="1" s="1"/>
  <c r="C40" i="16"/>
  <c r="F40" i="16"/>
  <c r="F41" i="16"/>
  <c r="BD71" i="1"/>
  <c r="BD88" i="1" s="1"/>
  <c r="Z88" i="1"/>
  <c r="F41" i="15"/>
  <c r="AE55" i="1"/>
  <c r="AE56" i="1" s="1"/>
  <c r="AE57" i="1" s="1"/>
  <c r="G38" i="17"/>
  <c r="X28" i="6"/>
  <c r="W30" i="6"/>
  <c r="BE29" i="6"/>
  <c r="AD29" i="6"/>
  <c r="AZ74" i="1"/>
  <c r="AZ75" i="1"/>
  <c r="I23" i="6"/>
  <c r="I24" i="6" s="1"/>
  <c r="I61" i="1"/>
  <c r="J120" i="6"/>
  <c r="J38" i="6" s="1"/>
  <c r="I98" i="1" s="1"/>
  <c r="I107" i="1" s="1"/>
  <c r="K115" i="6"/>
  <c r="K119" i="6" s="1"/>
  <c r="BA26" i="6"/>
  <c r="BB26" i="6" s="1"/>
  <c r="BC26" i="6" s="1"/>
  <c r="B133" i="14" s="1"/>
  <c r="J101" i="14"/>
  <c r="F101" i="14"/>
  <c r="H101" i="14" s="1"/>
  <c r="I52" i="14"/>
  <c r="L52" i="14"/>
  <c r="BF103" i="1"/>
  <c r="BG103" i="1" s="1"/>
  <c r="F49" i="17"/>
  <c r="AG104" i="1" l="1"/>
  <c r="AH27" i="6" s="1"/>
  <c r="H40" i="15"/>
  <c r="C41" i="15" s="1"/>
  <c r="W118" i="6"/>
  <c r="X58" i="1"/>
  <c r="Y105" i="6" s="1"/>
  <c r="V62" i="1"/>
  <c r="V70" i="1"/>
  <c r="W59" i="1"/>
  <c r="W62" i="1" s="1"/>
  <c r="W72" i="1"/>
  <c r="AD55" i="1"/>
  <c r="AD56" i="1" s="1"/>
  <c r="AD71" i="1" s="1"/>
  <c r="AD88" i="1" s="1"/>
  <c r="AE71" i="1"/>
  <c r="AE88" i="1" s="1"/>
  <c r="AE29" i="6"/>
  <c r="AG54" i="1"/>
  <c r="AG56" i="1" s="1"/>
  <c r="G40" i="16"/>
  <c r="AG105" i="1" s="1"/>
  <c r="H37" i="17"/>
  <c r="C38" i="17" s="1"/>
  <c r="H38" i="17" s="1"/>
  <c r="C39" i="17" s="1"/>
  <c r="H39" i="17" s="1"/>
  <c r="C40" i="17" s="1"/>
  <c r="H40" i="17" s="1"/>
  <c r="Y28" i="6"/>
  <c r="X30" i="6"/>
  <c r="AH53" i="1"/>
  <c r="G41" i="15"/>
  <c r="AH104" i="1" s="1"/>
  <c r="AI27" i="6" s="1"/>
  <c r="AJ27" i="6" s="1"/>
  <c r="AK27" i="6" s="1"/>
  <c r="AH54" i="1"/>
  <c r="G41" i="16"/>
  <c r="AE106" i="1"/>
  <c r="J23" i="6"/>
  <c r="J24" i="6" s="1"/>
  <c r="K120" i="6"/>
  <c r="K38" i="6" s="1"/>
  <c r="J60" i="1"/>
  <c r="L115" i="6"/>
  <c r="L119" i="6" s="1"/>
  <c r="D133" i="14"/>
  <c r="E133" i="14" s="1"/>
  <c r="J133" i="14"/>
  <c r="L133" i="14" s="1"/>
  <c r="F133" i="14"/>
  <c r="L101" i="14"/>
  <c r="M52" i="14"/>
  <c r="I101" i="14"/>
  <c r="AP55" i="1"/>
  <c r="G49" i="17"/>
  <c r="Y58" i="1" l="1"/>
  <c r="Z105" i="6" s="1"/>
  <c r="X72" i="1"/>
  <c r="X59" i="1"/>
  <c r="Y117" i="6" s="1"/>
  <c r="W70" i="1"/>
  <c r="X117" i="6"/>
  <c r="X118" i="6" s="1"/>
  <c r="AD57" i="1"/>
  <c r="AF29" i="6"/>
  <c r="AG29" i="6" s="1"/>
  <c r="AH29" i="6" s="1"/>
  <c r="AG71" i="1"/>
  <c r="AG88" i="1" s="1"/>
  <c r="AG57" i="1"/>
  <c r="C41" i="17"/>
  <c r="F41" i="17"/>
  <c r="H40" i="16"/>
  <c r="C41" i="16" s="1"/>
  <c r="H41" i="16" s="1"/>
  <c r="C42" i="16" s="1"/>
  <c r="H42" i="16" s="1"/>
  <c r="C43" i="16" s="1"/>
  <c r="H43" i="16" s="1"/>
  <c r="H41" i="15"/>
  <c r="C42" i="15" s="1"/>
  <c r="H42" i="15" s="1"/>
  <c r="C43" i="15" s="1"/>
  <c r="H43" i="15" s="1"/>
  <c r="AH105" i="1"/>
  <c r="F42" i="17"/>
  <c r="Z28" i="6"/>
  <c r="Y30" i="6"/>
  <c r="J98" i="1"/>
  <c r="J107" i="1" s="1"/>
  <c r="L120" i="6"/>
  <c r="L38" i="6" s="1"/>
  <c r="K60" i="1"/>
  <c r="K61" i="1" s="1"/>
  <c r="J61" i="1"/>
  <c r="K23" i="6" s="1"/>
  <c r="M115" i="6"/>
  <c r="M119" i="6" s="1"/>
  <c r="H133" i="14"/>
  <c r="I133" i="14" s="1"/>
  <c r="M133" i="14"/>
  <c r="M101" i="14"/>
  <c r="AP106" i="1"/>
  <c r="Y118" i="6" l="1"/>
  <c r="X70" i="1"/>
  <c r="Z58" i="1"/>
  <c r="AA105" i="6" s="1"/>
  <c r="Y59" i="1"/>
  <c r="Z117" i="6" s="1"/>
  <c r="Y72" i="1"/>
  <c r="X62" i="1"/>
  <c r="C44" i="15"/>
  <c r="F44" i="15"/>
  <c r="C44" i="16"/>
  <c r="F44" i="16"/>
  <c r="AH55" i="1"/>
  <c r="AH56" i="1" s="1"/>
  <c r="AH57" i="1" s="1"/>
  <c r="G41" i="17"/>
  <c r="AH106" i="1" s="1"/>
  <c r="AI29" i="6" s="1"/>
  <c r="AA28" i="6"/>
  <c r="Z30" i="6"/>
  <c r="G42" i="17"/>
  <c r="AI55" i="1"/>
  <c r="AI56" i="1" s="1"/>
  <c r="AI57" i="1" s="1"/>
  <c r="F45" i="15"/>
  <c r="L23" i="6"/>
  <c r="L24" i="6" s="1"/>
  <c r="K24" i="6"/>
  <c r="K98" i="1"/>
  <c r="K107" i="1" s="1"/>
  <c r="M120" i="6"/>
  <c r="M38" i="6" s="1"/>
  <c r="L60" i="1"/>
  <c r="N115" i="6"/>
  <c r="N119" i="6" s="1"/>
  <c r="BE26" i="6"/>
  <c r="Z118" i="6" l="1"/>
  <c r="Y62" i="1"/>
  <c r="Y70" i="1"/>
  <c r="Z72" i="1"/>
  <c r="Z59" i="1"/>
  <c r="AA117" i="6" s="1"/>
  <c r="AA58" i="1"/>
  <c r="AB105" i="6" s="1"/>
  <c r="AH71" i="1"/>
  <c r="AH88" i="1" s="1"/>
  <c r="H41" i="17"/>
  <c r="C42" i="17" s="1"/>
  <c r="H42" i="17" s="1"/>
  <c r="C43" i="17" s="1"/>
  <c r="H43" i="17" s="1"/>
  <c r="C44" i="17" s="1"/>
  <c r="H44" i="17" s="1"/>
  <c r="C45" i="17" s="1"/>
  <c r="H45" i="17" s="1"/>
  <c r="AK53" i="1"/>
  <c r="G44" i="15"/>
  <c r="AK104" i="1" s="1"/>
  <c r="AL27" i="6" s="1"/>
  <c r="AK54" i="1"/>
  <c r="G44" i="16"/>
  <c r="AK105" i="1" s="1"/>
  <c r="AI71" i="1"/>
  <c r="AI88" i="1" s="1"/>
  <c r="AI106" i="1"/>
  <c r="AL53" i="1"/>
  <c r="G45" i="15"/>
  <c r="AB28" i="6"/>
  <c r="AA30" i="6"/>
  <c r="AW75" i="1"/>
  <c r="L98" i="1"/>
  <c r="L107" i="1" s="1"/>
  <c r="N120" i="6"/>
  <c r="N38" i="6" s="1"/>
  <c r="M60" i="1"/>
  <c r="M61" i="1" s="1"/>
  <c r="L61" i="1"/>
  <c r="O115" i="6"/>
  <c r="O119" i="6" s="1"/>
  <c r="AA118" i="6" l="1"/>
  <c r="Z62" i="1"/>
  <c r="AB58" i="1"/>
  <c r="AC105" i="6" s="1"/>
  <c r="Z70" i="1"/>
  <c r="AA59" i="1"/>
  <c r="AB117" i="6" s="1"/>
  <c r="AA72" i="1"/>
  <c r="AK56" i="1"/>
  <c r="AK57" i="1" s="1"/>
  <c r="H44" i="15"/>
  <c r="C45" i="15" s="1"/>
  <c r="H45" i="15" s="1"/>
  <c r="C46" i="15" s="1"/>
  <c r="H46" i="15" s="1"/>
  <c r="C47" i="15" s="1"/>
  <c r="H47" i="15" s="1"/>
  <c r="C48" i="15" s="1"/>
  <c r="H48" i="15" s="1"/>
  <c r="H44" i="16"/>
  <c r="AC28" i="6"/>
  <c r="AB30" i="6"/>
  <c r="AL104" i="1"/>
  <c r="C46" i="17"/>
  <c r="F46" i="17"/>
  <c r="BE53" i="1"/>
  <c r="AJ29" i="6"/>
  <c r="AK29" i="6" s="1"/>
  <c r="AL29" i="6" s="1"/>
  <c r="AM29" i="6" s="1"/>
  <c r="M23" i="6"/>
  <c r="N23" i="6" s="1"/>
  <c r="N24" i="6" s="1"/>
  <c r="AW74" i="1"/>
  <c r="M98" i="1"/>
  <c r="M107" i="1" s="1"/>
  <c r="O120" i="6"/>
  <c r="O38" i="6" s="1"/>
  <c r="N60" i="1"/>
  <c r="P115" i="6"/>
  <c r="P119" i="6" s="1"/>
  <c r="C45" i="16" l="1"/>
  <c r="F45" i="16"/>
  <c r="AB118" i="6"/>
  <c r="AC58" i="1"/>
  <c r="AD105" i="6" s="1"/>
  <c r="AA70" i="1"/>
  <c r="AB59" i="1"/>
  <c r="AC117" i="6" s="1"/>
  <c r="AB72" i="1"/>
  <c r="BD72" i="1" s="1"/>
  <c r="BD58" i="1"/>
  <c r="BD59" i="1" s="1"/>
  <c r="BD62" i="1" s="1"/>
  <c r="AA62" i="1"/>
  <c r="AK71" i="1"/>
  <c r="AK88" i="1" s="1"/>
  <c r="G46" i="17"/>
  <c r="AM55" i="1"/>
  <c r="AM27" i="6"/>
  <c r="AN27" i="6" s="1"/>
  <c r="AO27" i="6" s="1"/>
  <c r="AP27" i="6" s="1"/>
  <c r="BE104" i="1"/>
  <c r="F49" i="15"/>
  <c r="C49" i="15"/>
  <c r="BE28" i="6"/>
  <c r="BE30" i="6" s="1"/>
  <c r="AD28" i="6"/>
  <c r="AC30" i="6"/>
  <c r="M24" i="6"/>
  <c r="N98" i="1"/>
  <c r="N107" i="1" s="1"/>
  <c r="P120" i="6"/>
  <c r="P38" i="6" s="1"/>
  <c r="O60" i="1"/>
  <c r="N61" i="1"/>
  <c r="O23" i="6" s="1"/>
  <c r="Q115" i="6"/>
  <c r="Q119" i="6" s="1"/>
  <c r="F58" i="17"/>
  <c r="AL54" i="1" l="1"/>
  <c r="G45" i="16"/>
  <c r="AL105" i="1" s="1"/>
  <c r="BE105" i="1" s="1"/>
  <c r="AC118" i="6"/>
  <c r="AD58" i="1"/>
  <c r="AD59" i="1" s="1"/>
  <c r="AE117" i="6" s="1"/>
  <c r="AB62" i="1"/>
  <c r="AB70" i="1"/>
  <c r="BD70" i="1" s="1"/>
  <c r="AC59" i="1"/>
  <c r="AD117" i="6" s="1"/>
  <c r="AC72" i="1"/>
  <c r="BF27" i="6"/>
  <c r="G49" i="15"/>
  <c r="AP53" i="1"/>
  <c r="AM56" i="1"/>
  <c r="BE55" i="1"/>
  <c r="AE28" i="6"/>
  <c r="AD30" i="6"/>
  <c r="AM106" i="1"/>
  <c r="H46" i="17"/>
  <c r="C47" i="17" s="1"/>
  <c r="H47" i="17" s="1"/>
  <c r="C48" i="17" s="1"/>
  <c r="H48" i="17" s="1"/>
  <c r="C49" i="17" s="1"/>
  <c r="H49" i="17" s="1"/>
  <c r="O24" i="6"/>
  <c r="BD38" i="6"/>
  <c r="O98" i="1"/>
  <c r="O61" i="1"/>
  <c r="P23" i="6" s="1"/>
  <c r="BC60" i="1"/>
  <c r="Q120" i="6"/>
  <c r="Q38" i="6" s="1"/>
  <c r="P60" i="1"/>
  <c r="R115" i="6"/>
  <c r="R119" i="6" s="1"/>
  <c r="AY55" i="1"/>
  <c r="G58" i="17"/>
  <c r="H45" i="16" l="1"/>
  <c r="C46" i="16" s="1"/>
  <c r="H46" i="16" s="1"/>
  <c r="C47" i="16" s="1"/>
  <c r="H47" i="16" s="1"/>
  <c r="C48" i="16" s="1"/>
  <c r="H48" i="16" s="1"/>
  <c r="C49" i="16" s="1"/>
  <c r="AL56" i="1"/>
  <c r="BE54" i="1"/>
  <c r="BE56" i="1" s="1"/>
  <c r="BE57" i="1" s="1"/>
  <c r="AD118" i="6"/>
  <c r="AE118" i="6" s="1"/>
  <c r="AD70" i="1"/>
  <c r="AD62" i="1"/>
  <c r="AD72" i="1"/>
  <c r="AE105" i="6"/>
  <c r="AE58" i="1"/>
  <c r="AF105" i="6" s="1"/>
  <c r="AC62" i="1"/>
  <c r="AC70" i="1"/>
  <c r="C50" i="17"/>
  <c r="F50" i="17"/>
  <c r="BE106" i="1"/>
  <c r="AN29" i="6"/>
  <c r="AO29" i="6" s="1"/>
  <c r="AP29" i="6" s="1"/>
  <c r="AM71" i="1"/>
  <c r="AM57" i="1"/>
  <c r="H49" i="15"/>
  <c r="C50" i="15" s="1"/>
  <c r="H50" i="15" s="1"/>
  <c r="C51" i="15" s="1"/>
  <c r="H51" i="15" s="1"/>
  <c r="C52" i="15" s="1"/>
  <c r="H52" i="15" s="1"/>
  <c r="AP104" i="1"/>
  <c r="AQ27" i="6" s="1"/>
  <c r="AR27" i="6" s="1"/>
  <c r="AS27" i="6" s="1"/>
  <c r="AT27" i="6" s="1"/>
  <c r="F51" i="17"/>
  <c r="AF28" i="6"/>
  <c r="AE30" i="6"/>
  <c r="P98" i="1"/>
  <c r="P107" i="1" s="1"/>
  <c r="BD23" i="6"/>
  <c r="BD24" i="6" s="1"/>
  <c r="P24" i="6"/>
  <c r="O107" i="1"/>
  <c r="BC98" i="1"/>
  <c r="P61" i="1"/>
  <c r="Q23" i="6" s="1"/>
  <c r="R120" i="6"/>
  <c r="R38" i="6" s="1"/>
  <c r="Q60" i="1"/>
  <c r="Q61" i="1" s="1"/>
  <c r="BC61" i="1"/>
  <c r="S115" i="6"/>
  <c r="S119" i="6" s="1"/>
  <c r="C109" i="6"/>
  <c r="C110" i="6" s="1"/>
  <c r="AY106" i="1"/>
  <c r="F49" i="16" l="1"/>
  <c r="AL71" i="1"/>
  <c r="AL88" i="1" s="1"/>
  <c r="AL57" i="1"/>
  <c r="AP54" i="1"/>
  <c r="AP56" i="1" s="1"/>
  <c r="G49" i="16"/>
  <c r="AF58" i="1"/>
  <c r="AG105" i="6" s="1"/>
  <c r="AE59" i="1"/>
  <c r="AE70" i="1" s="1"/>
  <c r="AE72" i="1"/>
  <c r="C53" i="15"/>
  <c r="F53" i="15"/>
  <c r="AQ55" i="1"/>
  <c r="AQ56" i="1" s="1"/>
  <c r="G50" i="17"/>
  <c r="AQ106" i="1" s="1"/>
  <c r="AG28" i="6"/>
  <c r="AF30" i="6"/>
  <c r="F54" i="15"/>
  <c r="F54" i="16"/>
  <c r="AR55" i="1"/>
  <c r="AR56" i="1" s="1"/>
  <c r="G51" i="17"/>
  <c r="AM88" i="1"/>
  <c r="BE71" i="1"/>
  <c r="BE88" i="1" s="1"/>
  <c r="AQ29" i="6"/>
  <c r="BF29" i="6"/>
  <c r="AP57" i="1"/>
  <c r="AP71" i="1"/>
  <c r="AP88" i="1" s="1"/>
  <c r="R23" i="6"/>
  <c r="R24" i="6" s="1"/>
  <c r="Q24" i="6"/>
  <c r="Q98" i="1"/>
  <c r="Q107" i="1" s="1"/>
  <c r="BC107" i="1"/>
  <c r="S120" i="6"/>
  <c r="S38" i="6" s="1"/>
  <c r="R60" i="1"/>
  <c r="T115" i="6"/>
  <c r="T119" i="6" s="1"/>
  <c r="D109" i="6"/>
  <c r="AP105" i="1" l="1"/>
  <c r="H49" i="16"/>
  <c r="C50" i="16" s="1"/>
  <c r="H50" i="16" s="1"/>
  <c r="C51" i="16" s="1"/>
  <c r="H51" i="16" s="1"/>
  <c r="C52" i="16" s="1"/>
  <c r="H52" i="16" s="1"/>
  <c r="AG58" i="1"/>
  <c r="AH105" i="6" s="1"/>
  <c r="AF59" i="1"/>
  <c r="AG117" i="6" s="1"/>
  <c r="AF72" i="1"/>
  <c r="AF117" i="6"/>
  <c r="AF118" i="6" s="1"/>
  <c r="AE62" i="1"/>
  <c r="AR29" i="6"/>
  <c r="H50" i="17"/>
  <c r="C51" i="17" s="1"/>
  <c r="H51" i="17" s="1"/>
  <c r="C52" i="17" s="1"/>
  <c r="H52" i="17" s="1"/>
  <c r="C53" i="17" s="1"/>
  <c r="H53" i="17" s="1"/>
  <c r="G53" i="15"/>
  <c r="AT104" i="1" s="1"/>
  <c r="AT53" i="1"/>
  <c r="AQ57" i="1"/>
  <c r="AQ71" i="1"/>
  <c r="AQ88" i="1" s="1"/>
  <c r="AU53" i="1"/>
  <c r="G54" i="15"/>
  <c r="AU104" i="1" s="1"/>
  <c r="AR71" i="1"/>
  <c r="AR88" i="1" s="1"/>
  <c r="AR57" i="1"/>
  <c r="AR106" i="1"/>
  <c r="AU54" i="1"/>
  <c r="G54" i="16"/>
  <c r="AH28" i="6"/>
  <c r="AG30" i="6"/>
  <c r="R98" i="1"/>
  <c r="R107" i="1" s="1"/>
  <c r="T120" i="6"/>
  <c r="T38" i="6" s="1"/>
  <c r="S60" i="1"/>
  <c r="R61" i="1"/>
  <c r="S23" i="6" s="1"/>
  <c r="U115" i="6"/>
  <c r="U119" i="6" s="1"/>
  <c r="D110" i="6"/>
  <c r="E109" i="6"/>
  <c r="C53" i="16" l="1"/>
  <c r="F53" i="16"/>
  <c r="AH58" i="1"/>
  <c r="AI105" i="6" s="1"/>
  <c r="AG118" i="6"/>
  <c r="AF62" i="1"/>
  <c r="AF70" i="1"/>
  <c r="AG72" i="1"/>
  <c r="AG59" i="1"/>
  <c r="AH117" i="6" s="1"/>
  <c r="AS29" i="6"/>
  <c r="AT29" i="6" s="1"/>
  <c r="AU29" i="6" s="1"/>
  <c r="H53" i="15"/>
  <c r="C54" i="15" s="1"/>
  <c r="H54" i="15" s="1"/>
  <c r="C55" i="15" s="1"/>
  <c r="H55" i="15" s="1"/>
  <c r="C56" i="15" s="1"/>
  <c r="H56" i="15" s="1"/>
  <c r="C54" i="17"/>
  <c r="F54" i="17"/>
  <c r="AU27" i="6"/>
  <c r="AV27" i="6" s="1"/>
  <c r="AW27" i="6" s="1"/>
  <c r="AX27" i="6" s="1"/>
  <c r="AI28" i="6"/>
  <c r="AH30" i="6"/>
  <c r="AU105" i="1"/>
  <c r="S24" i="6"/>
  <c r="S98" i="1"/>
  <c r="U120" i="6"/>
  <c r="U38" i="6" s="1"/>
  <c r="T60" i="1"/>
  <c r="T61" i="1" s="1"/>
  <c r="S61" i="1"/>
  <c r="T23" i="6" s="1"/>
  <c r="V115" i="6"/>
  <c r="V119" i="6" s="1"/>
  <c r="F109" i="6"/>
  <c r="E110" i="6"/>
  <c r="AT54" i="1" l="1"/>
  <c r="AT56" i="1" s="1"/>
  <c r="G53" i="16"/>
  <c r="AI58" i="1"/>
  <c r="AI59" i="1" s="1"/>
  <c r="AJ117" i="6" s="1"/>
  <c r="AH72" i="1"/>
  <c r="AH59" i="1"/>
  <c r="AI117" i="6" s="1"/>
  <c r="AH118" i="6"/>
  <c r="AG62" i="1"/>
  <c r="AG70" i="1"/>
  <c r="AU55" i="1"/>
  <c r="AU56" i="1" s="1"/>
  <c r="AU57" i="1" s="1"/>
  <c r="G54" i="17"/>
  <c r="AU106" i="1" s="1"/>
  <c r="AV29" i="6" s="1"/>
  <c r="C57" i="15"/>
  <c r="F57" i="15"/>
  <c r="AT57" i="1"/>
  <c r="AT71" i="1"/>
  <c r="AT88" i="1" s="1"/>
  <c r="F58" i="15"/>
  <c r="G58" i="15" s="1"/>
  <c r="AJ28" i="6"/>
  <c r="AI30" i="6"/>
  <c r="U23" i="6"/>
  <c r="U24" i="6" s="1"/>
  <c r="T24" i="6"/>
  <c r="T98" i="1"/>
  <c r="T107" i="1" s="1"/>
  <c r="S107" i="1"/>
  <c r="V120" i="6"/>
  <c r="V38" i="6" s="1"/>
  <c r="U60" i="1"/>
  <c r="W115" i="6"/>
  <c r="W119" i="6" s="1"/>
  <c r="G109" i="6"/>
  <c r="F110" i="6"/>
  <c r="AT105" i="1" l="1"/>
  <c r="H53" i="16"/>
  <c r="C54" i="16" s="1"/>
  <c r="H54" i="16" s="1"/>
  <c r="C55" i="16" s="1"/>
  <c r="H55" i="16" s="1"/>
  <c r="C56" i="16" s="1"/>
  <c r="H56" i="16" s="1"/>
  <c r="C57" i="16" s="1"/>
  <c r="H57" i="16" s="1"/>
  <c r="AJ58" i="1"/>
  <c r="AJ59" i="1" s="1"/>
  <c r="AK117" i="6" s="1"/>
  <c r="AI70" i="1"/>
  <c r="AI62" i="1"/>
  <c r="AJ105" i="6"/>
  <c r="AI72" i="1"/>
  <c r="AH62" i="1"/>
  <c r="AI118" i="6"/>
  <c r="AJ118" i="6" s="1"/>
  <c r="AH70" i="1"/>
  <c r="AU71" i="1"/>
  <c r="AU88" i="1" s="1"/>
  <c r="AY53" i="1"/>
  <c r="H54" i="17"/>
  <c r="AX53" i="1"/>
  <c r="AX56" i="1" s="1"/>
  <c r="G57" i="15"/>
  <c r="AX104" i="1" s="1"/>
  <c r="AY27" i="6" s="1"/>
  <c r="AY104" i="1"/>
  <c r="AK28" i="6"/>
  <c r="AJ30" i="6"/>
  <c r="U98" i="1"/>
  <c r="U107" i="1" s="1"/>
  <c r="W120" i="6"/>
  <c r="W38" i="6" s="1"/>
  <c r="V60" i="1"/>
  <c r="V61" i="1" s="1"/>
  <c r="U61" i="1"/>
  <c r="X115" i="6"/>
  <c r="X119" i="6" s="1"/>
  <c r="H109" i="6"/>
  <c r="G110" i="6"/>
  <c r="C55" i="17" l="1"/>
  <c r="F55" i="17"/>
  <c r="C58" i="16"/>
  <c r="F58" i="16"/>
  <c r="AK58" i="1"/>
  <c r="AK72" i="1" s="1"/>
  <c r="AJ62" i="1"/>
  <c r="AK118" i="6"/>
  <c r="AJ72" i="1"/>
  <c r="AJ70" i="1"/>
  <c r="AK105" i="6"/>
  <c r="H57" i="15"/>
  <c r="C58" i="15" s="1"/>
  <c r="H58" i="15" s="1"/>
  <c r="C59" i="15" s="1"/>
  <c r="H59" i="15" s="1"/>
  <c r="C60" i="15" s="1"/>
  <c r="H60" i="15" s="1"/>
  <c r="C61" i="15" s="1"/>
  <c r="AX57" i="1"/>
  <c r="AX71" i="1"/>
  <c r="AX88" i="1" s="1"/>
  <c r="F60" i="17"/>
  <c r="AL28" i="6"/>
  <c r="AK30" i="6"/>
  <c r="AZ27" i="6"/>
  <c r="BA27" i="6" s="1"/>
  <c r="BB27" i="6" s="1"/>
  <c r="V23" i="6"/>
  <c r="W23" i="6" s="1"/>
  <c r="W24" i="6" s="1"/>
  <c r="AN75" i="1"/>
  <c r="V98" i="1"/>
  <c r="V107" i="1" s="1"/>
  <c r="X120" i="6"/>
  <c r="X38" i="6" s="1"/>
  <c r="W60" i="1"/>
  <c r="Y115" i="6"/>
  <c r="Y119" i="6" s="1"/>
  <c r="I109" i="6"/>
  <c r="H110" i="6"/>
  <c r="G58" i="16" l="1"/>
  <c r="AY54" i="1"/>
  <c r="AV55" i="1"/>
  <c r="AV56" i="1" s="1"/>
  <c r="G55" i="17"/>
  <c r="AV106" i="1" s="1"/>
  <c r="AW29" i="6" s="1"/>
  <c r="AX29" i="6" s="1"/>
  <c r="AY29" i="6" s="1"/>
  <c r="AZ29" i="6" s="1"/>
  <c r="AL105" i="6"/>
  <c r="AL58" i="1"/>
  <c r="AM105" i="6" s="1"/>
  <c r="AK59" i="1"/>
  <c r="AL117" i="6" s="1"/>
  <c r="AL118" i="6" s="1"/>
  <c r="F61" i="15"/>
  <c r="G61" i="15" s="1"/>
  <c r="BB104" i="1" s="1"/>
  <c r="AM28" i="6"/>
  <c r="AL30" i="6"/>
  <c r="G60" i="17"/>
  <c r="BA106" i="1" s="1"/>
  <c r="BA55" i="1"/>
  <c r="V24" i="6"/>
  <c r="W98" i="1"/>
  <c r="W107" i="1" s="1"/>
  <c r="Y120" i="6"/>
  <c r="Y38" i="6" s="1"/>
  <c r="X60" i="1"/>
  <c r="X61" i="1" s="1"/>
  <c r="W61" i="1"/>
  <c r="X23" i="6" s="1"/>
  <c r="Z115" i="6"/>
  <c r="Z119" i="6" s="1"/>
  <c r="J109" i="6"/>
  <c r="I110" i="6"/>
  <c r="H55" i="17" l="1"/>
  <c r="C56" i="17" s="1"/>
  <c r="H56" i="17" s="1"/>
  <c r="C57" i="17" s="1"/>
  <c r="H57" i="17" s="1"/>
  <c r="C58" i="17" s="1"/>
  <c r="H58" i="17" s="1"/>
  <c r="C59" i="17" s="1"/>
  <c r="F54" i="14"/>
  <c r="H54" i="14" s="1"/>
  <c r="I54" i="14" s="1"/>
  <c r="J54" i="14"/>
  <c r="L54" i="14" s="1"/>
  <c r="M54" i="14" s="1"/>
  <c r="AV57" i="1"/>
  <c r="AV71" i="1"/>
  <c r="AV88" i="1" s="1"/>
  <c r="AY56" i="1"/>
  <c r="BF54" i="1"/>
  <c r="BG54" i="1" s="1"/>
  <c r="H58" i="16"/>
  <c r="C59" i="16" s="1"/>
  <c r="H59" i="16" s="1"/>
  <c r="C60" i="16" s="1"/>
  <c r="H60" i="16" s="1"/>
  <c r="C61" i="16" s="1"/>
  <c r="H61" i="16" s="1"/>
  <c r="AY105" i="1"/>
  <c r="AM58" i="1"/>
  <c r="AN105" i="6" s="1"/>
  <c r="AL72" i="1"/>
  <c r="AL59" i="1"/>
  <c r="AM117" i="6" s="1"/>
  <c r="AM118" i="6" s="1"/>
  <c r="AK62" i="1"/>
  <c r="AK70" i="1"/>
  <c r="BB53" i="1"/>
  <c r="B53" i="14" s="1"/>
  <c r="BF104" i="1"/>
  <c r="BG104" i="1" s="1"/>
  <c r="B102" i="14"/>
  <c r="D102" i="14" s="1"/>
  <c r="E102" i="14" s="1"/>
  <c r="J102" i="14"/>
  <c r="L102" i="14" s="1"/>
  <c r="M102" i="14" s="1"/>
  <c r="F102" i="14"/>
  <c r="H102" i="14" s="1"/>
  <c r="I102" i="14" s="1"/>
  <c r="H61" i="15"/>
  <c r="BC27" i="6"/>
  <c r="AN28" i="6"/>
  <c r="AM30" i="6"/>
  <c r="BA56" i="1"/>
  <c r="Y23" i="6"/>
  <c r="Y24" i="6" s="1"/>
  <c r="X24" i="6"/>
  <c r="X98" i="1"/>
  <c r="X107" i="1" s="1"/>
  <c r="Z120" i="6"/>
  <c r="Z38" i="6" s="1"/>
  <c r="Y60" i="1"/>
  <c r="Y61" i="1" s="1"/>
  <c r="AA115" i="6"/>
  <c r="AA119" i="6" s="1"/>
  <c r="K109" i="6"/>
  <c r="J110" i="6"/>
  <c r="C97" i="6"/>
  <c r="C103" i="6"/>
  <c r="BF26" i="6"/>
  <c r="BF39" i="6"/>
  <c r="F59" i="17" l="1"/>
  <c r="BF105" i="1"/>
  <c r="BG105" i="1" s="1"/>
  <c r="J103" i="14"/>
  <c r="L103" i="14" s="1"/>
  <c r="M103" i="14" s="1"/>
  <c r="F103" i="14"/>
  <c r="H103" i="14" s="1"/>
  <c r="I103" i="14" s="1"/>
  <c r="AY71" i="1"/>
  <c r="AY88" i="1" s="1"/>
  <c r="AY57" i="1"/>
  <c r="AZ55" i="1"/>
  <c r="G59" i="17"/>
  <c r="AL70" i="1"/>
  <c r="AL62" i="1"/>
  <c r="AM72" i="1"/>
  <c r="AN58" i="1"/>
  <c r="AN72" i="1" s="1"/>
  <c r="AM59" i="1"/>
  <c r="AN117" i="6" s="1"/>
  <c r="AN118" i="6" s="1"/>
  <c r="BF53" i="1"/>
  <c r="BG53" i="1" s="1"/>
  <c r="BB56" i="1"/>
  <c r="BB57" i="1" s="1"/>
  <c r="F53" i="14"/>
  <c r="H53" i="14" s="1"/>
  <c r="I53" i="14" s="1"/>
  <c r="J53" i="14"/>
  <c r="L53" i="14" s="1"/>
  <c r="M53" i="14" s="1"/>
  <c r="BG27" i="6"/>
  <c r="BH27" i="6" s="1"/>
  <c r="B134" i="14"/>
  <c r="D53" i="14"/>
  <c r="D56" i="14" s="1"/>
  <c r="D57" i="14" s="1"/>
  <c r="B56" i="14"/>
  <c r="BA57" i="1"/>
  <c r="BA71" i="1"/>
  <c r="AO28" i="6"/>
  <c r="AN30" i="6"/>
  <c r="Z23" i="6"/>
  <c r="Z24" i="6" s="1"/>
  <c r="Y98" i="1"/>
  <c r="Y107" i="1" s="1"/>
  <c r="AA120" i="6"/>
  <c r="AA38" i="6" s="1"/>
  <c r="Z60" i="1"/>
  <c r="Z61" i="1" s="1"/>
  <c r="AB115" i="6"/>
  <c r="AB119" i="6" s="1"/>
  <c r="L109" i="6"/>
  <c r="K110" i="6"/>
  <c r="C104" i="6"/>
  <c r="D103" i="6"/>
  <c r="E103" i="6" s="1"/>
  <c r="C98" i="6"/>
  <c r="D97" i="6"/>
  <c r="E97" i="6" s="1"/>
  <c r="AJ74" i="1"/>
  <c r="AK75" i="1"/>
  <c r="AJ75" i="1"/>
  <c r="AK74" i="1"/>
  <c r="AI75" i="1"/>
  <c r="J55" i="14" l="1"/>
  <c r="L55" i="14" s="1"/>
  <c r="F55" i="14"/>
  <c r="H55" i="14" s="1"/>
  <c r="AZ106" i="1"/>
  <c r="H59" i="17"/>
  <c r="C60" i="17" s="1"/>
  <c r="H60" i="17" s="1"/>
  <c r="C61" i="17" s="1"/>
  <c r="H61" i="17" s="1"/>
  <c r="AZ56" i="1"/>
  <c r="BF55" i="1"/>
  <c r="BG55" i="1" s="1"/>
  <c r="BG56" i="1" s="1"/>
  <c r="BG57" i="1" s="1"/>
  <c r="AO58" i="1"/>
  <c r="BE58" i="1" s="1"/>
  <c r="BE59" i="1" s="1"/>
  <c r="BE62" i="1" s="1"/>
  <c r="AN59" i="1"/>
  <c r="AO117" i="6" s="1"/>
  <c r="AO105" i="6"/>
  <c r="AM62" i="1"/>
  <c r="AM70" i="1"/>
  <c r="BB71" i="1"/>
  <c r="BB88" i="1" s="1"/>
  <c r="H56" i="14"/>
  <c r="H57" i="14" s="1"/>
  <c r="J56" i="14"/>
  <c r="J69" i="14" s="1"/>
  <c r="F56" i="14"/>
  <c r="F69" i="14" s="1"/>
  <c r="F134" i="14"/>
  <c r="H134" i="14" s="1"/>
  <c r="I134" i="14" s="1"/>
  <c r="J134" i="14"/>
  <c r="L134" i="14" s="1"/>
  <c r="M134" i="14" s="1"/>
  <c r="D134" i="14"/>
  <c r="E134" i="14" s="1"/>
  <c r="E53" i="14"/>
  <c r="B57" i="14"/>
  <c r="E57" i="14" s="1"/>
  <c r="B69" i="14"/>
  <c r="E56" i="14"/>
  <c r="F57" i="14"/>
  <c r="M55" i="14"/>
  <c r="L56" i="14"/>
  <c r="L57" i="14" s="1"/>
  <c r="BA88" i="1"/>
  <c r="AP28" i="6"/>
  <c r="AO30" i="6"/>
  <c r="AI74" i="1"/>
  <c r="AA23" i="6"/>
  <c r="AA24" i="6" s="1"/>
  <c r="Z98" i="1"/>
  <c r="Z107" i="1" s="1"/>
  <c r="AX74" i="1"/>
  <c r="AU75" i="1"/>
  <c r="AY75" i="1"/>
  <c r="AP74" i="1"/>
  <c r="AX75" i="1"/>
  <c r="AY74" i="1"/>
  <c r="AV75" i="1"/>
  <c r="AV74" i="1"/>
  <c r="AU74" i="1"/>
  <c r="AT74" i="1"/>
  <c r="AQ75" i="1"/>
  <c r="AR75" i="1"/>
  <c r="AS75" i="1"/>
  <c r="AT75" i="1"/>
  <c r="AS74" i="1"/>
  <c r="AQ74" i="1"/>
  <c r="AR74" i="1"/>
  <c r="AO74" i="1"/>
  <c r="AO75" i="1"/>
  <c r="AP75" i="1"/>
  <c r="AN74" i="1"/>
  <c r="AM74" i="1"/>
  <c r="AL74" i="1"/>
  <c r="AM75" i="1"/>
  <c r="AL75" i="1"/>
  <c r="AB120" i="6"/>
  <c r="AB38" i="6" s="1"/>
  <c r="AA60" i="1"/>
  <c r="AC115" i="6"/>
  <c r="AD115" i="6" s="1"/>
  <c r="D104" i="6"/>
  <c r="D37" i="6" s="1"/>
  <c r="C89" i="1" s="1"/>
  <c r="M109" i="6"/>
  <c r="L110" i="6"/>
  <c r="F103" i="6"/>
  <c r="F97" i="6"/>
  <c r="D98" i="6"/>
  <c r="E98" i="6" s="1"/>
  <c r="I55" i="14" l="1"/>
  <c r="J104" i="14"/>
  <c r="L104" i="14" s="1"/>
  <c r="M104" i="14" s="1"/>
  <c r="F104" i="14"/>
  <c r="H104" i="14" s="1"/>
  <c r="I104" i="14" s="1"/>
  <c r="BF56" i="1"/>
  <c r="BF57" i="1" s="1"/>
  <c r="AZ57" i="1"/>
  <c r="AZ71" i="1"/>
  <c r="AZ88" i="1" s="1"/>
  <c r="BA29" i="6"/>
  <c r="BB29" i="6" s="1"/>
  <c r="BC29" i="6" s="1"/>
  <c r="BF106" i="1"/>
  <c r="BG106" i="1" s="1"/>
  <c r="J57" i="14"/>
  <c r="M57" i="14" s="1"/>
  <c r="AN62" i="1"/>
  <c r="AN70" i="1"/>
  <c r="AO59" i="1"/>
  <c r="AO70" i="1" s="1"/>
  <c r="AP58" i="1"/>
  <c r="AP72" i="1" s="1"/>
  <c r="AO72" i="1"/>
  <c r="BE72" i="1" s="1"/>
  <c r="AP105" i="6"/>
  <c r="I56" i="14"/>
  <c r="I57" i="14"/>
  <c r="AO118" i="6"/>
  <c r="AP117" i="6"/>
  <c r="B86" i="14"/>
  <c r="D86" i="14" s="1"/>
  <c r="E86" i="14" s="1"/>
  <c r="D69" i="14"/>
  <c r="E69" i="14" s="1"/>
  <c r="M56" i="14"/>
  <c r="J86" i="14"/>
  <c r="L86" i="14" s="1"/>
  <c r="M86" i="14" s="1"/>
  <c r="L69" i="14"/>
  <c r="M69" i="14" s="1"/>
  <c r="F86" i="14"/>
  <c r="H86" i="14" s="1"/>
  <c r="I86" i="14" s="1"/>
  <c r="H69" i="14"/>
  <c r="I69" i="14" s="1"/>
  <c r="BF28" i="6"/>
  <c r="BF30" i="6" s="1"/>
  <c r="AQ28" i="6"/>
  <c r="AP30" i="6"/>
  <c r="AH75" i="1"/>
  <c r="AH74" i="1"/>
  <c r="AC119" i="6"/>
  <c r="AB60" i="1" s="1"/>
  <c r="AA98" i="1"/>
  <c r="AA107" i="1" s="1"/>
  <c r="BF75" i="1"/>
  <c r="BF74" i="1"/>
  <c r="AA61" i="1"/>
  <c r="AB23" i="6" s="1"/>
  <c r="AC120" i="6"/>
  <c r="AC38" i="6" s="1"/>
  <c r="AD119" i="6"/>
  <c r="AE115" i="6"/>
  <c r="E104" i="6"/>
  <c r="E37" i="6" s="1"/>
  <c r="D89" i="1" s="1"/>
  <c r="N109" i="6"/>
  <c r="M110" i="6"/>
  <c r="G103" i="6"/>
  <c r="G97" i="6"/>
  <c r="F98" i="6"/>
  <c r="BF71" i="1" l="1"/>
  <c r="BF88" i="1" s="1"/>
  <c r="BG29" i="6"/>
  <c r="BH29" i="6" s="1"/>
  <c r="B136" i="14"/>
  <c r="BE70" i="1"/>
  <c r="AO62" i="1"/>
  <c r="AQ105" i="6"/>
  <c r="AQ58" i="1"/>
  <c r="AQ59" i="1" s="1"/>
  <c r="AP59" i="1"/>
  <c r="AP62" i="1" s="1"/>
  <c r="BG71" i="1"/>
  <c r="BG88" i="1" s="1"/>
  <c r="AP118" i="6"/>
  <c r="AR28" i="6"/>
  <c r="AQ30" i="6"/>
  <c r="AB24" i="6"/>
  <c r="BE38" i="6"/>
  <c r="AB98" i="1"/>
  <c r="AD120" i="6"/>
  <c r="AD38" i="6" s="1"/>
  <c r="AC60" i="1"/>
  <c r="AB61" i="1"/>
  <c r="BD60" i="1"/>
  <c r="AE119" i="6"/>
  <c r="AF115" i="6"/>
  <c r="F104" i="6"/>
  <c r="F37" i="6" s="1"/>
  <c r="E89" i="1" s="1"/>
  <c r="O109" i="6"/>
  <c r="N110" i="6"/>
  <c r="H103" i="6"/>
  <c r="H97" i="6"/>
  <c r="G98" i="6"/>
  <c r="J136" i="14" l="1"/>
  <c r="F136" i="14"/>
  <c r="H136" i="14" s="1"/>
  <c r="I136" i="14" s="1"/>
  <c r="D136" i="14"/>
  <c r="E136" i="14" s="1"/>
  <c r="AP70" i="1"/>
  <c r="AQ117" i="6"/>
  <c r="AQ118" i="6" s="1"/>
  <c r="AQ72" i="1"/>
  <c r="AR58" i="1"/>
  <c r="AS105" i="6" s="1"/>
  <c r="AR105" i="6"/>
  <c r="AR117" i="6"/>
  <c r="AQ62" i="1"/>
  <c r="AQ70" i="1"/>
  <c r="AS28" i="6"/>
  <c r="AR30" i="6"/>
  <c r="AG74" i="1"/>
  <c r="AG75" i="1"/>
  <c r="AF75" i="1"/>
  <c r="AC98" i="1"/>
  <c r="AC107" i="1" s="1"/>
  <c r="AC23" i="6"/>
  <c r="AB107" i="1"/>
  <c r="BD98" i="1"/>
  <c r="AE120" i="6"/>
  <c r="AE38" i="6" s="1"/>
  <c r="AD60" i="1"/>
  <c r="BD61" i="1"/>
  <c r="AC61" i="1"/>
  <c r="AF74" i="1" s="1"/>
  <c r="AF119" i="6"/>
  <c r="AG115" i="6"/>
  <c r="G104" i="6"/>
  <c r="G37" i="6" s="1"/>
  <c r="F89" i="1" s="1"/>
  <c r="P109" i="6"/>
  <c r="O110" i="6"/>
  <c r="I103" i="6"/>
  <c r="I97" i="6"/>
  <c r="H98" i="6"/>
  <c r="L136" i="14" l="1"/>
  <c r="M136" i="14" s="1"/>
  <c r="AS58" i="1"/>
  <c r="AT105" i="6" s="1"/>
  <c r="AR59" i="1"/>
  <c r="AR62" i="1" s="1"/>
  <c r="AR72" i="1"/>
  <c r="AR118" i="6"/>
  <c r="AT28" i="6"/>
  <c r="AS30" i="6"/>
  <c r="AD98" i="1"/>
  <c r="AD107" i="1" s="1"/>
  <c r="AD23" i="6"/>
  <c r="AC24" i="6"/>
  <c r="BE23" i="6"/>
  <c r="BE24" i="6" s="1"/>
  <c r="BD107" i="1"/>
  <c r="AF120" i="6"/>
  <c r="AF38" i="6" s="1"/>
  <c r="AE60" i="1"/>
  <c r="AE75" i="1"/>
  <c r="AE74" i="1"/>
  <c r="AD61" i="1"/>
  <c r="AG119" i="6"/>
  <c r="AH115" i="6"/>
  <c r="H104" i="6"/>
  <c r="H37" i="6" s="1"/>
  <c r="G89" i="1" s="1"/>
  <c r="Q109" i="6"/>
  <c r="P110" i="6"/>
  <c r="J103" i="6"/>
  <c r="J97" i="6"/>
  <c r="I98" i="6"/>
  <c r="AS72" i="1" l="1"/>
  <c r="AT58" i="1"/>
  <c r="AU105" i="6" s="1"/>
  <c r="AS59" i="1"/>
  <c r="AT117" i="6" s="1"/>
  <c r="AS117" i="6"/>
  <c r="AS118" i="6" s="1"/>
  <c r="AR70" i="1"/>
  <c r="AU28" i="6"/>
  <c r="AT30" i="6"/>
  <c r="AD74" i="1"/>
  <c r="AE98" i="1"/>
  <c r="AE107" i="1" s="1"/>
  <c r="AE23" i="6"/>
  <c r="AD24" i="6"/>
  <c r="AD75" i="1"/>
  <c r="AE61" i="1"/>
  <c r="AG120" i="6"/>
  <c r="AG38" i="6" s="1"/>
  <c r="AF60" i="1"/>
  <c r="AH119" i="6"/>
  <c r="AI115" i="6"/>
  <c r="I104" i="6"/>
  <c r="I37" i="6" s="1"/>
  <c r="H89" i="1" s="1"/>
  <c r="R109" i="6"/>
  <c r="Q110" i="6"/>
  <c r="K103" i="6"/>
  <c r="K97" i="6"/>
  <c r="J98" i="6"/>
  <c r="AS70" i="1" l="1"/>
  <c r="AS62" i="1"/>
  <c r="AT59" i="1"/>
  <c r="AU117" i="6" s="1"/>
  <c r="AU58" i="1"/>
  <c r="AV105" i="6" s="1"/>
  <c r="AT72" i="1"/>
  <c r="AT118" i="6"/>
  <c r="AV28" i="6"/>
  <c r="AU30" i="6"/>
  <c r="AF98" i="1"/>
  <c r="AF107" i="1" s="1"/>
  <c r="AF23" i="6"/>
  <c r="AE24" i="6"/>
  <c r="AH120" i="6"/>
  <c r="AH38" i="6" s="1"/>
  <c r="AG60" i="1"/>
  <c r="AF61" i="1"/>
  <c r="AC75" i="1"/>
  <c r="BE75" i="1" s="1"/>
  <c r="AC74" i="1"/>
  <c r="BE74" i="1" s="1"/>
  <c r="AI119" i="6"/>
  <c r="AJ115" i="6"/>
  <c r="J104" i="6"/>
  <c r="J37" i="6" s="1"/>
  <c r="I89" i="1" s="1"/>
  <c r="S109" i="6"/>
  <c r="R110" i="6"/>
  <c r="L103" i="6"/>
  <c r="L97" i="6"/>
  <c r="K98" i="6"/>
  <c r="AT70" i="1" l="1"/>
  <c r="AT62" i="1"/>
  <c r="AV58" i="1"/>
  <c r="AW58" i="1" s="1"/>
  <c r="AX105" i="6" s="1"/>
  <c r="AU72" i="1"/>
  <c r="AU59" i="1"/>
  <c r="AV117" i="6" s="1"/>
  <c r="AU118" i="6"/>
  <c r="AW28" i="6"/>
  <c r="AV30" i="6"/>
  <c r="AB75" i="1"/>
  <c r="AG23" i="6"/>
  <c r="AF24" i="6"/>
  <c r="AG98" i="1"/>
  <c r="AG107" i="1" s="1"/>
  <c r="AB74" i="1"/>
  <c r="AG61" i="1"/>
  <c r="AI120" i="6"/>
  <c r="AI38" i="6" s="1"/>
  <c r="AH60" i="1"/>
  <c r="AJ119" i="6"/>
  <c r="AK115" i="6"/>
  <c r="K104" i="6"/>
  <c r="K37" i="6" s="1"/>
  <c r="J89" i="1" s="1"/>
  <c r="T109" i="6"/>
  <c r="S110" i="6"/>
  <c r="M103" i="6"/>
  <c r="M97" i="6"/>
  <c r="L98" i="6"/>
  <c r="AU62" i="1" l="1"/>
  <c r="AU70" i="1"/>
  <c r="AX58" i="1"/>
  <c r="AY105" i="6" s="1"/>
  <c r="AW72" i="1"/>
  <c r="AV59" i="1"/>
  <c r="AW117" i="6" s="1"/>
  <c r="AW59" i="1"/>
  <c r="AX117" i="6" s="1"/>
  <c r="AV72" i="1"/>
  <c r="AW105" i="6"/>
  <c r="AV118" i="6"/>
  <c r="AX28" i="6"/>
  <c r="AW30" i="6"/>
  <c r="AH23" i="6"/>
  <c r="AG24" i="6"/>
  <c r="AH98" i="1"/>
  <c r="AH107" i="1" s="1"/>
  <c r="AH61" i="1"/>
  <c r="L104" i="6"/>
  <c r="L37" i="6" s="1"/>
  <c r="K89" i="1" s="1"/>
  <c r="AJ120" i="6"/>
  <c r="AJ38" i="6" s="1"/>
  <c r="AI60" i="1"/>
  <c r="AA74" i="1"/>
  <c r="AA75" i="1"/>
  <c r="AK119" i="6"/>
  <c r="AL115" i="6"/>
  <c r="U109" i="6"/>
  <c r="T110" i="6"/>
  <c r="N103" i="6"/>
  <c r="N97" i="6"/>
  <c r="M98" i="6"/>
  <c r="AV62" i="1" l="1"/>
  <c r="AY58" i="1"/>
  <c r="AZ105" i="6" s="1"/>
  <c r="AV70" i="1"/>
  <c r="AW62" i="1"/>
  <c r="AW70" i="1"/>
  <c r="AX72" i="1"/>
  <c r="AX59" i="1"/>
  <c r="AX70" i="1" s="1"/>
  <c r="AW118" i="6"/>
  <c r="AX118" i="6" s="1"/>
  <c r="AY28" i="6"/>
  <c r="AX30" i="6"/>
  <c r="Z75" i="1"/>
  <c r="Z74" i="1"/>
  <c r="M104" i="6"/>
  <c r="M37" i="6" s="1"/>
  <c r="L89" i="1" s="1"/>
  <c r="AI23" i="6"/>
  <c r="AH24" i="6"/>
  <c r="AI98" i="1"/>
  <c r="AI107" i="1" s="1"/>
  <c r="AK120" i="6"/>
  <c r="AK38" i="6" s="1"/>
  <c r="AJ60" i="1"/>
  <c r="AI61" i="1"/>
  <c r="AL119" i="6"/>
  <c r="AM115" i="6"/>
  <c r="V109" i="6"/>
  <c r="U110" i="6"/>
  <c r="O103" i="6"/>
  <c r="O97" i="6"/>
  <c r="N98" i="6"/>
  <c r="AZ58" i="1" l="1"/>
  <c r="BA105" i="6" s="1"/>
  <c r="AY59" i="1"/>
  <c r="AZ117" i="6" s="1"/>
  <c r="AY72" i="1"/>
  <c r="AX62" i="1"/>
  <c r="AY117" i="6"/>
  <c r="AY118" i="6" s="1"/>
  <c r="AZ28" i="6"/>
  <c r="AY30" i="6"/>
  <c r="N104" i="6"/>
  <c r="N37" i="6" s="1"/>
  <c r="M89" i="1" s="1"/>
  <c r="AJ23" i="6"/>
  <c r="AI24" i="6"/>
  <c r="AJ98" i="1"/>
  <c r="AJ107" i="1" s="1"/>
  <c r="AL120" i="6"/>
  <c r="AL38" i="6" s="1"/>
  <c r="AK60" i="1"/>
  <c r="AK61" i="1" s="1"/>
  <c r="AJ61" i="1"/>
  <c r="AM119" i="6"/>
  <c r="AN115" i="6"/>
  <c r="W109" i="6"/>
  <c r="V110" i="6"/>
  <c r="P103" i="6"/>
  <c r="P97" i="6"/>
  <c r="O98" i="6"/>
  <c r="AY62" i="1" l="1"/>
  <c r="BA58" i="1"/>
  <c r="BB105" i="6" s="1"/>
  <c r="AZ72" i="1"/>
  <c r="AZ59" i="1"/>
  <c r="AZ70" i="1" s="1"/>
  <c r="AZ118" i="6"/>
  <c r="AY70" i="1"/>
  <c r="BA28" i="6"/>
  <c r="AZ30" i="6"/>
  <c r="O104" i="6"/>
  <c r="O37" i="6" s="1"/>
  <c r="N89" i="1" s="1"/>
  <c r="AK23" i="6"/>
  <c r="AJ24" i="6"/>
  <c r="AK98" i="1"/>
  <c r="AK107" i="1" s="1"/>
  <c r="AM120" i="6"/>
  <c r="AM38" i="6" s="1"/>
  <c r="AL60" i="1"/>
  <c r="AL61" i="1" s="1"/>
  <c r="AN119" i="6"/>
  <c r="AO115" i="6"/>
  <c r="X109" i="6"/>
  <c r="W110" i="6"/>
  <c r="Q103" i="6"/>
  <c r="Q97" i="6"/>
  <c r="P98" i="6"/>
  <c r="BG26" i="6"/>
  <c r="BH26" i="6" s="1"/>
  <c r="BA72" i="1" l="1"/>
  <c r="BB58" i="1"/>
  <c r="BC105" i="6" s="1"/>
  <c r="AZ62" i="1"/>
  <c r="BA59" i="1"/>
  <c r="BA62" i="1" s="1"/>
  <c r="BA117" i="6"/>
  <c r="BA118" i="6" s="1"/>
  <c r="BB28" i="6"/>
  <c r="BA30" i="6"/>
  <c r="P104" i="6"/>
  <c r="P37" i="6" s="1"/>
  <c r="O89" i="1" s="1"/>
  <c r="BC89" i="1" s="1"/>
  <c r="AL23" i="6"/>
  <c r="AK24" i="6"/>
  <c r="AL98" i="1"/>
  <c r="AL107" i="1" s="1"/>
  <c r="AN120" i="6"/>
  <c r="AN38" i="6" s="1"/>
  <c r="AM60" i="1"/>
  <c r="AM61" i="1" s="1"/>
  <c r="AO119" i="6"/>
  <c r="AP115" i="6"/>
  <c r="Y109" i="6"/>
  <c r="X110" i="6"/>
  <c r="R103" i="6"/>
  <c r="R97" i="6"/>
  <c r="Q98" i="6"/>
  <c r="BA70" i="1" l="1"/>
  <c r="F58" i="14"/>
  <c r="F59" i="14" s="1"/>
  <c r="F62" i="14" s="1"/>
  <c r="H62" i="14" s="1"/>
  <c r="B58" i="14"/>
  <c r="B70" i="14" s="1"/>
  <c r="D70" i="14" s="1"/>
  <c r="E70" i="14" s="1"/>
  <c r="BB59" i="1"/>
  <c r="BC117" i="6" s="1"/>
  <c r="BF58" i="1"/>
  <c r="BF59" i="1" s="1"/>
  <c r="BF62" i="1" s="1"/>
  <c r="J58" i="14"/>
  <c r="J70" i="14" s="1"/>
  <c r="L70" i="14" s="1"/>
  <c r="M70" i="14" s="1"/>
  <c r="BB72" i="1"/>
  <c r="BF72" i="1" s="1"/>
  <c r="BG72" i="1" s="1"/>
  <c r="BB117" i="6"/>
  <c r="BB118" i="6" s="1"/>
  <c r="BC28" i="6"/>
  <c r="B135" i="14" s="1"/>
  <c r="BB30" i="6"/>
  <c r="BD37" i="6"/>
  <c r="Q104" i="6"/>
  <c r="Q37" i="6" s="1"/>
  <c r="P89" i="1" s="1"/>
  <c r="AM23" i="6"/>
  <c r="AL24" i="6"/>
  <c r="AM98" i="1"/>
  <c r="AM107" i="1" s="1"/>
  <c r="AO120" i="6"/>
  <c r="AO38" i="6" s="1"/>
  <c r="AN60" i="1"/>
  <c r="AN61" i="1" s="1"/>
  <c r="AP119" i="6"/>
  <c r="AQ115" i="6"/>
  <c r="BC111" i="6"/>
  <c r="AO111" i="6"/>
  <c r="H111" i="6"/>
  <c r="AM111" i="6"/>
  <c r="M111" i="6"/>
  <c r="AC111" i="6"/>
  <c r="AK111" i="6"/>
  <c r="Q111" i="6"/>
  <c r="AZ111" i="6"/>
  <c r="Z111" i="6"/>
  <c r="K111" i="6"/>
  <c r="N111" i="6"/>
  <c r="Y111" i="6"/>
  <c r="AX111" i="6"/>
  <c r="AT111" i="6"/>
  <c r="T111" i="6"/>
  <c r="AN111" i="6"/>
  <c r="AA111" i="6"/>
  <c r="P111" i="6"/>
  <c r="AL111" i="6"/>
  <c r="X111" i="6"/>
  <c r="BA111" i="6"/>
  <c r="AY111" i="6"/>
  <c r="AB111" i="6"/>
  <c r="I111" i="6"/>
  <c r="AW111" i="6"/>
  <c r="L111" i="6"/>
  <c r="AH111" i="6"/>
  <c r="O111" i="6"/>
  <c r="S111" i="6"/>
  <c r="AQ111" i="6"/>
  <c r="AI111" i="6"/>
  <c r="AV111" i="6"/>
  <c r="AE111" i="6"/>
  <c r="V111" i="6"/>
  <c r="R111" i="6"/>
  <c r="AP111" i="6"/>
  <c r="W111" i="6"/>
  <c r="U111" i="6"/>
  <c r="AG111" i="6"/>
  <c r="J111" i="6"/>
  <c r="AF111" i="6"/>
  <c r="AD111" i="6"/>
  <c r="AU111" i="6"/>
  <c r="AS111" i="6"/>
  <c r="BB111" i="6"/>
  <c r="AR111" i="6"/>
  <c r="AJ111" i="6"/>
  <c r="Z109" i="6"/>
  <c r="Y110" i="6"/>
  <c r="S103" i="6"/>
  <c r="N100" i="6"/>
  <c r="AI100" i="6"/>
  <c r="H100" i="6"/>
  <c r="AO100" i="6"/>
  <c r="Q100" i="6"/>
  <c r="AC100" i="6"/>
  <c r="T100" i="6"/>
  <c r="AD100" i="6"/>
  <c r="L100" i="6"/>
  <c r="AE100" i="6"/>
  <c r="AQ100" i="6"/>
  <c r="M100" i="6"/>
  <c r="U100" i="6"/>
  <c r="AF100" i="6"/>
  <c r="S100" i="6"/>
  <c r="AG100" i="6"/>
  <c r="AK100" i="6"/>
  <c r="X100" i="6"/>
  <c r="O100" i="6"/>
  <c r="AM100" i="6"/>
  <c r="R100" i="6"/>
  <c r="V100" i="6"/>
  <c r="W100" i="6"/>
  <c r="BC100" i="6"/>
  <c r="AZ100" i="6"/>
  <c r="AN100" i="6"/>
  <c r="AW100" i="6"/>
  <c r="AL100" i="6"/>
  <c r="Z100" i="6"/>
  <c r="I100" i="6"/>
  <c r="AS100" i="6"/>
  <c r="AR100" i="6"/>
  <c r="AU100" i="6"/>
  <c r="AJ100" i="6"/>
  <c r="Y100" i="6"/>
  <c r="AV100" i="6"/>
  <c r="P100" i="6"/>
  <c r="AT100" i="6"/>
  <c r="AA100" i="6"/>
  <c r="AX100" i="6"/>
  <c r="AH100" i="6"/>
  <c r="AP100" i="6"/>
  <c r="AY100" i="6"/>
  <c r="AB100" i="6"/>
  <c r="J100" i="6"/>
  <c r="K100" i="6"/>
  <c r="BB100" i="6"/>
  <c r="BA100" i="6"/>
  <c r="S97" i="6"/>
  <c r="R98" i="6"/>
  <c r="J95" i="6"/>
  <c r="BA95" i="6"/>
  <c r="AM95" i="6"/>
  <c r="AC95" i="6"/>
  <c r="AJ95" i="6"/>
  <c r="K95" i="6"/>
  <c r="AG95" i="6"/>
  <c r="R95" i="6"/>
  <c r="Z95" i="6"/>
  <c r="AE95" i="6"/>
  <c r="AP95" i="6"/>
  <c r="S95" i="6"/>
  <c r="P95" i="6"/>
  <c r="I95" i="6"/>
  <c r="AA95" i="6"/>
  <c r="AK95" i="6"/>
  <c r="AO95" i="6"/>
  <c r="L95" i="6"/>
  <c r="T95" i="6"/>
  <c r="AH95" i="6"/>
  <c r="AL95" i="6"/>
  <c r="BB95" i="6"/>
  <c r="N95" i="6"/>
  <c r="H95" i="6"/>
  <c r="M95" i="6"/>
  <c r="V95" i="6"/>
  <c r="U95" i="6"/>
  <c r="O95" i="6"/>
  <c r="Y95" i="6"/>
  <c r="AD95" i="6"/>
  <c r="Q95" i="6"/>
  <c r="AI95" i="6"/>
  <c r="BC95" i="6"/>
  <c r="X95" i="6"/>
  <c r="W95" i="6"/>
  <c r="AN95" i="6"/>
  <c r="AR95" i="6"/>
  <c r="AW95" i="6"/>
  <c r="AV95" i="6"/>
  <c r="AQ95" i="6"/>
  <c r="AX95" i="6"/>
  <c r="AF95" i="6"/>
  <c r="AY95" i="6"/>
  <c r="AU95" i="6"/>
  <c r="AB95" i="6"/>
  <c r="AS95" i="6"/>
  <c r="AZ95" i="6"/>
  <c r="AT95" i="6"/>
  <c r="D111" i="6"/>
  <c r="D35" i="6" s="1"/>
  <c r="D100" i="6" l="1"/>
  <c r="E95" i="6"/>
  <c r="F95" i="6"/>
  <c r="G111" i="6"/>
  <c r="G95" i="6"/>
  <c r="G33" i="6" s="1"/>
  <c r="G100" i="6"/>
  <c r="F111" i="6"/>
  <c r="D95" i="6"/>
  <c r="E33" i="6" s="1"/>
  <c r="E100" i="6"/>
  <c r="E111" i="6"/>
  <c r="E35" i="6" s="1"/>
  <c r="F100" i="6"/>
  <c r="BB70" i="1"/>
  <c r="BF70" i="1" s="1"/>
  <c r="BG70" i="1" s="1"/>
  <c r="F70" i="14"/>
  <c r="H70" i="14" s="1"/>
  <c r="I70" i="14" s="1"/>
  <c r="BB62" i="1"/>
  <c r="H58" i="14"/>
  <c r="H59" i="14" s="1"/>
  <c r="I59" i="14" s="1"/>
  <c r="F68" i="14"/>
  <c r="H68" i="14" s="1"/>
  <c r="I68" i="14" s="1"/>
  <c r="BC118" i="6"/>
  <c r="BG58" i="1"/>
  <c r="BG59" i="1" s="1"/>
  <c r="BG62" i="1" s="1"/>
  <c r="J59" i="14"/>
  <c r="J62" i="14" s="1"/>
  <c r="L62" i="14" s="1"/>
  <c r="D58" i="14"/>
  <c r="D59" i="14" s="1"/>
  <c r="B59" i="14"/>
  <c r="B62" i="14" s="1"/>
  <c r="D62" i="14" s="1"/>
  <c r="L58" i="14"/>
  <c r="L59" i="14" s="1"/>
  <c r="I58" i="14"/>
  <c r="D135" i="14"/>
  <c r="F135" i="14"/>
  <c r="J135" i="14"/>
  <c r="B137" i="14"/>
  <c r="R104" i="6"/>
  <c r="R37" i="6" s="1"/>
  <c r="Q89" i="1" s="1"/>
  <c r="BG28" i="6"/>
  <c r="BC30" i="6"/>
  <c r="AG33" i="6"/>
  <c r="AE33" i="6"/>
  <c r="R33" i="6"/>
  <c r="BA33" i="6"/>
  <c r="AJ33" i="6"/>
  <c r="P33" i="6"/>
  <c r="AO33" i="6"/>
  <c r="AM33" i="6"/>
  <c r="AC33" i="6"/>
  <c r="AY33" i="6"/>
  <c r="N33" i="6"/>
  <c r="AT33" i="6"/>
  <c r="Y33" i="6"/>
  <c r="AX33" i="6"/>
  <c r="W33" i="6"/>
  <c r="BC33" i="6"/>
  <c r="U33" i="6"/>
  <c r="AB33" i="6"/>
  <c r="AQ33" i="6"/>
  <c r="AH33" i="6"/>
  <c r="AN33" i="6"/>
  <c r="AS33" i="6"/>
  <c r="Z33" i="6"/>
  <c r="M33" i="6"/>
  <c r="J33" i="6"/>
  <c r="AF33" i="6"/>
  <c r="L33" i="6"/>
  <c r="BB33" i="6"/>
  <c r="AU33" i="6"/>
  <c r="AV33" i="6"/>
  <c r="AR33" i="6"/>
  <c r="AP33" i="6"/>
  <c r="Q33" i="6"/>
  <c r="AA33" i="6"/>
  <c r="AK33" i="6"/>
  <c r="K33" i="6"/>
  <c r="AZ33" i="6"/>
  <c r="AW33" i="6"/>
  <c r="X33" i="6"/>
  <c r="V33" i="6"/>
  <c r="O33" i="6"/>
  <c r="AI33" i="6"/>
  <c r="AL33" i="6"/>
  <c r="T33" i="6"/>
  <c r="S33" i="6"/>
  <c r="AD33" i="6"/>
  <c r="AN23" i="6"/>
  <c r="AM24" i="6"/>
  <c r="AN98" i="1"/>
  <c r="AN107" i="1" s="1"/>
  <c r="AP120" i="6"/>
  <c r="AP38" i="6" s="1"/>
  <c r="AO60" i="1"/>
  <c r="AQ119" i="6"/>
  <c r="AR115" i="6"/>
  <c r="AA109" i="6"/>
  <c r="Z110" i="6"/>
  <c r="Z35" i="6" s="1"/>
  <c r="T103" i="6"/>
  <c r="T97" i="6"/>
  <c r="S98" i="6"/>
  <c r="S34" i="6" s="1"/>
  <c r="M35" i="6"/>
  <c r="N35" i="6"/>
  <c r="O35" i="6"/>
  <c r="P35" i="6"/>
  <c r="Q35" i="6"/>
  <c r="I35" i="6"/>
  <c r="J35" i="6"/>
  <c r="K35" i="6"/>
  <c r="L35" i="6"/>
  <c r="R35" i="6"/>
  <c r="S35" i="6"/>
  <c r="T35" i="6"/>
  <c r="U35" i="6"/>
  <c r="V35" i="6"/>
  <c r="W35" i="6"/>
  <c r="X35" i="6"/>
  <c r="Y35" i="6"/>
  <c r="C84" i="1"/>
  <c r="R34" i="6"/>
  <c r="P34" i="6"/>
  <c r="D34" i="6"/>
  <c r="Q34" i="6"/>
  <c r="H35" i="6" l="1"/>
  <c r="G34" i="6"/>
  <c r="I34" i="6"/>
  <c r="D33" i="6"/>
  <c r="D82" i="1" s="1"/>
  <c r="F33" i="6"/>
  <c r="E82" i="1" s="1"/>
  <c r="K34" i="6"/>
  <c r="H33" i="6"/>
  <c r="G82" i="1" s="1"/>
  <c r="H34" i="6"/>
  <c r="H83" i="1" s="1"/>
  <c r="O34" i="6"/>
  <c r="O83" i="1" s="1"/>
  <c r="N34" i="6"/>
  <c r="F34" i="6"/>
  <c r="G35" i="6"/>
  <c r="M34" i="6"/>
  <c r="M83" i="1" s="1"/>
  <c r="E34" i="6"/>
  <c r="D83" i="1" s="1"/>
  <c r="F35" i="6"/>
  <c r="E84" i="1" s="1"/>
  <c r="I33" i="6"/>
  <c r="H82" i="1" s="1"/>
  <c r="L34" i="6"/>
  <c r="J34" i="6"/>
  <c r="E58" i="14"/>
  <c r="J68" i="14"/>
  <c r="L68" i="14" s="1"/>
  <c r="M68" i="14" s="1"/>
  <c r="M58" i="14"/>
  <c r="M59" i="14"/>
  <c r="E59" i="14"/>
  <c r="B68" i="14"/>
  <c r="D68" i="14" s="1"/>
  <c r="E68" i="14" s="1"/>
  <c r="S104" i="6"/>
  <c r="S37" i="6" s="1"/>
  <c r="R89" i="1" s="1"/>
  <c r="L135" i="14"/>
  <c r="J137" i="14"/>
  <c r="H135" i="14"/>
  <c r="F137" i="14"/>
  <c r="E135" i="14"/>
  <c r="D137" i="14"/>
  <c r="E137" i="14" s="1"/>
  <c r="BH28" i="6"/>
  <c r="BH30" i="6" s="1"/>
  <c r="BG30" i="6"/>
  <c r="AO23" i="6"/>
  <c r="AN24" i="6"/>
  <c r="BF38" i="6"/>
  <c r="AO98" i="1"/>
  <c r="AQ120" i="6"/>
  <c r="AQ38" i="6" s="1"/>
  <c r="AP60" i="1"/>
  <c r="AO61" i="1"/>
  <c r="BE60" i="1"/>
  <c r="AR119" i="6"/>
  <c r="AS115" i="6"/>
  <c r="D84" i="1"/>
  <c r="C83" i="1"/>
  <c r="BG33" i="6"/>
  <c r="BH33" i="6" s="1"/>
  <c r="B140" i="14"/>
  <c r="J140" i="14" s="1"/>
  <c r="AU82" i="1"/>
  <c r="R83" i="1"/>
  <c r="M82" i="1"/>
  <c r="P83" i="1"/>
  <c r="N82" i="1"/>
  <c r="F82" i="1"/>
  <c r="AW82" i="1"/>
  <c r="U82" i="1"/>
  <c r="AB109" i="6"/>
  <c r="AA110" i="6"/>
  <c r="AA35" i="6" s="1"/>
  <c r="Z82" i="1"/>
  <c r="S82" i="1"/>
  <c r="Y82" i="1"/>
  <c r="H84" i="1"/>
  <c r="U103" i="6"/>
  <c r="AZ82" i="1"/>
  <c r="V82" i="1"/>
  <c r="AN82" i="1"/>
  <c r="AE82" i="1"/>
  <c r="U97" i="6"/>
  <c r="T98" i="6"/>
  <c r="T34" i="6" s="1"/>
  <c r="AI82" i="1"/>
  <c r="AA82" i="1"/>
  <c r="AD82" i="1"/>
  <c r="AF82" i="1"/>
  <c r="AS82" i="1"/>
  <c r="AL82" i="1"/>
  <c r="AY82" i="1"/>
  <c r="Q82" i="1"/>
  <c r="BA82" i="1"/>
  <c r="AJ82" i="1"/>
  <c r="K82" i="1"/>
  <c r="U84" i="1"/>
  <c r="Q84" i="1"/>
  <c r="M84" i="1"/>
  <c r="W84" i="1"/>
  <c r="S84" i="1"/>
  <c r="J84" i="1"/>
  <c r="X84" i="1"/>
  <c r="V84" i="1"/>
  <c r="R84" i="1"/>
  <c r="I84" i="1"/>
  <c r="N84" i="1"/>
  <c r="AR82" i="1"/>
  <c r="Y84" i="1"/>
  <c r="T84" i="1"/>
  <c r="K84" i="1"/>
  <c r="P84" i="1"/>
  <c r="L84" i="1"/>
  <c r="O84" i="1"/>
  <c r="BD35" i="6"/>
  <c r="F83" i="1"/>
  <c r="P82" i="1"/>
  <c r="BD34" i="6"/>
  <c r="Q83" i="1"/>
  <c r="AQ82" i="1"/>
  <c r="J82" i="1"/>
  <c r="AC82" i="1"/>
  <c r="AM82" i="1"/>
  <c r="AP82" i="1"/>
  <c r="BE33" i="6"/>
  <c r="AB82" i="1"/>
  <c r="T82" i="1"/>
  <c r="BD33" i="6"/>
  <c r="BB82" i="1" s="1"/>
  <c r="O82" i="1"/>
  <c r="AX82" i="1"/>
  <c r="X82" i="1"/>
  <c r="R82" i="1"/>
  <c r="AG82" i="1"/>
  <c r="AO82" i="1"/>
  <c r="BF33" i="6"/>
  <c r="AK82" i="1"/>
  <c r="AT82" i="1"/>
  <c r="AH82" i="1"/>
  <c r="AV82" i="1"/>
  <c r="W82" i="1"/>
  <c r="L82" i="1"/>
  <c r="J83" i="1" l="1"/>
  <c r="E83" i="1"/>
  <c r="I83" i="1"/>
  <c r="C82" i="1"/>
  <c r="K83" i="1"/>
  <c r="G84" i="1"/>
  <c r="I82" i="1"/>
  <c r="J80" i="14" s="1"/>
  <c r="L80" i="14" s="1"/>
  <c r="M80" i="14" s="1"/>
  <c r="G83" i="1"/>
  <c r="N83" i="1"/>
  <c r="F84" i="1"/>
  <c r="L83" i="1"/>
  <c r="T104" i="6"/>
  <c r="T37" i="6" s="1"/>
  <c r="S89" i="1" s="1"/>
  <c r="I135" i="14"/>
  <c r="H137" i="14"/>
  <c r="I137" i="14" s="1"/>
  <c r="M135" i="14"/>
  <c r="L137" i="14"/>
  <c r="M137" i="14" s="1"/>
  <c r="AP23" i="6"/>
  <c r="AO24" i="6"/>
  <c r="AO107" i="1"/>
  <c r="BE98" i="1"/>
  <c r="AP98" i="1"/>
  <c r="BE61" i="1"/>
  <c r="Q75" i="1"/>
  <c r="T75" i="1"/>
  <c r="V75" i="1"/>
  <c r="W74" i="1"/>
  <c r="I74" i="1"/>
  <c r="X75" i="1"/>
  <c r="V74" i="1"/>
  <c r="X74" i="1"/>
  <c r="U75" i="1"/>
  <c r="Y74" i="1"/>
  <c r="W75" i="1"/>
  <c r="Y75" i="1"/>
  <c r="D74" i="1"/>
  <c r="C75" i="1"/>
  <c r="N75" i="1"/>
  <c r="I75" i="1"/>
  <c r="U74" i="1"/>
  <c r="J74" i="1"/>
  <c r="K75" i="1"/>
  <c r="F74" i="1"/>
  <c r="G75" i="1"/>
  <c r="P75" i="1"/>
  <c r="P74" i="1"/>
  <c r="H75" i="1"/>
  <c r="O75" i="1"/>
  <c r="N74" i="1"/>
  <c r="H74" i="1"/>
  <c r="L74" i="1"/>
  <c r="T74" i="1"/>
  <c r="D75" i="1"/>
  <c r="J75" i="1"/>
  <c r="G74" i="1"/>
  <c r="O74" i="1"/>
  <c r="R74" i="1"/>
  <c r="C74" i="1"/>
  <c r="F75" i="1"/>
  <c r="E74" i="1"/>
  <c r="S74" i="1"/>
  <c r="S75" i="1"/>
  <c r="Q74" i="1"/>
  <c r="L75" i="1"/>
  <c r="E75" i="1"/>
  <c r="M74" i="1"/>
  <c r="M75" i="1"/>
  <c r="K74" i="1"/>
  <c r="R75" i="1"/>
  <c r="AP61" i="1"/>
  <c r="AR120" i="6"/>
  <c r="AR38" i="6" s="1"/>
  <c r="AQ60" i="1"/>
  <c r="AQ61" i="1" s="1"/>
  <c r="AS119" i="6"/>
  <c r="AT115" i="6"/>
  <c r="Z84" i="1"/>
  <c r="S83" i="1"/>
  <c r="D140" i="14"/>
  <c r="E140" i="14" s="1"/>
  <c r="F140" i="14"/>
  <c r="H140" i="14" s="1"/>
  <c r="I140" i="14" s="1"/>
  <c r="B80" i="14"/>
  <c r="D80" i="14" s="1"/>
  <c r="E80" i="14" s="1"/>
  <c r="L140" i="14"/>
  <c r="M140" i="14" s="1"/>
  <c r="F80" i="14"/>
  <c r="AC109" i="6"/>
  <c r="AB110" i="6"/>
  <c r="AB35" i="6" s="1"/>
  <c r="V103" i="6"/>
  <c r="V97" i="6"/>
  <c r="U98" i="6"/>
  <c r="U34" i="6" s="1"/>
  <c r="BD82" i="1"/>
  <c r="BF82" i="1"/>
  <c r="BE82" i="1"/>
  <c r="BC84" i="1" l="1"/>
  <c r="BC83" i="1"/>
  <c r="BC82" i="1"/>
  <c r="U104" i="6"/>
  <c r="U37" i="6" s="1"/>
  <c r="T89" i="1" s="1"/>
  <c r="R87" i="1"/>
  <c r="R90" i="1" s="1"/>
  <c r="R108" i="1" s="1"/>
  <c r="O87" i="1"/>
  <c r="O90" i="1" s="1"/>
  <c r="O108" i="1" s="1"/>
  <c r="H87" i="1"/>
  <c r="H90" i="1" s="1"/>
  <c r="H108" i="1" s="1"/>
  <c r="N87" i="1"/>
  <c r="N90" i="1" s="1"/>
  <c r="N108" i="1" s="1"/>
  <c r="K87" i="1"/>
  <c r="K90" i="1" s="1"/>
  <c r="K108" i="1" s="1"/>
  <c r="F73" i="14"/>
  <c r="H73" i="14" s="1"/>
  <c r="I73" i="14" s="1"/>
  <c r="B73" i="14"/>
  <c r="D73" i="14" s="1"/>
  <c r="E73" i="14" s="1"/>
  <c r="F72" i="14"/>
  <c r="H72" i="14" s="1"/>
  <c r="I72" i="14" s="1"/>
  <c r="B72" i="14"/>
  <c r="D72" i="14" s="1"/>
  <c r="E72" i="14" s="1"/>
  <c r="E87" i="1"/>
  <c r="E90" i="1" s="1"/>
  <c r="E108" i="1" s="1"/>
  <c r="D87" i="1"/>
  <c r="D90" i="1" s="1"/>
  <c r="D108" i="1" s="1"/>
  <c r="G87" i="1"/>
  <c r="G90" i="1" s="1"/>
  <c r="G108" i="1" s="1"/>
  <c r="Q87" i="1"/>
  <c r="Q90" i="1" s="1"/>
  <c r="Q108" i="1" s="1"/>
  <c r="I87" i="1"/>
  <c r="I90" i="1" s="1"/>
  <c r="I108" i="1" s="1"/>
  <c r="P87" i="1"/>
  <c r="P90" i="1" s="1"/>
  <c r="P108" i="1" s="1"/>
  <c r="C87" i="1"/>
  <c r="C90" i="1" s="1"/>
  <c r="C108" i="1" s="1"/>
  <c r="C110" i="1" s="1"/>
  <c r="D32" i="6" s="1"/>
  <c r="D40" i="6" s="1"/>
  <c r="D41" i="6" s="1"/>
  <c r="J87" i="1"/>
  <c r="J90" i="1" s="1"/>
  <c r="J108" i="1" s="1"/>
  <c r="S87" i="1"/>
  <c r="S90" i="1" s="1"/>
  <c r="S108" i="1" s="1"/>
  <c r="M87" i="1"/>
  <c r="M90" i="1" s="1"/>
  <c r="M108" i="1" s="1"/>
  <c r="AQ23" i="6"/>
  <c r="BF23" i="6"/>
  <c r="BF24" i="6" s="1"/>
  <c r="AP24" i="6"/>
  <c r="F87" i="1"/>
  <c r="F90" i="1" s="1"/>
  <c r="F108" i="1" s="1"/>
  <c r="AQ98" i="1"/>
  <c r="AQ107" i="1" s="1"/>
  <c r="AP107" i="1"/>
  <c r="BE107" i="1"/>
  <c r="L87" i="1"/>
  <c r="L90" i="1" s="1"/>
  <c r="L108" i="1" s="1"/>
  <c r="BD75" i="1"/>
  <c r="D8" i="6"/>
  <c r="E8" i="6" s="1"/>
  <c r="F8" i="6" s="1"/>
  <c r="G8" i="6" s="1"/>
  <c r="H8" i="6" s="1"/>
  <c r="I8" i="6" s="1"/>
  <c r="J8" i="6" s="1"/>
  <c r="K8" i="6" s="1"/>
  <c r="L8" i="6" s="1"/>
  <c r="M8" i="6" s="1"/>
  <c r="N8" i="6" s="1"/>
  <c r="O8" i="6" s="1"/>
  <c r="P8" i="6" s="1"/>
  <c r="J73" i="14"/>
  <c r="L73" i="14" s="1"/>
  <c r="M73" i="14" s="1"/>
  <c r="BC75" i="1"/>
  <c r="AS120" i="6"/>
  <c r="AS38" i="6" s="1"/>
  <c r="AR60" i="1"/>
  <c r="AR61" i="1" s="1"/>
  <c r="D7" i="6"/>
  <c r="BC74" i="1"/>
  <c r="J72" i="14"/>
  <c r="L72" i="14" s="1"/>
  <c r="M72" i="14" s="1"/>
  <c r="BD74" i="1"/>
  <c r="AT119" i="6"/>
  <c r="AU115" i="6"/>
  <c r="AA84" i="1"/>
  <c r="T83" i="1"/>
  <c r="T87" i="1" s="1"/>
  <c r="T90" i="1" s="1"/>
  <c r="T108" i="1" s="1"/>
  <c r="H80" i="14"/>
  <c r="I80" i="14" s="1"/>
  <c r="AD109" i="6"/>
  <c r="AC110" i="6"/>
  <c r="AC35" i="6" s="1"/>
  <c r="W103" i="6"/>
  <c r="V104" i="6"/>
  <c r="V37" i="6" s="1"/>
  <c r="U89" i="1" s="1"/>
  <c r="W97" i="6"/>
  <c r="V98" i="6"/>
  <c r="V34" i="6" s="1"/>
  <c r="BG82" i="1"/>
  <c r="BC87" i="1" l="1"/>
  <c r="BC90" i="1" s="1"/>
  <c r="BC108" i="1" s="1"/>
  <c r="BC110" i="1" s="1"/>
  <c r="BD109" i="1" s="1"/>
  <c r="D16" i="6"/>
  <c r="D17" i="6" s="1"/>
  <c r="AR23" i="6"/>
  <c r="AQ24" i="6"/>
  <c r="AR98" i="1"/>
  <c r="BG75" i="1"/>
  <c r="AT120" i="6"/>
  <c r="AT38" i="6" s="1"/>
  <c r="AS60" i="1"/>
  <c r="AS61" i="1" s="1"/>
  <c r="E7" i="6"/>
  <c r="D10" i="6"/>
  <c r="Q8" i="6"/>
  <c r="R8" i="6" s="1"/>
  <c r="S8" i="6" s="1"/>
  <c r="T8" i="6" s="1"/>
  <c r="U8" i="6" s="1"/>
  <c r="V8" i="6" s="1"/>
  <c r="W8" i="6" s="1"/>
  <c r="X8" i="6" s="1"/>
  <c r="Y8" i="6" s="1"/>
  <c r="Z8" i="6" s="1"/>
  <c r="AA8" i="6" s="1"/>
  <c r="AB8" i="6" s="1"/>
  <c r="AC8" i="6" s="1"/>
  <c r="BD8" i="6"/>
  <c r="BG74" i="1"/>
  <c r="AU119" i="6"/>
  <c r="AV115" i="6"/>
  <c r="U83" i="1"/>
  <c r="U87" i="1" s="1"/>
  <c r="U90" i="1" s="1"/>
  <c r="U108" i="1" s="1"/>
  <c r="BE35" i="6"/>
  <c r="AB84" i="1"/>
  <c r="AE109" i="6"/>
  <c r="AD110" i="6"/>
  <c r="AD35" i="6" s="1"/>
  <c r="X103" i="6"/>
  <c r="W104" i="6"/>
  <c r="W37" i="6" s="1"/>
  <c r="V89" i="1" s="1"/>
  <c r="X97" i="6"/>
  <c r="W98" i="6"/>
  <c r="W34" i="6" s="1"/>
  <c r="D18" i="6" l="1"/>
  <c r="D42" i="6" s="1"/>
  <c r="D109" i="1"/>
  <c r="D110" i="1" s="1"/>
  <c r="AS23" i="6"/>
  <c r="AR24" i="6"/>
  <c r="AS98" i="1"/>
  <c r="AS107" i="1" s="1"/>
  <c r="AR107" i="1"/>
  <c r="E10" i="6"/>
  <c r="F7" i="6"/>
  <c r="AD8" i="6"/>
  <c r="AE8" i="6" s="1"/>
  <c r="AF8" i="6" s="1"/>
  <c r="AG8" i="6" s="1"/>
  <c r="AH8" i="6" s="1"/>
  <c r="AI8" i="6" s="1"/>
  <c r="AJ8" i="6" s="1"/>
  <c r="AK8" i="6" s="1"/>
  <c r="AL8" i="6" s="1"/>
  <c r="AM8" i="6" s="1"/>
  <c r="AN8" i="6" s="1"/>
  <c r="AO8" i="6" s="1"/>
  <c r="AP8" i="6" s="1"/>
  <c r="BE8" i="6"/>
  <c r="AU120" i="6"/>
  <c r="AU38" i="6" s="1"/>
  <c r="AT60" i="1"/>
  <c r="AV119" i="6"/>
  <c r="AW115" i="6"/>
  <c r="AC84" i="1"/>
  <c r="V83" i="1"/>
  <c r="V87" i="1" s="1"/>
  <c r="V90" i="1" s="1"/>
  <c r="V108" i="1" s="1"/>
  <c r="BD84" i="1"/>
  <c r="AF109" i="6"/>
  <c r="AE110" i="6"/>
  <c r="AE35" i="6" s="1"/>
  <c r="Y103" i="6"/>
  <c r="X104" i="6"/>
  <c r="X37" i="6" s="1"/>
  <c r="W89" i="1" s="1"/>
  <c r="Y97" i="6"/>
  <c r="X98" i="6"/>
  <c r="X34" i="6" s="1"/>
  <c r="E16" i="6" l="1"/>
  <c r="E32" i="6"/>
  <c r="E40" i="6" s="1"/>
  <c r="E41" i="6" s="1"/>
  <c r="AT23" i="6"/>
  <c r="AS24" i="6"/>
  <c r="AT98" i="1"/>
  <c r="AQ8" i="6"/>
  <c r="AR8" i="6" s="1"/>
  <c r="AS8" i="6" s="1"/>
  <c r="AT8" i="6" s="1"/>
  <c r="AU8" i="6" s="1"/>
  <c r="AV8" i="6" s="1"/>
  <c r="AW8" i="6" s="1"/>
  <c r="AX8" i="6" s="1"/>
  <c r="AY8" i="6" s="1"/>
  <c r="AZ8" i="6" s="1"/>
  <c r="BA8" i="6" s="1"/>
  <c r="BB8" i="6" s="1"/>
  <c r="BC8" i="6" s="1"/>
  <c r="BF8" i="6"/>
  <c r="AV120" i="6"/>
  <c r="AV38" i="6" s="1"/>
  <c r="AU60" i="1"/>
  <c r="AU61" i="1" s="1"/>
  <c r="AT61" i="1"/>
  <c r="F10" i="6"/>
  <c r="G7" i="6"/>
  <c r="AW119" i="6"/>
  <c r="AX115" i="6"/>
  <c r="AD84" i="1"/>
  <c r="W83" i="1"/>
  <c r="W87" i="1" s="1"/>
  <c r="W90" i="1" s="1"/>
  <c r="W108" i="1" s="1"/>
  <c r="AG109" i="6"/>
  <c r="AF110" i="6"/>
  <c r="AF35" i="6" s="1"/>
  <c r="Z103" i="6"/>
  <c r="Y104" i="6"/>
  <c r="Y37" i="6" s="1"/>
  <c r="X89" i="1" s="1"/>
  <c r="Z97" i="6"/>
  <c r="Y98" i="6"/>
  <c r="Y34" i="6" s="1"/>
  <c r="E109" i="1" l="1"/>
  <c r="E110" i="1" s="1"/>
  <c r="E17" i="6"/>
  <c r="E18" i="6" s="1"/>
  <c r="E42" i="6" s="1"/>
  <c r="AU98" i="1"/>
  <c r="AU107" i="1" s="1"/>
  <c r="AU23" i="6"/>
  <c r="AT24" i="6"/>
  <c r="AT107" i="1"/>
  <c r="H7" i="6"/>
  <c r="G10" i="6"/>
  <c r="AW120" i="6"/>
  <c r="AW38" i="6" s="1"/>
  <c r="AV60" i="1"/>
  <c r="B115" i="14"/>
  <c r="BG8" i="6"/>
  <c r="BH8" i="6" s="1"/>
  <c r="AX119" i="6"/>
  <c r="AY115" i="6"/>
  <c r="AE84" i="1"/>
  <c r="X83" i="1"/>
  <c r="X87" i="1" s="1"/>
  <c r="X90" i="1" s="1"/>
  <c r="X108" i="1" s="1"/>
  <c r="AH109" i="6"/>
  <c r="AG110" i="6"/>
  <c r="AG35" i="6" s="1"/>
  <c r="AA103" i="6"/>
  <c r="Z104" i="6"/>
  <c r="Z37" i="6" s="1"/>
  <c r="Y89" i="1" s="1"/>
  <c r="AA97" i="6"/>
  <c r="Z98" i="6"/>
  <c r="Z34" i="6" s="1"/>
  <c r="F16" i="6" l="1"/>
  <c r="F32" i="6"/>
  <c r="F40" i="6" s="1"/>
  <c r="F41" i="6" s="1"/>
  <c r="AV23" i="6"/>
  <c r="AU24" i="6"/>
  <c r="AV98" i="1"/>
  <c r="AV61" i="1"/>
  <c r="AX120" i="6"/>
  <c r="AX38" i="6" s="1"/>
  <c r="AW60" i="1"/>
  <c r="AW61" i="1" s="1"/>
  <c r="F115" i="14"/>
  <c r="H115" i="14" s="1"/>
  <c r="I115" i="14" s="1"/>
  <c r="D115" i="14"/>
  <c r="E115" i="14" s="1"/>
  <c r="J115" i="14"/>
  <c r="L115" i="14" s="1"/>
  <c r="M115" i="14" s="1"/>
  <c r="I7" i="6"/>
  <c r="H10" i="6"/>
  <c r="AY119" i="6"/>
  <c r="AZ115" i="6"/>
  <c r="AF84" i="1"/>
  <c r="Y83" i="1"/>
  <c r="Y87" i="1" s="1"/>
  <c r="Y90" i="1" s="1"/>
  <c r="Y108" i="1" s="1"/>
  <c r="AI109" i="6"/>
  <c r="AH110" i="6"/>
  <c r="AH35" i="6" s="1"/>
  <c r="AB103" i="6"/>
  <c r="AA104" i="6"/>
  <c r="AA37" i="6" s="1"/>
  <c r="Z89" i="1" s="1"/>
  <c r="AB97" i="6"/>
  <c r="AA98" i="6"/>
  <c r="AA34" i="6" s="1"/>
  <c r="F109" i="1" l="1"/>
  <c r="F110" i="1" s="1"/>
  <c r="F17" i="6"/>
  <c r="F18" i="6" s="1"/>
  <c r="F42" i="6" s="1"/>
  <c r="AW23" i="6"/>
  <c r="AV24" i="6"/>
  <c r="AW98" i="1"/>
  <c r="AW107" i="1" s="1"/>
  <c r="AV107" i="1"/>
  <c r="I10" i="6"/>
  <c r="J7" i="6"/>
  <c r="AY120" i="6"/>
  <c r="AY38" i="6" s="1"/>
  <c r="AX60" i="1"/>
  <c r="AX61" i="1" s="1"/>
  <c r="AZ119" i="6"/>
  <c r="BA115" i="6"/>
  <c r="AG84" i="1"/>
  <c r="Z83" i="1"/>
  <c r="Z87" i="1" s="1"/>
  <c r="Z90" i="1" s="1"/>
  <c r="Z108" i="1" s="1"/>
  <c r="AJ109" i="6"/>
  <c r="AI110" i="6"/>
  <c r="AI35" i="6" s="1"/>
  <c r="AC103" i="6"/>
  <c r="AB104" i="6"/>
  <c r="AB37" i="6" s="1"/>
  <c r="AA89" i="1" s="1"/>
  <c r="AC97" i="6"/>
  <c r="AB98" i="6"/>
  <c r="AB34" i="6" s="1"/>
  <c r="G32" i="6" l="1"/>
  <c r="G40" i="6" s="1"/>
  <c r="G41" i="6" s="1"/>
  <c r="G16" i="6"/>
  <c r="AX23" i="6"/>
  <c r="AW24" i="6"/>
  <c r="AX98" i="1"/>
  <c r="J10" i="6"/>
  <c r="K7" i="6"/>
  <c r="AZ120" i="6"/>
  <c r="AZ38" i="6" s="1"/>
  <c r="AY60" i="1"/>
  <c r="AY61" i="1" s="1"/>
  <c r="BA119" i="6"/>
  <c r="BB115" i="6"/>
  <c r="AH84" i="1"/>
  <c r="AA83" i="1"/>
  <c r="AA87" i="1" s="1"/>
  <c r="AA90" i="1" s="1"/>
  <c r="AA108" i="1" s="1"/>
  <c r="AK109" i="6"/>
  <c r="AJ110" i="6"/>
  <c r="AJ35" i="6" s="1"/>
  <c r="AD103" i="6"/>
  <c r="AC104" i="6"/>
  <c r="AC37" i="6" s="1"/>
  <c r="AD97" i="6"/>
  <c r="AC98" i="6"/>
  <c r="AC34" i="6" s="1"/>
  <c r="G17" i="6" l="1"/>
  <c r="G18" i="6" s="1"/>
  <c r="G42" i="6" s="1"/>
  <c r="G109" i="1"/>
  <c r="G110" i="1" s="1"/>
  <c r="AY98" i="1"/>
  <c r="AY107" i="1" s="1"/>
  <c r="AY23" i="6"/>
  <c r="AX24" i="6"/>
  <c r="AX107" i="1"/>
  <c r="K10" i="6"/>
  <c r="L7" i="6"/>
  <c r="BA120" i="6"/>
  <c r="BA38" i="6" s="1"/>
  <c r="AZ60" i="1"/>
  <c r="AZ61" i="1" s="1"/>
  <c r="BB119" i="6"/>
  <c r="BC115" i="6"/>
  <c r="BC119" i="6" s="1"/>
  <c r="AI84" i="1"/>
  <c r="AL109" i="6"/>
  <c r="AK110" i="6"/>
  <c r="AK35" i="6" s="1"/>
  <c r="AE103" i="6"/>
  <c r="AD104" i="6"/>
  <c r="AD37" i="6" s="1"/>
  <c r="AC89" i="1" s="1"/>
  <c r="AE97" i="6"/>
  <c r="AD98" i="6"/>
  <c r="AD34" i="6" s="1"/>
  <c r="BE37" i="6"/>
  <c r="AB89" i="1"/>
  <c r="BE34" i="6"/>
  <c r="AB83" i="1"/>
  <c r="H32" i="6" l="1"/>
  <c r="H40" i="6" s="1"/>
  <c r="H41" i="6" s="1"/>
  <c r="H16" i="6"/>
  <c r="AZ23" i="6"/>
  <c r="AY24" i="6"/>
  <c r="AZ98" i="1"/>
  <c r="AZ107" i="1" s="1"/>
  <c r="BC120" i="6"/>
  <c r="BC38" i="6" s="1"/>
  <c r="B145" i="14" s="1"/>
  <c r="BB60" i="1"/>
  <c r="M7" i="6"/>
  <c r="L10" i="6"/>
  <c r="BB120" i="6"/>
  <c r="BB38" i="6" s="1"/>
  <c r="BA60" i="1"/>
  <c r="BA61" i="1" s="1"/>
  <c r="AJ84" i="1"/>
  <c r="AC83" i="1"/>
  <c r="AC87" i="1" s="1"/>
  <c r="AC90" i="1" s="1"/>
  <c r="AC108" i="1" s="1"/>
  <c r="AM109" i="6"/>
  <c r="AL110" i="6"/>
  <c r="AL35" i="6" s="1"/>
  <c r="AF103" i="6"/>
  <c r="AE104" i="6"/>
  <c r="AE37" i="6" s="1"/>
  <c r="AD89" i="1" s="1"/>
  <c r="AF97" i="6"/>
  <c r="AE98" i="6"/>
  <c r="AE34" i="6" s="1"/>
  <c r="BD89" i="1"/>
  <c r="AB87" i="1"/>
  <c r="AB90" i="1" s="1"/>
  <c r="AB108" i="1" s="1"/>
  <c r="BD83" i="1"/>
  <c r="H17" i="6" l="1"/>
  <c r="H18" i="6" s="1"/>
  <c r="H42" i="6" s="1"/>
  <c r="H109" i="1"/>
  <c r="H110" i="1" s="1"/>
  <c r="J145" i="14"/>
  <c r="F145" i="14"/>
  <c r="D145" i="14"/>
  <c r="E145" i="14" s="1"/>
  <c r="B60" i="14"/>
  <c r="J60" i="14"/>
  <c r="F60" i="14"/>
  <c r="BA98" i="1"/>
  <c r="BA107" i="1" s="1"/>
  <c r="BA23" i="6"/>
  <c r="AZ24" i="6"/>
  <c r="BG38" i="6"/>
  <c r="BH38" i="6" s="1"/>
  <c r="BB98" i="1"/>
  <c r="N7" i="6"/>
  <c r="M10" i="6"/>
  <c r="BB61" i="1"/>
  <c r="BF60" i="1"/>
  <c r="AK84" i="1"/>
  <c r="AD83" i="1"/>
  <c r="AD87" i="1" s="1"/>
  <c r="AD90" i="1" s="1"/>
  <c r="AD108" i="1" s="1"/>
  <c r="AN109" i="6"/>
  <c r="AM110" i="6"/>
  <c r="AM35" i="6" s="1"/>
  <c r="AG103" i="6"/>
  <c r="AF104" i="6"/>
  <c r="AF37" i="6" s="1"/>
  <c r="AE89" i="1" s="1"/>
  <c r="AG97" i="6"/>
  <c r="AF98" i="6"/>
  <c r="AF34" i="6" s="1"/>
  <c r="BD87" i="1"/>
  <c r="BD90" i="1" s="1"/>
  <c r="BD108" i="1" s="1"/>
  <c r="BD110" i="1" s="1"/>
  <c r="BE109" i="1" s="1"/>
  <c r="I16" i="6" l="1"/>
  <c r="I32" i="6"/>
  <c r="I40" i="6" s="1"/>
  <c r="I41" i="6" s="1"/>
  <c r="H145" i="14"/>
  <c r="I145" i="14" s="1"/>
  <c r="L145" i="14"/>
  <c r="M145" i="14" s="1"/>
  <c r="B96" i="14"/>
  <c r="J96" i="14"/>
  <c r="F96" i="14"/>
  <c r="H60" i="14"/>
  <c r="H61" i="14" s="1"/>
  <c r="F61" i="14"/>
  <c r="L60" i="14"/>
  <c r="L61" i="14" s="1"/>
  <c r="J61" i="14"/>
  <c r="D60" i="14"/>
  <c r="D61" i="14" s="1"/>
  <c r="B61" i="14"/>
  <c r="BB23" i="6"/>
  <c r="BA24" i="6"/>
  <c r="BB107" i="1"/>
  <c r="BF98" i="1"/>
  <c r="BF61" i="1"/>
  <c r="BG60" i="1"/>
  <c r="BG61" i="1" s="1"/>
  <c r="O7" i="6"/>
  <c r="N10" i="6"/>
  <c r="AL84" i="1"/>
  <c r="AE83" i="1"/>
  <c r="AE87" i="1" s="1"/>
  <c r="AE90" i="1" s="1"/>
  <c r="AE108" i="1" s="1"/>
  <c r="AO109" i="6"/>
  <c r="AN110" i="6"/>
  <c r="AH103" i="6"/>
  <c r="AG104" i="6"/>
  <c r="AG37" i="6" s="1"/>
  <c r="AF89" i="1" s="1"/>
  <c r="AH97" i="6"/>
  <c r="AG98" i="6"/>
  <c r="AG34" i="6" s="1"/>
  <c r="I17" i="6" l="1"/>
  <c r="I18" i="6" s="1"/>
  <c r="I42" i="6" s="1"/>
  <c r="I109" i="1"/>
  <c r="I110" i="1" s="1"/>
  <c r="H96" i="14"/>
  <c r="H105" i="14" s="1"/>
  <c r="F105" i="14"/>
  <c r="L96" i="14"/>
  <c r="L105" i="14" s="1"/>
  <c r="J105" i="14"/>
  <c r="I61" i="14"/>
  <c r="D96" i="14"/>
  <c r="D105" i="14" s="1"/>
  <c r="B105" i="14"/>
  <c r="M60" i="14"/>
  <c r="M61" i="14"/>
  <c r="E60" i="14"/>
  <c r="E61" i="14"/>
  <c r="I60" i="14"/>
  <c r="BC23" i="6"/>
  <c r="BB24" i="6"/>
  <c r="BF107" i="1"/>
  <c r="BG98" i="1"/>
  <c r="BG107" i="1" s="1"/>
  <c r="O10" i="6"/>
  <c r="P7" i="6"/>
  <c r="AF83" i="1"/>
  <c r="AF87" i="1" s="1"/>
  <c r="AF90" i="1" s="1"/>
  <c r="AF108" i="1" s="1"/>
  <c r="AP109" i="6"/>
  <c r="AO110" i="6"/>
  <c r="AO35" i="6" s="1"/>
  <c r="AI103" i="6"/>
  <c r="AH104" i="6"/>
  <c r="AH37" i="6" s="1"/>
  <c r="AG89" i="1" s="1"/>
  <c r="AI97" i="6"/>
  <c r="AH98" i="6"/>
  <c r="AH34" i="6" s="1"/>
  <c r="AN35" i="6"/>
  <c r="J16" i="6" l="1"/>
  <c r="J32" i="6"/>
  <c r="J40" i="6" s="1"/>
  <c r="J41" i="6" s="1"/>
  <c r="I105" i="14"/>
  <c r="M96" i="14"/>
  <c r="E96" i="14"/>
  <c r="E105" i="14"/>
  <c r="M105" i="14"/>
  <c r="I96" i="14"/>
  <c r="BC24" i="6"/>
  <c r="BG23" i="6"/>
  <c r="B130" i="14"/>
  <c r="BD7" i="6"/>
  <c r="BD10" i="6" s="1"/>
  <c r="P10" i="6"/>
  <c r="Q7" i="6"/>
  <c r="AM84" i="1"/>
  <c r="AG83" i="1"/>
  <c r="AG87" i="1" s="1"/>
  <c r="AG90" i="1" s="1"/>
  <c r="AG108" i="1" s="1"/>
  <c r="AP110" i="6"/>
  <c r="AP35" i="6" s="1"/>
  <c r="AQ109" i="6"/>
  <c r="AJ103" i="6"/>
  <c r="AI104" i="6"/>
  <c r="AI37" i="6" s="1"/>
  <c r="AH89" i="1" s="1"/>
  <c r="AJ97" i="6"/>
  <c r="AI98" i="6"/>
  <c r="AI34" i="6" s="1"/>
  <c r="AN84" i="1"/>
  <c r="J109" i="1" l="1"/>
  <c r="J110" i="1" s="1"/>
  <c r="J17" i="6"/>
  <c r="J18" i="6" s="1"/>
  <c r="J42" i="6" s="1"/>
  <c r="D130" i="14"/>
  <c r="B131" i="14"/>
  <c r="J130" i="14"/>
  <c r="F130" i="14"/>
  <c r="BH23" i="6"/>
  <c r="BH24" i="6" s="1"/>
  <c r="BG24" i="6"/>
  <c r="Q10" i="6"/>
  <c r="R7" i="6"/>
  <c r="BF35" i="6"/>
  <c r="AH83" i="1"/>
  <c r="AH87" i="1" s="1"/>
  <c r="AH90" i="1" s="1"/>
  <c r="AH108" i="1" s="1"/>
  <c r="AO84" i="1"/>
  <c r="BE84" i="1" s="1"/>
  <c r="AR109" i="6"/>
  <c r="AQ110" i="6"/>
  <c r="AQ35" i="6" s="1"/>
  <c r="AK103" i="6"/>
  <c r="AJ104" i="6"/>
  <c r="AJ37" i="6" s="1"/>
  <c r="AI89" i="1" s="1"/>
  <c r="AK97" i="6"/>
  <c r="AJ98" i="6"/>
  <c r="AJ34" i="6" s="1"/>
  <c r="K32" i="6" l="1"/>
  <c r="K40" i="6" s="1"/>
  <c r="K41" i="6" s="1"/>
  <c r="K16" i="6"/>
  <c r="F131" i="14"/>
  <c r="H130" i="14"/>
  <c r="H131" i="14" s="1"/>
  <c r="L130" i="14"/>
  <c r="L131" i="14" s="1"/>
  <c r="J131" i="14"/>
  <c r="D131" i="14"/>
  <c r="E131" i="14" s="1"/>
  <c r="E130" i="14"/>
  <c r="R10" i="6"/>
  <c r="S7" i="6"/>
  <c r="AP84" i="1"/>
  <c r="AI83" i="1"/>
  <c r="AI87" i="1" s="1"/>
  <c r="AI90" i="1" s="1"/>
  <c r="AI108" i="1" s="1"/>
  <c r="AS109" i="6"/>
  <c r="AR110" i="6"/>
  <c r="AR35" i="6" s="1"/>
  <c r="AL103" i="6"/>
  <c r="AK104" i="6"/>
  <c r="AK37" i="6" s="1"/>
  <c r="AJ89" i="1" s="1"/>
  <c r="AL97" i="6"/>
  <c r="AK98" i="6"/>
  <c r="AK34" i="6" s="1"/>
  <c r="K109" i="1" l="1"/>
  <c r="K110" i="1" s="1"/>
  <c r="K17" i="6"/>
  <c r="K18" i="6" s="1"/>
  <c r="K42" i="6" s="1"/>
  <c r="M131" i="14"/>
  <c r="I130" i="14"/>
  <c r="M130" i="14"/>
  <c r="I131" i="14"/>
  <c r="T7" i="6"/>
  <c r="S10" i="6"/>
  <c r="AQ84" i="1"/>
  <c r="AJ83" i="1"/>
  <c r="AJ87" i="1" s="1"/>
  <c r="AJ90" i="1" s="1"/>
  <c r="AJ108" i="1" s="1"/>
  <c r="AT109" i="6"/>
  <c r="AS110" i="6"/>
  <c r="AS35" i="6" s="1"/>
  <c r="AM103" i="6"/>
  <c r="AL104" i="6"/>
  <c r="AL37" i="6" s="1"/>
  <c r="AK89" i="1" s="1"/>
  <c r="AM97" i="6"/>
  <c r="AL98" i="6"/>
  <c r="AL34" i="6" s="1"/>
  <c r="L16" i="6" l="1"/>
  <c r="L32" i="6"/>
  <c r="L40" i="6" s="1"/>
  <c r="L41" i="6" s="1"/>
  <c r="T10" i="6"/>
  <c r="U7" i="6"/>
  <c r="AR84" i="1"/>
  <c r="AK83" i="1"/>
  <c r="AK87" i="1" s="1"/>
  <c r="AK90" i="1" s="1"/>
  <c r="AK108" i="1" s="1"/>
  <c r="AU109" i="6"/>
  <c r="AT110" i="6"/>
  <c r="AT35" i="6" s="1"/>
  <c r="AN103" i="6"/>
  <c r="AM104" i="6"/>
  <c r="AM37" i="6" s="1"/>
  <c r="AL89" i="1" s="1"/>
  <c r="AN97" i="6"/>
  <c r="AM98" i="6"/>
  <c r="AM34" i="6" s="1"/>
  <c r="L109" i="1" l="1"/>
  <c r="L110" i="1" s="1"/>
  <c r="L17" i="6"/>
  <c r="L18" i="6" s="1"/>
  <c r="L42" i="6" s="1"/>
  <c r="V7" i="6"/>
  <c r="U10" i="6"/>
  <c r="AS84" i="1"/>
  <c r="AL83" i="1"/>
  <c r="AL87" i="1" s="1"/>
  <c r="AL90" i="1" s="1"/>
  <c r="AL108" i="1" s="1"/>
  <c r="AV109" i="6"/>
  <c r="AU110" i="6"/>
  <c r="AU35" i="6" s="1"/>
  <c r="AO103" i="6"/>
  <c r="AN104" i="6"/>
  <c r="AO97" i="6"/>
  <c r="AN98" i="6"/>
  <c r="M16" i="6" l="1"/>
  <c r="M32" i="6"/>
  <c r="M40" i="6" s="1"/>
  <c r="M41" i="6" s="1"/>
  <c r="W7" i="6"/>
  <c r="V10" i="6"/>
  <c r="AT84" i="1"/>
  <c r="AW109" i="6"/>
  <c r="AV110" i="6"/>
  <c r="AV35" i="6" s="1"/>
  <c r="AP103" i="6"/>
  <c r="AO104" i="6"/>
  <c r="AP97" i="6"/>
  <c r="AO98" i="6"/>
  <c r="M109" i="1" l="1"/>
  <c r="M110" i="1" s="1"/>
  <c r="M17" i="6"/>
  <c r="M18" i="6" s="1"/>
  <c r="M42" i="6" s="1"/>
  <c r="X7" i="6"/>
  <c r="W10" i="6"/>
  <c r="AU84" i="1"/>
  <c r="AX109" i="6"/>
  <c r="AW110" i="6"/>
  <c r="AW35" i="6" s="1"/>
  <c r="AP104" i="6"/>
  <c r="AP37" i="6" s="1"/>
  <c r="BF37" i="6" s="1"/>
  <c r="AQ103" i="6"/>
  <c r="AQ97" i="6"/>
  <c r="AP98" i="6"/>
  <c r="AP34" i="6" s="1"/>
  <c r="AO37" i="6"/>
  <c r="AN37" i="6"/>
  <c r="AM89" i="1" s="1"/>
  <c r="AO34" i="6"/>
  <c r="AN34" i="6"/>
  <c r="N32" i="6" l="1"/>
  <c r="N40" i="6" s="1"/>
  <c r="N41" i="6" s="1"/>
  <c r="N16" i="6"/>
  <c r="Y7" i="6"/>
  <c r="X10" i="6"/>
  <c r="AV84" i="1"/>
  <c r="BF34" i="6"/>
  <c r="AM83" i="1"/>
  <c r="AM87" i="1" s="1"/>
  <c r="AM90" i="1" s="1"/>
  <c r="AM108" i="1" s="1"/>
  <c r="AY109" i="6"/>
  <c r="AX110" i="6"/>
  <c r="AX35" i="6" s="1"/>
  <c r="AR103" i="6"/>
  <c r="AQ104" i="6"/>
  <c r="AQ37" i="6" s="1"/>
  <c r="AP89" i="1" s="1"/>
  <c r="AR97" i="6"/>
  <c r="AQ98" i="6"/>
  <c r="AQ34" i="6" s="1"/>
  <c r="AN89" i="1"/>
  <c r="AO89" i="1"/>
  <c r="AN83" i="1"/>
  <c r="AN87" i="1" s="1"/>
  <c r="AO83" i="1"/>
  <c r="N17" i="6" l="1"/>
  <c r="N18" i="6" s="1"/>
  <c r="N42" i="6" s="1"/>
  <c r="N109" i="1"/>
  <c r="N110" i="1" s="1"/>
  <c r="Y10" i="6"/>
  <c r="Z7" i="6"/>
  <c r="AW84" i="1"/>
  <c r="AP83" i="1"/>
  <c r="AP87" i="1" s="1"/>
  <c r="AP90" i="1" s="1"/>
  <c r="AP108" i="1" s="1"/>
  <c r="AN90" i="1"/>
  <c r="AN108" i="1" s="1"/>
  <c r="AZ109" i="6"/>
  <c r="AY110" i="6"/>
  <c r="AY35" i="6" s="1"/>
  <c r="AS103" i="6"/>
  <c r="AR104" i="6"/>
  <c r="AR37" i="6" s="1"/>
  <c r="AQ89" i="1" s="1"/>
  <c r="AS97" i="6"/>
  <c r="AR98" i="6"/>
  <c r="AR34" i="6" s="1"/>
  <c r="BE89" i="1"/>
  <c r="AO87" i="1"/>
  <c r="AO90" i="1" s="1"/>
  <c r="AO108" i="1" s="1"/>
  <c r="BE83" i="1"/>
  <c r="O16" i="6" l="1"/>
  <c r="O32" i="6"/>
  <c r="O40" i="6" s="1"/>
  <c r="O41" i="6" s="1"/>
  <c r="AA7" i="6"/>
  <c r="Z10" i="6"/>
  <c r="AX84" i="1"/>
  <c r="AQ83" i="1"/>
  <c r="AQ87" i="1" s="1"/>
  <c r="AQ90" i="1" s="1"/>
  <c r="AQ108" i="1" s="1"/>
  <c r="BA109" i="6"/>
  <c r="AZ110" i="6"/>
  <c r="AZ35" i="6" s="1"/>
  <c r="AT103" i="6"/>
  <c r="AS104" i="6"/>
  <c r="AS37" i="6" s="1"/>
  <c r="AR89" i="1" s="1"/>
  <c r="AT97" i="6"/>
  <c r="AS98" i="6"/>
  <c r="AS34" i="6" s="1"/>
  <c r="BE87" i="1"/>
  <c r="BE90" i="1" s="1"/>
  <c r="BE108" i="1" s="1"/>
  <c r="BE110" i="1" s="1"/>
  <c r="BF109" i="1" s="1"/>
  <c r="O109" i="1" l="1"/>
  <c r="O110" i="1" s="1"/>
  <c r="O17" i="6"/>
  <c r="O18" i="6" s="1"/>
  <c r="O42" i="6" s="1"/>
  <c r="AB7" i="6"/>
  <c r="AA10" i="6"/>
  <c r="AY84" i="1"/>
  <c r="AR83" i="1"/>
  <c r="AR87" i="1" s="1"/>
  <c r="AR90" i="1" s="1"/>
  <c r="AR108" i="1" s="1"/>
  <c r="BB109" i="6"/>
  <c r="BA110" i="6"/>
  <c r="BA35" i="6" s="1"/>
  <c r="AU103" i="6"/>
  <c r="AT104" i="6"/>
  <c r="AT37" i="6" s="1"/>
  <c r="AS89" i="1" s="1"/>
  <c r="AU97" i="6"/>
  <c r="AT98" i="6"/>
  <c r="AT34" i="6" s="1"/>
  <c r="P32" i="6" l="1"/>
  <c r="P16" i="6"/>
  <c r="AC7" i="6"/>
  <c r="AB10" i="6"/>
  <c r="AZ84" i="1"/>
  <c r="AS83" i="1"/>
  <c r="AS87" i="1" s="1"/>
  <c r="AS90" i="1" s="1"/>
  <c r="AS108" i="1" s="1"/>
  <c r="BC109" i="6"/>
  <c r="BB110" i="6"/>
  <c r="BB35" i="6" s="1"/>
  <c r="AV103" i="6"/>
  <c r="AU104" i="6"/>
  <c r="AU37" i="6" s="1"/>
  <c r="AT89" i="1" s="1"/>
  <c r="AV97" i="6"/>
  <c r="AU98" i="6"/>
  <c r="AU34" i="6" s="1"/>
  <c r="P17" i="6" l="1"/>
  <c r="P18" i="6" s="1"/>
  <c r="BD16" i="6"/>
  <c r="BD17" i="6" s="1"/>
  <c r="BD18" i="6" s="1"/>
  <c r="P109" i="1"/>
  <c r="P110" i="1" s="1"/>
  <c r="Q32" i="6" s="1"/>
  <c r="Q40" i="6" s="1"/>
  <c r="Q41" i="6" s="1"/>
  <c r="P40" i="6"/>
  <c r="P41" i="6" s="1"/>
  <c r="BD32" i="6"/>
  <c r="BD40" i="6" s="1"/>
  <c r="BD41" i="6" s="1"/>
  <c r="AC10" i="6"/>
  <c r="BE7" i="6"/>
  <c r="BE10" i="6" s="1"/>
  <c r="AD7" i="6"/>
  <c r="AT83" i="1"/>
  <c r="AT87" i="1" s="1"/>
  <c r="AT90" i="1" s="1"/>
  <c r="AT108" i="1" s="1"/>
  <c r="BC110" i="6"/>
  <c r="BC35" i="6" s="1"/>
  <c r="BA84" i="1" s="1"/>
  <c r="AW103" i="6"/>
  <c r="AV104" i="6"/>
  <c r="AV37" i="6" s="1"/>
  <c r="AU89" i="1" s="1"/>
  <c r="AW97" i="6"/>
  <c r="AV98" i="6"/>
  <c r="AV34" i="6" s="1"/>
  <c r="Q16" i="6" l="1"/>
  <c r="Q109" i="1" s="1"/>
  <c r="Q110" i="1" s="1"/>
  <c r="BD42" i="6"/>
  <c r="P42" i="6"/>
  <c r="AE7" i="6"/>
  <c r="AD10" i="6"/>
  <c r="AU83" i="1"/>
  <c r="AU87" i="1" s="1"/>
  <c r="AU90" i="1" s="1"/>
  <c r="AU108" i="1" s="1"/>
  <c r="BG35" i="6"/>
  <c r="BH35" i="6" s="1"/>
  <c r="B142" i="14"/>
  <c r="BB84" i="1"/>
  <c r="AX103" i="6"/>
  <c r="AW104" i="6"/>
  <c r="AW37" i="6" s="1"/>
  <c r="AV89" i="1" s="1"/>
  <c r="AX97" i="6"/>
  <c r="AW98" i="6"/>
  <c r="AW34" i="6" s="1"/>
  <c r="Q17" i="6" l="1"/>
  <c r="Q18" i="6" s="1"/>
  <c r="Q42" i="6" s="1"/>
  <c r="AF7" i="6"/>
  <c r="AE10" i="6"/>
  <c r="AV83" i="1"/>
  <c r="AV87" i="1" s="1"/>
  <c r="AV90" i="1" s="1"/>
  <c r="AV108" i="1" s="1"/>
  <c r="BF84" i="1"/>
  <c r="BG84" i="1" s="1"/>
  <c r="B82" i="14"/>
  <c r="D82" i="14" s="1"/>
  <c r="E82" i="14" s="1"/>
  <c r="J82" i="14"/>
  <c r="L82" i="14" s="1"/>
  <c r="M82" i="14" s="1"/>
  <c r="F82" i="14"/>
  <c r="H82" i="14" s="1"/>
  <c r="I82" i="14" s="1"/>
  <c r="J142" i="14"/>
  <c r="L142" i="14" s="1"/>
  <c r="M142" i="14" s="1"/>
  <c r="F142" i="14"/>
  <c r="H142" i="14" s="1"/>
  <c r="I142" i="14" s="1"/>
  <c r="D142" i="14"/>
  <c r="E142" i="14" s="1"/>
  <c r="AY103" i="6"/>
  <c r="AX104" i="6"/>
  <c r="AX37" i="6" s="1"/>
  <c r="AW89" i="1" s="1"/>
  <c r="AY97" i="6"/>
  <c r="AX98" i="6"/>
  <c r="AX34" i="6" s="1"/>
  <c r="R16" i="6"/>
  <c r="R32" i="6"/>
  <c r="R40" i="6" s="1"/>
  <c r="R41" i="6" s="1"/>
  <c r="AG7" i="6" l="1"/>
  <c r="AF10" i="6"/>
  <c r="AW83" i="1"/>
  <c r="AW87" i="1" s="1"/>
  <c r="AW90" i="1" s="1"/>
  <c r="AW108" i="1" s="1"/>
  <c r="AZ103" i="6"/>
  <c r="AY104" i="6"/>
  <c r="AY37" i="6" s="1"/>
  <c r="AX89" i="1" s="1"/>
  <c r="AZ97" i="6"/>
  <c r="AY98" i="6"/>
  <c r="AY34" i="6" s="1"/>
  <c r="R109" i="1"/>
  <c r="R110" i="1" s="1"/>
  <c r="R17" i="6"/>
  <c r="R18" i="6" s="1"/>
  <c r="R42" i="6" s="1"/>
  <c r="AH7" i="6" l="1"/>
  <c r="AG10" i="6"/>
  <c r="AX83" i="1"/>
  <c r="AX87" i="1" s="1"/>
  <c r="AX90" i="1" s="1"/>
  <c r="AX108" i="1" s="1"/>
  <c r="BA103" i="6"/>
  <c r="AZ104" i="6"/>
  <c r="AZ37" i="6" s="1"/>
  <c r="AY89" i="1" s="1"/>
  <c r="BA97" i="6"/>
  <c r="AZ98" i="6"/>
  <c r="AZ34" i="6" s="1"/>
  <c r="S16" i="6"/>
  <c r="S32" i="6"/>
  <c r="S40" i="6" s="1"/>
  <c r="S41" i="6" s="1"/>
  <c r="AI7" i="6" l="1"/>
  <c r="AH10" i="6"/>
  <c r="AY83" i="1"/>
  <c r="AY87" i="1" s="1"/>
  <c r="AY90" i="1" s="1"/>
  <c r="AY108" i="1" s="1"/>
  <c r="BB103" i="6"/>
  <c r="BA104" i="6"/>
  <c r="BA37" i="6" s="1"/>
  <c r="AZ89" i="1" s="1"/>
  <c r="BB97" i="6"/>
  <c r="BA98" i="6"/>
  <c r="BA34" i="6" s="1"/>
  <c r="S17" i="6"/>
  <c r="S18" i="6" s="1"/>
  <c r="S42" i="6" s="1"/>
  <c r="S109" i="1"/>
  <c r="S110" i="1" s="1"/>
  <c r="AJ7" i="6" l="1"/>
  <c r="AI10" i="6"/>
  <c r="AZ83" i="1"/>
  <c r="AZ87" i="1" s="1"/>
  <c r="AZ90" i="1" s="1"/>
  <c r="AZ108" i="1" s="1"/>
  <c r="BC103" i="6"/>
  <c r="BB104" i="6"/>
  <c r="BB37" i="6" s="1"/>
  <c r="BC97" i="6"/>
  <c r="BB98" i="6"/>
  <c r="BB34" i="6" s="1"/>
  <c r="T32" i="6"/>
  <c r="T40" i="6" s="1"/>
  <c r="T41" i="6" s="1"/>
  <c r="T16" i="6"/>
  <c r="AJ10" i="6" l="1"/>
  <c r="AK7" i="6"/>
  <c r="BA83" i="1"/>
  <c r="BA87" i="1" s="1"/>
  <c r="BC104" i="6"/>
  <c r="BC37" i="6" s="1"/>
  <c r="B144" i="14" s="1"/>
  <c r="BC98" i="6"/>
  <c r="BC34" i="6" s="1"/>
  <c r="T109" i="1"/>
  <c r="T110" i="1" s="1"/>
  <c r="T17" i="6"/>
  <c r="T18" i="6" s="1"/>
  <c r="T42" i="6" s="1"/>
  <c r="BA89" i="1" l="1"/>
  <c r="BA90" i="1" s="1"/>
  <c r="BA108" i="1" s="1"/>
  <c r="AL7" i="6"/>
  <c r="AK10" i="6"/>
  <c r="B141" i="14"/>
  <c r="F141" i="14" s="1"/>
  <c r="H141" i="14" s="1"/>
  <c r="I141" i="14" s="1"/>
  <c r="D144" i="14"/>
  <c r="E144" i="14" s="1"/>
  <c r="J144" i="14"/>
  <c r="L144" i="14" s="1"/>
  <c r="M144" i="14" s="1"/>
  <c r="F144" i="14"/>
  <c r="H144" i="14" s="1"/>
  <c r="I144" i="14" s="1"/>
  <c r="BG37" i="6"/>
  <c r="BH37" i="6" s="1"/>
  <c r="BB89" i="1"/>
  <c r="BB83" i="1"/>
  <c r="BG34" i="6"/>
  <c r="BH34" i="6" s="1"/>
  <c r="U16" i="6"/>
  <c r="U32" i="6"/>
  <c r="U40" i="6" s="1"/>
  <c r="U41" i="6" s="1"/>
  <c r="AL10" i="6" l="1"/>
  <c r="AM7" i="6"/>
  <c r="D141" i="14"/>
  <c r="E141" i="14" s="1"/>
  <c r="J141" i="14"/>
  <c r="L141" i="14" s="1"/>
  <c r="M141" i="14" s="1"/>
  <c r="BF89" i="1"/>
  <c r="BG89" i="1" s="1"/>
  <c r="B87" i="14"/>
  <c r="D87" i="14" s="1"/>
  <c r="E87" i="14" s="1"/>
  <c r="J87" i="14"/>
  <c r="L87" i="14" s="1"/>
  <c r="M87" i="14" s="1"/>
  <c r="F87" i="14"/>
  <c r="H87" i="14" s="1"/>
  <c r="I87" i="14" s="1"/>
  <c r="B81" i="14"/>
  <c r="J81" i="14"/>
  <c r="F81" i="14"/>
  <c r="BB87" i="1"/>
  <c r="BB90" i="1" s="1"/>
  <c r="BB108" i="1" s="1"/>
  <c r="BF83" i="1"/>
  <c r="U109" i="1"/>
  <c r="U110" i="1" s="1"/>
  <c r="U17" i="6"/>
  <c r="U18" i="6" s="1"/>
  <c r="U42" i="6" s="1"/>
  <c r="AN7" i="6" l="1"/>
  <c r="AM10" i="6"/>
  <c r="D81" i="14"/>
  <c r="E81" i="14" s="1"/>
  <c r="B85" i="14"/>
  <c r="B88" i="14" s="1"/>
  <c r="B106" i="14" s="1"/>
  <c r="J85" i="14"/>
  <c r="J88" i="14" s="1"/>
  <c r="J106" i="14" s="1"/>
  <c r="J108" i="14" s="1"/>
  <c r="L81" i="14"/>
  <c r="M81" i="14" s="1"/>
  <c r="H81" i="14"/>
  <c r="I81" i="14" s="1"/>
  <c r="F85" i="14"/>
  <c r="F88" i="14" s="1"/>
  <c r="F106" i="14" s="1"/>
  <c r="BF87" i="1"/>
  <c r="BF90" i="1" s="1"/>
  <c r="BF108" i="1" s="1"/>
  <c r="BF110" i="1" s="1"/>
  <c r="BG83" i="1"/>
  <c r="BG87" i="1" s="1"/>
  <c r="BG90" i="1" s="1"/>
  <c r="BG108" i="1" s="1"/>
  <c r="BG110" i="1" s="1"/>
  <c r="V16" i="6"/>
  <c r="V32" i="6"/>
  <c r="V40" i="6" s="1"/>
  <c r="V41" i="6" s="1"/>
  <c r="AO7" i="6" l="1"/>
  <c r="AN10" i="6"/>
  <c r="V109" i="1"/>
  <c r="V110" i="1" s="1"/>
  <c r="V17" i="6"/>
  <c r="V18" i="6" s="1"/>
  <c r="V42" i="6" s="1"/>
  <c r="AP7" i="6" l="1"/>
  <c r="AO10" i="6"/>
  <c r="W16" i="6"/>
  <c r="W32" i="6"/>
  <c r="W40" i="6" s="1"/>
  <c r="W41" i="6" s="1"/>
  <c r="BF7" i="6" l="1"/>
  <c r="BF10" i="6" s="1"/>
  <c r="AQ7" i="6"/>
  <c r="AP10" i="6"/>
  <c r="W17" i="6"/>
  <c r="W18" i="6" s="1"/>
  <c r="W42" i="6" s="1"/>
  <c r="W109" i="1"/>
  <c r="W110" i="1" s="1"/>
  <c r="AR7" i="6" l="1"/>
  <c r="AQ10" i="6"/>
  <c r="X32" i="6"/>
  <c r="X40" i="6" s="1"/>
  <c r="X41" i="6" s="1"/>
  <c r="X16" i="6"/>
  <c r="AS7" i="6" l="1"/>
  <c r="AR10" i="6"/>
  <c r="X17" i="6"/>
  <c r="X18" i="6" s="1"/>
  <c r="X42" i="6" s="1"/>
  <c r="X109" i="1"/>
  <c r="X110" i="1" s="1"/>
  <c r="AS10" i="6" l="1"/>
  <c r="AT7" i="6"/>
  <c r="Y32" i="6"/>
  <c r="Y40" i="6" s="1"/>
  <c r="Y41" i="6" s="1"/>
  <c r="Y16" i="6"/>
  <c r="AU7" i="6" l="1"/>
  <c r="AT10" i="6"/>
  <c r="Y17" i="6"/>
  <c r="Y18" i="6" s="1"/>
  <c r="Y42" i="6" s="1"/>
  <c r="Y109" i="1"/>
  <c r="Y110" i="1" s="1"/>
  <c r="AV7" i="6" l="1"/>
  <c r="AU10" i="6"/>
  <c r="Z32" i="6"/>
  <c r="Z40" i="6" s="1"/>
  <c r="Z41" i="6" s="1"/>
  <c r="Z16" i="6"/>
  <c r="AW7" i="6" l="1"/>
  <c r="AV10" i="6"/>
  <c r="Z17" i="6"/>
  <c r="Z18" i="6" s="1"/>
  <c r="Z42" i="6" s="1"/>
  <c r="Z109" i="1"/>
  <c r="Z110" i="1" s="1"/>
  <c r="AX7" i="6" l="1"/>
  <c r="AW10" i="6"/>
  <c r="AA16" i="6"/>
  <c r="AA32" i="6"/>
  <c r="AA40" i="6" s="1"/>
  <c r="AA41" i="6" s="1"/>
  <c r="AY7" i="6" l="1"/>
  <c r="AX10" i="6"/>
  <c r="AA17" i="6"/>
  <c r="AA18" i="6" s="1"/>
  <c r="AA42" i="6" s="1"/>
  <c r="AA109" i="1"/>
  <c r="AA110" i="1" s="1"/>
  <c r="AZ7" i="6" l="1"/>
  <c r="AY10" i="6"/>
  <c r="AB32" i="6"/>
  <c r="AB40" i="6" s="1"/>
  <c r="AB41" i="6" s="1"/>
  <c r="AB16" i="6"/>
  <c r="BA7" i="6" l="1"/>
  <c r="AZ10" i="6"/>
  <c r="AB109" i="1"/>
  <c r="AB17" i="6"/>
  <c r="AB18" i="6" s="1"/>
  <c r="AB42" i="6" s="1"/>
  <c r="BA10" i="6" l="1"/>
  <c r="BB7" i="6"/>
  <c r="AB110" i="1"/>
  <c r="BC7" i="6" l="1"/>
  <c r="BB10" i="6"/>
  <c r="AC16" i="6"/>
  <c r="AC32" i="6"/>
  <c r="BG7" i="6" l="1"/>
  <c r="BC10" i="6"/>
  <c r="B114" i="14"/>
  <c r="BE16" i="6"/>
  <c r="BE17" i="6" s="1"/>
  <c r="BE18" i="6" s="1"/>
  <c r="AC109" i="1"/>
  <c r="AC110" i="1" s="1"/>
  <c r="AC17" i="6"/>
  <c r="AC18" i="6" s="1"/>
  <c r="AC40" i="6"/>
  <c r="AC41" i="6" s="1"/>
  <c r="BE32" i="6"/>
  <c r="BE40" i="6" s="1"/>
  <c r="BE41" i="6" s="1"/>
  <c r="B117" i="14" l="1"/>
  <c r="J114" i="14"/>
  <c r="F114" i="14"/>
  <c r="D114" i="14"/>
  <c r="D117" i="14" s="1"/>
  <c r="BH7" i="6"/>
  <c r="BH10" i="6" s="1"/>
  <c r="BG10" i="6"/>
  <c r="AC42" i="6"/>
  <c r="AD16" i="6"/>
  <c r="AD32" i="6"/>
  <c r="AD40" i="6" s="1"/>
  <c r="AD41" i="6" s="1"/>
  <c r="BE42" i="6"/>
  <c r="F117" i="14" l="1"/>
  <c r="H114" i="14"/>
  <c r="H117" i="14" s="1"/>
  <c r="L114" i="14"/>
  <c r="L117" i="14" s="1"/>
  <c r="J117" i="14"/>
  <c r="E114" i="14"/>
  <c r="E117" i="14"/>
  <c r="AD109" i="1"/>
  <c r="AD110" i="1" s="1"/>
  <c r="AD17" i="6"/>
  <c r="AD18" i="6" s="1"/>
  <c r="AD42" i="6" s="1"/>
  <c r="I114" i="14" l="1"/>
  <c r="M114" i="14"/>
  <c r="M117" i="14"/>
  <c r="I117" i="14"/>
  <c r="AE16" i="6"/>
  <c r="AE32" i="6"/>
  <c r="AE40" i="6" s="1"/>
  <c r="AE41" i="6" s="1"/>
  <c r="AE17" i="6" l="1"/>
  <c r="AE18" i="6" s="1"/>
  <c r="AE42" i="6" s="1"/>
  <c r="AE109" i="1"/>
  <c r="AE110" i="1" s="1"/>
  <c r="AF32" i="6" l="1"/>
  <c r="AF40" i="6" s="1"/>
  <c r="AF41" i="6" s="1"/>
  <c r="AF16" i="6"/>
  <c r="AF109" i="1" l="1"/>
  <c r="AF110" i="1" s="1"/>
  <c r="AF17" i="6"/>
  <c r="AF18" i="6" s="1"/>
  <c r="AF42" i="6" s="1"/>
  <c r="AG16" i="6" l="1"/>
  <c r="AG32" i="6"/>
  <c r="AG40" i="6" s="1"/>
  <c r="AG41" i="6" s="1"/>
  <c r="AG17" i="6" l="1"/>
  <c r="AG18" i="6" s="1"/>
  <c r="AG42" i="6" s="1"/>
  <c r="AG109" i="1"/>
  <c r="AG110" i="1" s="1"/>
  <c r="AH16" i="6" l="1"/>
  <c r="AH32" i="6"/>
  <c r="AH40" i="6" s="1"/>
  <c r="AH41" i="6" s="1"/>
  <c r="AH109" i="1" l="1"/>
  <c r="AH110" i="1" s="1"/>
  <c r="AH17" i="6"/>
  <c r="AH18" i="6" s="1"/>
  <c r="AH42" i="6" s="1"/>
  <c r="AI16" i="6" l="1"/>
  <c r="AI32" i="6"/>
  <c r="AI40" i="6" s="1"/>
  <c r="AI41" i="6" s="1"/>
  <c r="AI109" i="1" l="1"/>
  <c r="AI110" i="1" s="1"/>
  <c r="AI17" i="6"/>
  <c r="AI18" i="6" s="1"/>
  <c r="AI42" i="6" s="1"/>
  <c r="AJ16" i="6" l="1"/>
  <c r="AJ32" i="6"/>
  <c r="AJ40" i="6" s="1"/>
  <c r="AJ41" i="6" s="1"/>
  <c r="AJ17" i="6" l="1"/>
  <c r="AJ18" i="6" s="1"/>
  <c r="AJ42" i="6" s="1"/>
  <c r="AJ109" i="1"/>
  <c r="AJ110" i="1" s="1"/>
  <c r="AK16" i="6" l="1"/>
  <c r="AK32" i="6"/>
  <c r="AK40" i="6" s="1"/>
  <c r="AK41" i="6" s="1"/>
  <c r="AK17" i="6" l="1"/>
  <c r="AK18" i="6" s="1"/>
  <c r="AK42" i="6" s="1"/>
  <c r="AK109" i="1"/>
  <c r="AK110" i="1" s="1"/>
  <c r="AL32" i="6" l="1"/>
  <c r="AL40" i="6" s="1"/>
  <c r="AL41" i="6" s="1"/>
  <c r="AL16" i="6"/>
  <c r="AL109" i="1" l="1"/>
  <c r="AL110" i="1" s="1"/>
  <c r="AL17" i="6"/>
  <c r="AL18" i="6" s="1"/>
  <c r="AL42" i="6" s="1"/>
  <c r="AM16" i="6" l="1"/>
  <c r="AM32" i="6"/>
  <c r="AM40" i="6" s="1"/>
  <c r="AM41" i="6" s="1"/>
  <c r="AM109" i="1" l="1"/>
  <c r="AM110" i="1" s="1"/>
  <c r="AM17" i="6"/>
  <c r="AM18" i="6" s="1"/>
  <c r="AM42" i="6" s="1"/>
  <c r="AN16" i="6" l="1"/>
  <c r="AN32" i="6"/>
  <c r="AN40" i="6" s="1"/>
  <c r="AN41" i="6" s="1"/>
  <c r="AN109" i="1" l="1"/>
  <c r="AN110" i="1" s="1"/>
  <c r="AN17" i="6"/>
  <c r="AN18" i="6" s="1"/>
  <c r="AN42" i="6" s="1"/>
  <c r="AO16" i="6" l="1"/>
  <c r="AO32" i="6"/>
  <c r="AO40" i="6" s="1"/>
  <c r="AO41" i="6" s="1"/>
  <c r="AO17" i="6" l="1"/>
  <c r="AO18" i="6" s="1"/>
  <c r="AO42" i="6" s="1"/>
  <c r="AO109" i="1"/>
  <c r="AO110" i="1" s="1"/>
  <c r="AP16" i="6" l="1"/>
  <c r="AP32" i="6"/>
  <c r="AP40" i="6" l="1"/>
  <c r="AP41" i="6" s="1"/>
  <c r="BF32" i="6"/>
  <c r="BF40" i="6" s="1"/>
  <c r="BF41" i="6" s="1"/>
  <c r="AP17" i="6"/>
  <c r="AP18" i="6" s="1"/>
  <c r="AP109" i="1"/>
  <c r="F107" i="14" s="1"/>
  <c r="BF16" i="6"/>
  <c r="BF17" i="6" s="1"/>
  <c r="BF18" i="6" s="1"/>
  <c r="AP110" i="1" l="1"/>
  <c r="AQ16" i="6" s="1"/>
  <c r="F108" i="14"/>
  <c r="BF42" i="6"/>
  <c r="AP42" i="6"/>
  <c r="AQ32" i="6" l="1"/>
  <c r="AQ40" i="6" s="1"/>
  <c r="AQ41" i="6" s="1"/>
  <c r="AQ17" i="6"/>
  <c r="AQ18" i="6" s="1"/>
  <c r="AQ109" i="1" l="1"/>
  <c r="AQ110" i="1" s="1"/>
  <c r="AR32" i="6" s="1"/>
  <c r="AR40" i="6" s="1"/>
  <c r="AR41" i="6" s="1"/>
  <c r="AQ42" i="6"/>
  <c r="AR16" i="6" l="1"/>
  <c r="AR17" i="6" s="1"/>
  <c r="AR18" i="6" s="1"/>
  <c r="AR42" i="6" s="1"/>
  <c r="AR109" i="1" l="1"/>
  <c r="AR110" i="1" s="1"/>
  <c r="AS32" i="6" s="1"/>
  <c r="AS40" i="6" s="1"/>
  <c r="AS41" i="6" s="1"/>
  <c r="AS16" i="6" l="1"/>
  <c r="AS17" i="6" s="1"/>
  <c r="AS18" i="6" s="1"/>
  <c r="AS42" i="6" s="1"/>
  <c r="AS109" i="1" l="1"/>
  <c r="AS110" i="1" s="1"/>
  <c r="AT16" i="6" s="1"/>
  <c r="AT32" i="6" l="1"/>
  <c r="AT40" i="6" s="1"/>
  <c r="AT41" i="6" s="1"/>
  <c r="AT17" i="6"/>
  <c r="AT18" i="6" s="1"/>
  <c r="AT42" i="6" l="1"/>
  <c r="AT109" i="1"/>
  <c r="AT110" i="1" s="1"/>
  <c r="AU32" i="6" s="1"/>
  <c r="AU16" i="6" l="1"/>
  <c r="AU17" i="6" s="1"/>
  <c r="AU18" i="6" s="1"/>
  <c r="AU40" i="6"/>
  <c r="AU41" i="6" s="1"/>
  <c r="AU109" i="1" l="1"/>
  <c r="AU110" i="1" s="1"/>
  <c r="AV16" i="6" s="1"/>
  <c r="AU42" i="6"/>
  <c r="AV32" i="6" l="1"/>
  <c r="AV40" i="6" s="1"/>
  <c r="AV41" i="6" s="1"/>
  <c r="AV17" i="6"/>
  <c r="AV18" i="6" s="1"/>
  <c r="AV109" i="1" l="1"/>
  <c r="AV110" i="1" s="1"/>
  <c r="AW16" i="6" s="1"/>
  <c r="AV42" i="6"/>
  <c r="AW32" i="6" l="1"/>
  <c r="AW40" i="6" s="1"/>
  <c r="AW41" i="6" s="1"/>
  <c r="AW17" i="6"/>
  <c r="AW18" i="6" s="1"/>
  <c r="AW109" i="1" l="1"/>
  <c r="AW110" i="1" s="1"/>
  <c r="AX16" i="6" s="1"/>
  <c r="AW42" i="6"/>
  <c r="AX32" i="6" l="1"/>
  <c r="AX40" i="6" s="1"/>
  <c r="AX41" i="6" s="1"/>
  <c r="AX17" i="6"/>
  <c r="AX18" i="6" s="1"/>
  <c r="AX42" i="6" l="1"/>
  <c r="AX109" i="1"/>
  <c r="AX110" i="1" s="1"/>
  <c r="AY16" i="6" s="1"/>
  <c r="AY32" i="6" l="1"/>
  <c r="AY40" i="6" s="1"/>
  <c r="AY41" i="6" s="1"/>
  <c r="AY17" i="6"/>
  <c r="AY18" i="6" s="1"/>
  <c r="AY109" i="1" l="1"/>
  <c r="AY110" i="1" s="1"/>
  <c r="AZ16" i="6" s="1"/>
  <c r="AY42" i="6"/>
  <c r="AZ32" i="6" l="1"/>
  <c r="AZ40" i="6" s="1"/>
  <c r="AZ41" i="6" s="1"/>
  <c r="AZ17" i="6"/>
  <c r="AZ18" i="6" s="1"/>
  <c r="AZ109" i="1" l="1"/>
  <c r="AZ110" i="1" s="1"/>
  <c r="BA32" i="6" s="1"/>
  <c r="BA40" i="6" s="1"/>
  <c r="BA41" i="6" s="1"/>
  <c r="AZ42" i="6"/>
  <c r="BA16" i="6" l="1"/>
  <c r="BA17" i="6" l="1"/>
  <c r="BA18" i="6" s="1"/>
  <c r="BA42" i="6" s="1"/>
  <c r="BC76" i="12" l="1"/>
  <c r="BG76" i="12" l="1"/>
  <c r="BC82" i="12"/>
  <c r="BG82" i="12" s="1"/>
  <c r="C87" i="12"/>
  <c r="C90" i="12" s="1"/>
  <c r="C108" i="12" s="1"/>
  <c r="C110" i="12" s="1"/>
  <c r="D60" i="6" s="1"/>
  <c r="D61" i="6" l="1"/>
  <c r="D62" i="6" s="1"/>
  <c r="D76" i="6"/>
  <c r="D84" i="6" s="1"/>
  <c r="D85" i="6" s="1"/>
  <c r="D109" i="12" l="1"/>
  <c r="D86" i="6"/>
  <c r="U87" i="12"/>
  <c r="U90" i="12" s="1"/>
  <c r="U108" i="12" s="1"/>
  <c r="BF86" i="12"/>
  <c r="BF87" i="12" s="1"/>
  <c r="BF90" i="12" s="1"/>
  <c r="BF108" i="12" s="1"/>
  <c r="AU87" i="12"/>
  <c r="AU90" i="12" s="1"/>
  <c r="AU108" i="12" s="1"/>
  <c r="AN87" i="12"/>
  <c r="AN90" i="12" s="1"/>
  <c r="AN108" i="12" s="1"/>
  <c r="AK87" i="12"/>
  <c r="AK90" i="12" s="1"/>
  <c r="AK108" i="12" s="1"/>
  <c r="BD86" i="12"/>
  <c r="BD87" i="12" s="1"/>
  <c r="BD90" i="12" s="1"/>
  <c r="BD108" i="12" s="1"/>
  <c r="R87" i="12"/>
  <c r="R90" i="12" s="1"/>
  <c r="R108" i="12" s="1"/>
  <c r="AZ87" i="12"/>
  <c r="AZ90" i="12" s="1"/>
  <c r="AZ108" i="12" s="1"/>
  <c r="BC86" i="12"/>
  <c r="BC87" i="12" s="1"/>
  <c r="BC90" i="12" s="1"/>
  <c r="BC108" i="12" s="1"/>
  <c r="BC110" i="12" s="1"/>
  <c r="BD109" i="12" s="1"/>
  <c r="AE87" i="12"/>
  <c r="AE90" i="12" s="1"/>
  <c r="AE108" i="12" s="1"/>
  <c r="O87" i="12"/>
  <c r="O90" i="12" s="1"/>
  <c r="O108" i="12" s="1"/>
  <c r="AR87" i="12"/>
  <c r="AR90" i="12" s="1"/>
  <c r="AR108" i="12" s="1"/>
  <c r="AY87" i="12"/>
  <c r="AY90" i="12" s="1"/>
  <c r="AY108" i="12" s="1"/>
  <c r="F87" i="12"/>
  <c r="F90" i="12" s="1"/>
  <c r="F108" i="12" s="1"/>
  <c r="L87" i="12"/>
  <c r="L90" i="12" s="1"/>
  <c r="L108" i="12" s="1"/>
  <c r="AT87" i="12"/>
  <c r="AT90" i="12" s="1"/>
  <c r="AT108" i="12" s="1"/>
  <c r="AX87" i="12"/>
  <c r="AX90" i="12" s="1"/>
  <c r="AX108" i="12" s="1"/>
  <c r="P87" i="12"/>
  <c r="P90" i="12" s="1"/>
  <c r="P108" i="12" s="1"/>
  <c r="Q87" i="12"/>
  <c r="Q90" i="12" s="1"/>
  <c r="Q108" i="12" s="1"/>
  <c r="AL87" i="12"/>
  <c r="AL90" i="12" s="1"/>
  <c r="AL108" i="12" s="1"/>
  <c r="AA87" i="12"/>
  <c r="AA90" i="12" s="1"/>
  <c r="AA108" i="12" s="1"/>
  <c r="G87" i="12"/>
  <c r="G90" i="12" s="1"/>
  <c r="G108" i="12" s="1"/>
  <c r="BE86" i="12"/>
  <c r="BE87" i="12" s="1"/>
  <c r="BE90" i="12" s="1"/>
  <c r="BE108" i="12" s="1"/>
  <c r="E87" i="12"/>
  <c r="E90" i="12" s="1"/>
  <c r="E108" i="12" s="1"/>
  <c r="BB87" i="12"/>
  <c r="BB90" i="12" s="1"/>
  <c r="BB108" i="12" s="1"/>
  <c r="S87" i="12"/>
  <c r="S90" i="12" s="1"/>
  <c r="S108" i="12" s="1"/>
  <c r="AH87" i="12"/>
  <c r="AH90" i="12" s="1"/>
  <c r="AH108" i="12" s="1"/>
  <c r="AD87" i="12"/>
  <c r="AD90" i="12" s="1"/>
  <c r="AD108" i="12" s="1"/>
  <c r="AP87" i="12"/>
  <c r="AP90" i="12" s="1"/>
  <c r="AP108" i="12" s="1"/>
  <c r="AO87" i="12"/>
  <c r="AO90" i="12" s="1"/>
  <c r="AO108" i="12" s="1"/>
  <c r="Y87" i="12"/>
  <c r="Y90" i="12" s="1"/>
  <c r="Y108" i="12" s="1"/>
  <c r="X87" i="12"/>
  <c r="X90" i="12" s="1"/>
  <c r="X108" i="12" s="1"/>
  <c r="V87" i="12"/>
  <c r="V90" i="12" s="1"/>
  <c r="V108" i="12" s="1"/>
  <c r="AI87" i="12"/>
  <c r="AI90" i="12" s="1"/>
  <c r="AI108" i="12" s="1"/>
  <c r="Z87" i="12"/>
  <c r="Z90" i="12" s="1"/>
  <c r="Z108" i="12" s="1"/>
  <c r="N87" i="12"/>
  <c r="N90" i="12" s="1"/>
  <c r="N108" i="12" s="1"/>
  <c r="AQ87" i="12"/>
  <c r="AQ90" i="12" s="1"/>
  <c r="AQ108" i="12" s="1"/>
  <c r="AM87" i="12"/>
  <c r="AM90" i="12" s="1"/>
  <c r="AM108" i="12" s="1"/>
  <c r="AG87" i="12"/>
  <c r="AG90" i="12" s="1"/>
  <c r="AG108" i="12" s="1"/>
  <c r="T87" i="12"/>
  <c r="T90" i="12" s="1"/>
  <c r="T108" i="12" s="1"/>
  <c r="BA87" i="12"/>
  <c r="BA90" i="12" s="1"/>
  <c r="BA108" i="12" s="1"/>
  <c r="AJ87" i="12"/>
  <c r="AJ90" i="12" s="1"/>
  <c r="AJ108" i="12" s="1"/>
  <c r="W87" i="12"/>
  <c r="W90" i="12" s="1"/>
  <c r="W108" i="12" s="1"/>
  <c r="AF87" i="12"/>
  <c r="AF90" i="12" s="1"/>
  <c r="AF108" i="12" s="1"/>
  <c r="D87" i="12"/>
  <c r="D90" i="12" s="1"/>
  <c r="D108" i="12" s="1"/>
  <c r="AW87" i="12"/>
  <c r="AW90" i="12" s="1"/>
  <c r="AW108" i="12" s="1"/>
  <c r="H87" i="12"/>
  <c r="H90" i="12" s="1"/>
  <c r="H108" i="12" s="1"/>
  <c r="AS87" i="12"/>
  <c r="AS90" i="12" s="1"/>
  <c r="AS108" i="12" s="1"/>
  <c r="AV87" i="12"/>
  <c r="AV90" i="12" s="1"/>
  <c r="AV108" i="12" s="1"/>
  <c r="AB87" i="12"/>
  <c r="AB90" i="12" s="1"/>
  <c r="AB108" i="12" s="1"/>
  <c r="AC87" i="12"/>
  <c r="AC90" i="12" s="1"/>
  <c r="AC108" i="12" s="1"/>
  <c r="K87" i="12"/>
  <c r="K90" i="12" s="1"/>
  <c r="K108" i="12" s="1"/>
  <c r="M87" i="12"/>
  <c r="M90" i="12" s="1"/>
  <c r="M108" i="12" s="1"/>
  <c r="I87" i="12"/>
  <c r="I90" i="12" s="1"/>
  <c r="I108" i="12" s="1"/>
  <c r="J87" i="12"/>
  <c r="J90" i="12" s="1"/>
  <c r="J108" i="12" s="1"/>
  <c r="D110" i="12" l="1"/>
  <c r="E76" i="6" s="1"/>
  <c r="E84" i="6" s="1"/>
  <c r="E85" i="6" s="1"/>
  <c r="K85" i="14"/>
  <c r="K88" i="14" s="1"/>
  <c r="K106" i="14" s="1"/>
  <c r="K108" i="14" s="1"/>
  <c r="G85" i="14"/>
  <c r="G88" i="14" s="1"/>
  <c r="G106" i="14" s="1"/>
  <c r="H85" i="14"/>
  <c r="BG86" i="12"/>
  <c r="BG87" i="12" s="1"/>
  <c r="BG90" i="12" s="1"/>
  <c r="BG108" i="12" s="1"/>
  <c r="BG110" i="12" s="1"/>
  <c r="BD110" i="12"/>
  <c r="BE109" i="12" s="1"/>
  <c r="BE110" i="12" s="1"/>
  <c r="BF109" i="12" s="1"/>
  <c r="BF110" i="12" s="1"/>
  <c r="C88" i="14"/>
  <c r="C106" i="14" s="1"/>
  <c r="E60" i="6" l="1"/>
  <c r="E109" i="12" s="1"/>
  <c r="E110" i="12" s="1"/>
  <c r="L85" i="14"/>
  <c r="L88" i="14" s="1"/>
  <c r="D85" i="14"/>
  <c r="I85" i="14"/>
  <c r="H88" i="14"/>
  <c r="E61" i="6" l="1"/>
  <c r="E62" i="6" s="1"/>
  <c r="E86" i="6" s="1"/>
  <c r="M85" i="14"/>
  <c r="F60" i="6"/>
  <c r="F76" i="6"/>
  <c r="F84" i="6" s="1"/>
  <c r="F85" i="6" s="1"/>
  <c r="I88" i="14"/>
  <c r="H106" i="14"/>
  <c r="M88" i="14"/>
  <c r="L106" i="14"/>
  <c r="E85" i="14"/>
  <c r="D88" i="14"/>
  <c r="F109" i="12" l="1"/>
  <c r="F110" i="12" s="1"/>
  <c r="E88" i="14"/>
  <c r="D106" i="14"/>
  <c r="F61" i="6"/>
  <c r="F62" i="6" s="1"/>
  <c r="F86" i="6" s="1"/>
  <c r="L108" i="14"/>
  <c r="M108" i="14" s="1"/>
  <c r="M106" i="14"/>
  <c r="I106" i="14"/>
  <c r="E106" i="14" l="1"/>
  <c r="G60" i="6"/>
  <c r="G76" i="6"/>
  <c r="G84" i="6" s="1"/>
  <c r="G85" i="6" s="1"/>
  <c r="G109" i="12" l="1"/>
  <c r="G110" i="12" s="1"/>
  <c r="G61" i="6"/>
  <c r="G62" i="6" s="1"/>
  <c r="G86" i="6" s="1"/>
  <c r="H60" i="6" l="1"/>
  <c r="H76" i="6"/>
  <c r="H84" i="6" s="1"/>
  <c r="H85" i="6" s="1"/>
  <c r="H109" i="12" l="1"/>
  <c r="H110" i="12" s="1"/>
  <c r="H61" i="6"/>
  <c r="H62" i="6" s="1"/>
  <c r="H86" i="6" s="1"/>
  <c r="I60" i="6" l="1"/>
  <c r="I76" i="6"/>
  <c r="I84" i="6" s="1"/>
  <c r="I85" i="6" s="1"/>
  <c r="I109" i="12" l="1"/>
  <c r="I110" i="12" s="1"/>
  <c r="I61" i="6"/>
  <c r="I62" i="6" s="1"/>
  <c r="I86" i="6" s="1"/>
  <c r="J60" i="6" l="1"/>
  <c r="J76" i="6"/>
  <c r="J84" i="6" s="1"/>
  <c r="J85" i="6" s="1"/>
  <c r="J109" i="12" l="1"/>
  <c r="J110" i="12" s="1"/>
  <c r="J61" i="6"/>
  <c r="J62" i="6" s="1"/>
  <c r="J86" i="6" s="1"/>
  <c r="K60" i="6" l="1"/>
  <c r="K76" i="6"/>
  <c r="K84" i="6" s="1"/>
  <c r="K85" i="6" s="1"/>
  <c r="K109" i="12" l="1"/>
  <c r="K110" i="12" s="1"/>
  <c r="K61" i="6"/>
  <c r="K62" i="6" s="1"/>
  <c r="K86" i="6" s="1"/>
  <c r="L60" i="6" l="1"/>
  <c r="L76" i="6"/>
  <c r="L84" i="6" s="1"/>
  <c r="L85" i="6" s="1"/>
  <c r="L109" i="12" l="1"/>
  <c r="L110" i="12" s="1"/>
  <c r="L61" i="6"/>
  <c r="L62" i="6" s="1"/>
  <c r="L86" i="6" s="1"/>
  <c r="M76" i="6" l="1"/>
  <c r="M84" i="6" s="1"/>
  <c r="M85" i="6" s="1"/>
  <c r="M60" i="6"/>
  <c r="M109" i="12" l="1"/>
  <c r="M110" i="12" s="1"/>
  <c r="M61" i="6"/>
  <c r="M62" i="6" s="1"/>
  <c r="M86" i="6" s="1"/>
  <c r="N60" i="6" l="1"/>
  <c r="N76" i="6"/>
  <c r="N84" i="6" s="1"/>
  <c r="N85" i="6" s="1"/>
  <c r="N109" i="12" l="1"/>
  <c r="N110" i="12" s="1"/>
  <c r="N61" i="6"/>
  <c r="N62" i="6" s="1"/>
  <c r="N86" i="6" s="1"/>
  <c r="O60" i="6" l="1"/>
  <c r="O76" i="6"/>
  <c r="O84" i="6" s="1"/>
  <c r="O85" i="6" s="1"/>
  <c r="O109" i="12" l="1"/>
  <c r="O110" i="12" s="1"/>
  <c r="O61" i="6"/>
  <c r="O62" i="6" s="1"/>
  <c r="O86" i="6" s="1"/>
  <c r="P76" i="6" l="1"/>
  <c r="P60" i="6"/>
  <c r="P109" i="12" l="1"/>
  <c r="P61" i="6"/>
  <c r="P62" i="6" s="1"/>
  <c r="BD60" i="6"/>
  <c r="BD61" i="6" s="1"/>
  <c r="BD62" i="6" s="1"/>
  <c r="P84" i="6"/>
  <c r="P85" i="6" s="1"/>
  <c r="BD76" i="6"/>
  <c r="BD84" i="6" s="1"/>
  <c r="BD85" i="6" s="1"/>
  <c r="P86" i="6" l="1"/>
  <c r="P110" i="12"/>
  <c r="BD86" i="6"/>
  <c r="Q60" i="6" l="1"/>
  <c r="Q76" i="6"/>
  <c r="Q84" i="6" s="1"/>
  <c r="Q85" i="6" s="1"/>
  <c r="Q109" i="12" l="1"/>
  <c r="Q110" i="12" s="1"/>
  <c r="Q61" i="6"/>
  <c r="Q62" i="6" s="1"/>
  <c r="Q86" i="6" s="1"/>
  <c r="R60" i="6" l="1"/>
  <c r="R76" i="6"/>
  <c r="R84" i="6" s="1"/>
  <c r="R85" i="6" s="1"/>
  <c r="R109" i="12" l="1"/>
  <c r="R110" i="12" s="1"/>
  <c r="R61" i="6"/>
  <c r="R62" i="6" s="1"/>
  <c r="R86" i="6" s="1"/>
  <c r="S76" i="6" l="1"/>
  <c r="S84" i="6" s="1"/>
  <c r="S85" i="6" s="1"/>
  <c r="S60" i="6"/>
  <c r="S109" i="12" l="1"/>
  <c r="S110" i="12" s="1"/>
  <c r="S61" i="6"/>
  <c r="S62" i="6" s="1"/>
  <c r="S86" i="6" s="1"/>
  <c r="T60" i="6" l="1"/>
  <c r="T76" i="6"/>
  <c r="T84" i="6" s="1"/>
  <c r="T85" i="6" s="1"/>
  <c r="T109" i="12" l="1"/>
  <c r="T110" i="12" s="1"/>
  <c r="T61" i="6"/>
  <c r="T62" i="6" s="1"/>
  <c r="T86" i="6" s="1"/>
  <c r="U60" i="6" l="1"/>
  <c r="U76" i="6"/>
  <c r="U84" i="6" s="1"/>
  <c r="U85" i="6" s="1"/>
  <c r="U109" i="12" l="1"/>
  <c r="U110" i="12" s="1"/>
  <c r="U61" i="6"/>
  <c r="U62" i="6" s="1"/>
  <c r="U86" i="6" s="1"/>
  <c r="V60" i="6" l="1"/>
  <c r="V76" i="6"/>
  <c r="V84" i="6" s="1"/>
  <c r="V85" i="6" s="1"/>
  <c r="V109" i="12" l="1"/>
  <c r="V110" i="12" s="1"/>
  <c r="V61" i="6"/>
  <c r="V62" i="6" s="1"/>
  <c r="V86" i="6" s="1"/>
  <c r="W60" i="6" l="1"/>
  <c r="W76" i="6"/>
  <c r="W84" i="6" s="1"/>
  <c r="W85" i="6" s="1"/>
  <c r="W109" i="12" l="1"/>
  <c r="W110" i="12" s="1"/>
  <c r="W61" i="6"/>
  <c r="W62" i="6" s="1"/>
  <c r="W86" i="6" s="1"/>
  <c r="X60" i="6" l="1"/>
  <c r="X76" i="6"/>
  <c r="X84" i="6" s="1"/>
  <c r="X85" i="6" s="1"/>
  <c r="X109" i="12" l="1"/>
  <c r="X110" i="12" s="1"/>
  <c r="X61" i="6"/>
  <c r="X62" i="6" s="1"/>
  <c r="X86" i="6" s="1"/>
  <c r="Y60" i="6" l="1"/>
  <c r="Y76" i="6"/>
  <c r="Y84" i="6" s="1"/>
  <c r="Y85" i="6" s="1"/>
  <c r="Y109" i="12" l="1"/>
  <c r="Y110" i="12" s="1"/>
  <c r="Y61" i="6"/>
  <c r="Y62" i="6" s="1"/>
  <c r="Y86" i="6" s="1"/>
  <c r="Z76" i="6" l="1"/>
  <c r="Z84" i="6" s="1"/>
  <c r="Z85" i="6" s="1"/>
  <c r="Z60" i="6"/>
  <c r="Z109" i="12" l="1"/>
  <c r="Z110" i="12" s="1"/>
  <c r="Z61" i="6"/>
  <c r="Z62" i="6" s="1"/>
  <c r="Z86" i="6" s="1"/>
  <c r="AA60" i="6" l="1"/>
  <c r="AA76" i="6"/>
  <c r="AA84" i="6" s="1"/>
  <c r="AA85" i="6" s="1"/>
  <c r="AA109" i="12" l="1"/>
  <c r="AA110" i="12" s="1"/>
  <c r="AA61" i="6"/>
  <c r="AA62" i="6" s="1"/>
  <c r="AA86" i="6" s="1"/>
  <c r="AB60" i="6" l="1"/>
  <c r="AB76" i="6"/>
  <c r="AB84" i="6" s="1"/>
  <c r="AB85" i="6" s="1"/>
  <c r="AB109" i="12" l="1"/>
  <c r="AB61" i="6"/>
  <c r="AB62" i="6" s="1"/>
  <c r="AB86" i="6" s="1"/>
  <c r="AB110" i="12" l="1"/>
  <c r="AC60" i="6" l="1"/>
  <c r="AC76" i="6"/>
  <c r="AC109" i="12" l="1"/>
  <c r="AC110" i="12" s="1"/>
  <c r="AC84" i="6"/>
  <c r="AC85" i="6" s="1"/>
  <c r="BE76" i="6"/>
  <c r="BE84" i="6" s="1"/>
  <c r="BE85" i="6" s="1"/>
  <c r="BE60" i="6"/>
  <c r="BE61" i="6" s="1"/>
  <c r="BE62" i="6" s="1"/>
  <c r="AC61" i="6"/>
  <c r="AC62" i="6" s="1"/>
  <c r="AC86" i="6" l="1"/>
  <c r="BE86" i="6"/>
  <c r="AD60" i="6"/>
  <c r="AD76" i="6"/>
  <c r="AD84" i="6" s="1"/>
  <c r="AD85" i="6" s="1"/>
  <c r="AD109" i="12" l="1"/>
  <c r="AD110" i="12" s="1"/>
  <c r="AD61" i="6"/>
  <c r="AD62" i="6" s="1"/>
  <c r="AD86" i="6" s="1"/>
  <c r="AE60" i="6" l="1"/>
  <c r="AE76" i="6"/>
  <c r="AE84" i="6" s="1"/>
  <c r="AE85" i="6" s="1"/>
  <c r="AE109" i="12" l="1"/>
  <c r="AE110" i="12" s="1"/>
  <c r="AE61" i="6"/>
  <c r="AE62" i="6" s="1"/>
  <c r="AE86" i="6" s="1"/>
  <c r="AF60" i="6" l="1"/>
  <c r="AF76" i="6"/>
  <c r="AF84" i="6" s="1"/>
  <c r="AF85" i="6" s="1"/>
  <c r="AF109" i="12" l="1"/>
  <c r="AF110" i="12" s="1"/>
  <c r="AF61" i="6"/>
  <c r="AF62" i="6" s="1"/>
  <c r="AF86" i="6" s="1"/>
  <c r="AG60" i="6" l="1"/>
  <c r="AG76" i="6"/>
  <c r="AG84" i="6" s="1"/>
  <c r="AG85" i="6" s="1"/>
  <c r="AG109" i="12" l="1"/>
  <c r="AG110" i="12" s="1"/>
  <c r="AG61" i="6"/>
  <c r="AG62" i="6" s="1"/>
  <c r="AG86" i="6" s="1"/>
  <c r="AH60" i="6" l="1"/>
  <c r="AH76" i="6"/>
  <c r="AH84" i="6" s="1"/>
  <c r="AH85" i="6" s="1"/>
  <c r="AH109" i="12" l="1"/>
  <c r="AH110" i="12" s="1"/>
  <c r="AH61" i="6"/>
  <c r="AH62" i="6" s="1"/>
  <c r="AH86" i="6" s="1"/>
  <c r="AI60" i="6" l="1"/>
  <c r="AI76" i="6"/>
  <c r="AI84" i="6" s="1"/>
  <c r="AI85" i="6" s="1"/>
  <c r="AI109" i="12" l="1"/>
  <c r="AI110" i="12" s="1"/>
  <c r="AI61" i="6"/>
  <c r="AI62" i="6" s="1"/>
  <c r="AI86" i="6" s="1"/>
  <c r="AJ60" i="6" l="1"/>
  <c r="AJ76" i="6"/>
  <c r="AJ84" i="6" s="1"/>
  <c r="AJ85" i="6" s="1"/>
  <c r="AJ109" i="12" l="1"/>
  <c r="AJ110" i="12" s="1"/>
  <c r="AJ61" i="6"/>
  <c r="AJ62" i="6" s="1"/>
  <c r="AJ86" i="6" s="1"/>
  <c r="AK60" i="6" l="1"/>
  <c r="AK76" i="6"/>
  <c r="AK84" i="6" s="1"/>
  <c r="AK85" i="6" s="1"/>
  <c r="AK109" i="12" l="1"/>
  <c r="AK110" i="12" s="1"/>
  <c r="AK61" i="6"/>
  <c r="AK62" i="6" s="1"/>
  <c r="AK86" i="6" s="1"/>
  <c r="AL60" i="6" l="1"/>
  <c r="AL76" i="6"/>
  <c r="AL84" i="6" s="1"/>
  <c r="AL85" i="6" s="1"/>
  <c r="AL109" i="12" l="1"/>
  <c r="AL110" i="12" s="1"/>
  <c r="AL61" i="6"/>
  <c r="AL62" i="6" s="1"/>
  <c r="AL86" i="6" s="1"/>
  <c r="AM60" i="6" l="1"/>
  <c r="AM76" i="6"/>
  <c r="AM84" i="6" s="1"/>
  <c r="AM85" i="6" s="1"/>
  <c r="AM109" i="12" l="1"/>
  <c r="AM110" i="12" s="1"/>
  <c r="AM61" i="6"/>
  <c r="AM62" i="6" s="1"/>
  <c r="AM86" i="6" s="1"/>
  <c r="AN60" i="6" l="1"/>
  <c r="AN76" i="6"/>
  <c r="AN84" i="6" s="1"/>
  <c r="AN85" i="6" s="1"/>
  <c r="AN109" i="12" l="1"/>
  <c r="AN110" i="12" s="1"/>
  <c r="AN61" i="6"/>
  <c r="AN62" i="6" s="1"/>
  <c r="AN86" i="6" s="1"/>
  <c r="AO60" i="6" l="1"/>
  <c r="AO76" i="6"/>
  <c r="AO84" i="6" s="1"/>
  <c r="AO85" i="6" s="1"/>
  <c r="AO109" i="12" l="1"/>
  <c r="AO110" i="12" s="1"/>
  <c r="AO61" i="6"/>
  <c r="AO62" i="6" s="1"/>
  <c r="AO86" i="6" s="1"/>
  <c r="AP60" i="6" l="1"/>
  <c r="AP76" i="6"/>
  <c r="AP109" i="12" l="1"/>
  <c r="G107" i="14" s="1"/>
  <c r="BF76" i="6"/>
  <c r="BF84" i="6" s="1"/>
  <c r="BF85" i="6" s="1"/>
  <c r="AP84" i="6"/>
  <c r="AP85" i="6" s="1"/>
  <c r="AP61" i="6"/>
  <c r="AP62" i="6" s="1"/>
  <c r="BF60" i="6"/>
  <c r="BF61" i="6" s="1"/>
  <c r="BF62" i="6" s="1"/>
  <c r="AP110" i="12" l="1"/>
  <c r="AQ60" i="6" s="1"/>
  <c r="AP86" i="6"/>
  <c r="BF86" i="6"/>
  <c r="AQ76" i="6" l="1"/>
  <c r="AQ84" i="6" s="1"/>
  <c r="AQ85" i="6" s="1"/>
  <c r="H107" i="14"/>
  <c r="G108" i="14"/>
  <c r="AQ61" i="6"/>
  <c r="AQ62" i="6" s="1"/>
  <c r="AQ109" i="12" l="1"/>
  <c r="AQ110" i="12" s="1"/>
  <c r="AR76" i="6" s="1"/>
  <c r="AR84" i="6" s="1"/>
  <c r="AR85" i="6" s="1"/>
  <c r="AQ86" i="6"/>
  <c r="I107" i="14"/>
  <c r="H108" i="14"/>
  <c r="I108" i="14" s="1"/>
  <c r="AR60" i="6" l="1"/>
  <c r="AR109" i="12" s="1"/>
  <c r="AR110" i="12" s="1"/>
  <c r="AR61" i="6" l="1"/>
  <c r="AR62" i="6" s="1"/>
  <c r="AR86" i="6" s="1"/>
  <c r="AS60" i="6"/>
  <c r="AS76" i="6"/>
  <c r="AS84" i="6" s="1"/>
  <c r="AS85" i="6" s="1"/>
  <c r="AS109" i="12" l="1"/>
  <c r="AS110" i="12" s="1"/>
  <c r="AS61" i="6"/>
  <c r="AS62" i="6" s="1"/>
  <c r="AS86" i="6" s="1"/>
  <c r="AT60" i="6" l="1"/>
  <c r="AT76" i="6"/>
  <c r="AT84" i="6" s="1"/>
  <c r="AT85" i="6" s="1"/>
  <c r="AT109" i="12" l="1"/>
  <c r="AT61" i="6"/>
  <c r="AT62" i="6" s="1"/>
  <c r="AT86" i="6" s="1"/>
  <c r="AT110" i="12" l="1"/>
  <c r="AU76" i="6" s="1"/>
  <c r="AU60" i="6" l="1"/>
  <c r="AU109" i="12" s="1"/>
  <c r="AU110" i="12" s="1"/>
  <c r="AU84" i="6"/>
  <c r="AU85" i="6" s="1"/>
  <c r="AU61" i="6" l="1"/>
  <c r="AU62" i="6" s="1"/>
  <c r="AU86" i="6" s="1"/>
  <c r="AV60" i="6"/>
  <c r="AV76" i="6"/>
  <c r="AV84" i="6" s="1"/>
  <c r="AV85" i="6" s="1"/>
  <c r="AV109" i="12" l="1"/>
  <c r="AV110" i="12" s="1"/>
  <c r="AV61" i="6"/>
  <c r="AV62" i="6" s="1"/>
  <c r="AV86" i="6" s="1"/>
  <c r="AW60" i="6" l="1"/>
  <c r="AW76" i="6"/>
  <c r="AW84" i="6" s="1"/>
  <c r="AW85" i="6" s="1"/>
  <c r="AW109" i="12" l="1"/>
  <c r="AW110" i="12" s="1"/>
  <c r="AW61" i="6"/>
  <c r="AW62" i="6" s="1"/>
  <c r="AW86" i="6" s="1"/>
  <c r="AX60" i="6" l="1"/>
  <c r="AX76" i="6"/>
  <c r="AX84" i="6" s="1"/>
  <c r="AX85" i="6" s="1"/>
  <c r="AX109" i="12" l="1"/>
  <c r="AX110" i="12" s="1"/>
  <c r="AX61" i="6"/>
  <c r="AX62" i="6" s="1"/>
  <c r="AX86" i="6" s="1"/>
  <c r="AY60" i="6" l="1"/>
  <c r="AY76" i="6"/>
  <c r="AY84" i="6" s="1"/>
  <c r="AY85" i="6" s="1"/>
  <c r="AY109" i="12" l="1"/>
  <c r="AY110" i="12" s="1"/>
  <c r="AY61" i="6"/>
  <c r="AY62" i="6" s="1"/>
  <c r="AY86" i="6" s="1"/>
  <c r="AZ60" i="6" l="1"/>
  <c r="AZ76" i="6"/>
  <c r="AZ84" i="6" s="1"/>
  <c r="AZ85" i="6" s="1"/>
  <c r="AZ109" i="12" l="1"/>
  <c r="AZ110" i="12" s="1"/>
  <c r="AZ61" i="6"/>
  <c r="AZ62" i="6" s="1"/>
  <c r="AZ86" i="6" s="1"/>
  <c r="BA76" i="6" l="1"/>
  <c r="BA84" i="6" s="1"/>
  <c r="BA85" i="6" s="1"/>
  <c r="BA60" i="6"/>
  <c r="BA109" i="12" l="1"/>
  <c r="BA110" i="12" s="1"/>
  <c r="BA61" i="6"/>
  <c r="BA62" i="6" s="1"/>
  <c r="BA86" i="6" s="1"/>
  <c r="BB60" i="6" l="1"/>
  <c r="BB76" i="6"/>
  <c r="BB84" i="6" s="1"/>
  <c r="BB85" i="6" s="1"/>
  <c r="BB109" i="12" l="1"/>
  <c r="BB61" i="6"/>
  <c r="BB62" i="6" s="1"/>
  <c r="BB86" i="6" s="1"/>
  <c r="BB110" i="12" l="1"/>
  <c r="BC60" i="6" s="1"/>
  <c r="C123" i="14" s="1"/>
  <c r="C107" i="14"/>
  <c r="BC76" i="6" l="1"/>
  <c r="C139" i="14" s="1"/>
  <c r="G139" i="14" s="1"/>
  <c r="C124" i="14"/>
  <c r="C125" i="14" s="1"/>
  <c r="G123" i="14"/>
  <c r="K123" i="14"/>
  <c r="C108" i="14"/>
  <c r="BG60" i="6"/>
  <c r="BC61" i="6"/>
  <c r="BC62" i="6" s="1"/>
  <c r="BG76" i="6" l="1"/>
  <c r="BG84" i="6" s="1"/>
  <c r="BG85" i="6" s="1"/>
  <c r="BC84" i="6"/>
  <c r="BC85" i="6" s="1"/>
  <c r="BC86" i="6" s="1"/>
  <c r="C147" i="14"/>
  <c r="C148" i="14" s="1"/>
  <c r="C151" i="14" s="1"/>
  <c r="K139" i="14"/>
  <c r="K147" i="14" s="1"/>
  <c r="K148" i="14" s="1"/>
  <c r="K124" i="14"/>
  <c r="K125" i="14" s="1"/>
  <c r="G147" i="14"/>
  <c r="G148" i="14" s="1"/>
  <c r="G124" i="14"/>
  <c r="G125" i="14" s="1"/>
  <c r="BG61" i="6"/>
  <c r="BG62" i="6" s="1"/>
  <c r="BH60" i="6"/>
  <c r="BH61" i="6" s="1"/>
  <c r="BH62" i="6" s="1"/>
  <c r="BH76" i="6" l="1"/>
  <c r="BH84" i="6" s="1"/>
  <c r="BH85" i="6" s="1"/>
  <c r="BH86" i="6" s="1"/>
  <c r="C150" i="14"/>
  <c r="K150" i="14"/>
  <c r="G150" i="14"/>
  <c r="G151" i="14"/>
  <c r="K151" i="14"/>
  <c r="BG86" i="6"/>
  <c r="BA109" i="1"/>
  <c r="BA110" i="1" s="1"/>
  <c r="BB16" i="6" l="1"/>
  <c r="BB32" i="6"/>
  <c r="BB40" i="6" s="1"/>
  <c r="BB41" i="6" s="1"/>
  <c r="BB109" i="1" l="1"/>
  <c r="BB17" i="6"/>
  <c r="BB18" i="6" s="1"/>
  <c r="BB42" i="6" s="1"/>
  <c r="BB110" i="1" l="1"/>
  <c r="B107" i="14"/>
  <c r="D107" i="14" l="1"/>
  <c r="D108" i="14" s="1"/>
  <c r="B108" i="14"/>
  <c r="BC16" i="6"/>
  <c r="BC32" i="6"/>
  <c r="E107" i="14" l="1"/>
  <c r="E108" i="14"/>
  <c r="BC17" i="6"/>
  <c r="BC18" i="6" s="1"/>
  <c r="BG16" i="6"/>
  <c r="B123" i="14"/>
  <c r="BG32" i="6"/>
  <c r="BC40" i="6"/>
  <c r="BC41" i="6" s="1"/>
  <c r="B139" i="14"/>
  <c r="BH32" i="6" l="1"/>
  <c r="BH40" i="6" s="1"/>
  <c r="BH41" i="6" s="1"/>
  <c r="BG40" i="6"/>
  <c r="BG41" i="6" s="1"/>
  <c r="D123" i="14"/>
  <c r="D124" i="14" s="1"/>
  <c r="D125" i="14" s="1"/>
  <c r="F123" i="14"/>
  <c r="B124" i="14"/>
  <c r="J123" i="14"/>
  <c r="BH16" i="6"/>
  <c r="BH17" i="6" s="1"/>
  <c r="BH18" i="6" s="1"/>
  <c r="BG17" i="6"/>
  <c r="BG18" i="6" s="1"/>
  <c r="F139" i="14"/>
  <c r="D139" i="14"/>
  <c r="D147" i="14" s="1"/>
  <c r="D148" i="14" s="1"/>
  <c r="J139" i="14"/>
  <c r="B147" i="14"/>
  <c r="BC42" i="6"/>
  <c r="BG42" i="6" l="1"/>
  <c r="E123" i="14"/>
  <c r="BH42" i="6"/>
  <c r="E139" i="14"/>
  <c r="L123" i="14"/>
  <c r="L124" i="14" s="1"/>
  <c r="L125" i="14" s="1"/>
  <c r="J124" i="14"/>
  <c r="D151" i="14"/>
  <c r="D150" i="14"/>
  <c r="J147" i="14"/>
  <c r="L139" i="14"/>
  <c r="L147" i="14" s="1"/>
  <c r="L148" i="14" s="1"/>
  <c r="B148" i="14"/>
  <c r="E148" i="14" s="1"/>
  <c r="E147" i="14"/>
  <c r="F147" i="14"/>
  <c r="H139" i="14"/>
  <c r="H147" i="14" s="1"/>
  <c r="H148" i="14" s="1"/>
  <c r="B125" i="14"/>
  <c r="E124" i="14"/>
  <c r="H123" i="14"/>
  <c r="H124" i="14" s="1"/>
  <c r="H125" i="14" s="1"/>
  <c r="F124" i="14"/>
  <c r="M123" i="14" l="1"/>
  <c r="I139" i="14"/>
  <c r="H151" i="14"/>
  <c r="H150" i="14"/>
  <c r="F148" i="14"/>
  <c r="I148" i="14" s="1"/>
  <c r="I147" i="14"/>
  <c r="M147" i="14"/>
  <c r="J148" i="14"/>
  <c r="M148" i="14" s="1"/>
  <c r="J125" i="14"/>
  <c r="M124" i="14"/>
  <c r="I124" i="14"/>
  <c r="F125" i="14"/>
  <c r="I123" i="14"/>
  <c r="E125" i="14"/>
  <c r="B151" i="14"/>
  <c r="B150" i="14"/>
  <c r="M139" i="14"/>
  <c r="L151" i="14"/>
  <c r="L150" i="14"/>
  <c r="J150" i="14" l="1"/>
  <c r="M125" i="14"/>
  <c r="J151" i="14"/>
  <c r="I125" i="14"/>
  <c r="F150" i="14"/>
  <c r="F151" i="14"/>
</calcChain>
</file>

<file path=xl/sharedStrings.xml><?xml version="1.0" encoding="utf-8"?>
<sst xmlns="http://schemas.openxmlformats.org/spreadsheetml/2006/main" count="1138" uniqueCount="496">
  <si>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</si>
  <si>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</si>
  <si>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</si>
  <si>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</si>
  <si>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</si>
  <si>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</si>
  <si>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</si>
  <si>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</si>
  <si>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</si>
  <si>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</si>
  <si>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</si>
  <si>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</si>
  <si>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</si>
  <si>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</si>
  <si>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</si>
  <si>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</si>
  <si>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</si>
  <si>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</si>
  <si>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</si>
  <si>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</si>
  <si>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</si>
  <si>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</si>
  <si>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</si>
  <si>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</si>
  <si>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</si>
  <si>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</si>
  <si>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</si>
  <si>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</si>
  <si>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</si>
  <si>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</si>
  <si>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</si>
  <si>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</si>
  <si>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</si>
  <si>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</si>
  <si>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</si>
  <si>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</si>
  <si>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</si>
  <si>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</si>
  <si>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</si>
  <si>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</si>
  <si>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</si>
  <si>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</si>
  <si>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</si>
  <si>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</si>
  <si>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</si>
  <si>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</si>
  <si>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Instructions</t>
  </si>
  <si>
    <t>Loan Terms</t>
  </si>
  <si>
    <t>Property, Plant &amp; Equipment</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</si>
  <si>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</si>
  <si>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</si>
  <si>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</si>
  <si>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</si>
  <si>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Business Name</t>
  </si>
  <si>
    <t>Profit / (Loss) before Interest &amp; Tax</t>
  </si>
  <si>
    <t>Profit / (Loss) for the year</t>
  </si>
  <si>
    <t>Profit / (Loss) %</t>
  </si>
  <si>
    <t>Depreciation</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</si>
  <si>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</si>
  <si>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</si>
  <si>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</si>
  <si>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</si>
  <si>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</si>
  <si>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</si>
  <si>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</si>
  <si>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</si>
  <si>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</si>
  <si>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</si>
  <si>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</si>
  <si>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</si>
  <si>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</si>
  <si>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</si>
  <si>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</si>
  <si>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</si>
  <si>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</si>
  <si>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</si>
  <si>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Total Q1</t>
  </si>
  <si>
    <t>Total Q2</t>
  </si>
  <si>
    <t>Total Q3</t>
  </si>
  <si>
    <t>Total Q4</t>
  </si>
  <si>
    <t>Profit / (Loss) for the period</t>
  </si>
  <si>
    <t>Repayment Date</t>
  </si>
  <si>
    <t>Week End Date</t>
  </si>
  <si>
    <t>Repayment Day</t>
  </si>
  <si>
    <t>Repayment Number</t>
  </si>
  <si>
    <t>Quarters</t>
  </si>
  <si>
    <t>Quarter 1 : Number of Weeks</t>
  </si>
  <si>
    <t>Quarter 2 : Number of Weeks</t>
  </si>
  <si>
    <t>Quarter 3 : Number of Weeks</t>
  </si>
  <si>
    <t>Quarter 4 : Number of Weeks</t>
  </si>
  <si>
    <t>Q1</t>
  </si>
  <si>
    <t>Q2</t>
  </si>
  <si>
    <t>Q3</t>
  </si>
  <si>
    <t>Q4</t>
  </si>
  <si>
    <t>Q0</t>
  </si>
  <si>
    <t>Number of days in period</t>
  </si>
  <si>
    <t>Note: Our unique range of templates also includes a Business Plan Forecast template, Annual Cash Flow Projection template, Monthly Cash Flow Projection template and a monthly Forecast vs Actual Cash Flow template. Visit the Templates pages of our website for sample &amp; trial versions of all of these cash flow templates.</t>
  </si>
  <si>
    <t>Cash Flow Forecast - Assumptions</t>
  </si>
  <si>
    <t>Forecast - Income Statement</t>
  </si>
  <si>
    <t>Forecast - Cash Flow Statement</t>
  </si>
  <si>
    <t>Actual Results - Income Statement</t>
  </si>
  <si>
    <t>Actual Results - Cash Flow Statement</t>
  </si>
  <si>
    <t>Forecast - Balance Sheet</t>
  </si>
  <si>
    <t>Actual Results - Balance Sheet</t>
  </si>
  <si>
    <t>Excel Skills | Weekly Cash Flow Template | Forecast vs Actual</t>
  </si>
  <si>
    <t>Management Report - Forecast vs Actual</t>
  </si>
  <si>
    <t>Year-to-Date</t>
  </si>
  <si>
    <t>Income Statement</t>
  </si>
  <si>
    <t>Forecast</t>
  </si>
  <si>
    <t>Actual</t>
  </si>
  <si>
    <t>Difference</t>
  </si>
  <si>
    <t>Diff %</t>
  </si>
  <si>
    <t>Cash Flow Statement</t>
  </si>
  <si>
    <t>Balance Sheet</t>
  </si>
  <si>
    <t>Total Assets</t>
  </si>
  <si>
    <t>Total Equity &amp; Liabilities</t>
  </si>
  <si>
    <t>Report for week ending:</t>
  </si>
  <si>
    <t>YTD - Weeks:</t>
  </si>
  <si>
    <t>Management Report</t>
  </si>
  <si>
    <t>Note: The only user input that is required aside from selecting the appropriate reporting period is the customization of the expense accounts in the Expenses section of the report. The expense accounts that are included on the Forecast, Actual and Report sheets should be exactly the same, otherwise the calculations on the management report may not be accurate.</t>
  </si>
  <si>
    <t>Financial Assumptions - Income Statement</t>
  </si>
  <si>
    <t>Operating Expenses</t>
  </si>
  <si>
    <t>Staff Costs</t>
  </si>
  <si>
    <t>Depreciation &amp; Amortization</t>
  </si>
  <si>
    <t>Financial Assumptions - Balance Sheet</t>
  </si>
  <si>
    <t xml:space="preserve">The following balance sheet balances are projected by entering the appropriate weekly movements on the cash flow statement. Red codes </t>
  </si>
  <si>
    <t>in column A indicate that you need to enter a negative value to increase the appropriate balance sheet balance.</t>
  </si>
  <si>
    <t>RES</t>
  </si>
  <si>
    <t>Reserves</t>
  </si>
  <si>
    <t>ADV</t>
  </si>
  <si>
    <t>Loans &amp; Advances</t>
  </si>
  <si>
    <t>ODB</t>
  </si>
  <si>
    <t>Other Receivables</t>
  </si>
  <si>
    <t>ACC</t>
  </si>
  <si>
    <t>Other Accruals</t>
  </si>
  <si>
    <t>OPV</t>
  </si>
  <si>
    <t>Other Provisions</t>
  </si>
  <si>
    <t>PPE</t>
  </si>
  <si>
    <t>INA</t>
  </si>
  <si>
    <t>Purchases of intangible assets</t>
  </si>
  <si>
    <t>INV</t>
  </si>
  <si>
    <t>Purchases of investments</t>
  </si>
  <si>
    <t>CAP</t>
  </si>
  <si>
    <t>LT1</t>
  </si>
  <si>
    <t>Loans 1 (only the proceeds from loans)</t>
  </si>
  <si>
    <t>LT2</t>
  </si>
  <si>
    <t>Loans 2 (only the proceeds from loans)</t>
  </si>
  <si>
    <t>LT3</t>
  </si>
  <si>
    <t>Loans 3 (only the proceeds from loans)</t>
  </si>
  <si>
    <t>FIN</t>
  </si>
  <si>
    <t>Finance Leases (only the proceeds)</t>
  </si>
  <si>
    <t>The following balance sheet balances are calculated based on the assumptions that are entered on this sheet:</t>
  </si>
  <si>
    <t>Payroll Accrual:</t>
  </si>
  <si>
    <t>Accrual %</t>
  </si>
  <si>
    <t>Payment Frequency (Months)</t>
  </si>
  <si>
    <t>First Payment Month</t>
  </si>
  <si>
    <t>Current Or Subsequent</t>
  </si>
  <si>
    <t>Subsequent</t>
  </si>
  <si>
    <t>Payment Day</t>
  </si>
  <si>
    <t>Sales Tax</t>
  </si>
  <si>
    <t>Rates</t>
  </si>
  <si>
    <t>Standard</t>
  </si>
  <si>
    <t>Secondary</t>
  </si>
  <si>
    <t>Zero Rated</t>
  </si>
  <si>
    <t>Exempt</t>
  </si>
  <si>
    <t>Income Tax</t>
  </si>
  <si>
    <t>Assessed Loss Carried Over</t>
  </si>
  <si>
    <t>Current</t>
  </si>
  <si>
    <t>Projected loan repayments and interest are calculated based on the below terms (each on a separate sheet).</t>
  </si>
  <si>
    <t>Loans 1</t>
  </si>
  <si>
    <t>Loans 2</t>
  </si>
  <si>
    <t>Loans 3</t>
  </si>
  <si>
    <t>Leases</t>
  </si>
  <si>
    <t>The below section can be used to include balance sheet opening balances for existing businesses.</t>
  </si>
  <si>
    <t>Balance Sheet Opening Balances</t>
  </si>
  <si>
    <t>Intangible Assets</t>
  </si>
  <si>
    <t>Investments</t>
  </si>
  <si>
    <t>STC</t>
  </si>
  <si>
    <t>DEB</t>
  </si>
  <si>
    <t>Trade Receivables</t>
  </si>
  <si>
    <t>CSH</t>
  </si>
  <si>
    <t>Cash &amp; Cash Equivalents</t>
  </si>
  <si>
    <t>EAR</t>
  </si>
  <si>
    <t>Long Term Loans 1</t>
  </si>
  <si>
    <t>Long Term Loans 2</t>
  </si>
  <si>
    <t>Long Term Loans 3</t>
  </si>
  <si>
    <t>Finance Leases</t>
  </si>
  <si>
    <t>OVD</t>
  </si>
  <si>
    <t>Bank Overdraft</t>
  </si>
  <si>
    <t>CRE</t>
  </si>
  <si>
    <t>Trade Payables</t>
  </si>
  <si>
    <t>VAT</t>
  </si>
  <si>
    <t>PAY</t>
  </si>
  <si>
    <t>Payroll Accruals</t>
  </si>
  <si>
    <t>Accruals</t>
  </si>
  <si>
    <t>TAX</t>
  </si>
  <si>
    <t>Provision For Taxation</t>
  </si>
  <si>
    <t>V1C1</t>
  </si>
  <si>
    <t>Product Sales</t>
  </si>
  <si>
    <t>Income From Services</t>
  </si>
  <si>
    <t>Total Turnover</t>
  </si>
  <si>
    <t>Products</t>
  </si>
  <si>
    <t>V1C0</t>
  </si>
  <si>
    <t>Services</t>
  </si>
  <si>
    <t>Total Cost of Sales</t>
  </si>
  <si>
    <t>Total Gross Profit</t>
  </si>
  <si>
    <t>Total Operating Expenses</t>
  </si>
  <si>
    <t>Salaries</t>
  </si>
  <si>
    <t>Wages</t>
  </si>
  <si>
    <t>Total Staff Costs</t>
  </si>
  <si>
    <t>DEP</t>
  </si>
  <si>
    <t>AMT</t>
  </si>
  <si>
    <t>Amortization</t>
  </si>
  <si>
    <t>Total Depreciation &amp; Amortization</t>
  </si>
  <si>
    <t>Profit / (Loss) before interest &amp; tax</t>
  </si>
  <si>
    <t>Interest Paid</t>
  </si>
  <si>
    <t>INT</t>
  </si>
  <si>
    <t>Interest - Loans 1</t>
  </si>
  <si>
    <t>Interest - Loans 2</t>
  </si>
  <si>
    <t>Interest - Loans 3</t>
  </si>
  <si>
    <t>Interest - Leases</t>
  </si>
  <si>
    <t>Total Interest Paid</t>
  </si>
  <si>
    <t>Profit / (Loss) before tax</t>
  </si>
  <si>
    <t>Forecast - Repayment Schedule - Loans 1</t>
  </si>
  <si>
    <t>Forecast - Repayment Schedule - Finance Leases</t>
  </si>
  <si>
    <t>Forecast - Repayment Schedule - Loans 3</t>
  </si>
  <si>
    <t>Forecast - Repayment Schedule - Loans 2</t>
  </si>
  <si>
    <t>Proceeds from loans 1</t>
  </si>
  <si>
    <t>Proceeds from loans 2</t>
  </si>
  <si>
    <t>Proceeds from loans 3</t>
  </si>
  <si>
    <t>Proceeds from finance leases</t>
  </si>
  <si>
    <t>Repayment of loans 1</t>
  </si>
  <si>
    <t>Repayment of loans 2</t>
  </si>
  <si>
    <t>Repayment of loans 3</t>
  </si>
  <si>
    <t>Repayment of finance leases</t>
  </si>
  <si>
    <t>ASSETS</t>
  </si>
  <si>
    <t>Non-Current Assets</t>
  </si>
  <si>
    <t>EQUITY &amp; LIABILITIES</t>
  </si>
  <si>
    <t>Equity</t>
  </si>
  <si>
    <t>Non-Current Liabilities</t>
  </si>
  <si>
    <t>Payroll</t>
  </si>
  <si>
    <t>PayMonthEnd</t>
  </si>
  <si>
    <t>Index</t>
  </si>
  <si>
    <t>PayDate</t>
  </si>
  <si>
    <t>Date 0</t>
  </si>
  <si>
    <t>Date 1</t>
  </si>
  <si>
    <t>Date 2</t>
  </si>
  <si>
    <t>Date 3</t>
  </si>
  <si>
    <t>Date 4</t>
  </si>
  <si>
    <t>Date 5</t>
  </si>
  <si>
    <t>Date 6</t>
  </si>
  <si>
    <t>Date 7</t>
  </si>
  <si>
    <t>Date 8</t>
  </si>
  <si>
    <t>Date 9</t>
  </si>
  <si>
    <t>Date 10</t>
  </si>
  <si>
    <t>Date 11</t>
  </si>
  <si>
    <t>Date 12</t>
  </si>
  <si>
    <t>Date 13</t>
  </si>
  <si>
    <t>Date 14</t>
  </si>
  <si>
    <t>Date 15</t>
  </si>
  <si>
    <t>Workings: (Not Printed)</t>
  </si>
  <si>
    <t>Weekly COS</t>
  </si>
  <si>
    <t>Weekly Turnover (Inclusive)</t>
  </si>
  <si>
    <t>Weekly Payables (Inclusive)</t>
  </si>
  <si>
    <t>Sales Tax:</t>
  </si>
  <si>
    <t>Payment Week?</t>
  </si>
  <si>
    <t>Week Index</t>
  </si>
  <si>
    <t>Weekly Output Total</t>
  </si>
  <si>
    <t>Weekly Input Total</t>
  </si>
  <si>
    <t>Prev Payment Date</t>
  </si>
  <si>
    <t>Income Tax:</t>
  </si>
  <si>
    <t>Weekly Total</t>
  </si>
  <si>
    <t>balance status</t>
  </si>
  <si>
    <t>Other income</t>
  </si>
  <si>
    <t>Dividends</t>
  </si>
  <si>
    <t>Retained earnings for the year</t>
  </si>
  <si>
    <t>DIV</t>
  </si>
  <si>
    <t>Dividends paid</t>
  </si>
  <si>
    <t>Dividends Payable</t>
  </si>
  <si>
    <t>Other Income</t>
  </si>
  <si>
    <t>Dividends:</t>
  </si>
  <si>
    <t>Dividend %</t>
  </si>
  <si>
    <t>Expense Week?</t>
  </si>
  <si>
    <t>Weekly Dividend Value</t>
  </si>
  <si>
    <t>Dividend Expense</t>
  </si>
  <si>
    <t>Dividend Accrual</t>
  </si>
  <si>
    <t>Prev Expense Date</t>
  </si>
  <si>
    <t>Accrual Status</t>
  </si>
  <si>
    <t>ExpDate</t>
  </si>
  <si>
    <t>Cash or Next</t>
  </si>
  <si>
    <t>Next</t>
  </si>
  <si>
    <t>Example (Pty) Limited</t>
  </si>
  <si>
    <t>Additional Loans</t>
  </si>
  <si>
    <t>Interest Charges</t>
  </si>
  <si>
    <t>V1</t>
  </si>
  <si>
    <t>V2</t>
  </si>
  <si>
    <t>V3</t>
  </si>
  <si>
    <t>V4</t>
  </si>
  <si>
    <t>Weekly turnover projections need to be entered on the Forecast worksheet.</t>
  </si>
  <si>
    <t>Weekly gross profit percentages need to be entered on the Forecast worksheet.</t>
  </si>
  <si>
    <t>Weekly operating expense projections need to be entered on the Forecast worksheet.</t>
  </si>
  <si>
    <t>Monthly other income projections need to be entered on the Forecast worksheet.</t>
  </si>
  <si>
    <t>Weekly staff cost projections need to be entered on the Forecast worksheet.</t>
  </si>
  <si>
    <t>Weekly depreciation &amp; amortization need to be entered on the Forecast worksheet.</t>
  </si>
  <si>
    <t>Automatically calculated on the Forecast worksheet.</t>
  </si>
  <si>
    <t>Interest, Taxation &amp; Dividends</t>
  </si>
  <si>
    <t>V4C0</t>
  </si>
  <si>
    <t>This template enables users to compile a cash flow forecast for a 52 week period and to compare the cash flow forecast to actual results on a weekly, quarterly and year-to-date basis. The template includes a weekly income statement, cash flow statement and balance sheet. The cash flow projections are based on weekly turnover, gross profit and expense values that are entered by the user as well as a number of default assumptions which are used to create an automated balance sheet. The actual results are compiled from the actual account balances that are entered or copied into the template. Our unique management report enables users to compare the forecast and actual balances by simply selecting the appropriate week from a list box in a single input cell.</t>
  </si>
  <si>
    <t>The template includes the following sheets: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</si>
  <si>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</si>
  <si>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Note: If you add additional line items to the forecast or actual sections of this template, you also need to add these additional items to the other section and to the management report. The formulas on the management report can be copied from one of the existing line items after you have added the new rows but it is important that all new items are added in the same row positions on all sheets otherwise the formulas will not work properly.</t>
  </si>
  <si>
    <t>Setup</t>
  </si>
  <si>
    <t>Business Name &amp; Reporting Periods</t>
  </si>
  <si>
    <t>The business name and the start date for the cash flow projections need to be entered at the top of the Assumptions sheet. The business name is included as a heading on all the sheets and the 52 week reporting period which is included in the template is determined based on the start date that is specified. This date is used as the first week and 51 subsequent weeks are added to form the 52 week projection period.</t>
  </si>
  <si>
    <t>The number of weeks that need to be included in each of the quarterly totals on the income statement, cash flow statement and balance sheet can be specified on the Assumptions sheet. The number of weeks for quarter 4 is calculated based on the input in the other 3 cells (total number of weeks for quarters 1 to 3 deducted from 52).</t>
  </si>
  <si>
    <t>The income statement, cash flow statement and balance sheet also include the appropriate quarter numbers in the row above the column headings.</t>
  </si>
  <si>
    <t>User Input</t>
  </si>
  <si>
    <t>All weekly income statement projections need to be entered exclusive of any sales tax that may be applicable.</t>
  </si>
  <si>
    <t>The complexity of the calculations that are included in the template necessitate including the quarterly totals after all the weekly periods. You should not attempt to change the default layout of the template. If you want to print the forecast for a specific quarter together with the quarterly totals, you need to hide all the weekly totals that do not form part of the appropriate quarter and change the page setup to print the totals on the same page.</t>
  </si>
  <si>
    <t>The number of weeks that are included in each quarter can be specified on the Assumptions sheet. The quarter which is displayed above the week end dates in row 4 will automatically be updated.</t>
  </si>
  <si>
    <t>Turnover &amp; Gross Profits</t>
  </si>
  <si>
    <t>Weekly turnover values need to be entered on the IncState sheet for all 52 weeks (excluding the quarterly and annual totals in the columns with dark blue column headings). The projected weekly gross profit percentages also need to be entered on this sheet and are used in order to calculate the gross profit values. The weekly cost of sales projections are calculated by simply deducting the gross profit values from the weekly turnover values.</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</si>
  <si>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</si>
  <si>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</si>
  <si>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</si>
  <si>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All the weekly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quarterly and annual total columns from one of the existing line items.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</si>
  <si>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</si>
  <si>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All the weekly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quarterly and annual total columns from one of the existing line items.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</si>
  <si>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</si>
  <si>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Weekly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</si>
  <si>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</si>
  <si>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</si>
  <si>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Note: Loan repayments &amp; interest charges are calculated based on monthly periods because most business loans are repaid on a monthly basis. You therefore also need to specify a repayment day as part of the loan assumptions on the Assumptions sheet and the loan repayments are included in the weekly amortization tables based on the repayment day that is specified.</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</si>
  <si>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</si>
  <si>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</si>
  <si>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</si>
  <si>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</si>
  <si>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</si>
  <si>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</si>
  <si>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</si>
  <si>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</si>
  <si>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</si>
  <si>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</si>
  <si>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Note: Income tax payments are included in the appropriate weekly period based on the payment day that is specified on the Assumptions sheet.</t>
  </si>
  <si>
    <t>The template also includes automated dividends calculations. If you do not want to include any dividends in your cash flow projections, you can simply specify a dividend percentage of zero percent.</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</si>
  <si>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</si>
  <si>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</si>
  <si>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</si>
  <si>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Opening Balances</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</si>
  <si>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</si>
  <si>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</si>
  <si>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</si>
  <si>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Note: If you are preparing a cash flow projection for a new business, you can include zero balances for all the balance sheet items in the opening balances section.</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</si>
  <si>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</si>
  <si>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Purchases of property, plant &amp; equipment, intangible assets and investments all need to be entered as negative values on the cash flow statement.</t>
  </si>
  <si>
    <t>Current Assets - Inventory</t>
  </si>
  <si>
    <t>The inventory balances on the balance sheet are calculated based on the inventory days assumption which is specified on the Assumptions sheet. The number of days that are entered here is applied to the weekly cost of sales in order to calculate the appropriate inventory balance. This calculation is based on the number of days in a week and the difference between the days in the assumption and full week days.</t>
  </si>
  <si>
    <t>Example: If you enter an inventory days assumption of 30 days, the entire cost of sales value for four weeks will be included in the inventory balance. After including the four weeks, there is a difference of 2 days between the 30 days assumption and the total days in four weeks. The week 5 cost of sales balance will therefore be used, divided by 7 days and multiplied by the 2 remaining days.</t>
  </si>
  <si>
    <t>Note: The above calculation principle is applied regardless of the number of days which are entered as the inventory days assumption on the Assumptions sheet even if the value of the inventory days assumption requires the inclusion of multiple weeks. This method of calculation is the most accurate way of projecting inventory balances even for businesses where there is significant sales volatility.</t>
  </si>
  <si>
    <t>Note: If your business does not carry inventory, you can simply enter a nil value in the inventory days assumption on the Assumptions sheet. The inventory line on the balance sheet will then also contain nil values.</t>
  </si>
  <si>
    <t>If you want to include variable weekly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</si>
  <si>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Current Assets - Trade Receivables</t>
  </si>
  <si>
    <t>Note: The above calculation principle is applied regardless of the number of days which are entered as the debtors days assumption on the Assumptions sheet even if the value of the debtors days assumption requires the inclusion of multiple weeks. This method of calculation is the most accurate way of projecting trade receivable balances even for businesses where there is significant sales volatility.</t>
  </si>
  <si>
    <t>Where sales tax is applicable, the appropriate sales tax value relating to weekly turnover will be added to the trade receivables balance. Sales tax codes are defined on the Assumptions sheet and the codes in column A next to the turnover amounts on the income statement are used to determine the appropriate rate of sales tax to be used.</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</si>
  <si>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</si>
  <si>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</si>
  <si>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</si>
  <si>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Note: If your business has no trade receivables, you can simply enter a nil value in the debtors days assumption on the Assumptions sheet. The trade receivables line on the balance sheet will then also contain nil values.</t>
  </si>
  <si>
    <t>If you want to include variable weekly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</si>
  <si>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Loans &amp; Advances, Other Receivables</t>
  </si>
  <si>
    <t>The loans and advances &amp; other receivables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</si>
  <si>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Current Assets - Cash &amp; Cash Equivalents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</si>
  <si>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</si>
  <si>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Equity - Shareholders Contributions, Reserves</t>
  </si>
  <si>
    <t>The shareholders contributions &amp; reserves balances cannot be calculated by basing them on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</si>
  <si>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</si>
  <si>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</si>
  <si>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</si>
  <si>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Non-Current Liabilities - Loans 1 to 3, Leases</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</si>
  <si>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</si>
  <si>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</si>
  <si>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</si>
  <si>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</si>
  <si>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</si>
  <si>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The outstanding loan or lease balances at the end of each weekly period are then included in the appropriate lines on the balance sheet.</t>
  </si>
  <si>
    <t>Current Liabilities - Bank Overdraft</t>
  </si>
  <si>
    <t>The bank overdraft as well as cash &amp; cash equivalents are based on the closing cash balances which are calculated on the cash flow statement. If the appropriate weekly closing balance is negative, the balance is included as a bank overdraft and if it is positive, it is included as cash under current assets on the balance sheet.</t>
  </si>
  <si>
    <t>Current Liabilities - Trade Payables</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</si>
  <si>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</si>
  <si>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The weekly cost of sales, operating expenses and staff costs on the income statement are added together in order to determine a weekly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</si>
  <si>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</si>
  <si>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</si>
  <si>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Like the calculation of inventory and trade receivables balances, the trade payables balances are based on a number of full weeks with total days of less than the creditors days and part of the previous week's days.</t>
  </si>
  <si>
    <t>Example: If you enter a creditors days assumption of 30 days, the entire cost of sales &amp; expense value for four weeks will be included in the inventory balance. After including the four weeks, there is a difference of 2 days between the 30 days assumption and the total days in four weeks. The week 5 cost of sales &amp; expense value balance will therefore be used, divided by 7 days and multiplied by the 2 remaining days.</t>
  </si>
  <si>
    <t>Note: The above calculation principle is applied regardless of the number of days which are entered as the creditors days assumption on the Assumptions sheet even if the value of the creditors days assumption requires the inclusion of multiple weeks. This method of calculation is the most accurate way of projecting trade payables balances even for businesses where there is significant sales or expense volatility.</t>
  </si>
  <si>
    <t>Where sales tax is applicable, the appropriate sales tax value relating to weekly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</si>
  <si>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</si>
  <si>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</si>
  <si>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</si>
  <si>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Note: If your business has no trade payables, you can simply enter a nil value in the creditors days assumption on the Assumptions sheet. The trade payables line on the balance sheet will then also contain nil values.</t>
  </si>
  <si>
    <t>If you want to include variable weekly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</si>
  <si>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</si>
  <si>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</si>
  <si>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</si>
  <si>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appropriate sales tax percentages can be entered in the Sales Tax section of the Assumptions sheet. The template provides for 4 default sales tax codes, each with its own sales tax percentage. The sales tax codes are numbered from V1 to V4.</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</si>
  <si>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</si>
  <si>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</si>
  <si>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</si>
  <si>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</si>
  <si>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</si>
  <si>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</si>
  <si>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If you select the Subsequent setting, the sales tax amount of the current period is not included in the calculation of the payment amount and the sales tax liability at the end of the appropriate payment month will always include at least one month.</t>
  </si>
  <si>
    <t>Note: The Subsequent setting is usually the appropriate setting to use for sales tax purposes. The Current settings is more applicable to tax types which are subject to provisional tax.</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</si>
  <si>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</si>
  <si>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</si>
  <si>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Note: Sales tax payments are included in the appropriate weekly period based on the payment day that is specified on the Assumptions sheet.</t>
  </si>
  <si>
    <t>Current Liabilities - Payroll Accruals</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</si>
  <si>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</si>
  <si>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</si>
  <si>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</si>
  <si>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</si>
  <si>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</si>
  <si>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</si>
  <si>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</si>
  <si>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Subsequent setting is usually the appropriate setting to use for payroll accrual purposes. The Current setting is more applicable to tax types which are subject to provisional tax payments where payment occurs in the same month as the tax calculation.</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</si>
  <si>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</si>
  <si>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weekly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</si>
  <si>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Note: Payroll accrual related payments are included in the appropriate weekly period based on the payment day that is specified on the Assumptions sheet.</t>
  </si>
  <si>
    <t>Current Liabilities - Other Accruals, Other Provisions</t>
  </si>
  <si>
    <t>The other accrual &amp; other provisions balances cannot be calculated by basing them on specific income statement items and they are therefore calculated by adding the movements in these balances as per the cash flow statement to the balances of the previous week. If you therefore want to increase or decrease these balances, you need to add the amount of the increase or decrease to the line with a matching description on the cash flow statement (under the changes in operating assets section).</t>
  </si>
  <si>
    <t>Current Liabilities - Provision for Taxation</t>
  </si>
  <si>
    <t>The calculation of income tax on the income statement is based on the profit before tax on the income statement and the assumptions that are specified in the Income Tax section on the Assumptions sheet.</t>
  </si>
  <si>
    <t>The profit before tax amount is multiplied by the income tax percentage on the Assumptions sheet in order to calculate the weekly income tax value. If there is a loss before tax on the income statement, no income tax will be calculated but if there were profits before the period with the loss, the income tax that was calculated in previous periods will be reversed in the period with the loss.</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</si>
  <si>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</si>
  <si>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</si>
  <si>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</si>
  <si>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</si>
  <si>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</si>
  <si>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</si>
  <si>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</si>
  <si>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</si>
  <si>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</si>
  <si>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</si>
  <si>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The Cash, Next or Subsequent setting in the Dividends section on the Assumptions sheet determines how the dividends payable balances on the balance sheet are calculated and therefore also when the dividend payment will be included on the cash flow statement.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</si>
  <si>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</si>
  <si>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</si>
  <si>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</si>
  <si>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</si>
  <si>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</si>
  <si>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</si>
  <si>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Note: Dividend payments are included in the appropriate weekly period based on the payment day that is specified on the Assumptions sheet.</t>
  </si>
  <si>
    <t>If the balance sheet for any weekly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</si>
  <si>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</si>
  <si>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</si>
  <si>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</si>
  <si>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Loan Amortization Tables (Loans1 to Loans3 &amp; Leases sheets)</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</si>
  <si>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</si>
  <si>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</si>
  <si>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The forecast &amp; actual income statement, cash flow statement and balance sheet only require user input where there is yellow highlighting in column A. All rows without yellow highlighting are automatically calculated as detailed in these instructions. The exception is the balance sheet for actual results where all line items without light blue highlighting in column A are subject to user input in all columns aside from the first column which contains the balance sheet opening balances.</t>
  </si>
  <si>
    <t>Cash Flow Forecast</t>
  </si>
  <si>
    <t>All the calculations on the forecast balance sheet are automated and no user input is therefore required.</t>
  </si>
  <si>
    <t>Forecast Balance Sheet Errors</t>
  </si>
  <si>
    <t>The input rows on the forecast cash flow statement are all related to balance sheet items where the calculations on the balance sheet are based on adding the movement on the cash flow statement to the previous week's balance on the forecast balance sheet. If you need more guidance on any of these items, refer to the appropriate section for the particular item under the Balance Sheet section of these instructions.</t>
  </si>
  <si>
    <t>Actual Results</t>
  </si>
  <si>
    <t>Note: The cost of sales and gross profit values are calculated based on the gross profit percentages that are specified for each turnover line item. These rows therefore do not require user input as long as you enter the required gross profit percentages.</t>
  </si>
  <si>
    <t>Note: If the actuals balance sheet does not balance the value of the imbalance will be reflected below the total equities &amp; liabilities row. If there is an imbalance, you need to check that all income statement and balance sheet user input values have been included correctly and fix any errors that may exist.</t>
  </si>
  <si>
    <t>The cash flow statement for the actual results is included below the income statement for actuals on the Actual sheet. The actuals cash flow statement requires no user input aside from the proceeds from loans items and all other cash flow statement balances are calculated automatically based on the income statement &amp; balance sheet user input values which need to be entered or copied onto these reports.</t>
  </si>
  <si>
    <t>Note: If you add any rows to the cash flow forecast or actual results sheets, you also need to add these rows to the Report sheet otherwise your balance sheets may not balance.</t>
  </si>
  <si>
    <t>Note: If the balance sheet for any of the periods that are included in the report does not balance, an error will be displayed in the balance sheet status row at the bottom of the sheet and highlighted in orange. The value of the imbalance will also be displayed above the error. This error should be resolved by comparing the values on the report sheet to the values on the Forecast, Actual and BalanceSheets sheets. If there is no imbalance on these sheets, the error may be the result of rows being added to those sheets and not being added to the Report sheet.</t>
  </si>
  <si>
    <t>Note: If you change the start date of the template, the current period selection at the top of the management report may become invalid and be highlighted in orange. This error can be cleared by simply selecting a valid period.</t>
  </si>
  <si>
    <t>Actual weekly account balances should be entered in the appropriate rows on the Actual sheet. All the rows that require user input have been indicated with yellow highlighting in column A. Rows that do not contain yellow highlighting in column A contain formulas and are therefore calculated automatically.</t>
  </si>
  <si>
    <t>Both the forecast and actual balance sheets are included on the BalanceSheets sheet - the actuals balance sheet is included below the forecast balance sheet. Most of the balance sheet items that are included on the actuals balance sheet require user input. You therefore need to enter or copy the appropriate balances onto the balance sheet. The rows that do not require user input are highlighted in light blue in column A.</t>
  </si>
  <si>
    <t>The management report on the Report sheet can be used to compare forecast and actual account balances on a weekly, quarterly and year-to-date basis. All the calculations on the this sheet are automated and the report can be compiled for any weekly period by simply selecting the appropriate period from the list box at the top of the sheet.</t>
  </si>
  <si>
    <t>All the calculations on the management report are based on the date that is selected from the list box at the top of the sheet. This list box includes all 52 weekly periods that are included in the template. When you change the period selection, all the calculations on the management report are updated automatically.</t>
  </si>
  <si>
    <r>
      <t xml:space="preserve">Assumptions - </t>
    </r>
    <r>
      <rPr>
        <sz val="10"/>
        <rFont val="Arial"/>
        <family val="2"/>
      </rPr>
      <t>this sheet includes the default assumptions on which the weekly cash flow forecast balances are based. You also need to specify the start date on which the template reporting periods are based on this sheet.</t>
    </r>
  </si>
  <si>
    <r>
      <t xml:space="preserve">Actual - </t>
    </r>
    <r>
      <rPr>
        <sz val="10"/>
        <rFont val="Arial"/>
        <family val="2"/>
      </rPr>
      <t>this sheet includes a detailed income statement and cash flow statement that can be used to record the actual financial results. All the rows that are highlighted in yellow in column A require user input. The rows that do not contain yellow highlighting in column A contain formulas and are therefore calculated automatically.</t>
    </r>
  </si>
  <si>
    <r>
      <t xml:space="preserve">BalanceSheets - </t>
    </r>
    <r>
      <rPr>
        <sz val="10"/>
        <rFont val="Arial"/>
        <family val="2"/>
      </rPr>
      <t>this sheet includes the forecast and actual weekly balance sheets. The forecast balance sheet is automatically calculated from the forecast assumptions and the forecast income statement &amp; cash flow statement and no additional user input is required. Most of the actual balance sheet balances require user input.</t>
    </r>
  </si>
  <si>
    <r>
      <t xml:space="preserve">Loans1 to Loans3 &amp; Leases - </t>
    </r>
    <r>
      <rPr>
        <sz val="10"/>
        <rFont val="Arial"/>
        <family val="2"/>
      </rPr>
      <t>these sheets include detailed amortization tables which are used to calculate the forecast interest and capital repayment amounts that are included on the forecast income statement and cash flow statement. Each sheet provides for a different set of loan repayment terms to be specified.</t>
    </r>
  </si>
  <si>
    <r>
      <t xml:space="preserve">Forecast - </t>
    </r>
    <r>
      <rPr>
        <sz val="10"/>
        <rFont val="Arial"/>
        <family val="2"/>
      </rPr>
      <t>this sheet includes the forecast income statement and cash flow statement for a 52 week period. All the rows highlighted in yellow in column A require user input and the codes in column A are mainly used in the sales tax, receivables &amp; payables calculations. The rows with no yellow highlighting in column A contain formulas and are therefore calculated automatically.</t>
    </r>
  </si>
  <si>
    <r>
      <t xml:space="preserve">Report - </t>
    </r>
    <r>
      <rPr>
        <sz val="10"/>
        <rFont val="Arial"/>
        <family val="2"/>
      </rPr>
      <t>this sheet includes our unique management report which enables users to compare the forecast and actual income statements, cash flow statements and balance sheets on a weekly, quarterly and year-to-date basis. All the calculations on this sheet are automated and users are only required to select the appropriate weekly period to update all the calculations automatically.</t>
    </r>
  </si>
  <si>
    <t>Weekly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</si>
  <si>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</si>
  <si>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</si>
  <si>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</si>
  <si>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on the balance sheet are calculated by adding the purchases of property, plant &amp; equipment as entered on the cash flow statement and deducting the depreciation charges included on the income statement.</t>
  </si>
  <si>
    <t>The trade receivables balances on the balance sheet are calculated based on the debtors days assumption specified on the Assumptions sheet. The debtors days number can be determined based on the average trading terms which has been negotiated with customers. The debtors days is applied to the weekly turnover to calculate the appropriate trade receivables balance. This calculation is based on the number of days in a week and the difference between the days in the assumption and full week days.</t>
  </si>
  <si>
    <t>Example: If you enter a debtors days assumption of 30 days, the entire turnover value for four weeks will be included in the inventory balance. After including the four weeks, there is a difference of 2 days between the 30 days assumption and the total days in four weeks. The week 5 turnover balance will be used, divided by 7 days and multiplied by the 2 remaining days.</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</si>
  <si>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</si>
  <si>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calculation. If you have the same period settings and select the Subsequent option, the payroll accruals on the balance sheet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</si>
  <si>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</si>
  <si>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</si>
  <si>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actuals balance sheet. These workings will not be printed and are for information purposes only. You can hide this section if you do not want to see it on the sheet but do not delete any of these formulas because it will result in calculation errors if you do!</t>
  </si>
  <si>
    <t>All the rows on the forecast cash flow statement which require user input have yellow highlighting in column A. All the other rows contain formulas which automate the calculations of these items which are all based on income statement or balance sheet values.</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</si>
  <si>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</si>
  <si>
    <t>Note: The first column in the actuals balance sheet also contains formulas which pick up the balance sheet opening balances from the Assumptions sheet automatically. The opening balances for both the forecast &amp; actual balance sheets are the same.</t>
  </si>
  <si>
    <t>Note: The loans &amp; lease balances are used to calculate the loan repayment amounts on the actuals cash flow statement and the user input in the proceeds from loans rows are then removed from these balances so that all loan repayments are included in the repayment rows. If you do not enter any proceeds from loans, the balance sheet will still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</si>
</sst>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0.0%"/>
    <numFmt numFmtId="166" formatCode="_(* #,##0_);_(* \(#,##0\);_(* &quot;-&quot;??_);_(@_)"/>
    <numFmt numFmtId="167" formatCode="_(* #,##0.0%_);_(* \(#,##0.0%\);_(* &quot;-&quot;_);_(@_)"/>
    <numFmt numFmtId="168" formatCode="_(* #,##0.0_);_(* \(#,##0.0\);_(* &quot;-&quot;??_);_(@_)"/>
    <numFmt numFmtId="169" formatCode="mmm\-yyyy"/>
    <numFmt numFmtId="170" formatCode="_ * #,##0_ ;_ * \-#,##0_ ;_ * &quot;-&quot;??_ ;_ @_ "/>
  </numFmts>
  <fonts count="40" x14ac:knownFonts="1">
    <font>
      <sz val="10"/>
      <name val="Century Gothic"/>
      <family val="2"/>
      <scheme val="minor"/>
    </font>
    <font>
      <sz val="10"/>
      <name val="Arial"/>
      <family val="2"/>
    </font>
    <font>
      <u/>
      <sz val="10"/>
      <color indexed="12"/>
      <name val="Arial"/>
      <family val="2"/>
    </font>
    <font>
      <sz val="8"/>
      <name val="Arial"/>
      <family val="2"/>
    </font>
    <font>
      <sz val="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theme="0"/>
      <name val="Century Gothic"/>
      <family val="2"/>
      <scheme val="minor"/>
    </font>
    <font>
      <sz val="10"/>
      <color rgb="FFFF0000"/>
      <name val="Century Gothic"/>
      <family val="2"/>
      <scheme val="minor"/>
    </font>
    <font>
      <i/>
      <sz val="10"/>
      <color indexed="9"/>
      <name val="Century Gothic"/>
      <family val="2"/>
      <scheme val="minor"/>
    </font>
    <font>
      <b/>
      <i/>
      <sz val="10"/>
      <name val="Century Gothic"/>
      <family val="2"/>
      <scheme val="minor"/>
    </font>
    <font>
      <b/>
      <sz val="10"/>
      <color indexed="9"/>
      <name val="Century Gothic"/>
      <family val="2"/>
      <scheme val="minor"/>
    </font>
    <font>
      <i/>
      <sz val="10"/>
      <color indexed="8"/>
      <name val="Century Gothic"/>
      <family val="2"/>
      <scheme val="minor"/>
    </font>
    <font>
      <b/>
      <i/>
      <sz val="10"/>
      <color indexed="8"/>
      <name val="Century Gothic"/>
      <family val="2"/>
      <scheme val="minor"/>
    </font>
    <font>
      <b/>
      <sz val="10"/>
      <color theme="0"/>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i/>
      <sz val="10"/>
      <color theme="0"/>
      <name val="Century Gothic"/>
      <family val="2"/>
      <scheme val="minor"/>
    </font>
    <font>
      <sz val="10"/>
      <color indexed="53"/>
      <name val="Century Gothic"/>
      <family val="2"/>
      <scheme val="minor"/>
    </font>
    <font>
      <sz val="10"/>
      <color rgb="FFFF6600"/>
      <name val="Century Gothic"/>
      <family val="2"/>
      <scheme val="minor"/>
    </font>
    <font>
      <sz val="10"/>
      <color rgb="FF008000"/>
      <name val="Century Gothic"/>
      <family val="2"/>
      <scheme val="minor"/>
    </font>
    <font>
      <sz val="10"/>
      <color indexed="17"/>
      <name val="Century Gothic"/>
      <family val="2"/>
      <scheme val="minor"/>
    </font>
    <font>
      <sz val="9"/>
      <color rgb="FF00B050"/>
      <name val="Century Gothic"/>
      <family val="2"/>
      <scheme val="minor"/>
    </font>
    <font>
      <i/>
      <sz val="9"/>
      <color rgb="FF00B050"/>
      <name val="Century Gothic"/>
      <family val="2"/>
      <scheme val="minor"/>
    </font>
    <font>
      <b/>
      <sz val="9"/>
      <color rgb="FF00B050"/>
      <name val="Century Gothic"/>
      <family val="2"/>
      <scheme val="minor"/>
    </font>
    <font>
      <sz val="9"/>
      <color rgb="FFFF0000"/>
      <name val="Century Gothic"/>
      <family val="2"/>
      <scheme val="minor"/>
    </font>
    <font>
      <sz val="9"/>
      <name val="Century Gothic"/>
      <family val="2"/>
      <scheme val="minor"/>
    </font>
    <font>
      <b/>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CCFFFF"/>
        <bgColor indexed="64"/>
      </patternFill>
    </fill>
    <fill>
      <patternFill patternType="solid">
        <fgColor rgb="FFFFFF99"/>
        <bgColor indexed="64"/>
      </patternFill>
    </fill>
    <fill>
      <patternFill patternType="solid">
        <fgColor rgb="FF002060"/>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right style="hair">
        <color indexed="64"/>
      </right>
      <top/>
      <bottom/>
      <diagonal/>
    </border>
    <border>
      <left/>
      <right style="hair">
        <color indexed="64"/>
      </right>
      <top style="thin">
        <color indexed="64"/>
      </top>
      <bottom/>
      <diagonal/>
    </border>
    <border>
      <left/>
      <right style="hair">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8">
    <xf numFmtId="0" fontId="0" fillId="0" borderId="0"/>
    <xf numFmtId="43" fontId="1" fillId="0" borderId="0" applyFont="0" applyFill="0" applyBorder="0" applyAlignment="0" applyProtection="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xf numFmtId="9" fontId="4" fillId="0" borderId="0" applyFont="0" applyFill="0" applyBorder="0" applyAlignment="0" applyProtection="0"/>
    <xf numFmtId="0" fontId="1" fillId="0" borderId="0"/>
  </cellStyleXfs>
  <cellXfs count="343">
    <xf numFmtId="0" fontId="0" fillId="0" borderId="0" xfId="0"/>
    <xf numFmtId="0" fontId="5" fillId="0" borderId="0" xfId="0" applyFont="1"/>
    <xf numFmtId="0" fontId="7" fillId="0" borderId="0" xfId="0" applyFont="1" applyProtection="1">
      <protection hidden="1"/>
    </xf>
    <xf numFmtId="0" fontId="6" fillId="0" borderId="0" xfId="0" applyNumberFormat="1" applyFont="1" applyProtection="1">
      <protection hidden="1"/>
    </xf>
    <xf numFmtId="166" fontId="6" fillId="0" borderId="0" xfId="1" applyNumberFormat="1" applyFont="1" applyProtection="1">
      <protection hidden="1"/>
    </xf>
    <xf numFmtId="43" fontId="7" fillId="0" borderId="0" xfId="1" applyFont="1" applyProtection="1">
      <protection hidden="1"/>
    </xf>
    <xf numFmtId="0" fontId="8" fillId="0" borderId="0" xfId="0" applyNumberFormat="1" applyFont="1" applyProtection="1">
      <protection hidden="1"/>
    </xf>
    <xf numFmtId="14" fontId="7" fillId="2" borderId="8" xfId="1" applyNumberFormat="1" applyFont="1" applyFill="1" applyBorder="1" applyAlignment="1" applyProtection="1">
      <alignment horizontal="center"/>
      <protection hidden="1"/>
    </xf>
    <xf numFmtId="43" fontId="6" fillId="0" borderId="0" xfId="1" applyFont="1" applyAlignment="1" applyProtection="1">
      <alignment horizontal="center"/>
      <protection hidden="1"/>
    </xf>
    <xf numFmtId="43" fontId="6" fillId="0" borderId="0" xfId="1" applyFont="1" applyProtection="1">
      <protection hidden="1"/>
    </xf>
    <xf numFmtId="0" fontId="6" fillId="0" borderId="0" xfId="0" applyFont="1" applyProtection="1">
      <protection hidden="1"/>
    </xf>
    <xf numFmtId="14" fontId="7" fillId="0" borderId="0" xfId="1" applyNumberFormat="1" applyFont="1" applyFill="1" applyBorder="1" applyAlignment="1" applyProtection="1">
      <alignment horizontal="center"/>
      <protection hidden="1"/>
    </xf>
    <xf numFmtId="0" fontId="7" fillId="0" borderId="0" xfId="0" applyNumberFormat="1" applyFont="1" applyProtection="1">
      <protection hidden="1"/>
    </xf>
    <xf numFmtId="166" fontId="7" fillId="2" borderId="2" xfId="1" applyNumberFormat="1" applyFont="1" applyFill="1" applyBorder="1" applyProtection="1">
      <protection hidden="1"/>
    </xf>
    <xf numFmtId="0" fontId="12" fillId="0" borderId="0" xfId="1" applyNumberFormat="1" applyFont="1" applyAlignment="1" applyProtection="1">
      <alignment horizontal="center"/>
      <protection hidden="1"/>
    </xf>
    <xf numFmtId="166" fontId="7" fillId="5" borderId="2" xfId="1" applyNumberFormat="1" applyFont="1" applyFill="1" applyBorder="1" applyProtection="1">
      <protection hidden="1"/>
    </xf>
    <xf numFmtId="166" fontId="7" fillId="0" borderId="0" xfId="1" applyNumberFormat="1" applyFont="1" applyFill="1" applyBorder="1" applyProtection="1">
      <protection hidden="1"/>
    </xf>
    <xf numFmtId="166" fontId="7" fillId="0" borderId="0" xfId="1" applyNumberFormat="1" applyFont="1" applyProtection="1">
      <protection hidden="1"/>
    </xf>
    <xf numFmtId="165" fontId="7" fillId="0" borderId="0" xfId="1" applyNumberFormat="1" applyFont="1" applyFill="1" applyBorder="1" applyAlignment="1" applyProtection="1">
      <alignment horizontal="center"/>
      <protection hidden="1"/>
    </xf>
    <xf numFmtId="0" fontId="13" fillId="0" borderId="0" xfId="0" applyNumberFormat="1" applyFont="1" applyProtection="1">
      <protection hidden="1"/>
    </xf>
    <xf numFmtId="0" fontId="8" fillId="0" borderId="0" xfId="0" applyFont="1" applyProtection="1">
      <protection hidden="1"/>
    </xf>
    <xf numFmtId="0" fontId="7" fillId="2" borderId="2" xfId="1" applyNumberFormat="1" applyFont="1" applyFill="1" applyBorder="1" applyAlignment="1" applyProtection="1">
      <alignment horizontal="center"/>
      <protection hidden="1"/>
    </xf>
    <xf numFmtId="165" fontId="7" fillId="2" borderId="2" xfId="5" applyNumberFormat="1" applyFont="1" applyFill="1" applyBorder="1" applyAlignment="1" applyProtection="1">
      <alignment horizontal="center"/>
      <protection hidden="1"/>
    </xf>
    <xf numFmtId="3" fontId="7" fillId="2" borderId="2" xfId="1" applyNumberFormat="1" applyFont="1" applyFill="1" applyBorder="1" applyAlignment="1" applyProtection="1">
      <alignment horizontal="center"/>
      <protection hidden="1"/>
    </xf>
    <xf numFmtId="14" fontId="7" fillId="0" borderId="0" xfId="1" applyNumberFormat="1" applyFont="1" applyAlignment="1" applyProtection="1">
      <alignment horizontal="center"/>
      <protection hidden="1"/>
    </xf>
    <xf numFmtId="166" fontId="8" fillId="0" borderId="0" xfId="1" applyNumberFormat="1" applyFont="1" applyAlignment="1" applyProtection="1">
      <alignment horizontal="center"/>
      <protection hidden="1"/>
    </xf>
    <xf numFmtId="43" fontId="8" fillId="0" borderId="0" xfId="1" applyFont="1" applyAlignment="1" applyProtection="1">
      <alignment horizontal="center"/>
      <protection hidden="1"/>
    </xf>
    <xf numFmtId="43" fontId="8" fillId="0" borderId="0" xfId="1" applyFont="1" applyProtection="1">
      <protection hidden="1"/>
    </xf>
    <xf numFmtId="0" fontId="7" fillId="6" borderId="2" xfId="0" applyNumberFormat="1" applyFont="1" applyFill="1" applyBorder="1" applyProtection="1">
      <protection hidden="1"/>
    </xf>
    <xf numFmtId="165" fontId="7" fillId="6" borderId="2" xfId="5" applyNumberFormat="1" applyFont="1" applyFill="1" applyBorder="1" applyAlignment="1" applyProtection="1">
      <alignment horizontal="center"/>
      <protection hidden="1"/>
    </xf>
    <xf numFmtId="166" fontId="6" fillId="0" borderId="0" xfId="1" applyNumberFormat="1" applyFont="1" applyFill="1" applyBorder="1" applyAlignment="1" applyProtection="1">
      <alignment horizontal="center"/>
      <protection hidden="1"/>
    </xf>
    <xf numFmtId="0" fontId="7" fillId="0" borderId="0" xfId="0" applyNumberFormat="1" applyFont="1" applyFill="1" applyBorder="1" applyProtection="1">
      <protection hidden="1"/>
    </xf>
    <xf numFmtId="10" fontId="7" fillId="2" borderId="2" xfId="5" applyNumberFormat="1" applyFont="1" applyFill="1" applyBorder="1" applyProtection="1">
      <protection hidden="1"/>
    </xf>
    <xf numFmtId="168" fontId="7" fillId="2" borderId="2" xfId="1" applyNumberFormat="1" applyFont="1" applyFill="1" applyBorder="1" applyProtection="1">
      <protection hidden="1"/>
    </xf>
    <xf numFmtId="166" fontId="7" fillId="2" borderId="2" xfId="1" applyNumberFormat="1" applyFont="1" applyFill="1" applyBorder="1" applyAlignment="1" applyProtection="1">
      <alignment horizontal="right"/>
      <protection hidden="1"/>
    </xf>
    <xf numFmtId="0" fontId="8" fillId="0" borderId="0" xfId="0" applyNumberFormat="1" applyFont="1" applyFill="1" applyBorder="1" applyProtection="1">
      <protection hidden="1"/>
    </xf>
    <xf numFmtId="166" fontId="8" fillId="0" borderId="0" xfId="1" applyNumberFormat="1" applyFont="1" applyFill="1" applyBorder="1" applyProtection="1">
      <protection hidden="1"/>
    </xf>
    <xf numFmtId="43" fontId="12" fillId="0" borderId="0" xfId="1" applyFont="1" applyProtection="1">
      <protection hidden="1"/>
    </xf>
    <xf numFmtId="0" fontId="14" fillId="0" borderId="0" xfId="0" applyNumberFormat="1" applyFont="1" applyAlignment="1" applyProtection="1">
      <alignment horizontal="center"/>
      <protection hidden="1"/>
    </xf>
    <xf numFmtId="166" fontId="15" fillId="0" borderId="0" xfId="0" applyNumberFormat="1" applyFont="1" applyAlignment="1" applyProtection="1">
      <alignment horizontal="center"/>
      <protection hidden="1"/>
    </xf>
    <xf numFmtId="0" fontId="15" fillId="0" borderId="0" xfId="0" applyFont="1" applyAlignment="1" applyProtection="1">
      <alignment horizontal="center"/>
      <protection hidden="1"/>
    </xf>
    <xf numFmtId="0" fontId="8" fillId="0" borderId="0" xfId="0" applyFont="1" applyAlignment="1" applyProtection="1">
      <alignment horizontal="center"/>
      <protection hidden="1"/>
    </xf>
    <xf numFmtId="14" fontId="7" fillId="3" borderId="2" xfId="0" applyNumberFormat="1" applyFont="1" applyFill="1" applyBorder="1" applyAlignment="1" applyProtection="1">
      <alignment vertical="center" wrapText="1"/>
      <protection hidden="1"/>
    </xf>
    <xf numFmtId="14" fontId="6" fillId="3" borderId="2" xfId="1" applyNumberFormat="1" applyFont="1" applyFill="1" applyBorder="1" applyAlignment="1" applyProtection="1">
      <alignment horizontal="center" vertical="center" wrapText="1"/>
      <protection hidden="1"/>
    </xf>
    <xf numFmtId="14" fontId="16" fillId="4" borderId="2" xfId="1" applyNumberFormat="1" applyFont="1" applyFill="1" applyBorder="1" applyAlignment="1" applyProtection="1">
      <alignment horizontal="center" vertical="center" wrapText="1"/>
      <protection hidden="1"/>
    </xf>
    <xf numFmtId="14" fontId="7" fillId="0" borderId="0" xfId="0" applyNumberFormat="1" applyFont="1" applyAlignment="1" applyProtection="1">
      <alignment vertical="center" wrapText="1"/>
      <protection hidden="1"/>
    </xf>
    <xf numFmtId="0" fontId="7" fillId="0" borderId="0" xfId="1" applyNumberFormat="1" applyFont="1" applyBorder="1" applyProtection="1">
      <protection hidden="1"/>
    </xf>
    <xf numFmtId="166" fontId="7" fillId="0" borderId="3" xfId="1" applyNumberFormat="1" applyFont="1" applyFill="1" applyBorder="1" applyProtection="1">
      <protection hidden="1"/>
    </xf>
    <xf numFmtId="166" fontId="7" fillId="0" borderId="3" xfId="1" applyNumberFormat="1" applyFont="1" applyBorder="1" applyProtection="1">
      <protection hidden="1"/>
    </xf>
    <xf numFmtId="166" fontId="6" fillId="0" borderId="3" xfId="1" applyNumberFormat="1" applyFont="1" applyBorder="1" applyProtection="1">
      <protection hidden="1"/>
    </xf>
    <xf numFmtId="166" fontId="7" fillId="0" borderId="0" xfId="1" applyNumberFormat="1" applyFont="1" applyBorder="1" applyProtection="1">
      <protection hidden="1"/>
    </xf>
    <xf numFmtId="166" fontId="7" fillId="0" borderId="4" xfId="1" applyNumberFormat="1" applyFont="1" applyFill="1" applyBorder="1" applyProtection="1">
      <protection hidden="1"/>
    </xf>
    <xf numFmtId="166" fontId="7" fillId="0" borderId="4" xfId="1" applyNumberFormat="1" applyFont="1" applyBorder="1" applyProtection="1">
      <protection hidden="1"/>
    </xf>
    <xf numFmtId="166" fontId="6" fillId="0" borderId="4" xfId="1" applyNumberFormat="1" applyFont="1" applyBorder="1" applyProtection="1">
      <protection hidden="1"/>
    </xf>
    <xf numFmtId="0" fontId="6" fillId="0" borderId="0" xfId="1" applyNumberFormat="1" applyFont="1" applyProtection="1">
      <protection hidden="1"/>
    </xf>
    <xf numFmtId="166" fontId="6" fillId="0" borderId="28" xfId="1" applyNumberFormat="1" applyFont="1" applyFill="1" applyBorder="1" applyProtection="1">
      <protection hidden="1"/>
    </xf>
    <xf numFmtId="0" fontId="7" fillId="0" borderId="0" xfId="1" applyNumberFormat="1" applyFont="1" applyProtection="1">
      <protection hidden="1"/>
    </xf>
    <xf numFmtId="166" fontId="6" fillId="0" borderId="28" xfId="1" applyNumberFormat="1" applyFont="1" applyBorder="1" applyProtection="1">
      <protection hidden="1"/>
    </xf>
    <xf numFmtId="165" fontId="8" fillId="0" borderId="0" xfId="5" applyNumberFormat="1" applyFont="1" applyProtection="1">
      <protection hidden="1"/>
    </xf>
    <xf numFmtId="165" fontId="8" fillId="0" borderId="4" xfId="5" applyNumberFormat="1" applyFont="1" applyBorder="1" applyProtection="1">
      <protection hidden="1"/>
    </xf>
    <xf numFmtId="165" fontId="15" fillId="0" borderId="4" xfId="5" applyNumberFormat="1" applyFont="1" applyBorder="1" applyProtection="1">
      <protection hidden="1"/>
    </xf>
    <xf numFmtId="165" fontId="17" fillId="0" borderId="0" xfId="5" applyNumberFormat="1" applyFont="1" applyBorder="1" applyProtection="1">
      <protection hidden="1"/>
    </xf>
    <xf numFmtId="165" fontId="17" fillId="0" borderId="28" xfId="5" applyNumberFormat="1" applyFont="1" applyFill="1" applyBorder="1" applyProtection="1">
      <protection hidden="1"/>
    </xf>
    <xf numFmtId="165" fontId="18" fillId="0" borderId="28" xfId="5" applyNumberFormat="1" applyFont="1" applyFill="1" applyBorder="1" applyProtection="1">
      <protection hidden="1"/>
    </xf>
    <xf numFmtId="0" fontId="7" fillId="0" borderId="4" xfId="0" applyFont="1" applyBorder="1" applyProtection="1">
      <protection hidden="1"/>
    </xf>
    <xf numFmtId="0" fontId="6" fillId="0" borderId="4" xfId="0" applyFont="1" applyBorder="1" applyProtection="1">
      <protection hidden="1"/>
    </xf>
    <xf numFmtId="167" fontId="8" fillId="0" borderId="4" xfId="5" applyNumberFormat="1" applyFont="1" applyBorder="1" applyProtection="1">
      <protection hidden="1"/>
    </xf>
    <xf numFmtId="167" fontId="15" fillId="0" borderId="4" xfId="5" applyNumberFormat="1" applyFont="1" applyBorder="1" applyProtection="1">
      <protection hidden="1"/>
    </xf>
    <xf numFmtId="166" fontId="7" fillId="0" borderId="5" xfId="1" applyNumberFormat="1" applyFont="1" applyBorder="1" applyProtection="1">
      <protection hidden="1"/>
    </xf>
    <xf numFmtId="0" fontId="7" fillId="0" borderId="5" xfId="0" applyFont="1" applyBorder="1" applyProtection="1">
      <protection hidden="1"/>
    </xf>
    <xf numFmtId="0" fontId="6" fillId="0" borderId="5" xfId="0" applyFont="1" applyBorder="1" applyProtection="1">
      <protection hidden="1"/>
    </xf>
    <xf numFmtId="166" fontId="7" fillId="0" borderId="0" xfId="0" applyNumberFormat="1" applyFont="1" applyProtection="1">
      <protection hidden="1"/>
    </xf>
    <xf numFmtId="166" fontId="6" fillId="0" borderId="0" xfId="0" applyNumberFormat="1" applyFont="1" applyProtection="1">
      <protection hidden="1"/>
    </xf>
    <xf numFmtId="0" fontId="14" fillId="0" borderId="0" xfId="0" applyNumberFormat="1" applyFont="1" applyProtection="1">
      <protection hidden="1"/>
    </xf>
    <xf numFmtId="166" fontId="15" fillId="0" borderId="0" xfId="0" applyNumberFormat="1" applyFont="1" applyProtection="1">
      <protection hidden="1"/>
    </xf>
    <xf numFmtId="166" fontId="7" fillId="0" borderId="3" xfId="0" applyNumberFormat="1" applyFont="1" applyBorder="1" applyProtection="1">
      <protection hidden="1"/>
    </xf>
    <xf numFmtId="166" fontId="6" fillId="0" borderId="3" xfId="0" applyNumberFormat="1" applyFont="1" applyBorder="1" applyProtection="1">
      <protection hidden="1"/>
    </xf>
    <xf numFmtId="166" fontId="8" fillId="0" borderId="4" xfId="0" applyNumberFormat="1" applyFont="1" applyBorder="1" applyProtection="1">
      <protection hidden="1"/>
    </xf>
    <xf numFmtId="166" fontId="15" fillId="0" borderId="4" xfId="0" applyNumberFormat="1" applyFont="1" applyBorder="1" applyProtection="1">
      <protection hidden="1"/>
    </xf>
    <xf numFmtId="166" fontId="7" fillId="0" borderId="4" xfId="0" applyNumberFormat="1" applyFont="1" applyBorder="1" applyProtection="1">
      <protection hidden="1"/>
    </xf>
    <xf numFmtId="166" fontId="7" fillId="0" borderId="7" xfId="1" applyNumberFormat="1" applyFont="1" applyBorder="1" applyProtection="1">
      <protection hidden="1"/>
    </xf>
    <xf numFmtId="166" fontId="6" fillId="0" borderId="7" xfId="1" applyNumberFormat="1" applyFont="1" applyBorder="1" applyProtection="1">
      <protection hidden="1"/>
    </xf>
    <xf numFmtId="166" fontId="8" fillId="0" borderId="4" xfId="1" applyNumberFormat="1" applyFont="1" applyBorder="1" applyProtection="1">
      <protection hidden="1"/>
    </xf>
    <xf numFmtId="166" fontId="15" fillId="0" borderId="4" xfId="1" applyNumberFormat="1" applyFont="1" applyBorder="1" applyProtection="1">
      <protection hidden="1"/>
    </xf>
    <xf numFmtId="166" fontId="8" fillId="0" borderId="28" xfId="1" applyNumberFormat="1" applyFont="1" applyBorder="1" applyProtection="1">
      <protection hidden="1"/>
    </xf>
    <xf numFmtId="166" fontId="15" fillId="0" borderId="28" xfId="1" applyNumberFormat="1" applyFont="1" applyBorder="1" applyProtection="1">
      <protection hidden="1"/>
    </xf>
    <xf numFmtId="0" fontId="8" fillId="0" borderId="0" xfId="1" applyNumberFormat="1" applyFont="1" applyProtection="1">
      <protection hidden="1"/>
    </xf>
    <xf numFmtId="166" fontId="6" fillId="0" borderId="6" xfId="1" applyNumberFormat="1" applyFont="1" applyBorder="1" applyProtection="1">
      <protection hidden="1"/>
    </xf>
    <xf numFmtId="0" fontId="7" fillId="3" borderId="2" xfId="0" applyNumberFormat="1" applyFont="1" applyFill="1" applyBorder="1" applyAlignment="1" applyProtection="1">
      <alignment vertical="center" wrapText="1"/>
      <protection hidden="1"/>
    </xf>
    <xf numFmtId="0" fontId="6" fillId="0" borderId="0" xfId="1" applyNumberFormat="1" applyFont="1" applyBorder="1" applyProtection="1">
      <protection hidden="1"/>
    </xf>
    <xf numFmtId="166" fontId="6" fillId="0" borderId="0" xfId="1" applyNumberFormat="1" applyFont="1" applyBorder="1" applyProtection="1">
      <protection hidden="1"/>
    </xf>
    <xf numFmtId="0" fontId="8" fillId="0" borderId="0" xfId="5" applyNumberFormat="1" applyFont="1" applyProtection="1">
      <protection hidden="1"/>
    </xf>
    <xf numFmtId="0" fontId="18" fillId="0" borderId="0" xfId="5" applyNumberFormat="1" applyFont="1" applyBorder="1" applyProtection="1">
      <protection hidden="1"/>
    </xf>
    <xf numFmtId="165" fontId="18" fillId="0" borderId="0" xfId="5" applyNumberFormat="1" applyFont="1" applyBorder="1" applyProtection="1">
      <protection hidden="1"/>
    </xf>
    <xf numFmtId="164" fontId="7" fillId="0" borderId="0" xfId="1" applyNumberFormat="1" applyFont="1" applyProtection="1">
      <protection hidden="1"/>
    </xf>
    <xf numFmtId="0" fontId="9" fillId="0" borderId="0" xfId="3" applyFont="1" applyAlignment="1" applyProtection="1">
      <alignment horizontal="right"/>
      <protection hidden="1"/>
    </xf>
    <xf numFmtId="14" fontId="19" fillId="7" borderId="2" xfId="1" applyNumberFormat="1" applyFont="1" applyFill="1" applyBorder="1" applyAlignment="1" applyProtection="1">
      <alignment horizontal="center" vertical="center" wrapText="1"/>
      <protection hidden="1"/>
    </xf>
    <xf numFmtId="166" fontId="6" fillId="0" borderId="3" xfId="1" applyNumberFormat="1" applyFont="1" applyFill="1" applyBorder="1" applyProtection="1">
      <protection hidden="1"/>
    </xf>
    <xf numFmtId="0" fontId="6" fillId="0" borderId="3" xfId="0" applyFont="1" applyBorder="1" applyProtection="1">
      <protection hidden="1"/>
    </xf>
    <xf numFmtId="166" fontId="6" fillId="0" borderId="4" xfId="1" applyNumberFormat="1" applyFont="1" applyFill="1" applyBorder="1" applyProtection="1">
      <protection hidden="1"/>
    </xf>
    <xf numFmtId="166" fontId="7" fillId="0" borderId="28" xfId="1" applyNumberFormat="1" applyFont="1" applyBorder="1" applyProtection="1">
      <protection hidden="1"/>
    </xf>
    <xf numFmtId="0" fontId="6" fillId="0" borderId="0" xfId="0" applyNumberFormat="1" applyFont="1" applyFill="1" applyBorder="1" applyProtection="1">
      <protection hidden="1"/>
    </xf>
    <xf numFmtId="170" fontId="7" fillId="0" borderId="4" xfId="1" applyNumberFormat="1" applyFont="1" applyBorder="1" applyProtection="1">
      <protection hidden="1"/>
    </xf>
    <xf numFmtId="166" fontId="6" fillId="0" borderId="29" xfId="1" applyNumberFormat="1" applyFont="1" applyBorder="1" applyProtection="1">
      <protection hidden="1"/>
    </xf>
    <xf numFmtId="0" fontId="20" fillId="0" borderId="0" xfId="0" applyNumberFormat="1" applyFont="1" applyProtection="1">
      <protection hidden="1"/>
    </xf>
    <xf numFmtId="166" fontId="20" fillId="0" borderId="4" xfId="1" applyNumberFormat="1" applyFont="1" applyBorder="1" applyProtection="1">
      <protection hidden="1"/>
    </xf>
    <xf numFmtId="166" fontId="10" fillId="0" borderId="4" xfId="1" applyNumberFormat="1" applyFont="1" applyBorder="1" applyProtection="1">
      <protection hidden="1"/>
    </xf>
    <xf numFmtId="0" fontId="20" fillId="0" borderId="0" xfId="0" applyFont="1" applyProtection="1">
      <protection hidden="1"/>
    </xf>
    <xf numFmtId="166" fontId="20" fillId="0" borderId="28" xfId="1" applyNumberFormat="1" applyFont="1" applyBorder="1" applyProtection="1">
      <protection hidden="1"/>
    </xf>
    <xf numFmtId="166" fontId="10" fillId="0" borderId="28" xfId="1" applyNumberFormat="1" applyFont="1" applyBorder="1" applyProtection="1">
      <protection hidden="1"/>
    </xf>
    <xf numFmtId="0" fontId="7" fillId="0" borderId="0" xfId="0" applyNumberFormat="1" applyFont="1" applyBorder="1" applyProtection="1">
      <protection hidden="1"/>
    </xf>
    <xf numFmtId="166" fontId="13" fillId="0" borderId="0" xfId="1" applyNumberFormat="1" applyFont="1" applyProtection="1">
      <protection hidden="1"/>
    </xf>
    <xf numFmtId="166" fontId="21" fillId="0" borderId="0" xfId="1" applyNumberFormat="1" applyFont="1" applyProtection="1">
      <protection hidden="1"/>
    </xf>
    <xf numFmtId="0" fontId="13" fillId="0" borderId="0" xfId="0" applyFont="1" applyProtection="1">
      <protection hidden="1"/>
    </xf>
    <xf numFmtId="166" fontId="8" fillId="0" borderId="0" xfId="1" applyNumberFormat="1" applyFont="1" applyProtection="1">
      <protection hidden="1"/>
    </xf>
    <xf numFmtId="166" fontId="15" fillId="0" borderId="0" xfId="1" applyNumberFormat="1" applyFont="1" applyProtection="1">
      <protection hidden="1"/>
    </xf>
    <xf numFmtId="167" fontId="8" fillId="0" borderId="0" xfId="0" applyNumberFormat="1" applyFont="1" applyProtection="1">
      <protection hidden="1"/>
    </xf>
    <xf numFmtId="14" fontId="6" fillId="6" borderId="2" xfId="1" applyNumberFormat="1" applyFont="1" applyFill="1" applyBorder="1" applyAlignment="1" applyProtection="1">
      <alignment horizontal="center" vertical="center" wrapText="1"/>
      <protection hidden="1"/>
    </xf>
    <xf numFmtId="166" fontId="6" fillId="0" borderId="10" xfId="1" applyNumberFormat="1" applyFont="1" applyFill="1" applyBorder="1" applyProtection="1">
      <protection hidden="1"/>
    </xf>
    <xf numFmtId="0" fontId="22" fillId="0" borderId="0" xfId="0" applyFont="1" applyProtection="1">
      <protection hidden="1"/>
    </xf>
    <xf numFmtId="166" fontId="6" fillId="0" borderId="9" xfId="1" applyNumberFormat="1" applyFont="1" applyFill="1" applyBorder="1" applyProtection="1">
      <protection hidden="1"/>
    </xf>
    <xf numFmtId="166" fontId="7" fillId="0" borderId="9" xfId="1" applyNumberFormat="1" applyFont="1" applyBorder="1" applyProtection="1">
      <protection hidden="1"/>
    </xf>
    <xf numFmtId="166" fontId="7" fillId="0" borderId="7" xfId="1" applyNumberFormat="1" applyFont="1" applyFill="1" applyBorder="1" applyProtection="1">
      <protection hidden="1"/>
    </xf>
    <xf numFmtId="0" fontId="7" fillId="0" borderId="0" xfId="0" applyNumberFormat="1" applyFont="1" applyFill="1" applyProtection="1">
      <protection hidden="1"/>
    </xf>
    <xf numFmtId="166" fontId="7" fillId="0" borderId="28" xfId="1" applyNumberFormat="1" applyFont="1" applyFill="1" applyBorder="1" applyProtection="1">
      <protection hidden="1"/>
    </xf>
    <xf numFmtId="0" fontId="7" fillId="0" borderId="0" xfId="0" applyFont="1" applyFill="1" applyProtection="1">
      <protection hidden="1"/>
    </xf>
    <xf numFmtId="166" fontId="6" fillId="0" borderId="9" xfId="1" applyNumberFormat="1" applyFont="1" applyBorder="1" applyProtection="1">
      <protection hidden="1"/>
    </xf>
    <xf numFmtId="170" fontId="7" fillId="0" borderId="9" xfId="1" applyNumberFormat="1" applyFont="1" applyBorder="1" applyProtection="1">
      <protection hidden="1"/>
    </xf>
    <xf numFmtId="166" fontId="6" fillId="0" borderId="11" xfId="1" applyNumberFormat="1" applyFont="1" applyBorder="1" applyProtection="1">
      <protection hidden="1"/>
    </xf>
    <xf numFmtId="166" fontId="20" fillId="0" borderId="9" xfId="1" applyNumberFormat="1" applyFont="1" applyBorder="1" applyProtection="1">
      <protection hidden="1"/>
    </xf>
    <xf numFmtId="0" fontId="20" fillId="0" borderId="0" xfId="0" applyNumberFormat="1" applyFont="1" applyFill="1" applyProtection="1">
      <protection hidden="1"/>
    </xf>
    <xf numFmtId="164" fontId="8" fillId="0" borderId="0" xfId="1" applyNumberFormat="1" applyFont="1" applyProtection="1">
      <protection hidden="1"/>
    </xf>
    <xf numFmtId="43" fontId="8" fillId="0" borderId="0" xfId="1" applyNumberFormat="1" applyFont="1" applyProtection="1">
      <protection hidden="1"/>
    </xf>
    <xf numFmtId="170" fontId="8" fillId="0" borderId="0" xfId="1" applyNumberFormat="1" applyFont="1" applyProtection="1">
      <protection hidden="1"/>
    </xf>
    <xf numFmtId="164" fontId="8" fillId="0" borderId="0" xfId="1" applyNumberFormat="1" applyFont="1" applyAlignment="1" applyProtection="1">
      <alignment horizontal="center"/>
      <protection hidden="1"/>
    </xf>
    <xf numFmtId="3" fontId="8" fillId="0" borderId="0" xfId="1" applyNumberFormat="1" applyFont="1" applyAlignment="1" applyProtection="1">
      <alignment horizontal="center"/>
      <protection hidden="1"/>
    </xf>
    <xf numFmtId="0" fontId="8" fillId="0" borderId="0" xfId="1" applyNumberFormat="1" applyFont="1" applyAlignment="1" applyProtection="1">
      <alignment horizontal="center"/>
      <protection hidden="1"/>
    </xf>
    <xf numFmtId="14" fontId="8" fillId="0" borderId="0" xfId="0" applyNumberFormat="1" applyFont="1" applyProtection="1">
      <protection hidden="1"/>
    </xf>
    <xf numFmtId="14" fontId="8" fillId="0" borderId="0" xfId="1" applyNumberFormat="1" applyFont="1" applyProtection="1">
      <protection hidden="1"/>
    </xf>
    <xf numFmtId="165" fontId="8" fillId="0" borderId="0" xfId="5" applyNumberFormat="1" applyFont="1" applyAlignment="1" applyProtection="1">
      <alignment horizontal="center"/>
      <protection hidden="1"/>
    </xf>
    <xf numFmtId="0" fontId="15" fillId="0" borderId="0" xfId="0" applyFont="1" applyProtection="1">
      <protection hidden="1"/>
    </xf>
    <xf numFmtId="14" fontId="8" fillId="0" borderId="0" xfId="1" applyNumberFormat="1" applyFont="1" applyAlignment="1" applyProtection="1">
      <alignment horizontal="center"/>
      <protection hidden="1"/>
    </xf>
    <xf numFmtId="166" fontId="6" fillId="0" borderId="0" xfId="1" applyNumberFormat="1" applyFont="1" applyAlignment="1" applyProtection="1">
      <alignment horizontal="center"/>
      <protection hidden="1"/>
    </xf>
    <xf numFmtId="3" fontId="7" fillId="0" borderId="0" xfId="1" applyNumberFormat="1" applyFont="1" applyAlignment="1" applyProtection="1">
      <alignment horizontal="center"/>
      <protection hidden="1"/>
    </xf>
    <xf numFmtId="14" fontId="8" fillId="0" borderId="0" xfId="0" applyNumberFormat="1" applyFont="1" applyAlignment="1" applyProtection="1">
      <alignment horizontal="left"/>
      <protection hidden="1"/>
    </xf>
    <xf numFmtId="166" fontId="7" fillId="0" borderId="0" xfId="1" applyNumberFormat="1" applyFont="1" applyAlignment="1" applyProtection="1">
      <alignment horizontal="center"/>
      <protection hidden="1"/>
    </xf>
    <xf numFmtId="14" fontId="20" fillId="0" borderId="0" xfId="0" applyNumberFormat="1" applyFont="1" applyAlignment="1" applyProtection="1">
      <alignment horizontal="left"/>
      <protection hidden="1"/>
    </xf>
    <xf numFmtId="10" fontId="7" fillId="3" borderId="2" xfId="5" applyNumberFormat="1" applyFont="1" applyFill="1" applyBorder="1" applyAlignment="1" applyProtection="1">
      <alignment horizontal="right"/>
      <protection hidden="1"/>
    </xf>
    <xf numFmtId="165" fontId="7" fillId="0" borderId="0" xfId="5" applyNumberFormat="1" applyFont="1" applyFill="1" applyBorder="1" applyProtection="1">
      <protection hidden="1"/>
    </xf>
    <xf numFmtId="14" fontId="20" fillId="0" borderId="0" xfId="0" applyNumberFormat="1" applyFont="1" applyFill="1" applyBorder="1" applyAlignment="1" applyProtection="1">
      <alignment horizontal="left"/>
      <protection hidden="1"/>
    </xf>
    <xf numFmtId="168" fontId="7" fillId="3" borderId="2" xfId="1" applyNumberFormat="1" applyFont="1" applyFill="1" applyBorder="1" applyAlignment="1" applyProtection="1">
      <alignment horizontal="right"/>
      <protection hidden="1"/>
    </xf>
    <xf numFmtId="168" fontId="7" fillId="0" borderId="0" xfId="1" applyNumberFormat="1" applyFont="1" applyFill="1" applyBorder="1" applyProtection="1">
      <protection hidden="1"/>
    </xf>
    <xf numFmtId="168" fontId="7" fillId="0" borderId="0" xfId="1" applyNumberFormat="1" applyFont="1" applyFill="1" applyBorder="1" applyAlignment="1" applyProtection="1">
      <alignment horizontal="right"/>
      <protection hidden="1"/>
    </xf>
    <xf numFmtId="14" fontId="7" fillId="0" borderId="0" xfId="0" applyNumberFormat="1" applyFont="1" applyAlignment="1" applyProtection="1">
      <alignment horizontal="left"/>
      <protection hidden="1"/>
    </xf>
    <xf numFmtId="14" fontId="14" fillId="0" borderId="0" xfId="0" applyNumberFormat="1" applyFont="1" applyAlignment="1" applyProtection="1">
      <alignment horizontal="center"/>
      <protection hidden="1"/>
    </xf>
    <xf numFmtId="14" fontId="10" fillId="3" borderId="2" xfId="0" applyNumberFormat="1" applyFont="1" applyFill="1" applyBorder="1" applyAlignment="1" applyProtection="1">
      <alignment horizontal="left" vertical="center" wrapText="1"/>
      <protection hidden="1"/>
    </xf>
    <xf numFmtId="14" fontId="10" fillId="3" borderId="2" xfId="0" applyNumberFormat="1" applyFont="1" applyFill="1" applyBorder="1" applyAlignment="1" applyProtection="1">
      <alignment horizontal="center" vertical="center" wrapText="1"/>
      <protection hidden="1"/>
    </xf>
    <xf numFmtId="166" fontId="6" fillId="3" borderId="2" xfId="1" applyNumberFormat="1" applyFont="1" applyFill="1" applyBorder="1" applyAlignment="1" applyProtection="1">
      <alignment horizontal="center" vertical="center" wrapText="1"/>
      <protection hidden="1"/>
    </xf>
    <xf numFmtId="3" fontId="6" fillId="3" borderId="2" xfId="1" applyNumberFormat="1" applyFont="1" applyFill="1" applyBorder="1" applyAlignment="1" applyProtection="1">
      <alignment horizontal="center" vertical="center" wrapText="1"/>
      <protection hidden="1"/>
    </xf>
    <xf numFmtId="166" fontId="7" fillId="0" borderId="0" xfId="1" applyNumberFormat="1" applyFont="1" applyAlignment="1" applyProtection="1">
      <alignment vertical="center" wrapText="1"/>
      <protection hidden="1"/>
    </xf>
    <xf numFmtId="0" fontId="7" fillId="0" borderId="0" xfId="0" applyFont="1" applyAlignment="1" applyProtection="1">
      <alignment vertical="center" wrapText="1"/>
      <protection hidden="1"/>
    </xf>
    <xf numFmtId="14" fontId="20" fillId="0" borderId="0" xfId="0" applyNumberFormat="1" applyFont="1" applyAlignment="1" applyProtection="1">
      <alignment horizontal="center"/>
      <protection hidden="1"/>
    </xf>
    <xf numFmtId="166" fontId="20" fillId="0" borderId="0" xfId="1" applyNumberFormat="1" applyFont="1" applyProtection="1">
      <protection hidden="1"/>
    </xf>
    <xf numFmtId="166" fontId="20" fillId="0" borderId="0" xfId="1" applyNumberFormat="1" applyFont="1" applyAlignment="1" applyProtection="1">
      <alignment horizontal="right"/>
      <protection hidden="1"/>
    </xf>
    <xf numFmtId="166" fontId="7" fillId="0" borderId="0" xfId="1" applyNumberFormat="1" applyFont="1" applyFill="1" applyBorder="1" applyAlignment="1" applyProtection="1">
      <alignment horizontal="right"/>
      <protection hidden="1"/>
    </xf>
    <xf numFmtId="3" fontId="20" fillId="0" borderId="0" xfId="1" applyNumberFormat="1" applyFont="1" applyAlignment="1" applyProtection="1">
      <alignment horizontal="center"/>
      <protection hidden="1"/>
    </xf>
    <xf numFmtId="166" fontId="22" fillId="0" borderId="0" xfId="1" applyNumberFormat="1" applyFont="1" applyProtection="1">
      <protection hidden="1"/>
    </xf>
    <xf numFmtId="0" fontId="6" fillId="0" borderId="0" xfId="4" applyNumberFormat="1" applyFont="1" applyProtection="1">
      <protection hidden="1"/>
    </xf>
    <xf numFmtId="166" fontId="17" fillId="0" borderId="0" xfId="2" applyNumberFormat="1" applyFont="1" applyAlignment="1" applyProtection="1">
      <protection hidden="1"/>
    </xf>
    <xf numFmtId="0" fontId="6" fillId="0" borderId="0" xfId="4" applyNumberFormat="1" applyFont="1" applyAlignment="1" applyProtection="1">
      <alignment horizontal="right" vertical="center" indent="1"/>
      <protection hidden="1"/>
    </xf>
    <xf numFmtId="14" fontId="6" fillId="6" borderId="2" xfId="4" applyNumberFormat="1" applyFont="1" applyFill="1" applyBorder="1" applyAlignment="1" applyProtection="1">
      <alignment horizontal="center" vertical="center"/>
      <protection hidden="1"/>
    </xf>
    <xf numFmtId="0" fontId="7" fillId="0" borderId="0" xfId="6" applyNumberFormat="1" applyFont="1" applyAlignment="1" applyProtection="1">
      <alignment horizontal="center"/>
      <protection hidden="1"/>
    </xf>
    <xf numFmtId="0" fontId="7" fillId="0" borderId="0" xfId="4" applyFont="1" applyProtection="1">
      <protection hidden="1"/>
    </xf>
    <xf numFmtId="0" fontId="8" fillId="0" borderId="0" xfId="4" applyNumberFormat="1" applyFont="1" applyFill="1" applyAlignment="1" applyProtection="1">
      <alignment horizontal="left"/>
      <protection hidden="1"/>
    </xf>
    <xf numFmtId="166" fontId="7" fillId="0" borderId="0" xfId="2" applyNumberFormat="1" applyFont="1" applyProtection="1">
      <protection hidden="1"/>
    </xf>
    <xf numFmtId="167" fontId="7" fillId="0" borderId="0" xfId="6" applyNumberFormat="1" applyFont="1" applyProtection="1">
      <protection hidden="1"/>
    </xf>
    <xf numFmtId="0" fontId="17" fillId="0" borderId="0" xfId="4" applyFont="1" applyAlignment="1" applyProtection="1">
      <alignment horizontal="right" indent="1"/>
      <protection hidden="1"/>
    </xf>
    <xf numFmtId="0" fontId="23" fillId="0" borderId="0" xfId="4" applyFont="1" applyAlignment="1" applyProtection="1">
      <alignment horizontal="center"/>
      <protection hidden="1"/>
    </xf>
    <xf numFmtId="0" fontId="17" fillId="0" borderId="0" xfId="4" applyFont="1" applyAlignment="1" applyProtection="1">
      <alignment horizontal="center"/>
      <protection hidden="1"/>
    </xf>
    <xf numFmtId="167" fontId="24" fillId="0" borderId="0" xfId="6" applyNumberFormat="1" applyFont="1" applyAlignment="1" applyProtection="1">
      <alignment horizontal="center"/>
      <protection hidden="1"/>
    </xf>
    <xf numFmtId="0" fontId="12" fillId="0" borderId="0" xfId="4" applyNumberFormat="1" applyFont="1" applyAlignment="1" applyProtection="1">
      <alignment vertical="center"/>
      <protection hidden="1"/>
    </xf>
    <xf numFmtId="0" fontId="7" fillId="0" borderId="0" xfId="4" applyFont="1" applyAlignment="1" applyProtection="1">
      <alignment vertical="center"/>
      <protection hidden="1"/>
    </xf>
    <xf numFmtId="169" fontId="6" fillId="3" borderId="21" xfId="4" applyNumberFormat="1" applyFont="1" applyFill="1" applyBorder="1" applyAlignment="1" applyProtection="1">
      <alignment horizontal="left" vertical="center"/>
      <protection hidden="1"/>
    </xf>
    <xf numFmtId="166" fontId="6" fillId="3" borderId="2" xfId="2" applyNumberFormat="1" applyFont="1" applyFill="1" applyBorder="1" applyAlignment="1" applyProtection="1">
      <alignment horizontal="center" vertical="center" wrapText="1"/>
      <protection hidden="1"/>
    </xf>
    <xf numFmtId="167" fontId="6" fillId="3" borderId="2" xfId="6" applyNumberFormat="1" applyFont="1" applyFill="1" applyBorder="1" applyAlignment="1" applyProtection="1">
      <alignment horizontal="center" vertical="center" wrapText="1"/>
      <protection hidden="1"/>
    </xf>
    <xf numFmtId="169" fontId="6" fillId="3" borderId="12" xfId="2" applyNumberFormat="1" applyFont="1" applyFill="1" applyBorder="1" applyAlignment="1" applyProtection="1">
      <alignment horizontal="center" vertical="center" wrapText="1"/>
      <protection hidden="1"/>
    </xf>
    <xf numFmtId="169" fontId="6" fillId="3" borderId="2" xfId="2" applyNumberFormat="1" applyFont="1" applyFill="1" applyBorder="1" applyAlignment="1" applyProtection="1">
      <alignment horizontal="center" vertical="center" wrapText="1"/>
      <protection hidden="1"/>
    </xf>
    <xf numFmtId="169" fontId="6" fillId="0" borderId="0" xfId="4" applyNumberFormat="1" applyFont="1" applyAlignment="1" applyProtection="1">
      <alignment vertical="center" wrapText="1"/>
      <protection hidden="1"/>
    </xf>
    <xf numFmtId="0" fontId="7" fillId="0" borderId="14" xfId="4" applyNumberFormat="1" applyFont="1" applyBorder="1" applyProtection="1">
      <protection hidden="1"/>
    </xf>
    <xf numFmtId="166" fontId="7" fillId="0" borderId="13" xfId="2" applyNumberFormat="1" applyFont="1" applyBorder="1" applyProtection="1">
      <protection hidden="1"/>
    </xf>
    <xf numFmtId="166" fontId="7" fillId="0" borderId="14" xfId="2" applyNumberFormat="1" applyFont="1" applyBorder="1" applyProtection="1">
      <protection hidden="1"/>
    </xf>
    <xf numFmtId="167" fontId="7" fillId="0" borderId="15" xfId="6" applyNumberFormat="1" applyFont="1" applyBorder="1" applyProtection="1">
      <protection hidden="1"/>
    </xf>
    <xf numFmtId="0" fontId="7" fillId="0" borderId="0" xfId="4" applyNumberFormat="1" applyFont="1" applyBorder="1" applyProtection="1">
      <protection hidden="1"/>
    </xf>
    <xf numFmtId="166" fontId="7" fillId="0" borderId="16" xfId="2" applyNumberFormat="1" applyFont="1" applyBorder="1" applyProtection="1">
      <protection hidden="1"/>
    </xf>
    <xf numFmtId="166" fontId="7" fillId="0" borderId="0" xfId="2" applyNumberFormat="1" applyFont="1" applyBorder="1" applyProtection="1">
      <protection hidden="1"/>
    </xf>
    <xf numFmtId="167" fontId="7" fillId="0" borderId="17" xfId="6" applyNumberFormat="1" applyFont="1" applyBorder="1" applyProtection="1">
      <protection hidden="1"/>
    </xf>
    <xf numFmtId="0" fontId="6" fillId="0" borderId="0" xfId="4" applyNumberFormat="1" applyFont="1" applyBorder="1" applyProtection="1">
      <protection hidden="1"/>
    </xf>
    <xf numFmtId="166" fontId="6" fillId="0" borderId="30" xfId="2" applyNumberFormat="1" applyFont="1" applyBorder="1" applyProtection="1">
      <protection hidden="1"/>
    </xf>
    <xf numFmtId="166" fontId="6" fillId="0" borderId="31" xfId="2" applyNumberFormat="1" applyFont="1" applyBorder="1" applyProtection="1">
      <protection hidden="1"/>
    </xf>
    <xf numFmtId="167" fontId="6" fillId="0" borderId="32" xfId="6" applyNumberFormat="1" applyFont="1" applyBorder="1" applyProtection="1">
      <protection hidden="1"/>
    </xf>
    <xf numFmtId="0" fontId="6" fillId="0" borderId="0" xfId="4" applyFont="1" applyProtection="1">
      <protection hidden="1"/>
    </xf>
    <xf numFmtId="0" fontId="7" fillId="0" borderId="0" xfId="4" applyNumberFormat="1" applyFont="1" applyProtection="1">
      <protection hidden="1"/>
    </xf>
    <xf numFmtId="167" fontId="8" fillId="0" borderId="16" xfId="5" applyNumberFormat="1" applyFont="1" applyBorder="1" applyProtection="1">
      <protection hidden="1"/>
    </xf>
    <xf numFmtId="167" fontId="8" fillId="0" borderId="0" xfId="5" applyNumberFormat="1" applyFont="1" applyBorder="1" applyProtection="1">
      <protection hidden="1"/>
    </xf>
    <xf numFmtId="167" fontId="8" fillId="0" borderId="17" xfId="5" applyNumberFormat="1" applyFont="1" applyBorder="1" applyProtection="1">
      <protection hidden="1"/>
    </xf>
    <xf numFmtId="167" fontId="8" fillId="0" borderId="18" xfId="5" applyNumberFormat="1" applyFont="1" applyBorder="1" applyProtection="1">
      <protection hidden="1"/>
    </xf>
    <xf numFmtId="167" fontId="8" fillId="0" borderId="19" xfId="5" applyNumberFormat="1" applyFont="1" applyBorder="1" applyProtection="1">
      <protection hidden="1"/>
    </xf>
    <xf numFmtId="167" fontId="8" fillId="0" borderId="20" xfId="5" applyNumberFormat="1" applyFont="1" applyBorder="1" applyProtection="1">
      <protection hidden="1"/>
    </xf>
    <xf numFmtId="165" fontId="18" fillId="0" borderId="0" xfId="6" applyNumberFormat="1" applyFont="1" applyProtection="1">
      <protection hidden="1"/>
    </xf>
    <xf numFmtId="165" fontId="18" fillId="0" borderId="30" xfId="6" applyNumberFormat="1" applyFont="1" applyBorder="1" applyProtection="1">
      <protection hidden="1"/>
    </xf>
    <xf numFmtId="165" fontId="18" fillId="0" borderId="31" xfId="6" applyNumberFormat="1" applyFont="1" applyBorder="1" applyProtection="1">
      <protection hidden="1"/>
    </xf>
    <xf numFmtId="167" fontId="18" fillId="0" borderId="31" xfId="6" applyNumberFormat="1" applyFont="1" applyBorder="1" applyProtection="1">
      <protection hidden="1"/>
    </xf>
    <xf numFmtId="167" fontId="18" fillId="0" borderId="32" xfId="6" applyNumberFormat="1" applyFont="1" applyBorder="1" applyProtection="1">
      <protection hidden="1"/>
    </xf>
    <xf numFmtId="166" fontId="6" fillId="0" borderId="16" xfId="2" applyNumberFormat="1" applyFont="1" applyBorder="1" applyProtection="1">
      <protection hidden="1"/>
    </xf>
    <xf numFmtId="166" fontId="6" fillId="0" borderId="0" xfId="2" applyNumberFormat="1" applyFont="1" applyBorder="1" applyProtection="1">
      <protection hidden="1"/>
    </xf>
    <xf numFmtId="166" fontId="6" fillId="0" borderId="0" xfId="2" applyNumberFormat="1" applyFont="1" applyProtection="1">
      <protection hidden="1"/>
    </xf>
    <xf numFmtId="167" fontId="6" fillId="0" borderId="17" xfId="6" applyNumberFormat="1" applyFont="1" applyBorder="1" applyProtection="1">
      <protection hidden="1"/>
    </xf>
    <xf numFmtId="0" fontId="7" fillId="0" borderId="0" xfId="4" applyFont="1" applyBorder="1" applyProtection="1">
      <protection hidden="1"/>
    </xf>
    <xf numFmtId="0" fontId="20" fillId="0" borderId="0" xfId="2" applyNumberFormat="1" applyFont="1" applyProtection="1">
      <protection hidden="1"/>
    </xf>
    <xf numFmtId="166" fontId="20" fillId="0" borderId="16" xfId="2" applyNumberFormat="1" applyFont="1" applyBorder="1" applyProtection="1">
      <protection hidden="1"/>
    </xf>
    <xf numFmtId="166" fontId="20" fillId="0" borderId="0" xfId="2" applyNumberFormat="1" applyFont="1" applyBorder="1" applyProtection="1">
      <protection hidden="1"/>
    </xf>
    <xf numFmtId="166" fontId="20" fillId="0" borderId="0" xfId="2" applyNumberFormat="1" applyFont="1" applyProtection="1">
      <protection hidden="1"/>
    </xf>
    <xf numFmtId="167" fontId="20" fillId="0" borderId="17" xfId="6" applyNumberFormat="1" applyFont="1" applyBorder="1" applyProtection="1">
      <protection hidden="1"/>
    </xf>
    <xf numFmtId="0" fontId="20" fillId="0" borderId="0" xfId="4" applyFont="1" applyProtection="1">
      <protection hidden="1"/>
    </xf>
    <xf numFmtId="0" fontId="10" fillId="0" borderId="0" xfId="2" applyNumberFormat="1" applyFont="1" applyProtection="1">
      <protection hidden="1"/>
    </xf>
    <xf numFmtId="166" fontId="10" fillId="0" borderId="30" xfId="2" applyNumberFormat="1" applyFont="1" applyBorder="1" applyProtection="1">
      <protection hidden="1"/>
    </xf>
    <xf numFmtId="166" fontId="10" fillId="0" borderId="31" xfId="2" applyNumberFormat="1" applyFont="1" applyBorder="1" applyProtection="1">
      <protection hidden="1"/>
    </xf>
    <xf numFmtId="167" fontId="10" fillId="0" borderId="32" xfId="6" applyNumberFormat="1" applyFont="1" applyBorder="1" applyProtection="1">
      <protection hidden="1"/>
    </xf>
    <xf numFmtId="0" fontId="10" fillId="0" borderId="0" xfId="4" applyFont="1" applyProtection="1">
      <protection hidden="1"/>
    </xf>
    <xf numFmtId="166" fontId="10" fillId="0" borderId="16" xfId="2" applyNumberFormat="1" applyFont="1" applyBorder="1" applyProtection="1">
      <protection hidden="1"/>
    </xf>
    <xf numFmtId="166" fontId="10" fillId="0" borderId="0" xfId="2" applyNumberFormat="1" applyFont="1" applyBorder="1" applyProtection="1">
      <protection hidden="1"/>
    </xf>
    <xf numFmtId="166" fontId="10" fillId="0" borderId="0" xfId="2" applyNumberFormat="1" applyFont="1" applyProtection="1">
      <protection hidden="1"/>
    </xf>
    <xf numFmtId="167" fontId="10" fillId="0" borderId="17" xfId="6" applyNumberFormat="1" applyFont="1" applyBorder="1" applyProtection="1">
      <protection hidden="1"/>
    </xf>
    <xf numFmtId="0" fontId="7" fillId="0" borderId="0" xfId="2" applyNumberFormat="1" applyFont="1" applyBorder="1" applyProtection="1">
      <protection hidden="1"/>
    </xf>
    <xf numFmtId="43" fontId="7" fillId="0" borderId="0" xfId="2" applyFont="1" applyProtection="1">
      <protection hidden="1"/>
    </xf>
    <xf numFmtId="167" fontId="8" fillId="0" borderId="9" xfId="5" applyNumberFormat="1" applyFont="1" applyBorder="1" applyProtection="1">
      <protection hidden="1"/>
    </xf>
    <xf numFmtId="165" fontId="8" fillId="0" borderId="17" xfId="5" applyNumberFormat="1" applyFont="1" applyBorder="1" applyProtection="1">
      <protection hidden="1"/>
    </xf>
    <xf numFmtId="166" fontId="7" fillId="0" borderId="18" xfId="2" applyNumberFormat="1" applyFont="1" applyBorder="1" applyProtection="1">
      <protection hidden="1"/>
    </xf>
    <xf numFmtId="166" fontId="7" fillId="0" borderId="19" xfId="2" applyNumberFormat="1" applyFont="1" applyBorder="1" applyProtection="1">
      <protection hidden="1"/>
    </xf>
    <xf numFmtId="167" fontId="7" fillId="0" borderId="20" xfId="6" applyNumberFormat="1" applyFont="1" applyBorder="1" applyProtection="1">
      <protection hidden="1"/>
    </xf>
    <xf numFmtId="167" fontId="7" fillId="0" borderId="0" xfId="6" applyNumberFormat="1" applyFont="1" applyBorder="1" applyProtection="1">
      <protection hidden="1"/>
    </xf>
    <xf numFmtId="0" fontId="7" fillId="0" borderId="0" xfId="4" applyNumberFormat="1" applyFont="1" applyAlignment="1" applyProtection="1">
      <alignment vertical="center"/>
      <protection hidden="1"/>
    </xf>
    <xf numFmtId="0" fontId="7" fillId="0" borderId="0" xfId="2" applyNumberFormat="1" applyFont="1" applyProtection="1">
      <protection hidden="1"/>
    </xf>
    <xf numFmtId="0" fontId="8" fillId="0" borderId="0" xfId="4" applyFont="1" applyProtection="1">
      <protection hidden="1"/>
    </xf>
    <xf numFmtId="0" fontId="8" fillId="0" borderId="0" xfId="4" applyNumberFormat="1" applyFont="1" applyProtection="1">
      <protection hidden="1"/>
    </xf>
    <xf numFmtId="166" fontId="17" fillId="0" borderId="13" xfId="2" applyNumberFormat="1" applyFont="1" applyBorder="1" applyProtection="1">
      <protection hidden="1"/>
    </xf>
    <xf numFmtId="166" fontId="17" fillId="0" borderId="14" xfId="2" applyNumberFormat="1" applyFont="1" applyBorder="1" applyProtection="1">
      <protection hidden="1"/>
    </xf>
    <xf numFmtId="166" fontId="8" fillId="0" borderId="14" xfId="2" applyNumberFormat="1" applyFont="1" applyBorder="1" applyProtection="1">
      <protection hidden="1"/>
    </xf>
    <xf numFmtId="167" fontId="8" fillId="0" borderId="15" xfId="6" applyNumberFormat="1" applyFont="1" applyBorder="1" applyProtection="1">
      <protection hidden="1"/>
    </xf>
    <xf numFmtId="166" fontId="17" fillId="0" borderId="30" xfId="2" applyNumberFormat="1" applyFont="1" applyBorder="1" applyProtection="1">
      <protection hidden="1"/>
    </xf>
    <xf numFmtId="166" fontId="17" fillId="0" borderId="31" xfId="2" applyNumberFormat="1" applyFont="1" applyBorder="1" applyProtection="1">
      <protection hidden="1"/>
    </xf>
    <xf numFmtId="166" fontId="8" fillId="0" borderId="31" xfId="2" applyNumberFormat="1" applyFont="1" applyBorder="1" applyProtection="1">
      <protection hidden="1"/>
    </xf>
    <xf numFmtId="167" fontId="8" fillId="0" borderId="32" xfId="6" applyNumberFormat="1" applyFont="1" applyBorder="1" applyProtection="1">
      <protection hidden="1"/>
    </xf>
    <xf numFmtId="0" fontId="6" fillId="0" borderId="0" xfId="4" applyFont="1" applyBorder="1" applyProtection="1">
      <protection hidden="1"/>
    </xf>
    <xf numFmtId="0" fontId="8" fillId="0" borderId="0" xfId="2" applyNumberFormat="1" applyFont="1" applyProtection="1">
      <protection hidden="1"/>
    </xf>
    <xf numFmtId="166" fontId="8" fillId="0" borderId="30" xfId="2" applyNumberFormat="1" applyFont="1" applyBorder="1" applyProtection="1">
      <protection hidden="1"/>
    </xf>
    <xf numFmtId="166" fontId="6" fillId="0" borderId="23" xfId="2" applyNumberFormat="1" applyFont="1" applyBorder="1" applyProtection="1">
      <protection hidden="1"/>
    </xf>
    <xf numFmtId="166" fontId="6" fillId="0" borderId="24" xfId="2" applyNumberFormat="1" applyFont="1" applyBorder="1" applyProtection="1">
      <protection hidden="1"/>
    </xf>
    <xf numFmtId="167" fontId="6" fillId="0" borderId="25" xfId="6" applyNumberFormat="1" applyFont="1" applyBorder="1" applyProtection="1">
      <protection hidden="1"/>
    </xf>
    <xf numFmtId="43" fontId="7" fillId="0" borderId="0" xfId="2" applyFont="1" applyBorder="1" applyProtection="1">
      <protection hidden="1"/>
    </xf>
    <xf numFmtId="0" fontId="6" fillId="0" borderId="0" xfId="4" applyNumberFormat="1" applyFont="1" applyFill="1" applyProtection="1">
      <protection hidden="1"/>
    </xf>
    <xf numFmtId="166" fontId="7" fillId="0" borderId="30" xfId="2" applyNumberFormat="1" applyFont="1" applyBorder="1" applyProtection="1">
      <protection hidden="1"/>
    </xf>
    <xf numFmtId="166" fontId="7" fillId="0" borderId="31" xfId="2" applyNumberFormat="1" applyFont="1" applyBorder="1" applyProtection="1">
      <protection hidden="1"/>
    </xf>
    <xf numFmtId="167" fontId="7" fillId="0" borderId="32" xfId="6" applyNumberFormat="1" applyFont="1" applyBorder="1" applyProtection="1">
      <protection hidden="1"/>
    </xf>
    <xf numFmtId="0" fontId="6" fillId="0" borderId="0" xfId="2" applyNumberFormat="1" applyFont="1" applyProtection="1">
      <protection hidden="1"/>
    </xf>
    <xf numFmtId="166" fontId="6" fillId="0" borderId="33" xfId="2" applyNumberFormat="1" applyFont="1" applyBorder="1" applyProtection="1">
      <protection hidden="1"/>
    </xf>
    <xf numFmtId="166" fontId="6" fillId="0" borderId="34" xfId="2" applyNumberFormat="1" applyFont="1" applyBorder="1" applyProtection="1">
      <protection hidden="1"/>
    </xf>
    <xf numFmtId="167" fontId="6" fillId="0" borderId="35" xfId="6" applyNumberFormat="1" applyFont="1" applyBorder="1" applyProtection="1">
      <protection hidden="1"/>
    </xf>
    <xf numFmtId="0" fontId="7" fillId="0" borderId="19" xfId="4" applyNumberFormat="1" applyFont="1" applyBorder="1" applyProtection="1">
      <protection hidden="1"/>
    </xf>
    <xf numFmtId="0" fontId="25" fillId="0" borderId="0" xfId="4" applyNumberFormat="1" applyFont="1" applyBorder="1" applyProtection="1">
      <protection hidden="1"/>
    </xf>
    <xf numFmtId="166" fontId="25" fillId="0" borderId="0" xfId="2" applyNumberFormat="1" applyFont="1" applyBorder="1" applyProtection="1">
      <protection hidden="1"/>
    </xf>
    <xf numFmtId="167" fontId="25" fillId="0" borderId="0" xfId="6" applyNumberFormat="1" applyFont="1" applyBorder="1" applyProtection="1">
      <protection hidden="1"/>
    </xf>
    <xf numFmtId="0" fontId="25" fillId="0" borderId="0" xfId="4" applyFont="1" applyProtection="1">
      <protection hidden="1"/>
    </xf>
    <xf numFmtId="0" fontId="26" fillId="0" borderId="0" xfId="0" applyNumberFormat="1" applyFont="1" applyProtection="1">
      <protection hidden="1"/>
    </xf>
    <xf numFmtId="166" fontId="27" fillId="0" borderId="0" xfId="2" applyNumberFormat="1" applyFont="1" applyAlignment="1" applyProtection="1">
      <alignment horizontal="center"/>
      <protection hidden="1"/>
    </xf>
    <xf numFmtId="167" fontId="27" fillId="0" borderId="0" xfId="6" applyNumberFormat="1" applyFont="1" applyProtection="1">
      <protection hidden="1"/>
    </xf>
    <xf numFmtId="0" fontId="27" fillId="0" borderId="0" xfId="4" applyFont="1" applyProtection="1">
      <protection hidden="1"/>
    </xf>
    <xf numFmtId="0" fontId="22" fillId="0" borderId="0" xfId="4" applyNumberFormat="1" applyFont="1" applyProtection="1">
      <protection hidden="1"/>
    </xf>
    <xf numFmtId="166" fontId="22" fillId="0" borderId="0" xfId="2" applyNumberFormat="1" applyFont="1" applyAlignment="1" applyProtection="1">
      <alignment horizontal="center"/>
      <protection hidden="1"/>
    </xf>
    <xf numFmtId="167" fontId="22" fillId="0" borderId="0" xfId="6" applyNumberFormat="1" applyFont="1" applyProtection="1">
      <protection hidden="1"/>
    </xf>
    <xf numFmtId="0" fontId="22" fillId="0" borderId="0" xfId="4" applyFont="1" applyProtection="1">
      <protection hidden="1"/>
    </xf>
    <xf numFmtId="0" fontId="6" fillId="0" borderId="0" xfId="7" applyFont="1" applyProtection="1">
      <protection hidden="1"/>
    </xf>
    <xf numFmtId="14" fontId="6" fillId="0" borderId="0" xfId="7" applyNumberFormat="1" applyFont="1" applyAlignment="1" applyProtection="1">
      <alignment horizontal="center"/>
      <protection hidden="1"/>
    </xf>
    <xf numFmtId="0" fontId="6" fillId="0" borderId="0" xfId="7" applyFont="1" applyAlignment="1" applyProtection="1">
      <alignment horizontal="center"/>
      <protection hidden="1"/>
    </xf>
    <xf numFmtId="0" fontId="7" fillId="0" borderId="0" xfId="7" applyFont="1" applyProtection="1">
      <protection hidden="1"/>
    </xf>
    <xf numFmtId="14" fontId="7" fillId="0" borderId="0" xfId="7" applyNumberFormat="1" applyFont="1" applyAlignment="1" applyProtection="1">
      <alignment horizontal="center"/>
      <protection hidden="1"/>
    </xf>
    <xf numFmtId="3" fontId="7" fillId="0" borderId="0" xfId="7" applyNumberFormat="1" applyFont="1" applyAlignment="1" applyProtection="1">
      <alignment horizontal="center"/>
      <protection hidden="1"/>
    </xf>
    <xf numFmtId="0" fontId="7" fillId="0" borderId="0" xfId="7" applyFont="1" applyAlignment="1" applyProtection="1">
      <alignment horizontal="center"/>
      <protection hidden="1"/>
    </xf>
    <xf numFmtId="0" fontId="11" fillId="0" borderId="0" xfId="4" applyNumberFormat="1" applyFont="1" applyProtection="1">
      <protection hidden="1"/>
    </xf>
    <xf numFmtId="14" fontId="11" fillId="0" borderId="0" xfId="0" applyNumberFormat="1" applyFont="1" applyAlignment="1" applyProtection="1">
      <alignment horizontal="left"/>
      <protection hidden="1"/>
    </xf>
    <xf numFmtId="0" fontId="11" fillId="0" borderId="0" xfId="0" applyNumberFormat="1" applyFont="1" applyProtection="1">
      <protection hidden="1"/>
    </xf>
    <xf numFmtId="0" fontId="28" fillId="0" borderId="0" xfId="0" applyNumberFormat="1" applyFont="1" applyProtection="1">
      <protection hidden="1"/>
    </xf>
    <xf numFmtId="0" fontId="29" fillId="0" borderId="0" xfId="0" applyNumberFormat="1" applyFont="1" applyProtection="1">
      <protection hidden="1"/>
    </xf>
    <xf numFmtId="0" fontId="28" fillId="0" borderId="0" xfId="0" applyNumberFormat="1" applyFont="1" applyAlignment="1" applyProtection="1">
      <alignment vertical="center" wrapText="1"/>
      <protection hidden="1"/>
    </xf>
    <xf numFmtId="0" fontId="30" fillId="0" borderId="0" xfId="0" applyNumberFormat="1" applyFont="1" applyProtection="1">
      <protection hidden="1"/>
    </xf>
    <xf numFmtId="0" fontId="28" fillId="0" borderId="0" xfId="0" applyNumberFormat="1" applyFont="1" applyBorder="1" applyProtection="1">
      <protection hidden="1"/>
    </xf>
    <xf numFmtId="0" fontId="31" fillId="0" borderId="0" xfId="0" applyNumberFormat="1" applyFont="1" applyProtection="1">
      <protection hidden="1"/>
    </xf>
    <xf numFmtId="0" fontId="30" fillId="0" borderId="0" xfId="0" applyNumberFormat="1" applyFont="1" applyFill="1" applyBorder="1" applyProtection="1">
      <protection hidden="1"/>
    </xf>
    <xf numFmtId="0" fontId="28" fillId="0" borderId="0" xfId="0" applyNumberFormat="1" applyFont="1" applyFill="1" applyBorder="1" applyProtection="1">
      <protection hidden="1"/>
    </xf>
    <xf numFmtId="0" fontId="28" fillId="5" borderId="1" xfId="1" applyNumberFormat="1" applyFont="1" applyFill="1" applyBorder="1" applyProtection="1">
      <protection hidden="1"/>
    </xf>
    <xf numFmtId="0" fontId="32" fillId="0" borderId="0" xfId="0" applyFont="1" applyFill="1" applyBorder="1" applyProtection="1">
      <protection hidden="1"/>
    </xf>
    <xf numFmtId="0" fontId="29" fillId="0" borderId="0" xfId="0" applyNumberFormat="1" applyFont="1" applyAlignment="1" applyProtection="1">
      <alignment horizontal="center"/>
      <protection hidden="1"/>
    </xf>
    <xf numFmtId="0" fontId="28" fillId="2" borderId="1" xfId="1" applyNumberFormat="1" applyFont="1" applyFill="1" applyBorder="1" applyProtection="1">
      <protection hidden="1"/>
    </xf>
    <xf numFmtId="0" fontId="28" fillId="0" borderId="0" xfId="1" applyNumberFormat="1" applyFont="1" applyProtection="1">
      <protection hidden="1"/>
    </xf>
    <xf numFmtId="0" fontId="32" fillId="0" borderId="0" xfId="0" applyFont="1" applyProtection="1">
      <protection hidden="1"/>
    </xf>
    <xf numFmtId="0" fontId="33" fillId="0" borderId="0" xfId="0" applyFont="1" applyProtection="1">
      <protection hidden="1"/>
    </xf>
    <xf numFmtId="0" fontId="29" fillId="0" borderId="0" xfId="5" applyNumberFormat="1" applyFont="1" applyProtection="1">
      <protection hidden="1"/>
    </xf>
    <xf numFmtId="0" fontId="29" fillId="0" borderId="0" xfId="0" applyNumberFormat="1" applyFont="1" applyAlignment="1" applyProtection="1">
      <alignment horizontal="left"/>
      <protection hidden="1"/>
    </xf>
    <xf numFmtId="0" fontId="28" fillId="0" borderId="0" xfId="0" applyNumberFormat="1" applyFont="1" applyAlignment="1" applyProtection="1">
      <alignment horizontal="left"/>
      <protection hidden="1"/>
    </xf>
    <xf numFmtId="0" fontId="29" fillId="0" borderId="0" xfId="1" applyNumberFormat="1" applyFont="1" applyAlignment="1" applyProtection="1">
      <alignment horizontal="left"/>
      <protection hidden="1"/>
    </xf>
    <xf numFmtId="0" fontId="28" fillId="0" borderId="0" xfId="1" applyNumberFormat="1" applyFont="1" applyAlignment="1" applyProtection="1">
      <alignment horizontal="left"/>
      <protection hidden="1"/>
    </xf>
    <xf numFmtId="0" fontId="28" fillId="2" borderId="1" xfId="1" applyNumberFormat="1" applyFont="1" applyFill="1" applyBorder="1" applyAlignment="1" applyProtection="1">
      <alignment horizontal="left"/>
      <protection hidden="1"/>
    </xf>
    <xf numFmtId="0" fontId="28" fillId="2" borderId="26" xfId="1" applyNumberFormat="1" applyFont="1" applyFill="1" applyBorder="1" applyProtection="1">
      <protection hidden="1"/>
    </xf>
    <xf numFmtId="0" fontId="28" fillId="2" borderId="27" xfId="1" applyNumberFormat="1" applyFont="1" applyFill="1" applyBorder="1" applyProtection="1">
      <protection hidden="1"/>
    </xf>
    <xf numFmtId="165" fontId="29" fillId="2" borderId="1" xfId="5" applyNumberFormat="1" applyFont="1" applyFill="1" applyBorder="1" applyProtection="1">
      <protection hidden="1"/>
    </xf>
    <xf numFmtId="0" fontId="32" fillId="0" borderId="0" xfId="0" applyFont="1"/>
    <xf numFmtId="0" fontId="30" fillId="0" borderId="0" xfId="0" applyNumberFormat="1" applyFont="1" applyAlignment="1" applyProtection="1">
      <alignment horizontal="left"/>
      <protection hidden="1"/>
    </xf>
    <xf numFmtId="0" fontId="30" fillId="0" borderId="0" xfId="1" applyNumberFormat="1" applyFont="1" applyProtection="1">
      <protection hidden="1"/>
    </xf>
    <xf numFmtId="0" fontId="31" fillId="2" borderId="1" xfId="1" applyNumberFormat="1" applyFont="1" applyFill="1" applyBorder="1" applyAlignment="1" applyProtection="1">
      <alignment horizontal="left"/>
      <protection hidden="1"/>
    </xf>
    <xf numFmtId="0" fontId="1" fillId="0" borderId="0" xfId="0" applyFont="1" applyAlignment="1" applyProtection="1">
      <alignment horizontal="justify"/>
      <protection hidden="1"/>
    </xf>
    <xf numFmtId="0" fontId="35" fillId="0" borderId="0" xfId="0" applyFont="1" applyAlignment="1" applyProtection="1">
      <alignment horizontal="left" wrapText="1"/>
      <protection hidden="1"/>
    </xf>
    <xf numFmtId="0" fontId="37" fillId="0" borderId="0" xfId="3"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35"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35"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8" fillId="0" borderId="0" xfId="0" applyFont="1" applyAlignment="1" applyProtection="1">
      <alignment horizontal="justify" wrapText="1"/>
      <protection hidden="1"/>
    </xf>
    <xf numFmtId="0" fontId="39" fillId="0" borderId="0" xfId="0" applyFont="1" applyAlignment="1" applyProtection="1">
      <alignment horizontal="left" wrapText="1"/>
      <protection hidden="1"/>
    </xf>
    <xf numFmtId="0" fontId="36" fillId="0" borderId="0" xfId="3" applyFont="1" applyAlignment="1" applyProtection="1">
      <alignment horizontal="left" vertical="center" wrapText="1"/>
    </xf>
    <xf numFmtId="0" fontId="7" fillId="6" borderId="21" xfId="1" applyNumberFormat="1" applyFont="1" applyFill="1" applyBorder="1" applyAlignment="1" applyProtection="1">
      <alignment horizontal="left"/>
      <protection hidden="1"/>
    </xf>
    <xf numFmtId="0" fontId="7" fillId="6" borderId="22" xfId="1" applyNumberFormat="1" applyFont="1" applyFill="1" applyBorder="1" applyAlignment="1" applyProtection="1">
      <alignment horizontal="left"/>
      <protection hidden="1"/>
    </xf>
    <xf numFmtId="0" fontId="7" fillId="6" borderId="12" xfId="1" applyNumberFormat="1" applyFont="1" applyFill="1" applyBorder="1" applyAlignment="1" applyProtection="1">
      <alignment horizontal="left"/>
      <protection hidden="1"/>
    </xf>
    <xf numFmtId="166" fontId="6" fillId="3" borderId="21" xfId="2" applyNumberFormat="1" applyFont="1" applyFill="1" applyBorder="1" applyAlignment="1" applyProtection="1">
      <alignment horizontal="center" vertical="center"/>
      <protection hidden="1"/>
    </xf>
    <xf numFmtId="166" fontId="6" fillId="3" borderId="22" xfId="2" applyNumberFormat="1" applyFont="1" applyFill="1" applyBorder="1" applyAlignment="1" applyProtection="1">
      <alignment horizontal="center" vertical="center"/>
      <protection hidden="1"/>
    </xf>
    <xf numFmtId="166" fontId="6" fillId="3" borderId="12" xfId="2" applyNumberFormat="1" applyFont="1" applyFill="1" applyBorder="1" applyAlignment="1" applyProtection="1">
      <alignment horizontal="center" vertical="center"/>
      <protection hidden="1"/>
    </xf>
    <xf numFmtId="43" fontId="6" fillId="3" borderId="21" xfId="2" applyFont="1" applyFill="1" applyBorder="1" applyAlignment="1" applyProtection="1">
      <alignment horizontal="center" vertical="center"/>
      <protection hidden="1"/>
    </xf>
    <xf numFmtId="43" fontId="6" fillId="3" borderId="22" xfId="2" applyFont="1" applyFill="1" applyBorder="1" applyAlignment="1" applyProtection="1">
      <alignment horizontal="center" vertical="center"/>
      <protection hidden="1"/>
    </xf>
    <xf numFmtId="43" fontId="6" fillId="3" borderId="12" xfId="2" applyFont="1" applyFill="1" applyBorder="1" applyAlignment="1" applyProtection="1">
      <alignment horizontal="center" vertical="center"/>
      <protection hidden="1"/>
    </xf>
    <xf numFmtId="0" fontId="6" fillId="5" borderId="21" xfId="7" applyFont="1" applyFill="1" applyBorder="1" applyAlignment="1" applyProtection="1">
      <alignment horizontal="center"/>
      <protection hidden="1"/>
    </xf>
    <xf numFmtId="0" fontId="6" fillId="5" borderId="22" xfId="7" applyFont="1" applyFill="1" applyBorder="1" applyAlignment="1" applyProtection="1">
      <alignment horizontal="center"/>
      <protection hidden="1"/>
    </xf>
    <xf numFmtId="0" fontId="6" fillId="5" borderId="12" xfId="7" applyFont="1" applyFill="1" applyBorder="1" applyAlignment="1" applyProtection="1">
      <alignment horizontal="center"/>
      <protection hidden="1"/>
    </xf>
  </cellXfs>
  <cellStyles count="8">
    <cellStyle name="Comma" xfId="1" builtinId="3"/>
    <cellStyle name="Comma 2" xfId="2" xr:uid="{00000000-0005-0000-0000-000001000000}"/>
    <cellStyle name="Hyperlink" xfId="3" builtinId="8"/>
    <cellStyle name="Normal" xfId="0" builtinId="0" customBuiltin="1"/>
    <cellStyle name="Normal 2" xfId="4" xr:uid="{00000000-0005-0000-0000-000004000000}"/>
    <cellStyle name="Normal 3" xfId="7" xr:uid="{00000000-0005-0000-0000-000005000000}"/>
    <cellStyle name="Percent" xfId="5" builtinId="5"/>
    <cellStyle name="Percent 2" xfId="6" xr:uid="{00000000-0005-0000-0000-000007000000}"/>
  </cellStyles>
  <dxfs count="4">
    <dxf>
      <font>
        <b/>
        <i val="0"/>
        <color theme="0"/>
      </font>
      <fill>
        <patternFill>
          <bgColor rgb="FFFF6600"/>
        </patternFill>
      </fill>
    </dxf>
    <dxf>
      <font>
        <b/>
        <i val="0"/>
        <color theme="0"/>
      </font>
      <fill>
        <patternFill>
          <bgColor rgb="FFFF6600"/>
        </patternFill>
      </fill>
      <border>
        <left style="thin">
          <color auto="1"/>
        </left>
        <right style="thin">
          <color auto="1"/>
        </right>
        <top style="thin">
          <color auto="1"/>
        </top>
        <bottom style="thin">
          <color auto="1"/>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6600"/>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43"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budget-vs-actual-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E3DA73F0-71FE-47F8-815A-3415506AEC16}"/>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10CE8E8C-685F-4FB6-86DC-43A978C2363F}"/>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8855215D-EB18-4423-A2EB-F8D7F9635DB9}"/>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71635273-F9CF-4CA6-908E-FBC7D16BBBC4}"/>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EED30E4B-0854-457B-8BA9-91A3B0C477A6}"/>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AA7B14C8-B1A1-4E39-A966-3906E065500F}"/>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CF WEEKLY - FORECAST VS ACTUAL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compile a cash flow forecast for a 52 week period and to compare the cash flow forecast to actual results on a weekly, quarterly and year-to-date basis. The template includes a weekly income statement, cash flow statement and balance sheet. The cash flow projections are based on weekly turnover, gross profit and expense values that are entered by the user as well as a number of default assumptions which are used to create an automated balance sheet. The actual results are compiled from the actual account balances that are entered or copied into the template.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B7680D22-63C1-4FF7-9978-A85EFD900EE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AE364BA0-8BF4-4B46-BA84-BF047E5D01A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B73E6672-CD41-4522-AA5C-9A65382B39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304800</xdr:colOff>
      <xdr:row>4</xdr:row>
      <xdr:rowOff>135033</xdr:rowOff>
    </xdr:from>
    <xdr:ext cx="2788920" cy="1114490"/>
    <xdr:sp macro="" textlink="">
      <xdr:nvSpPr>
        <xdr:cNvPr id="10" name="Rectangle 17">
          <a:extLst>
            <a:ext uri="{FF2B5EF4-FFF2-40B4-BE49-F238E27FC236}">
              <a16:creationId xmlns:a16="http://schemas.microsoft.com/office/drawing/2014/main" id="{5D7D5E8E-2DFB-4ECF-BBAC-0E1DE68616DD}"/>
            </a:ext>
          </a:extLst>
        </xdr:cNvPr>
        <xdr:cNvSpPr>
          <a:spLocks noChangeArrowheads="1"/>
        </xdr:cNvSpPr>
      </xdr:nvSpPr>
      <xdr:spPr bwMode="auto">
        <a:xfrm>
          <a:off x="7833360" y="881793"/>
          <a:ext cx="27889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200525</xdr:colOff>
      <xdr:row>4</xdr:row>
      <xdr:rowOff>96398</xdr:rowOff>
    </xdr:from>
    <xdr:ext cx="6328611" cy="1692982"/>
    <xdr:sp macro="" textlink="">
      <xdr:nvSpPr>
        <xdr:cNvPr id="3" name="Rectangle 17">
          <a:extLst>
            <a:ext uri="{FF2B5EF4-FFF2-40B4-BE49-F238E27FC236}">
              <a16:creationId xmlns:a16="http://schemas.microsoft.com/office/drawing/2014/main" id="{588B24CA-5FD6-40D1-B346-93EA9CF8D9F7}"/>
            </a:ext>
          </a:extLst>
        </xdr:cNvPr>
        <xdr:cNvSpPr>
          <a:spLocks noChangeArrowheads="1"/>
        </xdr:cNvSpPr>
      </xdr:nvSpPr>
      <xdr:spPr bwMode="auto">
        <a:xfrm>
          <a:off x="4106778" y="898503"/>
          <a:ext cx="632861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weekly cash flow forecast calculations. The reporting periods included on the weekly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32082</xdr:colOff>
      <xdr:row>10</xdr:row>
      <xdr:rowOff>32301</xdr:rowOff>
    </xdr:from>
    <xdr:ext cx="6280488" cy="1885342"/>
    <xdr:sp macro="" textlink="">
      <xdr:nvSpPr>
        <xdr:cNvPr id="4" name="Rectangle 17">
          <a:extLst>
            <a:ext uri="{FF2B5EF4-FFF2-40B4-BE49-F238E27FC236}">
              <a16:creationId xmlns:a16="http://schemas.microsoft.com/office/drawing/2014/main" id="{C6D7C989-F548-4D53-8E94-8133B4D3A888}"/>
            </a:ext>
          </a:extLst>
        </xdr:cNvPr>
        <xdr:cNvSpPr>
          <a:spLocks noChangeArrowheads="1"/>
        </xdr:cNvSpPr>
      </xdr:nvSpPr>
      <xdr:spPr bwMode="auto">
        <a:xfrm>
          <a:off x="4315324" y="2069648"/>
          <a:ext cx="628048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weekly income statement for a 52 week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relate to automated balance sheet calculations for sales tax, trade receivables and trade payables. The weekly reporting periods are determined based on the start date specified at the top of the “Assumptions” sheet.</a:t>
          </a:r>
        </a:p>
      </xdr:txBody>
    </xdr:sp>
    <xdr:clientData fLocksWithSheet="0" fPrintsWithSheet="0"/>
  </xdr:oneCellAnchor>
  <xdr:oneCellAnchor>
    <xdr:from>
      <xdr:col>3</xdr:col>
      <xdr:colOff>72191</xdr:colOff>
      <xdr:row>72</xdr:row>
      <xdr:rowOff>80065</xdr:rowOff>
    </xdr:from>
    <xdr:ext cx="4965030" cy="1500622"/>
    <xdr:sp macro="" textlink="">
      <xdr:nvSpPr>
        <xdr:cNvPr id="5" name="Rectangle 17">
          <a:extLst>
            <a:ext uri="{FF2B5EF4-FFF2-40B4-BE49-F238E27FC236}">
              <a16:creationId xmlns:a16="http://schemas.microsoft.com/office/drawing/2014/main" id="{777F3C31-C845-4FBF-8AC5-050D7696F7CE}"/>
            </a:ext>
          </a:extLst>
        </xdr:cNvPr>
        <xdr:cNvSpPr>
          <a:spLocks noChangeArrowheads="1"/>
        </xdr:cNvSpPr>
      </xdr:nvSpPr>
      <xdr:spPr bwMode="auto">
        <a:xfrm>
          <a:off x="4355433" y="14582128"/>
          <a:ext cx="496503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a weekly cash flow statement for a 52 week period. All the rows with yellow highlighting in column A require user input and all other rows are calculated automatically. The weekly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16042</xdr:colOff>
      <xdr:row>10</xdr:row>
      <xdr:rowOff>48199</xdr:rowOff>
    </xdr:from>
    <xdr:ext cx="5670884" cy="1500622"/>
    <xdr:sp macro="" textlink="">
      <xdr:nvSpPr>
        <xdr:cNvPr id="4" name="Rectangle 17">
          <a:extLst>
            <a:ext uri="{FF2B5EF4-FFF2-40B4-BE49-F238E27FC236}">
              <a16:creationId xmlns:a16="http://schemas.microsoft.com/office/drawing/2014/main" id="{256F3C2A-CF29-4745-B432-30FC71FF2BD2}"/>
            </a:ext>
          </a:extLst>
        </xdr:cNvPr>
        <xdr:cNvSpPr>
          <a:spLocks noChangeArrowheads="1"/>
        </xdr:cNvSpPr>
      </xdr:nvSpPr>
      <xdr:spPr bwMode="auto">
        <a:xfrm>
          <a:off x="3922295" y="2013357"/>
          <a:ext cx="567088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the weekly income statement for actual results. All the rows with yellow highlighting in column A require user input and all the other rows are calculated automatically. Actual results should be copied or entered onto this sheet at the end of each month in order to compare actual results to the cash flow forecast.</a:t>
          </a:r>
        </a:p>
      </xdr:txBody>
    </xdr:sp>
    <xdr:clientData fLocksWithSheet="0" fPrintsWithSheet="0"/>
  </xdr:oneCellAnchor>
  <xdr:oneCellAnchor>
    <xdr:from>
      <xdr:col>3</xdr:col>
      <xdr:colOff>56147</xdr:colOff>
      <xdr:row>72</xdr:row>
      <xdr:rowOff>56075</xdr:rowOff>
    </xdr:from>
    <xdr:ext cx="5807242" cy="1308261"/>
    <xdr:sp macro="" textlink="">
      <xdr:nvSpPr>
        <xdr:cNvPr id="5" name="Rectangle 17">
          <a:extLst>
            <a:ext uri="{FF2B5EF4-FFF2-40B4-BE49-F238E27FC236}">
              <a16:creationId xmlns:a16="http://schemas.microsoft.com/office/drawing/2014/main" id="{E7C17BAD-E5BF-40AC-A2D2-EED959AFC848}"/>
            </a:ext>
          </a:extLst>
        </xdr:cNvPr>
        <xdr:cNvSpPr>
          <a:spLocks noChangeArrowheads="1"/>
        </xdr:cNvSpPr>
      </xdr:nvSpPr>
      <xdr:spPr bwMode="auto">
        <a:xfrm>
          <a:off x="3962400" y="14060833"/>
          <a:ext cx="580724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includes the weekly cash flow statement for actual results. All the calculations on the cash flow statement are automated and calculated from the balance sheet for actual results except for the loan proceeds which need to be entered in the rows highlighted in yellow in column A.</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40104</xdr:colOff>
      <xdr:row>10</xdr:row>
      <xdr:rowOff>160492</xdr:rowOff>
    </xdr:from>
    <xdr:ext cx="5358065" cy="1500622"/>
    <xdr:sp macro="" textlink="">
      <xdr:nvSpPr>
        <xdr:cNvPr id="4" name="Rectangle 17">
          <a:extLst>
            <a:ext uri="{FF2B5EF4-FFF2-40B4-BE49-F238E27FC236}">
              <a16:creationId xmlns:a16="http://schemas.microsoft.com/office/drawing/2014/main" id="{11CC2B3E-F0DF-43A0-BEF9-4E972F0CF948}"/>
            </a:ext>
          </a:extLst>
        </xdr:cNvPr>
        <xdr:cNvSpPr>
          <a:spLocks noChangeArrowheads="1"/>
        </xdr:cNvSpPr>
      </xdr:nvSpPr>
      <xdr:spPr bwMode="auto">
        <a:xfrm>
          <a:off x="3617493" y="2197839"/>
          <a:ext cx="5358065"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weekly forecast balance sheet for a 52 week period. All the calculations on the forecast balance sheet are automated and no user input is required. The entire balance sheet is calculated based on the values on the weekly income statement and cash flow statement on the “Forecast” sheet.</a:t>
          </a:r>
        </a:p>
      </xdr:txBody>
    </xdr:sp>
    <xdr:clientData fLocksWithSheet="0" fPrintsWithSheet="0"/>
  </xdr:oneCellAnchor>
  <xdr:oneCellAnchor>
    <xdr:from>
      <xdr:col>3</xdr:col>
      <xdr:colOff>40105</xdr:colOff>
      <xdr:row>57</xdr:row>
      <xdr:rowOff>40106</xdr:rowOff>
    </xdr:from>
    <xdr:ext cx="6120064" cy="1500622"/>
    <xdr:sp macro="" textlink="">
      <xdr:nvSpPr>
        <xdr:cNvPr id="5" name="Rectangle 17">
          <a:extLst>
            <a:ext uri="{FF2B5EF4-FFF2-40B4-BE49-F238E27FC236}">
              <a16:creationId xmlns:a16="http://schemas.microsoft.com/office/drawing/2014/main" id="{47E401CB-B950-4F53-BDC3-004E0CB14A3E}"/>
            </a:ext>
          </a:extLst>
        </xdr:cNvPr>
        <xdr:cNvSpPr>
          <a:spLocks noChangeArrowheads="1"/>
        </xdr:cNvSpPr>
      </xdr:nvSpPr>
      <xdr:spPr bwMode="auto">
        <a:xfrm>
          <a:off x="3737810" y="11149264"/>
          <a:ext cx="6120064"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section contains a weekly balance sheet for the actual results. Most of the balance sheet items require user input and only the rows with light blue highlighting in column A are calculated. Actual balance sheet balances need to be entered or copied into the user input lines. The opening balances on the first column are based on the opening balance sheet balances on the “Assumptions”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40106</xdr:colOff>
      <xdr:row>12</xdr:row>
      <xdr:rowOff>48416</xdr:rowOff>
    </xdr:from>
    <xdr:ext cx="7772400" cy="2077703"/>
    <xdr:sp macro="" textlink="">
      <xdr:nvSpPr>
        <xdr:cNvPr id="3" name="Rectangle 17">
          <a:extLst>
            <a:ext uri="{FF2B5EF4-FFF2-40B4-BE49-F238E27FC236}">
              <a16:creationId xmlns:a16="http://schemas.microsoft.com/office/drawing/2014/main" id="{34FED935-EBED-46D0-AD1A-C92C41EC7F34}"/>
            </a:ext>
          </a:extLst>
        </xdr:cNvPr>
        <xdr:cNvSpPr>
          <a:spLocks noChangeArrowheads="1"/>
        </xdr:cNvSpPr>
      </xdr:nvSpPr>
      <xdr:spPr bwMode="auto">
        <a:xfrm>
          <a:off x="1114927" y="2575048"/>
          <a:ext cx="7772400" cy="2077703"/>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which are calculated based on the forecast balance sheet opening balances and loan terms specified in the template assumptions as well as the additional loan amounts entered on the forecast cash flow statement. The interest charges and capital repayment amounts of each amortization table are automatically included on the forecast income statement and cash flow statement. No user input is required on these sheets. The forecast section of the template therefore accommodates automated loan calculations based on four different sets of loan repayment terms. Note that interest &amp; loan repayments are calculated based on monthly repayments and included in the amortization tables based on the repayment day of the loans.</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1</xdr:col>
      <xdr:colOff>176465</xdr:colOff>
      <xdr:row>10</xdr:row>
      <xdr:rowOff>40252</xdr:rowOff>
    </xdr:from>
    <xdr:ext cx="6857998" cy="1692982"/>
    <xdr:sp macro="" textlink="">
      <xdr:nvSpPr>
        <xdr:cNvPr id="3" name="Rectangle 17">
          <a:extLst>
            <a:ext uri="{FF2B5EF4-FFF2-40B4-BE49-F238E27FC236}">
              <a16:creationId xmlns:a16="http://schemas.microsoft.com/office/drawing/2014/main" id="{372B7412-DA2B-45EF-B665-77B56B29D05A}"/>
            </a:ext>
          </a:extLst>
        </xdr:cNvPr>
        <xdr:cNvSpPr>
          <a:spLocks noChangeArrowheads="1"/>
        </xdr:cNvSpPr>
      </xdr:nvSpPr>
      <xdr:spPr bwMode="auto">
        <a:xfrm>
          <a:off x="3200402" y="2045515"/>
          <a:ext cx="6857998"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unique management report enables users to compare the actual account balances to the forecast account balances by simply selecting the appropriate weekly period at the top of the sheet. The report includes a detailed income statement, cash flow statement and balance sheet and can be used to compare the weekly, quarterly and year-to-date account balances. All the calculations on this sheet are automated and no user input aside from selecting the period is required on this sheet.</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53" customWidth="1"/>
    <col min="2" max="2" width="15.7109375" style="161" customWidth="1"/>
    <col min="3" max="8" width="13.7109375" style="17" customWidth="1"/>
    <col min="9" max="9" width="13.7109375" style="143" customWidth="1"/>
    <col min="10" max="13" width="15.7109375" style="17" customWidth="1"/>
    <col min="14" max="18" width="15.7109375" style="2" customWidth="1"/>
    <col min="19" max="16384" width="9.140625" style="2"/>
  </cols>
  <sheetData>
    <row r="1" spans="1:13" ht="16.149999999999999" customHeight="1" x14ac:dyDescent="0.25">
      <c r="A1" s="289" t="str">
        <f>IF(ISBLANK(Assumptions!$C$4),"Example Limited",Assumptions!$C$4)</f>
        <v>Example (Pty) Limited</v>
      </c>
      <c r="B1" s="142"/>
      <c r="D1" s="4"/>
      <c r="H1" s="95"/>
    </row>
    <row r="2" spans="1:13" ht="16.149999999999999" customHeight="1" x14ac:dyDescent="0.25">
      <c r="A2" s="144" t="s">
        <v>225</v>
      </c>
      <c r="B2" s="145"/>
    </row>
    <row r="3" spans="1:13" ht="16.149999999999999" customHeight="1" x14ac:dyDescent="0.25">
      <c r="A3" s="144"/>
      <c r="B3" s="145"/>
    </row>
    <row r="4" spans="1:13" ht="16.149999999999999" customHeight="1" x14ac:dyDescent="0.25">
      <c r="A4" s="146" t="s">
        <v>33</v>
      </c>
      <c r="B4" s="147">
        <f>Assumptions!$E$76</f>
        <v>0.125</v>
      </c>
      <c r="D4" s="148"/>
    </row>
    <row r="5" spans="1:13" ht="16.149999999999999" customHeight="1" x14ac:dyDescent="0.25">
      <c r="A5" s="149" t="s">
        <v>38</v>
      </c>
      <c r="B5" s="150">
        <f>Assumptions!$E$77</f>
        <v>5</v>
      </c>
      <c r="D5" s="151"/>
    </row>
    <row r="6" spans="1:13" ht="16.149999999999999" customHeight="1" x14ac:dyDescent="0.25">
      <c r="A6" s="149" t="s">
        <v>39</v>
      </c>
      <c r="B6" s="150" t="str">
        <f>Assumptions!$E$78</f>
        <v>No</v>
      </c>
      <c r="D6" s="152"/>
    </row>
    <row r="7" spans="1:13" ht="16.149999999999999" customHeight="1" x14ac:dyDescent="0.25">
      <c r="B7" s="154" t="s">
        <v>50</v>
      </c>
    </row>
    <row r="8" spans="1:13" s="160" customFormat="1" ht="25.5"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149999999999999" customHeight="1" x14ac:dyDescent="0.25">
      <c r="A9" s="146">
        <f ca="1">IF(ISBLANK(Assumptions!$C$5)=TRUE,DATE(YEAR(TODAY()),MONTH(TODAY()),1),DATE(YEAR(Assumptions!$C$5),MONTH(Assumptions!$C$5),DAY(Assumptions!$C$5)))</f>
        <v>43891</v>
      </c>
      <c r="B9" s="161">
        <f ca="1">IF(Assumptions!$E$79&gt;=DAY($A$9),DATE(YEAR(A9),MONTH(A9),IF(AND(MONTH($A$9)=2,Assumptions!$E$79&gt;28),28,Assumptions!$E$79)),DATE(YEAR(A9),MONTH(A9)+1,IF(AND(MONTH($A$9)=2,Assumptions!$E$79&gt;28),28,Assumptions!$E$79)))</f>
        <v>43891</v>
      </c>
      <c r="C9" s="162">
        <v>0</v>
      </c>
      <c r="D9" s="162">
        <f ca="1">-SUMIF(Assumptions!$A$81:$C$104,"LT3",Assumptions!$C$81:$C$104)</f>
        <v>0</v>
      </c>
      <c r="E9" s="162">
        <v>0</v>
      </c>
      <c r="F9" s="162">
        <v>0</v>
      </c>
      <c r="G9" s="163">
        <f t="shared" ref="G9:G61" si="0">IF($B$6="Yes",0,E9-F9)</f>
        <v>0</v>
      </c>
      <c r="H9" s="164">
        <f ca="1">IF(ROUND(SUM(C9:D9,-G9),0)=0,0,IF($B$6="Yes",SUM($D$9:D9),SUM(C9:D9,-G9)))</f>
        <v>0</v>
      </c>
      <c r="I9" s="143" t="str">
        <f>"-"</f>
        <v>-</v>
      </c>
      <c r="J9" s="162"/>
      <c r="K9" s="162"/>
      <c r="L9" s="162"/>
      <c r="M9" s="162"/>
    </row>
    <row r="10" spans="1:13" s="107" customFormat="1" ht="16.149999999999999" customHeight="1" x14ac:dyDescent="0.25">
      <c r="A10" s="146">
        <f ca="1">IF(ISBLANK(Assumptions!$C$5)=TRUE,DATE(YEAR(TODAY()),MONTH(TODAY()),7),DATE(YEAR(Assumptions!$C$5),MONTH(Assumptions!$C$5),DAY(Assumptions!$C$5)+6))</f>
        <v>43897</v>
      </c>
      <c r="B10" s="161">
        <f ca="1">IF(AND(B9&gt;A9,B9&lt;=A10),B9,DATE(YEAR(A10),MONTH(A10),IF(AND(MONTH(A10)=2,Assumptions!$E$79&gt;28),28,Assumptions!$E$79)))</f>
        <v>43891</v>
      </c>
      <c r="C10" s="162">
        <f ca="1">H9</f>
        <v>0</v>
      </c>
      <c r="D10" s="162">
        <f ca="1">IF(ISNA(MATCH($A10,Months,0))=TRUE,0,OFFSET(Forecast!$B$101,0,MATCH($A10,Months,0),1,1))</f>
        <v>0</v>
      </c>
      <c r="E10" s="163">
        <f ca="1">IF(AND(B10&gt;A9,B10&lt;=A10),IF($B$6="Yes",0,IF(ROW(D10)-ROW($D$9)&gt;$B$5*52,-PMT($B$4/12,$B$5*12,SUM(OFFSET(D10,0,0,-$B$5*12,1)),0,0),-PMT($B$4/12,$B$5*12,SUM(OFFSET(D10,0,0,ROW($D$8)-ROW(D10),1)),0,0))),0)</f>
        <v>0</v>
      </c>
      <c r="F10" s="163">
        <f ca="1">IF(AND(B10&gt;A9,B10&lt;=A10),(H9+D10)*$B$4/12,0)</f>
        <v>0</v>
      </c>
      <c r="G10" s="163">
        <f t="shared" ca="1" si="0"/>
        <v>0</v>
      </c>
      <c r="H10" s="164">
        <f ca="1">IF(ROUND(SUM(C10:D10,-G10),0)=0,0,IF($B$6="Yes",SUM($D$9:D10),SUM(C10:D10,-G10)))</f>
        <v>0</v>
      </c>
      <c r="I10" s="165" t="str">
        <f ca="1">IF(E10&gt;0,MAX(I$9:I9)+1,"-")</f>
        <v>-</v>
      </c>
      <c r="J10" s="162"/>
      <c r="K10" s="162"/>
      <c r="L10" s="162"/>
      <c r="M10" s="162"/>
    </row>
    <row r="11" spans="1:13" s="107" customFormat="1" ht="16.149999999999999" customHeight="1" x14ac:dyDescent="0.25">
      <c r="A11" s="146">
        <f ca="1">DATE(YEAR(A10),MONTH(A10),DAY(A10)+7)</f>
        <v>43904</v>
      </c>
      <c r="B11" s="161">
        <f ca="1">IF(AND(B10&gt;A10,B10&lt;=A11),B10,DATE(YEAR(A11),MONTH(A11),IF(AND(MONTH(A11)=2,Assumptions!$E$79&gt;28),28,Assumptions!$E$79)))</f>
        <v>43891</v>
      </c>
      <c r="C11" s="162">
        <f t="shared" ref="C11:C61" ca="1" si="1">H10</f>
        <v>0</v>
      </c>
      <c r="D11" s="162">
        <f ca="1">IF(ISNA(MATCH($A11,Months,0))=TRUE,0,OFFSET(Forecast!$B$101,0,MATCH($A11,Months,0),1,1))</f>
        <v>0</v>
      </c>
      <c r="E11" s="163">
        <f t="shared" ref="E11:E61" ca="1" si="2">IF(AND(B11&gt;A10,B11&lt;=A11),IF($B$6="Yes",0,IF(ROW(D11)-ROW($D$9)&gt;$B$5*52,-PMT($B$4/12,$B$5*12,SUM(OFFSET(D11,0,0,-$B$5*12,1)),0,0),-PMT($B$4/12,$B$5*12,SUM(OFFSET(D11,0,0,ROW($D$8)-ROW(D11),1)),0,0))),0)</f>
        <v>0</v>
      </c>
      <c r="F11" s="163">
        <f t="shared" ref="F11:F61" ca="1" si="3">IF(AND(B11&gt;A10,B11&lt;=A11),(H10+D11)*$B$4/12,0)</f>
        <v>0</v>
      </c>
      <c r="G11" s="163">
        <f t="shared" ca="1" si="0"/>
        <v>0</v>
      </c>
      <c r="H11" s="164">
        <f ca="1">IF(ROUND(SUM(C11:D11,-G11),0)=0,0,IF($B$6="Yes",SUM($D$9:D11),SUM(C11:D11,-G11)))</f>
        <v>0</v>
      </c>
      <c r="I11" s="165" t="str">
        <f ca="1">IF(E11&gt;0,MAX(I$9:I10)+1,"-")</f>
        <v>-</v>
      </c>
      <c r="J11" s="162"/>
      <c r="K11" s="162"/>
      <c r="L11" s="162"/>
      <c r="M11" s="162"/>
    </row>
    <row r="12" spans="1:13" s="107" customFormat="1" ht="16.149999999999999" customHeight="1" x14ac:dyDescent="0.25">
      <c r="A12" s="146">
        <f t="shared" ref="A12:A61" ca="1" si="4">DATE(YEAR(A11),MONTH(A11),DAY(A11)+7)</f>
        <v>43911</v>
      </c>
      <c r="B12" s="161">
        <f ca="1">IF(AND(B11&gt;A11,B11&lt;=A12),B11,DATE(YEAR(A12),MONTH(A12),IF(AND(MONTH(A12)=2,Assumptions!$E$79&gt;28),28,Assumptions!$E$79)))</f>
        <v>43891</v>
      </c>
      <c r="C12" s="162">
        <f t="shared" ca="1" si="1"/>
        <v>0</v>
      </c>
      <c r="D12" s="162">
        <f ca="1">IF(ISNA(MATCH($A12,Months,0))=TRUE,0,OFFSET(Forecast!$B$101,0,MATCH($A12,Months,0),1,1))</f>
        <v>0</v>
      </c>
      <c r="E12" s="163">
        <f t="shared" ca="1" si="2"/>
        <v>0</v>
      </c>
      <c r="F12" s="163">
        <f t="shared" ca="1" si="3"/>
        <v>0</v>
      </c>
      <c r="G12" s="163">
        <f t="shared" ca="1" si="0"/>
        <v>0</v>
      </c>
      <c r="H12" s="164">
        <f ca="1">IF(ROUND(SUM(C12:D12,-G12),0)=0,0,IF($B$6="Yes",SUM($D$9:D12),SUM(C12:D12,-G12)))</f>
        <v>0</v>
      </c>
      <c r="I12" s="165" t="str">
        <f ca="1">IF(E12&gt;0,MAX(I$9:I11)+1,"-")</f>
        <v>-</v>
      </c>
      <c r="J12" s="162"/>
      <c r="K12" s="162"/>
      <c r="L12" s="162"/>
      <c r="M12" s="162"/>
    </row>
    <row r="13" spans="1:13" s="107" customFormat="1" ht="16.149999999999999" customHeight="1" x14ac:dyDescent="0.25">
      <c r="A13" s="146">
        <f t="shared" ca="1" si="4"/>
        <v>43918</v>
      </c>
      <c r="B13" s="161">
        <f ca="1">IF(AND(B12&gt;A12,B12&lt;=A13),B12,DATE(YEAR(A13),MONTH(A13),IF(AND(MONTH(A13)=2,Assumptions!$E$79&gt;28),28,Assumptions!$E$79)))</f>
        <v>43891</v>
      </c>
      <c r="C13" s="162">
        <f t="shared" ca="1" si="1"/>
        <v>0</v>
      </c>
      <c r="D13" s="162">
        <f ca="1">IF(ISNA(MATCH($A13,Months,0))=TRUE,0,OFFSET(Forecast!$B$101,0,MATCH($A13,Months,0),1,1))</f>
        <v>0</v>
      </c>
      <c r="E13" s="163">
        <f t="shared" ca="1" si="2"/>
        <v>0</v>
      </c>
      <c r="F13" s="163">
        <f t="shared" ca="1" si="3"/>
        <v>0</v>
      </c>
      <c r="G13" s="163">
        <f t="shared" ca="1" si="0"/>
        <v>0</v>
      </c>
      <c r="H13" s="164">
        <f ca="1">IF(ROUND(SUM(C13:D13,-G13),0)=0,0,IF($B$6="Yes",SUM($D$9:D13),SUM(C13:D13,-G13)))</f>
        <v>0</v>
      </c>
      <c r="I13" s="165" t="str">
        <f ca="1">IF(E13&gt;0,MAX(I$9:I12)+1,"-")</f>
        <v>-</v>
      </c>
      <c r="J13" s="162"/>
      <c r="K13" s="162"/>
      <c r="L13" s="162"/>
      <c r="M13" s="162"/>
    </row>
    <row r="14" spans="1:13" s="107" customFormat="1" ht="16.149999999999999" customHeight="1" x14ac:dyDescent="0.25">
      <c r="A14" s="146">
        <f t="shared" ca="1" si="4"/>
        <v>43925</v>
      </c>
      <c r="B14" s="161">
        <f ca="1">IF(AND(B13&gt;A13,B13&lt;=A14),B13,DATE(YEAR(A14),MONTH(A14),IF(AND(MONTH(A14)=2,Assumptions!$E$79&gt;28),28,Assumptions!$E$79)))</f>
        <v>43922</v>
      </c>
      <c r="C14" s="162">
        <f t="shared" ca="1" si="1"/>
        <v>0</v>
      </c>
      <c r="D14" s="162">
        <f ca="1">IF(ISNA(MATCH($A14,Months,0))=TRUE,0,OFFSET(Forecast!$B$101,0,MATCH($A14,Months,0),1,1))</f>
        <v>0</v>
      </c>
      <c r="E14" s="163">
        <f t="shared" ca="1" si="2"/>
        <v>0</v>
      </c>
      <c r="F14" s="163">
        <f t="shared" ca="1" si="3"/>
        <v>0</v>
      </c>
      <c r="G14" s="163">
        <f t="shared" ca="1" si="0"/>
        <v>0</v>
      </c>
      <c r="H14" s="164">
        <f ca="1">IF(ROUND(SUM(C14:D14,-G14),0)=0,0,IF($B$6="Yes",SUM($D$9:D14),SUM(C14:D14,-G14)))</f>
        <v>0</v>
      </c>
      <c r="I14" s="165" t="str">
        <f ca="1">IF(E14&gt;0,MAX(I$9:I13)+1,"-")</f>
        <v>-</v>
      </c>
      <c r="J14" s="162"/>
      <c r="K14" s="162"/>
      <c r="L14" s="162"/>
      <c r="M14" s="162"/>
    </row>
    <row r="15" spans="1:13" s="107" customFormat="1" ht="16.149999999999999" customHeight="1" x14ac:dyDescent="0.25">
      <c r="A15" s="146">
        <f t="shared" ca="1" si="4"/>
        <v>43932</v>
      </c>
      <c r="B15" s="161">
        <f ca="1">IF(AND(B14&gt;A14,B14&lt;=A15),B14,DATE(YEAR(A15),MONTH(A15),IF(AND(MONTH(A15)=2,Assumptions!$E$79&gt;28),28,Assumptions!$E$79)))</f>
        <v>43922</v>
      </c>
      <c r="C15" s="162">
        <f t="shared" ca="1" si="1"/>
        <v>0</v>
      </c>
      <c r="D15" s="162">
        <f ca="1">IF(ISNA(MATCH($A15,Months,0))=TRUE,0,OFFSET(Forecast!$B$101,0,MATCH($A15,Months,0),1,1))</f>
        <v>0</v>
      </c>
      <c r="E15" s="163">
        <f t="shared" ca="1" si="2"/>
        <v>0</v>
      </c>
      <c r="F15" s="163">
        <f t="shared" ca="1" si="3"/>
        <v>0</v>
      </c>
      <c r="G15" s="163">
        <f t="shared" ca="1" si="0"/>
        <v>0</v>
      </c>
      <c r="H15" s="164">
        <f ca="1">IF(ROUND(SUM(C15:D15,-G15),0)=0,0,IF($B$6="Yes",SUM($D$9:D15),SUM(C15:D15,-G15)))</f>
        <v>0</v>
      </c>
      <c r="I15" s="165" t="str">
        <f ca="1">IF(E15&gt;0,MAX(I$9:I14)+1,"-")</f>
        <v>-</v>
      </c>
      <c r="J15" s="162"/>
      <c r="K15" s="162"/>
      <c r="L15" s="162"/>
      <c r="M15" s="162"/>
    </row>
    <row r="16" spans="1:13" s="107" customFormat="1" ht="16.149999999999999" customHeight="1" x14ac:dyDescent="0.25">
      <c r="A16" s="146">
        <f t="shared" ca="1" si="4"/>
        <v>43939</v>
      </c>
      <c r="B16" s="161">
        <f ca="1">IF(AND(B15&gt;A15,B15&lt;=A16),B15,DATE(YEAR(A16),MONTH(A16),IF(AND(MONTH(A16)=2,Assumptions!$E$79&gt;28),28,Assumptions!$E$79)))</f>
        <v>43922</v>
      </c>
      <c r="C16" s="162">
        <f t="shared" ca="1" si="1"/>
        <v>0</v>
      </c>
      <c r="D16" s="162">
        <f ca="1">IF(ISNA(MATCH($A16,Months,0))=TRUE,0,OFFSET(Forecast!$B$101,0,MATCH($A16,Months,0),1,1))</f>
        <v>0</v>
      </c>
      <c r="E16" s="163">
        <f t="shared" ca="1" si="2"/>
        <v>0</v>
      </c>
      <c r="F16" s="163">
        <f t="shared" ca="1" si="3"/>
        <v>0</v>
      </c>
      <c r="G16" s="163">
        <f t="shared" ca="1" si="0"/>
        <v>0</v>
      </c>
      <c r="H16" s="164">
        <f ca="1">IF(ROUND(SUM(C16:D16,-G16),0)=0,0,IF($B$6="Yes",SUM($D$9:D16),SUM(C16:D16,-G16)))</f>
        <v>0</v>
      </c>
      <c r="I16" s="165" t="str">
        <f ca="1">IF(E16&gt;0,MAX(I$9:I15)+1,"-")</f>
        <v>-</v>
      </c>
      <c r="J16" s="162"/>
      <c r="K16" s="162"/>
      <c r="L16" s="162"/>
      <c r="M16" s="162"/>
    </row>
    <row r="17" spans="1:13" s="107" customFormat="1" ht="16.149999999999999" customHeight="1" x14ac:dyDescent="0.25">
      <c r="A17" s="146">
        <f t="shared" ca="1" si="4"/>
        <v>43946</v>
      </c>
      <c r="B17" s="161">
        <f ca="1">IF(AND(B16&gt;A16,B16&lt;=A17),B16,DATE(YEAR(A17),MONTH(A17),IF(AND(MONTH(A17)=2,Assumptions!$E$79&gt;28),28,Assumptions!$E$79)))</f>
        <v>43922</v>
      </c>
      <c r="C17" s="162">
        <f t="shared" ca="1" si="1"/>
        <v>0</v>
      </c>
      <c r="D17" s="162">
        <f ca="1">IF(ISNA(MATCH($A17,Months,0))=TRUE,0,OFFSET(Forecast!$B$101,0,MATCH($A17,Months,0),1,1))</f>
        <v>0</v>
      </c>
      <c r="E17" s="163">
        <f t="shared" ca="1" si="2"/>
        <v>0</v>
      </c>
      <c r="F17" s="163">
        <f t="shared" ca="1" si="3"/>
        <v>0</v>
      </c>
      <c r="G17" s="163">
        <f t="shared" ca="1" si="0"/>
        <v>0</v>
      </c>
      <c r="H17" s="164">
        <f ca="1">IF(ROUND(SUM(C17:D17,-G17),0)=0,0,IF($B$6="Yes",SUM($D$9:D17),SUM(C17:D17,-G17)))</f>
        <v>0</v>
      </c>
      <c r="I17" s="165" t="str">
        <f ca="1">IF(E17&gt;0,MAX(I$9:I16)+1,"-")</f>
        <v>-</v>
      </c>
      <c r="J17" s="162"/>
      <c r="K17" s="162"/>
      <c r="L17" s="162"/>
      <c r="M17" s="162"/>
    </row>
    <row r="18" spans="1:13" s="107" customFormat="1" ht="16.149999999999999" customHeight="1" x14ac:dyDescent="0.25">
      <c r="A18" s="146">
        <f t="shared" ca="1" si="4"/>
        <v>43953</v>
      </c>
      <c r="B18" s="161">
        <f ca="1">IF(AND(B17&gt;A17,B17&lt;=A18),B17,DATE(YEAR(A18),MONTH(A18),IF(AND(MONTH(A18)=2,Assumptions!$E$79&gt;28),28,Assumptions!$E$79)))</f>
        <v>43952</v>
      </c>
      <c r="C18" s="162">
        <f t="shared" ca="1" si="1"/>
        <v>0</v>
      </c>
      <c r="D18" s="162">
        <f ca="1">IF(ISNA(MATCH($A18,Months,0))=TRUE,0,OFFSET(Forecast!$B$101,0,MATCH($A18,Months,0),1,1))</f>
        <v>0</v>
      </c>
      <c r="E18" s="163">
        <f t="shared" ca="1" si="2"/>
        <v>0</v>
      </c>
      <c r="F18" s="163">
        <f t="shared" ca="1" si="3"/>
        <v>0</v>
      </c>
      <c r="G18" s="163">
        <f t="shared" ca="1" si="0"/>
        <v>0</v>
      </c>
      <c r="H18" s="164">
        <f ca="1">IF(ROUND(SUM(C18:D18,-G18),0)=0,0,IF($B$6="Yes",SUM($D$9:D18),SUM(C18:D18,-G18)))</f>
        <v>0</v>
      </c>
      <c r="I18" s="165" t="str">
        <f ca="1">IF(E18&gt;0,MAX(I$9:I17)+1,"-")</f>
        <v>-</v>
      </c>
      <c r="J18" s="162"/>
      <c r="K18" s="162"/>
      <c r="L18" s="162"/>
      <c r="M18" s="162"/>
    </row>
    <row r="19" spans="1:13" s="107" customFormat="1" ht="16.149999999999999" customHeight="1" x14ac:dyDescent="0.25">
      <c r="A19" s="146">
        <f t="shared" ca="1" si="4"/>
        <v>43960</v>
      </c>
      <c r="B19" s="161">
        <f ca="1">IF(AND(B18&gt;A18,B18&lt;=A19),B18,DATE(YEAR(A19),MONTH(A19),IF(AND(MONTH(A19)=2,Assumptions!$E$79&gt;28),28,Assumptions!$E$79)))</f>
        <v>43952</v>
      </c>
      <c r="C19" s="162">
        <f t="shared" ca="1" si="1"/>
        <v>0</v>
      </c>
      <c r="D19" s="162">
        <f ca="1">IF(ISNA(MATCH($A19,Months,0))=TRUE,0,OFFSET(Forecast!$B$101,0,MATCH($A19,Months,0),1,1))</f>
        <v>0</v>
      </c>
      <c r="E19" s="163">
        <f t="shared" ca="1" si="2"/>
        <v>0</v>
      </c>
      <c r="F19" s="163">
        <f t="shared" ca="1" si="3"/>
        <v>0</v>
      </c>
      <c r="G19" s="163">
        <f t="shared" ca="1" si="0"/>
        <v>0</v>
      </c>
      <c r="H19" s="164">
        <f ca="1">IF(ROUND(SUM(C19:D19,-G19),0)=0,0,IF($B$6="Yes",SUM($D$9:D19),SUM(C19:D19,-G19)))</f>
        <v>0</v>
      </c>
      <c r="I19" s="165" t="str">
        <f ca="1">IF(E19&gt;0,MAX(I$9:I18)+1,"-")</f>
        <v>-</v>
      </c>
      <c r="J19" s="162"/>
      <c r="K19" s="162"/>
      <c r="L19" s="162"/>
      <c r="M19" s="162"/>
    </row>
    <row r="20" spans="1:13" ht="16.149999999999999" customHeight="1" x14ac:dyDescent="0.25">
      <c r="A20" s="146">
        <f t="shared" ca="1" si="4"/>
        <v>43967</v>
      </c>
      <c r="B20" s="161">
        <f ca="1">IF(AND(B19&gt;A19,B19&lt;=A20),B19,DATE(YEAR(A20),MONTH(A20),IF(AND(MONTH(A20)=2,Assumptions!$E$79&gt;28),28,Assumptions!$E$79)))</f>
        <v>43952</v>
      </c>
      <c r="C20" s="162">
        <f t="shared" ca="1" si="1"/>
        <v>0</v>
      </c>
      <c r="D20" s="162">
        <f ca="1">IF(ISNA(MATCH($A20,Months,0))=TRUE,0,OFFSET(Forecast!$B$101,0,MATCH($A20,Months,0),1,1))</f>
        <v>0</v>
      </c>
      <c r="E20" s="163">
        <f t="shared" ca="1" si="2"/>
        <v>0</v>
      </c>
      <c r="F20" s="163">
        <f t="shared" ca="1" si="3"/>
        <v>0</v>
      </c>
      <c r="G20" s="163">
        <f t="shared" ca="1" si="0"/>
        <v>0</v>
      </c>
      <c r="H20" s="164">
        <f ca="1">IF(ROUND(SUM(C20:D20,-G20),0)=0,0,IF($B$6="Yes",SUM($D$9:D20),SUM(C20:D20,-G20)))</f>
        <v>0</v>
      </c>
      <c r="I20" s="165" t="str">
        <f ca="1">IF(E20&gt;0,MAX(I$9:I19)+1,"-")</f>
        <v>-</v>
      </c>
    </row>
    <row r="21" spans="1:13" ht="16.149999999999999" customHeight="1" x14ac:dyDescent="0.25">
      <c r="A21" s="146">
        <f t="shared" ca="1" si="4"/>
        <v>43974</v>
      </c>
      <c r="B21" s="161">
        <f ca="1">IF(AND(B20&gt;A20,B20&lt;=A21),B20,DATE(YEAR(A21),MONTH(A21),IF(AND(MONTH(A21)=2,Assumptions!$E$79&gt;28),28,Assumptions!$E$79)))</f>
        <v>43952</v>
      </c>
      <c r="C21" s="162">
        <f t="shared" ca="1" si="1"/>
        <v>0</v>
      </c>
      <c r="D21" s="162">
        <f ca="1">IF(ISNA(MATCH($A21,Months,0))=TRUE,0,OFFSET(Forecast!$B$101,0,MATCH($A21,Months,0),1,1))</f>
        <v>0</v>
      </c>
      <c r="E21" s="163">
        <f t="shared" ca="1" si="2"/>
        <v>0</v>
      </c>
      <c r="F21" s="163">
        <f t="shared" ca="1" si="3"/>
        <v>0</v>
      </c>
      <c r="G21" s="163">
        <f t="shared" ca="1" si="0"/>
        <v>0</v>
      </c>
      <c r="H21" s="164">
        <f ca="1">IF(ROUND(SUM(C21:D21,-G21),0)=0,0,IF($B$6="Yes",SUM($D$9:D21),SUM(C21:D21,-G21)))</f>
        <v>0</v>
      </c>
      <c r="I21" s="165" t="str">
        <f ca="1">IF(E21&gt;0,MAX(I$9:I20)+1,"-")</f>
        <v>-</v>
      </c>
    </row>
    <row r="22" spans="1:13" ht="16.149999999999999" customHeight="1" x14ac:dyDescent="0.25">
      <c r="A22" s="146">
        <f t="shared" ca="1" si="4"/>
        <v>43981</v>
      </c>
      <c r="B22" s="161">
        <f ca="1">IF(AND(B21&gt;A21,B21&lt;=A22),B21,DATE(YEAR(A22),MONTH(A22),IF(AND(MONTH(A22)=2,Assumptions!$E$79&gt;28),28,Assumptions!$E$79)))</f>
        <v>43952</v>
      </c>
      <c r="C22" s="162">
        <f t="shared" ca="1" si="1"/>
        <v>0</v>
      </c>
      <c r="D22" s="162">
        <f ca="1">IF(ISNA(MATCH($A22,Months,0))=TRUE,0,OFFSET(Forecast!$B$101,0,MATCH($A22,Months,0),1,1))</f>
        <v>0</v>
      </c>
      <c r="E22" s="163">
        <f t="shared" ca="1" si="2"/>
        <v>0</v>
      </c>
      <c r="F22" s="163">
        <f t="shared" ca="1" si="3"/>
        <v>0</v>
      </c>
      <c r="G22" s="163">
        <f t="shared" ca="1" si="0"/>
        <v>0</v>
      </c>
      <c r="H22" s="164">
        <f ca="1">IF(ROUND(SUM(C22:D22,-G22),0)=0,0,IF($B$6="Yes",SUM($D$9:D22),SUM(C22:D22,-G22)))</f>
        <v>0</v>
      </c>
      <c r="I22" s="165" t="str">
        <f ca="1">IF(E22&gt;0,MAX(I$9:I21)+1,"-")</f>
        <v>-</v>
      </c>
    </row>
    <row r="23" spans="1:13" s="119" customFormat="1" ht="16.149999999999999" customHeight="1" x14ac:dyDescent="0.25">
      <c r="A23" s="146">
        <f t="shared" ca="1" si="4"/>
        <v>43988</v>
      </c>
      <c r="B23" s="161">
        <f ca="1">IF(AND(B22&gt;A22,B22&lt;=A23),B22,DATE(YEAR(A23),MONTH(A23),IF(AND(MONTH(A23)=2,Assumptions!$E$79&gt;28),28,Assumptions!$E$79)))</f>
        <v>43983</v>
      </c>
      <c r="C23" s="162">
        <f t="shared" ca="1" si="1"/>
        <v>0</v>
      </c>
      <c r="D23" s="162">
        <f ca="1">IF(ISNA(MATCH($A23,Months,0))=TRUE,0,OFFSET(Forecast!$B$101,0,MATCH($A23,Months,0),1,1))</f>
        <v>0</v>
      </c>
      <c r="E23" s="163">
        <f t="shared" ca="1" si="2"/>
        <v>0</v>
      </c>
      <c r="F23" s="163">
        <f t="shared" ca="1" si="3"/>
        <v>0</v>
      </c>
      <c r="G23" s="163">
        <f t="shared" ca="1" si="0"/>
        <v>0</v>
      </c>
      <c r="H23" s="164">
        <f ca="1">IF(ROUND(SUM(C23:D23,-G23),0)=0,0,IF($B$6="Yes",SUM($D$9:D23),SUM(C23:D23,-G23)))</f>
        <v>0</v>
      </c>
      <c r="I23" s="165" t="str">
        <f ca="1">IF(E23&gt;0,MAX(I$9:I22)+1,"-")</f>
        <v>-</v>
      </c>
      <c r="J23" s="166"/>
      <c r="K23" s="166"/>
      <c r="L23" s="166"/>
      <c r="M23" s="166"/>
    </row>
    <row r="24" spans="1:13" ht="16.149999999999999" customHeight="1" x14ac:dyDescent="0.25">
      <c r="A24" s="146">
        <f t="shared" ca="1" si="4"/>
        <v>43995</v>
      </c>
      <c r="B24" s="161">
        <f ca="1">IF(AND(B23&gt;A23,B23&lt;=A24),B23,DATE(YEAR(A24),MONTH(A24),IF(AND(MONTH(A24)=2,Assumptions!$E$79&gt;28),28,Assumptions!$E$79)))</f>
        <v>43983</v>
      </c>
      <c r="C24" s="162">
        <f t="shared" ca="1" si="1"/>
        <v>0</v>
      </c>
      <c r="D24" s="162">
        <f ca="1">IF(ISNA(MATCH($A24,Months,0))=TRUE,0,OFFSET(Forecast!$B$101,0,MATCH($A24,Months,0),1,1))</f>
        <v>0</v>
      </c>
      <c r="E24" s="163">
        <f t="shared" ca="1" si="2"/>
        <v>0</v>
      </c>
      <c r="F24" s="163">
        <f t="shared" ca="1" si="3"/>
        <v>0</v>
      </c>
      <c r="G24" s="163">
        <f t="shared" ca="1" si="0"/>
        <v>0</v>
      </c>
      <c r="H24" s="164">
        <f ca="1">IF(ROUND(SUM(C24:D24,-G24),0)=0,0,IF($B$6="Yes",SUM($D$9:D24),SUM(C24:D24,-G24)))</f>
        <v>0</v>
      </c>
      <c r="I24" s="165" t="str">
        <f ca="1">IF(E24&gt;0,MAX(I$9:I23)+1,"-")</f>
        <v>-</v>
      </c>
    </row>
    <row r="25" spans="1:13" ht="16.149999999999999" customHeight="1" x14ac:dyDescent="0.25">
      <c r="A25" s="146">
        <f t="shared" ca="1" si="4"/>
        <v>44002</v>
      </c>
      <c r="B25" s="161">
        <f ca="1">IF(AND(B24&gt;A24,B24&lt;=A25),B24,DATE(YEAR(A25),MONTH(A25),IF(AND(MONTH(A25)=2,Assumptions!$E$79&gt;28),28,Assumptions!$E$79)))</f>
        <v>43983</v>
      </c>
      <c r="C25" s="162">
        <f t="shared" ca="1" si="1"/>
        <v>0</v>
      </c>
      <c r="D25" s="162">
        <f ca="1">IF(ISNA(MATCH($A25,Months,0))=TRUE,0,OFFSET(Forecast!$B$101,0,MATCH($A25,Months,0),1,1))</f>
        <v>0</v>
      </c>
      <c r="E25" s="163">
        <f t="shared" ca="1" si="2"/>
        <v>0</v>
      </c>
      <c r="F25" s="163">
        <f t="shared" ca="1" si="3"/>
        <v>0</v>
      </c>
      <c r="G25" s="163">
        <f t="shared" ca="1" si="0"/>
        <v>0</v>
      </c>
      <c r="H25" s="164">
        <f ca="1">IF(ROUND(SUM(C25:D25,-G25),0)=0,0,IF($B$6="Yes",SUM($D$9:D25),SUM(C25:D25,-G25)))</f>
        <v>0</v>
      </c>
      <c r="I25" s="165" t="str">
        <f ca="1">IF(E25&gt;0,MAX(I$9:I24)+1,"-")</f>
        <v>-</v>
      </c>
    </row>
    <row r="26" spans="1:13" ht="16.149999999999999" customHeight="1" x14ac:dyDescent="0.25">
      <c r="A26" s="146">
        <f t="shared" ca="1" si="4"/>
        <v>44009</v>
      </c>
      <c r="B26" s="161">
        <f ca="1">IF(AND(B25&gt;A25,B25&lt;=A26),B25,DATE(YEAR(A26),MONTH(A26),IF(AND(MONTH(A26)=2,Assumptions!$E$79&gt;28),28,Assumptions!$E$79)))</f>
        <v>43983</v>
      </c>
      <c r="C26" s="162">
        <f t="shared" ca="1" si="1"/>
        <v>0</v>
      </c>
      <c r="D26" s="162">
        <f ca="1">IF(ISNA(MATCH($A26,Months,0))=TRUE,0,OFFSET(Forecast!$B$101,0,MATCH($A26,Months,0),1,1))</f>
        <v>0</v>
      </c>
      <c r="E26" s="163">
        <f t="shared" ca="1" si="2"/>
        <v>0</v>
      </c>
      <c r="F26" s="163">
        <f t="shared" ca="1" si="3"/>
        <v>0</v>
      </c>
      <c r="G26" s="163">
        <f t="shared" ca="1" si="0"/>
        <v>0</v>
      </c>
      <c r="H26" s="164">
        <f ca="1">IF(ROUND(SUM(C26:D26,-G26),0)=0,0,IF($B$6="Yes",SUM($D$9:D26),SUM(C26:D26,-G26)))</f>
        <v>0</v>
      </c>
      <c r="I26" s="165" t="str">
        <f ca="1">IF(E26&gt;0,MAX(I$9:I25)+1,"-")</f>
        <v>-</v>
      </c>
    </row>
    <row r="27" spans="1:13" ht="16.149999999999999" customHeight="1" x14ac:dyDescent="0.25">
      <c r="A27" s="146">
        <f t="shared" ca="1" si="4"/>
        <v>44016</v>
      </c>
      <c r="B27" s="161">
        <f ca="1">IF(AND(B26&gt;A26,B26&lt;=A27),B26,DATE(YEAR(A27),MONTH(A27),IF(AND(MONTH(A27)=2,Assumptions!$E$79&gt;28),28,Assumptions!$E$79)))</f>
        <v>44013</v>
      </c>
      <c r="C27" s="162">
        <f t="shared" ca="1" si="1"/>
        <v>0</v>
      </c>
      <c r="D27" s="162">
        <f ca="1">IF(ISNA(MATCH($A27,Months,0))=TRUE,0,OFFSET(Forecast!$B$101,0,MATCH($A27,Months,0),1,1))</f>
        <v>0</v>
      </c>
      <c r="E27" s="163">
        <f t="shared" ca="1" si="2"/>
        <v>0</v>
      </c>
      <c r="F27" s="163">
        <f t="shared" ca="1" si="3"/>
        <v>0</v>
      </c>
      <c r="G27" s="163">
        <f t="shared" ca="1" si="0"/>
        <v>0</v>
      </c>
      <c r="H27" s="164">
        <f ca="1">IF(ROUND(SUM(C27:D27,-G27),0)=0,0,IF($B$6="Yes",SUM($D$9:D27),SUM(C27:D27,-G27)))</f>
        <v>0</v>
      </c>
      <c r="I27" s="165" t="str">
        <f ca="1">IF(E27&gt;0,MAX(I$9:I26)+1,"-")</f>
        <v>-</v>
      </c>
    </row>
    <row r="28" spans="1:13" ht="16.149999999999999" customHeight="1" x14ac:dyDescent="0.25">
      <c r="A28" s="146">
        <f t="shared" ca="1" si="4"/>
        <v>44023</v>
      </c>
      <c r="B28" s="161">
        <f ca="1">IF(AND(B27&gt;A27,B27&lt;=A28),B27,DATE(YEAR(A28),MONTH(A28),IF(AND(MONTH(A28)=2,Assumptions!$E$79&gt;28),28,Assumptions!$E$79)))</f>
        <v>44013</v>
      </c>
      <c r="C28" s="162">
        <f t="shared" ca="1" si="1"/>
        <v>0</v>
      </c>
      <c r="D28" s="162">
        <f ca="1">IF(ISNA(MATCH($A28,Months,0))=TRUE,0,OFFSET(Forecast!$B$101,0,MATCH($A28,Months,0),1,1))</f>
        <v>0</v>
      </c>
      <c r="E28" s="163">
        <f t="shared" ca="1" si="2"/>
        <v>0</v>
      </c>
      <c r="F28" s="163">
        <f t="shared" ca="1" si="3"/>
        <v>0</v>
      </c>
      <c r="G28" s="163">
        <f t="shared" ca="1" si="0"/>
        <v>0</v>
      </c>
      <c r="H28" s="164">
        <f ca="1">IF(ROUND(SUM(C28:D28,-G28),0)=0,0,IF($B$6="Yes",SUM($D$9:D28),SUM(C28:D28,-G28)))</f>
        <v>0</v>
      </c>
      <c r="I28" s="165" t="str">
        <f ca="1">IF(E28&gt;0,MAX(I$9:I27)+1,"-")</f>
        <v>-</v>
      </c>
    </row>
    <row r="29" spans="1:13" ht="16.149999999999999" customHeight="1" x14ac:dyDescent="0.25">
      <c r="A29" s="146">
        <f t="shared" ca="1" si="4"/>
        <v>44030</v>
      </c>
      <c r="B29" s="161">
        <f ca="1">IF(AND(B28&gt;A28,B28&lt;=A29),B28,DATE(YEAR(A29),MONTH(A29),IF(AND(MONTH(A29)=2,Assumptions!$E$79&gt;28),28,Assumptions!$E$79)))</f>
        <v>44013</v>
      </c>
      <c r="C29" s="162">
        <f t="shared" ca="1" si="1"/>
        <v>0</v>
      </c>
      <c r="D29" s="162">
        <f ca="1">IF(ISNA(MATCH($A29,Months,0))=TRUE,0,OFFSET(Forecast!$B$101,0,MATCH($A29,Months,0),1,1))</f>
        <v>0</v>
      </c>
      <c r="E29" s="163">
        <f t="shared" ca="1" si="2"/>
        <v>0</v>
      </c>
      <c r="F29" s="163">
        <f t="shared" ca="1" si="3"/>
        <v>0</v>
      </c>
      <c r="G29" s="163">
        <f t="shared" ca="1" si="0"/>
        <v>0</v>
      </c>
      <c r="H29" s="164">
        <f ca="1">IF(ROUND(SUM(C29:D29,-G29),0)=0,0,IF($B$6="Yes",SUM($D$9:D29),SUM(C29:D29,-G29)))</f>
        <v>0</v>
      </c>
      <c r="I29" s="165" t="str">
        <f ca="1">IF(E29&gt;0,MAX(I$9:I28)+1,"-")</f>
        <v>-</v>
      </c>
    </row>
    <row r="30" spans="1:13" ht="16.149999999999999" customHeight="1" x14ac:dyDescent="0.25">
      <c r="A30" s="146">
        <f t="shared" ca="1" si="4"/>
        <v>44037</v>
      </c>
      <c r="B30" s="161">
        <f ca="1">IF(AND(B29&gt;A29,B29&lt;=A30),B29,DATE(YEAR(A30),MONTH(A30),IF(AND(MONTH(A30)=2,Assumptions!$E$79&gt;28),28,Assumptions!$E$79)))</f>
        <v>44013</v>
      </c>
      <c r="C30" s="162">
        <f t="shared" ca="1" si="1"/>
        <v>0</v>
      </c>
      <c r="D30" s="162">
        <f ca="1">IF(ISNA(MATCH($A30,Months,0))=TRUE,0,OFFSET(Forecast!$B$101,0,MATCH($A30,Months,0),1,1))</f>
        <v>0</v>
      </c>
      <c r="E30" s="163">
        <f t="shared" ca="1" si="2"/>
        <v>0</v>
      </c>
      <c r="F30" s="163">
        <f t="shared" ca="1" si="3"/>
        <v>0</v>
      </c>
      <c r="G30" s="163">
        <f t="shared" ca="1" si="0"/>
        <v>0</v>
      </c>
      <c r="H30" s="164">
        <f ca="1">IF(ROUND(SUM(C30:D30,-G30),0)=0,0,IF($B$6="Yes",SUM($D$9:D30),SUM(C30:D30,-G30)))</f>
        <v>0</v>
      </c>
      <c r="I30" s="165" t="str">
        <f ca="1">IF(E30&gt;0,MAX(I$9:I29)+1,"-")</f>
        <v>-</v>
      </c>
    </row>
    <row r="31" spans="1:13" ht="16.149999999999999" customHeight="1" x14ac:dyDescent="0.25">
      <c r="A31" s="146">
        <f t="shared" ca="1" si="4"/>
        <v>44044</v>
      </c>
      <c r="B31" s="161">
        <f ca="1">IF(AND(B30&gt;A30,B30&lt;=A31),B30,DATE(YEAR(A31),MONTH(A31),IF(AND(MONTH(A31)=2,Assumptions!$E$79&gt;28),28,Assumptions!$E$79)))</f>
        <v>44044</v>
      </c>
      <c r="C31" s="162">
        <f t="shared" ca="1" si="1"/>
        <v>0</v>
      </c>
      <c r="D31" s="162">
        <f ca="1">IF(ISNA(MATCH($A31,Months,0))=TRUE,0,OFFSET(Forecast!$B$101,0,MATCH($A31,Months,0),1,1))</f>
        <v>0</v>
      </c>
      <c r="E31" s="163">
        <f t="shared" ca="1" si="2"/>
        <v>0</v>
      </c>
      <c r="F31" s="163">
        <f t="shared" ca="1" si="3"/>
        <v>0</v>
      </c>
      <c r="G31" s="163">
        <f t="shared" ca="1" si="0"/>
        <v>0</v>
      </c>
      <c r="H31" s="164">
        <f ca="1">IF(ROUND(SUM(C31:D31,-G31),0)=0,0,IF($B$6="Yes",SUM($D$9:D31),SUM(C31:D31,-G31)))</f>
        <v>0</v>
      </c>
      <c r="I31" s="165" t="str">
        <f ca="1">IF(E31&gt;0,MAX(I$9:I30)+1,"-")</f>
        <v>-</v>
      </c>
    </row>
    <row r="32" spans="1:13" ht="16.149999999999999" customHeight="1" x14ac:dyDescent="0.25">
      <c r="A32" s="146">
        <f t="shared" ca="1" si="4"/>
        <v>44051</v>
      </c>
      <c r="B32" s="161">
        <f ca="1">IF(AND(B31&gt;A31,B31&lt;=A32),B31,DATE(YEAR(A32),MONTH(A32),IF(AND(MONTH(A32)=2,Assumptions!$E$79&gt;28),28,Assumptions!$E$79)))</f>
        <v>44044</v>
      </c>
      <c r="C32" s="162">
        <f t="shared" ca="1" si="1"/>
        <v>0</v>
      </c>
      <c r="D32" s="162">
        <f ca="1">IF(ISNA(MATCH($A32,Months,0))=TRUE,0,OFFSET(Forecast!$B$101,0,MATCH($A32,Months,0),1,1))</f>
        <v>0</v>
      </c>
      <c r="E32" s="163">
        <f t="shared" ca="1" si="2"/>
        <v>0</v>
      </c>
      <c r="F32" s="163">
        <f t="shared" ca="1" si="3"/>
        <v>0</v>
      </c>
      <c r="G32" s="163">
        <f t="shared" ca="1" si="0"/>
        <v>0</v>
      </c>
      <c r="H32" s="164">
        <f ca="1">IF(ROUND(SUM(C32:D32,-G32),0)=0,0,IF($B$6="Yes",SUM($D$9:D32),SUM(C32:D32,-G32)))</f>
        <v>0</v>
      </c>
      <c r="I32" s="165" t="str">
        <f ca="1">IF(E32&gt;0,MAX(I$9:I31)+1,"-")</f>
        <v>-</v>
      </c>
    </row>
    <row r="33" spans="1:9" ht="16.149999999999999" customHeight="1" x14ac:dyDescent="0.25">
      <c r="A33" s="146">
        <f t="shared" ca="1" si="4"/>
        <v>44058</v>
      </c>
      <c r="B33" s="161">
        <f ca="1">IF(AND(B32&gt;A32,B32&lt;=A33),B32,DATE(YEAR(A33),MONTH(A33),IF(AND(MONTH(A33)=2,Assumptions!$E$79&gt;28),28,Assumptions!$E$79)))</f>
        <v>44044</v>
      </c>
      <c r="C33" s="162">
        <f t="shared" ca="1" si="1"/>
        <v>0</v>
      </c>
      <c r="D33" s="162">
        <f ca="1">IF(ISNA(MATCH($A33,Months,0))=TRUE,0,OFFSET(Forecast!$B$101,0,MATCH($A33,Months,0),1,1))</f>
        <v>0</v>
      </c>
      <c r="E33" s="163">
        <f t="shared" ca="1" si="2"/>
        <v>0</v>
      </c>
      <c r="F33" s="163">
        <f t="shared" ca="1" si="3"/>
        <v>0</v>
      </c>
      <c r="G33" s="163">
        <f t="shared" ca="1" si="0"/>
        <v>0</v>
      </c>
      <c r="H33" s="164">
        <f ca="1">IF(ROUND(SUM(C33:D33,-G33),0)=0,0,IF($B$6="Yes",SUM($D$9:D33),SUM(C33:D33,-G33)))</f>
        <v>0</v>
      </c>
      <c r="I33" s="165" t="str">
        <f ca="1">IF(E33&gt;0,MAX(I$9:I32)+1,"-")</f>
        <v>-</v>
      </c>
    </row>
    <row r="34" spans="1:9" ht="16.149999999999999" customHeight="1" x14ac:dyDescent="0.25">
      <c r="A34" s="146">
        <f t="shared" ca="1" si="4"/>
        <v>44065</v>
      </c>
      <c r="B34" s="161">
        <f ca="1">IF(AND(B33&gt;A33,B33&lt;=A34),B33,DATE(YEAR(A34),MONTH(A34),IF(AND(MONTH(A34)=2,Assumptions!$E$79&gt;28),28,Assumptions!$E$79)))</f>
        <v>44044</v>
      </c>
      <c r="C34" s="162">
        <f t="shared" ca="1" si="1"/>
        <v>0</v>
      </c>
      <c r="D34" s="162">
        <f ca="1">IF(ISNA(MATCH($A34,Months,0))=TRUE,0,OFFSET(Forecast!$B$101,0,MATCH($A34,Months,0),1,1))</f>
        <v>0</v>
      </c>
      <c r="E34" s="163">
        <f t="shared" ca="1" si="2"/>
        <v>0</v>
      </c>
      <c r="F34" s="163">
        <f t="shared" ca="1" si="3"/>
        <v>0</v>
      </c>
      <c r="G34" s="163">
        <f t="shared" ca="1" si="0"/>
        <v>0</v>
      </c>
      <c r="H34" s="164">
        <f ca="1">IF(ROUND(SUM(C34:D34,-G34),0)=0,0,IF($B$6="Yes",SUM($D$9:D34),SUM(C34:D34,-G34)))</f>
        <v>0</v>
      </c>
      <c r="I34" s="165" t="str">
        <f ca="1">IF(E34&gt;0,MAX(I$9:I33)+1,"-")</f>
        <v>-</v>
      </c>
    </row>
    <row r="35" spans="1:9" ht="16.149999999999999" customHeight="1" x14ac:dyDescent="0.25">
      <c r="A35" s="146">
        <f t="shared" ca="1" si="4"/>
        <v>44072</v>
      </c>
      <c r="B35" s="161">
        <f ca="1">IF(AND(B34&gt;A34,B34&lt;=A35),B34,DATE(YEAR(A35),MONTH(A35),IF(AND(MONTH(A35)=2,Assumptions!$E$79&gt;28),28,Assumptions!$E$79)))</f>
        <v>44044</v>
      </c>
      <c r="C35" s="162">
        <f t="shared" ca="1" si="1"/>
        <v>0</v>
      </c>
      <c r="D35" s="162">
        <f ca="1">IF(ISNA(MATCH($A35,Months,0))=TRUE,0,OFFSET(Forecast!$B$101,0,MATCH($A35,Months,0),1,1))</f>
        <v>0</v>
      </c>
      <c r="E35" s="163">
        <f t="shared" ca="1" si="2"/>
        <v>0</v>
      </c>
      <c r="F35" s="163">
        <f t="shared" ca="1" si="3"/>
        <v>0</v>
      </c>
      <c r="G35" s="163">
        <f t="shared" ca="1" si="0"/>
        <v>0</v>
      </c>
      <c r="H35" s="164">
        <f ca="1">IF(ROUND(SUM(C35:D35,-G35),0)=0,0,IF($B$6="Yes",SUM($D$9:D35),SUM(C35:D35,-G35)))</f>
        <v>0</v>
      </c>
      <c r="I35" s="165" t="str">
        <f ca="1">IF(E35&gt;0,MAX(I$9:I34)+1,"-")</f>
        <v>-</v>
      </c>
    </row>
    <row r="36" spans="1:9" ht="16.149999999999999" customHeight="1" x14ac:dyDescent="0.25">
      <c r="A36" s="146">
        <f t="shared" ca="1" si="4"/>
        <v>44079</v>
      </c>
      <c r="B36" s="161">
        <f ca="1">IF(AND(B35&gt;A35,B35&lt;=A36),B35,DATE(YEAR(A36),MONTH(A36),IF(AND(MONTH(A36)=2,Assumptions!$E$79&gt;28),28,Assumptions!$E$79)))</f>
        <v>44075</v>
      </c>
      <c r="C36" s="162">
        <f t="shared" ca="1" si="1"/>
        <v>0</v>
      </c>
      <c r="D36" s="162">
        <f ca="1">IF(ISNA(MATCH($A36,Months,0))=TRUE,0,OFFSET(Forecast!$B$101,0,MATCH($A36,Months,0),1,1))</f>
        <v>0</v>
      </c>
      <c r="E36" s="163">
        <f t="shared" ca="1" si="2"/>
        <v>0</v>
      </c>
      <c r="F36" s="163">
        <f t="shared" ca="1" si="3"/>
        <v>0</v>
      </c>
      <c r="G36" s="163">
        <f t="shared" ca="1" si="0"/>
        <v>0</v>
      </c>
      <c r="H36" s="164">
        <f ca="1">IF(ROUND(SUM(C36:D36,-G36),0)=0,0,IF($B$6="Yes",SUM($D$9:D36),SUM(C36:D36,-G36)))</f>
        <v>0</v>
      </c>
      <c r="I36" s="165" t="str">
        <f ca="1">IF(E36&gt;0,MAX(I$9:I35)+1,"-")</f>
        <v>-</v>
      </c>
    </row>
    <row r="37" spans="1:9" ht="16.149999999999999" customHeight="1" x14ac:dyDescent="0.25">
      <c r="A37" s="146">
        <f t="shared" ca="1" si="4"/>
        <v>44086</v>
      </c>
      <c r="B37" s="161">
        <f ca="1">IF(AND(B36&gt;A36,B36&lt;=A37),B36,DATE(YEAR(A37),MONTH(A37),IF(AND(MONTH(A37)=2,Assumptions!$E$79&gt;28),28,Assumptions!$E$79)))</f>
        <v>44075</v>
      </c>
      <c r="C37" s="162">
        <f t="shared" ca="1" si="1"/>
        <v>0</v>
      </c>
      <c r="D37" s="162">
        <f ca="1">IF(ISNA(MATCH($A37,Months,0))=TRUE,0,OFFSET(Forecast!$B$101,0,MATCH($A37,Months,0),1,1))</f>
        <v>0</v>
      </c>
      <c r="E37" s="163">
        <f t="shared" ca="1" si="2"/>
        <v>0</v>
      </c>
      <c r="F37" s="163">
        <f t="shared" ca="1" si="3"/>
        <v>0</v>
      </c>
      <c r="G37" s="163">
        <f t="shared" ca="1" si="0"/>
        <v>0</v>
      </c>
      <c r="H37" s="164">
        <f ca="1">IF(ROUND(SUM(C37:D37,-G37),0)=0,0,IF($B$6="Yes",SUM($D$9:D37),SUM(C37:D37,-G37)))</f>
        <v>0</v>
      </c>
      <c r="I37" s="165" t="str">
        <f ca="1">IF(E37&gt;0,MAX(I$9:I36)+1,"-")</f>
        <v>-</v>
      </c>
    </row>
    <row r="38" spans="1:9" ht="16.149999999999999" customHeight="1" x14ac:dyDescent="0.25">
      <c r="A38" s="146">
        <f t="shared" ca="1" si="4"/>
        <v>44093</v>
      </c>
      <c r="B38" s="161">
        <f ca="1">IF(AND(B37&gt;A37,B37&lt;=A38),B37,DATE(YEAR(A38),MONTH(A38),IF(AND(MONTH(A38)=2,Assumptions!$E$79&gt;28),28,Assumptions!$E$79)))</f>
        <v>44075</v>
      </c>
      <c r="C38" s="162">
        <f t="shared" ca="1" si="1"/>
        <v>0</v>
      </c>
      <c r="D38" s="162">
        <f ca="1">IF(ISNA(MATCH($A38,Months,0))=TRUE,0,OFFSET(Forecast!$B$101,0,MATCH($A38,Months,0),1,1))</f>
        <v>0</v>
      </c>
      <c r="E38" s="163">
        <f t="shared" ca="1" si="2"/>
        <v>0</v>
      </c>
      <c r="F38" s="163">
        <f t="shared" ca="1" si="3"/>
        <v>0</v>
      </c>
      <c r="G38" s="163">
        <f t="shared" ca="1" si="0"/>
        <v>0</v>
      </c>
      <c r="H38" s="164">
        <f ca="1">IF(ROUND(SUM(C38:D38,-G38),0)=0,0,IF($B$6="Yes",SUM($D$9:D38),SUM(C38:D38,-G38)))</f>
        <v>0</v>
      </c>
      <c r="I38" s="165" t="str">
        <f ca="1">IF(E38&gt;0,MAX(I$9:I37)+1,"-")</f>
        <v>-</v>
      </c>
    </row>
    <row r="39" spans="1:9" ht="16.149999999999999" customHeight="1" x14ac:dyDescent="0.25">
      <c r="A39" s="146">
        <f t="shared" ca="1" si="4"/>
        <v>44100</v>
      </c>
      <c r="B39" s="161">
        <f ca="1">IF(AND(B38&gt;A38,B38&lt;=A39),B38,DATE(YEAR(A39),MONTH(A39),IF(AND(MONTH(A39)=2,Assumptions!$E$79&gt;28),28,Assumptions!$E$79)))</f>
        <v>44075</v>
      </c>
      <c r="C39" s="162">
        <f t="shared" ca="1" si="1"/>
        <v>0</v>
      </c>
      <c r="D39" s="162">
        <f ca="1">IF(ISNA(MATCH($A39,Months,0))=TRUE,0,OFFSET(Forecast!$B$101,0,MATCH($A39,Months,0),1,1))</f>
        <v>0</v>
      </c>
      <c r="E39" s="163">
        <f t="shared" ca="1" si="2"/>
        <v>0</v>
      </c>
      <c r="F39" s="163">
        <f t="shared" ca="1" si="3"/>
        <v>0</v>
      </c>
      <c r="G39" s="163">
        <f t="shared" ca="1" si="0"/>
        <v>0</v>
      </c>
      <c r="H39" s="164">
        <f ca="1">IF(ROUND(SUM(C39:D39,-G39),0)=0,0,IF($B$6="Yes",SUM($D$9:D39),SUM(C39:D39,-G39)))</f>
        <v>0</v>
      </c>
      <c r="I39" s="165" t="str">
        <f ca="1">IF(E39&gt;0,MAX(I$9:I38)+1,"-")</f>
        <v>-</v>
      </c>
    </row>
    <row r="40" spans="1:9" ht="16.149999999999999" customHeight="1" x14ac:dyDescent="0.25">
      <c r="A40" s="146">
        <f t="shared" ca="1" si="4"/>
        <v>44107</v>
      </c>
      <c r="B40" s="161">
        <f ca="1">IF(AND(B39&gt;A39,B39&lt;=A40),B39,DATE(YEAR(A40),MONTH(A40),IF(AND(MONTH(A40)=2,Assumptions!$E$79&gt;28),28,Assumptions!$E$79)))</f>
        <v>44105</v>
      </c>
      <c r="C40" s="162">
        <f t="shared" ca="1" si="1"/>
        <v>0</v>
      </c>
      <c r="D40" s="162">
        <f ca="1">IF(ISNA(MATCH($A40,Months,0))=TRUE,0,OFFSET(Forecast!$B$101,0,MATCH($A40,Months,0),1,1))</f>
        <v>0</v>
      </c>
      <c r="E40" s="163">
        <f t="shared" ca="1" si="2"/>
        <v>0</v>
      </c>
      <c r="F40" s="163">
        <f t="shared" ca="1" si="3"/>
        <v>0</v>
      </c>
      <c r="G40" s="163">
        <f t="shared" ca="1" si="0"/>
        <v>0</v>
      </c>
      <c r="H40" s="164">
        <f ca="1">IF(ROUND(SUM(C40:D40,-G40),0)=0,0,IF($B$6="Yes",SUM($D$9:D40),SUM(C40:D40,-G40)))</f>
        <v>0</v>
      </c>
      <c r="I40" s="165" t="str">
        <f ca="1">IF(E40&gt;0,MAX(I$9:I39)+1,"-")</f>
        <v>-</v>
      </c>
    </row>
    <row r="41" spans="1:9" ht="16.149999999999999" customHeight="1" x14ac:dyDescent="0.25">
      <c r="A41" s="146">
        <f t="shared" ca="1" si="4"/>
        <v>44114</v>
      </c>
      <c r="B41" s="161">
        <f ca="1">IF(AND(B40&gt;A40,B40&lt;=A41),B40,DATE(YEAR(A41),MONTH(A41),IF(AND(MONTH(A41)=2,Assumptions!$E$79&gt;28),28,Assumptions!$E$79)))</f>
        <v>44105</v>
      </c>
      <c r="C41" s="162">
        <f t="shared" ca="1" si="1"/>
        <v>0</v>
      </c>
      <c r="D41" s="162">
        <f ca="1">IF(ISNA(MATCH($A41,Months,0))=TRUE,0,OFFSET(Forecast!$B$101,0,MATCH($A41,Months,0),1,1))</f>
        <v>0</v>
      </c>
      <c r="E41" s="163">
        <f t="shared" ca="1" si="2"/>
        <v>0</v>
      </c>
      <c r="F41" s="163">
        <f t="shared" ca="1" si="3"/>
        <v>0</v>
      </c>
      <c r="G41" s="163">
        <f t="shared" ca="1" si="0"/>
        <v>0</v>
      </c>
      <c r="H41" s="164">
        <f ca="1">IF(ROUND(SUM(C41:D41,-G41),0)=0,0,IF($B$6="Yes",SUM($D$9:D41),SUM(C41:D41,-G41)))</f>
        <v>0</v>
      </c>
      <c r="I41" s="165" t="str">
        <f ca="1">IF(E41&gt;0,MAX(I$9:I40)+1,"-")</f>
        <v>-</v>
      </c>
    </row>
    <row r="42" spans="1:9" ht="16.149999999999999" customHeight="1" x14ac:dyDescent="0.25">
      <c r="A42" s="146">
        <f t="shared" ca="1" si="4"/>
        <v>44121</v>
      </c>
      <c r="B42" s="161">
        <f ca="1">IF(AND(B41&gt;A41,B41&lt;=A42),B41,DATE(YEAR(A42),MONTH(A42),IF(AND(MONTH(A42)=2,Assumptions!$E$79&gt;28),28,Assumptions!$E$79)))</f>
        <v>44105</v>
      </c>
      <c r="C42" s="162">
        <f t="shared" ca="1" si="1"/>
        <v>0</v>
      </c>
      <c r="D42" s="162">
        <f ca="1">IF(ISNA(MATCH($A42,Months,0))=TRUE,0,OFFSET(Forecast!$B$101,0,MATCH($A42,Months,0),1,1))</f>
        <v>0</v>
      </c>
      <c r="E42" s="163">
        <f t="shared" ca="1" si="2"/>
        <v>0</v>
      </c>
      <c r="F42" s="163">
        <f t="shared" ca="1" si="3"/>
        <v>0</v>
      </c>
      <c r="G42" s="163">
        <f t="shared" ca="1" si="0"/>
        <v>0</v>
      </c>
      <c r="H42" s="164">
        <f ca="1">IF(ROUND(SUM(C42:D42,-G42),0)=0,0,IF($B$6="Yes",SUM($D$9:D42),SUM(C42:D42,-G42)))</f>
        <v>0</v>
      </c>
      <c r="I42" s="165" t="str">
        <f ca="1">IF(E42&gt;0,MAX(I$9:I41)+1,"-")</f>
        <v>-</v>
      </c>
    </row>
    <row r="43" spans="1:9" ht="16.149999999999999" customHeight="1" x14ac:dyDescent="0.25">
      <c r="A43" s="146">
        <f t="shared" ca="1" si="4"/>
        <v>44128</v>
      </c>
      <c r="B43" s="161">
        <f ca="1">IF(AND(B42&gt;A42,B42&lt;=A43),B42,DATE(YEAR(A43),MONTH(A43),IF(AND(MONTH(A43)=2,Assumptions!$E$79&gt;28),28,Assumptions!$E$79)))</f>
        <v>44105</v>
      </c>
      <c r="C43" s="162">
        <f t="shared" ca="1" si="1"/>
        <v>0</v>
      </c>
      <c r="D43" s="162">
        <f ca="1">IF(ISNA(MATCH($A43,Months,0))=TRUE,0,OFFSET(Forecast!$B$101,0,MATCH($A43,Months,0),1,1))</f>
        <v>0</v>
      </c>
      <c r="E43" s="163">
        <f t="shared" ca="1" si="2"/>
        <v>0</v>
      </c>
      <c r="F43" s="163">
        <f t="shared" ca="1" si="3"/>
        <v>0</v>
      </c>
      <c r="G43" s="163">
        <f t="shared" ca="1" si="0"/>
        <v>0</v>
      </c>
      <c r="H43" s="164">
        <f ca="1">IF(ROUND(SUM(C43:D43,-G43),0)=0,0,IF($B$6="Yes",SUM($D$9:D43),SUM(C43:D43,-G43)))</f>
        <v>0</v>
      </c>
      <c r="I43" s="165" t="str">
        <f ca="1">IF(E43&gt;0,MAX(I$9:I42)+1,"-")</f>
        <v>-</v>
      </c>
    </row>
    <row r="44" spans="1:9" ht="16.149999999999999" customHeight="1" x14ac:dyDescent="0.25">
      <c r="A44" s="146">
        <f t="shared" ca="1" si="4"/>
        <v>44135</v>
      </c>
      <c r="B44" s="161">
        <f ca="1">IF(AND(B43&gt;A43,B43&lt;=A44),B43,DATE(YEAR(A44),MONTH(A44),IF(AND(MONTH(A44)=2,Assumptions!$E$79&gt;28),28,Assumptions!$E$79)))</f>
        <v>44105</v>
      </c>
      <c r="C44" s="162">
        <f t="shared" ca="1" si="1"/>
        <v>0</v>
      </c>
      <c r="D44" s="162">
        <f ca="1">IF(ISNA(MATCH($A44,Months,0))=TRUE,0,OFFSET(Forecast!$B$101,0,MATCH($A44,Months,0),1,1))</f>
        <v>0</v>
      </c>
      <c r="E44" s="163">
        <f t="shared" ca="1" si="2"/>
        <v>0</v>
      </c>
      <c r="F44" s="163">
        <f t="shared" ca="1" si="3"/>
        <v>0</v>
      </c>
      <c r="G44" s="163">
        <f t="shared" ca="1" si="0"/>
        <v>0</v>
      </c>
      <c r="H44" s="164">
        <f ca="1">IF(ROUND(SUM(C44:D44,-G44),0)=0,0,IF($B$6="Yes",SUM($D$9:D44),SUM(C44:D44,-G44)))</f>
        <v>0</v>
      </c>
      <c r="I44" s="165" t="str">
        <f ca="1">IF(E44&gt;0,MAX(I$9:I43)+1,"-")</f>
        <v>-</v>
      </c>
    </row>
    <row r="45" spans="1:9" ht="16.149999999999999" customHeight="1" x14ac:dyDescent="0.25">
      <c r="A45" s="146">
        <f t="shared" ca="1" si="4"/>
        <v>44142</v>
      </c>
      <c r="B45" s="161">
        <f ca="1">IF(AND(B44&gt;A44,B44&lt;=A45),B44,DATE(YEAR(A45),MONTH(A45),IF(AND(MONTH(A45)=2,Assumptions!$E$79&gt;28),28,Assumptions!$E$79)))</f>
        <v>44136</v>
      </c>
      <c r="C45" s="162">
        <f t="shared" ca="1" si="1"/>
        <v>0</v>
      </c>
      <c r="D45" s="162">
        <f ca="1">IF(ISNA(MATCH($A45,Months,0))=TRUE,0,OFFSET(Forecast!$B$101,0,MATCH($A45,Months,0),1,1))</f>
        <v>0</v>
      </c>
      <c r="E45" s="163">
        <f t="shared" ca="1" si="2"/>
        <v>0</v>
      </c>
      <c r="F45" s="163">
        <f t="shared" ca="1" si="3"/>
        <v>0</v>
      </c>
      <c r="G45" s="163">
        <f t="shared" ca="1" si="0"/>
        <v>0</v>
      </c>
      <c r="H45" s="164">
        <f ca="1">IF(ROUND(SUM(C45:D45,-G45),0)=0,0,IF($B$6="Yes",SUM($D$9:D45),SUM(C45:D45,-G45)))</f>
        <v>0</v>
      </c>
      <c r="I45" s="165" t="str">
        <f ca="1">IF(E45&gt;0,MAX(I$9:I44)+1,"-")</f>
        <v>-</v>
      </c>
    </row>
    <row r="46" spans="1:9" ht="16.149999999999999" customHeight="1" x14ac:dyDescent="0.25">
      <c r="A46" s="146">
        <f t="shared" ca="1" si="4"/>
        <v>44149</v>
      </c>
      <c r="B46" s="161">
        <f ca="1">IF(AND(B45&gt;A45,B45&lt;=A46),B45,DATE(YEAR(A46),MONTH(A46),IF(AND(MONTH(A46)=2,Assumptions!$E$79&gt;28),28,Assumptions!$E$79)))</f>
        <v>44136</v>
      </c>
      <c r="C46" s="162">
        <f t="shared" ca="1" si="1"/>
        <v>0</v>
      </c>
      <c r="D46" s="162">
        <f ca="1">IF(ISNA(MATCH($A46,Months,0))=TRUE,0,OFFSET(Forecast!$B$101,0,MATCH($A46,Months,0),1,1))</f>
        <v>0</v>
      </c>
      <c r="E46" s="163">
        <f t="shared" ca="1" si="2"/>
        <v>0</v>
      </c>
      <c r="F46" s="163">
        <f t="shared" ca="1" si="3"/>
        <v>0</v>
      </c>
      <c r="G46" s="163">
        <f t="shared" ca="1" si="0"/>
        <v>0</v>
      </c>
      <c r="H46" s="164">
        <f ca="1">IF(ROUND(SUM(C46:D46,-G46),0)=0,0,IF($B$6="Yes",SUM($D$9:D46),SUM(C46:D46,-G46)))</f>
        <v>0</v>
      </c>
      <c r="I46" s="165" t="str">
        <f ca="1">IF(E46&gt;0,MAX(I$9:I45)+1,"-")</f>
        <v>-</v>
      </c>
    </row>
    <row r="47" spans="1:9" ht="16.149999999999999" customHeight="1" x14ac:dyDescent="0.25">
      <c r="A47" s="146">
        <f t="shared" ca="1" si="4"/>
        <v>44156</v>
      </c>
      <c r="B47" s="161">
        <f ca="1">IF(AND(B46&gt;A46,B46&lt;=A47),B46,DATE(YEAR(A47),MONTH(A47),IF(AND(MONTH(A47)=2,Assumptions!$E$79&gt;28),28,Assumptions!$E$79)))</f>
        <v>44136</v>
      </c>
      <c r="C47" s="162">
        <f t="shared" ca="1" si="1"/>
        <v>0</v>
      </c>
      <c r="D47" s="162">
        <f ca="1">IF(ISNA(MATCH($A47,Months,0))=TRUE,0,OFFSET(Forecast!$B$101,0,MATCH($A47,Months,0),1,1))</f>
        <v>0</v>
      </c>
      <c r="E47" s="163">
        <f t="shared" ca="1" si="2"/>
        <v>0</v>
      </c>
      <c r="F47" s="163">
        <f t="shared" ca="1" si="3"/>
        <v>0</v>
      </c>
      <c r="G47" s="163">
        <f t="shared" ca="1" si="0"/>
        <v>0</v>
      </c>
      <c r="H47" s="164">
        <f ca="1">IF(ROUND(SUM(C47:D47,-G47),0)=0,0,IF($B$6="Yes",SUM($D$9:D47),SUM(C47:D47,-G47)))</f>
        <v>0</v>
      </c>
      <c r="I47" s="165" t="str">
        <f ca="1">IF(E47&gt;0,MAX(I$9:I46)+1,"-")</f>
        <v>-</v>
      </c>
    </row>
    <row r="48" spans="1:9" ht="16.149999999999999" customHeight="1" x14ac:dyDescent="0.25">
      <c r="A48" s="146">
        <f t="shared" ca="1" si="4"/>
        <v>44163</v>
      </c>
      <c r="B48" s="161">
        <f ca="1">IF(AND(B47&gt;A47,B47&lt;=A48),B47,DATE(YEAR(A48),MONTH(A48),IF(AND(MONTH(A48)=2,Assumptions!$E$79&gt;28),28,Assumptions!$E$79)))</f>
        <v>44136</v>
      </c>
      <c r="C48" s="162">
        <f t="shared" ca="1" si="1"/>
        <v>0</v>
      </c>
      <c r="D48" s="162">
        <f ca="1">IF(ISNA(MATCH($A48,Months,0))=TRUE,0,OFFSET(Forecast!$B$101,0,MATCH($A48,Months,0),1,1))</f>
        <v>0</v>
      </c>
      <c r="E48" s="163">
        <f t="shared" ca="1" si="2"/>
        <v>0</v>
      </c>
      <c r="F48" s="163">
        <f t="shared" ca="1" si="3"/>
        <v>0</v>
      </c>
      <c r="G48" s="163">
        <f t="shared" ca="1" si="0"/>
        <v>0</v>
      </c>
      <c r="H48" s="164">
        <f ca="1">IF(ROUND(SUM(C48:D48,-G48),0)=0,0,IF($B$6="Yes",SUM($D$9:D48),SUM(C48:D48,-G48)))</f>
        <v>0</v>
      </c>
      <c r="I48" s="165" t="str">
        <f ca="1">IF(E48&gt;0,MAX(I$9:I47)+1,"-")</f>
        <v>-</v>
      </c>
    </row>
    <row r="49" spans="1:9" ht="16.149999999999999" customHeight="1" x14ac:dyDescent="0.25">
      <c r="A49" s="146">
        <f t="shared" ca="1" si="4"/>
        <v>44170</v>
      </c>
      <c r="B49" s="161">
        <f ca="1">IF(AND(B48&gt;A48,B48&lt;=A49),B48,DATE(YEAR(A49),MONTH(A49),IF(AND(MONTH(A49)=2,Assumptions!$E$79&gt;28),28,Assumptions!$E$79)))</f>
        <v>44166</v>
      </c>
      <c r="C49" s="162">
        <f t="shared" ca="1" si="1"/>
        <v>0</v>
      </c>
      <c r="D49" s="162">
        <f ca="1">IF(ISNA(MATCH($A49,Months,0))=TRUE,0,OFFSET(Forecast!$B$101,0,MATCH($A49,Months,0),1,1))</f>
        <v>0</v>
      </c>
      <c r="E49" s="163">
        <f t="shared" ca="1" si="2"/>
        <v>0</v>
      </c>
      <c r="F49" s="163">
        <f t="shared" ca="1" si="3"/>
        <v>0</v>
      </c>
      <c r="G49" s="163">
        <f t="shared" ca="1" si="0"/>
        <v>0</v>
      </c>
      <c r="H49" s="164">
        <f ca="1">IF(ROUND(SUM(C49:D49,-G49),0)=0,0,IF($B$6="Yes",SUM($D$9:D49),SUM(C49:D49,-G49)))</f>
        <v>0</v>
      </c>
      <c r="I49" s="165" t="str">
        <f ca="1">IF(E49&gt;0,MAX(I$9:I48)+1,"-")</f>
        <v>-</v>
      </c>
    </row>
    <row r="50" spans="1:9" ht="16.149999999999999" customHeight="1" x14ac:dyDescent="0.25">
      <c r="A50" s="146">
        <f t="shared" ca="1" si="4"/>
        <v>44177</v>
      </c>
      <c r="B50" s="161">
        <f ca="1">IF(AND(B49&gt;A49,B49&lt;=A50),B49,DATE(YEAR(A50),MONTH(A50),IF(AND(MONTH(A50)=2,Assumptions!$E$79&gt;28),28,Assumptions!$E$79)))</f>
        <v>44166</v>
      </c>
      <c r="C50" s="162">
        <f t="shared" ca="1" si="1"/>
        <v>0</v>
      </c>
      <c r="D50" s="162">
        <f ca="1">IF(ISNA(MATCH($A50,Months,0))=TRUE,0,OFFSET(Forecast!$B$101,0,MATCH($A50,Months,0),1,1))</f>
        <v>0</v>
      </c>
      <c r="E50" s="163">
        <f t="shared" ca="1" si="2"/>
        <v>0</v>
      </c>
      <c r="F50" s="163">
        <f t="shared" ca="1" si="3"/>
        <v>0</v>
      </c>
      <c r="G50" s="163">
        <f t="shared" ca="1" si="0"/>
        <v>0</v>
      </c>
      <c r="H50" s="164">
        <f ca="1">IF(ROUND(SUM(C50:D50,-G50),0)=0,0,IF($B$6="Yes",SUM($D$9:D50),SUM(C50:D50,-G50)))</f>
        <v>0</v>
      </c>
      <c r="I50" s="165" t="str">
        <f ca="1">IF(E50&gt;0,MAX(I$9:I49)+1,"-")</f>
        <v>-</v>
      </c>
    </row>
    <row r="51" spans="1:9" ht="16.149999999999999" customHeight="1" x14ac:dyDescent="0.25">
      <c r="A51" s="146">
        <f t="shared" ca="1" si="4"/>
        <v>44184</v>
      </c>
      <c r="B51" s="161">
        <f ca="1">IF(AND(B50&gt;A50,B50&lt;=A51),B50,DATE(YEAR(A51),MONTH(A51),IF(AND(MONTH(A51)=2,Assumptions!$E$79&gt;28),28,Assumptions!$E$79)))</f>
        <v>44166</v>
      </c>
      <c r="C51" s="162">
        <f t="shared" ca="1" si="1"/>
        <v>0</v>
      </c>
      <c r="D51" s="162">
        <f ca="1">IF(ISNA(MATCH($A51,Months,0))=TRUE,0,OFFSET(Forecast!$B$101,0,MATCH($A51,Months,0),1,1))</f>
        <v>0</v>
      </c>
      <c r="E51" s="163">
        <f t="shared" ca="1" si="2"/>
        <v>0</v>
      </c>
      <c r="F51" s="163">
        <f t="shared" ca="1" si="3"/>
        <v>0</v>
      </c>
      <c r="G51" s="163">
        <f t="shared" ca="1" si="0"/>
        <v>0</v>
      </c>
      <c r="H51" s="164">
        <f ca="1">IF(ROUND(SUM(C51:D51,-G51),0)=0,0,IF($B$6="Yes",SUM($D$9:D51),SUM(C51:D51,-G51)))</f>
        <v>0</v>
      </c>
      <c r="I51" s="165" t="str">
        <f ca="1">IF(E51&gt;0,MAX(I$9:I50)+1,"-")</f>
        <v>-</v>
      </c>
    </row>
    <row r="52" spans="1:9" ht="16.149999999999999" customHeight="1" x14ac:dyDescent="0.25">
      <c r="A52" s="146">
        <f t="shared" ca="1" si="4"/>
        <v>44191</v>
      </c>
      <c r="B52" s="161">
        <f ca="1">IF(AND(B51&gt;A51,B51&lt;=A52),B51,DATE(YEAR(A52),MONTH(A52),IF(AND(MONTH(A52)=2,Assumptions!$E$79&gt;28),28,Assumptions!$E$79)))</f>
        <v>44166</v>
      </c>
      <c r="C52" s="162">
        <f t="shared" ca="1" si="1"/>
        <v>0</v>
      </c>
      <c r="D52" s="162">
        <f ca="1">IF(ISNA(MATCH($A52,Months,0))=TRUE,0,OFFSET(Forecast!$B$101,0,MATCH($A52,Months,0),1,1))</f>
        <v>0</v>
      </c>
      <c r="E52" s="163">
        <f t="shared" ca="1" si="2"/>
        <v>0</v>
      </c>
      <c r="F52" s="163">
        <f t="shared" ca="1" si="3"/>
        <v>0</v>
      </c>
      <c r="G52" s="163">
        <f t="shared" ca="1" si="0"/>
        <v>0</v>
      </c>
      <c r="H52" s="164">
        <f ca="1">IF(ROUND(SUM(C52:D52,-G52),0)=0,0,IF($B$6="Yes",SUM($D$9:D52),SUM(C52:D52,-G52)))</f>
        <v>0</v>
      </c>
      <c r="I52" s="165" t="str">
        <f ca="1">IF(E52&gt;0,MAX(I$9:I51)+1,"-")</f>
        <v>-</v>
      </c>
    </row>
    <row r="53" spans="1:9" ht="16.149999999999999" customHeight="1" x14ac:dyDescent="0.25">
      <c r="A53" s="146">
        <f t="shared" ca="1" si="4"/>
        <v>44198</v>
      </c>
      <c r="B53" s="161">
        <f ca="1">IF(AND(B52&gt;A52,B52&lt;=A53),B52,DATE(YEAR(A53),MONTH(A53),IF(AND(MONTH(A53)=2,Assumptions!$E$79&gt;28),28,Assumptions!$E$79)))</f>
        <v>44197</v>
      </c>
      <c r="C53" s="162">
        <f t="shared" ca="1" si="1"/>
        <v>0</v>
      </c>
      <c r="D53" s="162">
        <f ca="1">IF(ISNA(MATCH($A53,Months,0))=TRUE,0,OFFSET(Forecast!$B$101,0,MATCH($A53,Months,0),1,1))</f>
        <v>0</v>
      </c>
      <c r="E53" s="163">
        <f t="shared" ca="1" si="2"/>
        <v>0</v>
      </c>
      <c r="F53" s="163">
        <f t="shared" ca="1" si="3"/>
        <v>0</v>
      </c>
      <c r="G53" s="163">
        <f t="shared" ca="1" si="0"/>
        <v>0</v>
      </c>
      <c r="H53" s="164">
        <f ca="1">IF(ROUND(SUM(C53:D53,-G53),0)=0,0,IF($B$6="Yes",SUM($D$9:D53),SUM(C53:D53,-G53)))</f>
        <v>0</v>
      </c>
      <c r="I53" s="165" t="str">
        <f ca="1">IF(E53&gt;0,MAX(I$9:I52)+1,"-")</f>
        <v>-</v>
      </c>
    </row>
    <row r="54" spans="1:9" ht="16.149999999999999" customHeight="1" x14ac:dyDescent="0.25">
      <c r="A54" s="146">
        <f t="shared" ca="1" si="4"/>
        <v>44205</v>
      </c>
      <c r="B54" s="161">
        <f ca="1">IF(AND(B53&gt;A53,B53&lt;=A54),B53,DATE(YEAR(A54),MONTH(A54),IF(AND(MONTH(A54)=2,Assumptions!$E$79&gt;28),28,Assumptions!$E$79)))</f>
        <v>44197</v>
      </c>
      <c r="C54" s="162">
        <f t="shared" ca="1" si="1"/>
        <v>0</v>
      </c>
      <c r="D54" s="162">
        <f ca="1">IF(ISNA(MATCH($A54,Months,0))=TRUE,0,OFFSET(Forecast!$B$101,0,MATCH($A54,Months,0),1,1))</f>
        <v>240000</v>
      </c>
      <c r="E54" s="163">
        <f t="shared" ca="1" si="2"/>
        <v>0</v>
      </c>
      <c r="F54" s="163">
        <f t="shared" ca="1" si="3"/>
        <v>0</v>
      </c>
      <c r="G54" s="163">
        <f t="shared" ca="1" si="0"/>
        <v>0</v>
      </c>
      <c r="H54" s="164">
        <f ca="1">IF(ROUND(SUM(C54:D54,-G54),0)=0,0,IF($B$6="Yes",SUM($D$9:D54),SUM(C54:D54,-G54)))</f>
        <v>240000</v>
      </c>
      <c r="I54" s="165" t="str">
        <f ca="1">IF(E54&gt;0,MAX(I$9:I53)+1,"-")</f>
        <v>-</v>
      </c>
    </row>
    <row r="55" spans="1:9" ht="16.149999999999999" customHeight="1" x14ac:dyDescent="0.25">
      <c r="A55" s="146">
        <f t="shared" ca="1" si="4"/>
        <v>44212</v>
      </c>
      <c r="B55" s="161">
        <f ca="1">IF(AND(B54&gt;A54,B54&lt;=A55),B54,DATE(YEAR(A55),MONTH(A55),IF(AND(MONTH(A55)=2,Assumptions!$E$79&gt;28),28,Assumptions!$E$79)))</f>
        <v>44197</v>
      </c>
      <c r="C55" s="162">
        <f t="shared" ca="1" si="1"/>
        <v>240000</v>
      </c>
      <c r="D55" s="162">
        <f ca="1">IF(ISNA(MATCH($A55,Months,0))=TRUE,0,OFFSET(Forecast!$B$101,0,MATCH($A55,Months,0),1,1))</f>
        <v>0</v>
      </c>
      <c r="E55" s="163">
        <f t="shared" ca="1" si="2"/>
        <v>0</v>
      </c>
      <c r="F55" s="163">
        <f t="shared" ca="1" si="3"/>
        <v>0</v>
      </c>
      <c r="G55" s="163">
        <f t="shared" ca="1" si="0"/>
        <v>0</v>
      </c>
      <c r="H55" s="164">
        <f ca="1">IF(ROUND(SUM(C55:D55,-G55),0)=0,0,IF($B$6="Yes",SUM($D$9:D55),SUM(C55:D55,-G55)))</f>
        <v>240000</v>
      </c>
      <c r="I55" s="165" t="str">
        <f ca="1">IF(E55&gt;0,MAX(I$9:I54)+1,"-")</f>
        <v>-</v>
      </c>
    </row>
    <row r="56" spans="1:9" ht="16.149999999999999" customHeight="1" x14ac:dyDescent="0.25">
      <c r="A56" s="146">
        <f t="shared" ca="1" si="4"/>
        <v>44219</v>
      </c>
      <c r="B56" s="161">
        <f ca="1">IF(AND(B55&gt;A55,B55&lt;=A56),B55,DATE(YEAR(A56),MONTH(A56),IF(AND(MONTH(A56)=2,Assumptions!$E$79&gt;28),28,Assumptions!$E$79)))</f>
        <v>44197</v>
      </c>
      <c r="C56" s="162">
        <f t="shared" ca="1" si="1"/>
        <v>240000</v>
      </c>
      <c r="D56" s="162">
        <f ca="1">IF(ISNA(MATCH($A56,Months,0))=TRUE,0,OFFSET(Forecast!$B$101,0,MATCH($A56,Months,0),1,1))</f>
        <v>0</v>
      </c>
      <c r="E56" s="163">
        <f t="shared" ca="1" si="2"/>
        <v>0</v>
      </c>
      <c r="F56" s="163">
        <f t="shared" ca="1" si="3"/>
        <v>0</v>
      </c>
      <c r="G56" s="163">
        <f t="shared" ca="1" si="0"/>
        <v>0</v>
      </c>
      <c r="H56" s="164">
        <f ca="1">IF(ROUND(SUM(C56:D56,-G56),0)=0,0,IF($B$6="Yes",SUM($D$9:D56),SUM(C56:D56,-G56)))</f>
        <v>240000</v>
      </c>
      <c r="I56" s="165" t="str">
        <f ca="1">IF(E56&gt;0,MAX(I$9:I55)+1,"-")</f>
        <v>-</v>
      </c>
    </row>
    <row r="57" spans="1:9" ht="16.149999999999999" customHeight="1" x14ac:dyDescent="0.25">
      <c r="A57" s="146">
        <f t="shared" ca="1" si="4"/>
        <v>44226</v>
      </c>
      <c r="B57" s="161">
        <f ca="1">IF(AND(B56&gt;A56,B56&lt;=A57),B56,DATE(YEAR(A57),MONTH(A57),IF(AND(MONTH(A57)=2,Assumptions!$E$79&gt;28),28,Assumptions!$E$79)))</f>
        <v>44197</v>
      </c>
      <c r="C57" s="162">
        <f t="shared" ca="1" si="1"/>
        <v>240000</v>
      </c>
      <c r="D57" s="162">
        <f ca="1">IF(ISNA(MATCH($A57,Months,0))=TRUE,0,OFFSET(Forecast!$B$101,0,MATCH($A57,Months,0),1,1))</f>
        <v>0</v>
      </c>
      <c r="E57" s="163">
        <f t="shared" ca="1" si="2"/>
        <v>0</v>
      </c>
      <c r="F57" s="163">
        <f t="shared" ca="1" si="3"/>
        <v>0</v>
      </c>
      <c r="G57" s="163">
        <f t="shared" ca="1" si="0"/>
        <v>0</v>
      </c>
      <c r="H57" s="164">
        <f ca="1">IF(ROUND(SUM(C57:D57,-G57),0)=0,0,IF($B$6="Yes",SUM($D$9:D57),SUM(C57:D57,-G57)))</f>
        <v>240000</v>
      </c>
      <c r="I57" s="165" t="str">
        <f ca="1">IF(E57&gt;0,MAX(I$9:I56)+1,"-")</f>
        <v>-</v>
      </c>
    </row>
    <row r="58" spans="1:9" ht="16.149999999999999" customHeight="1" x14ac:dyDescent="0.25">
      <c r="A58" s="146">
        <f t="shared" ca="1" si="4"/>
        <v>44233</v>
      </c>
      <c r="B58" s="161">
        <f ca="1">IF(AND(B57&gt;A57,B57&lt;=A58),B57,DATE(YEAR(A58),MONTH(A58),IF(AND(MONTH(A58)=2,Assumptions!$E$79&gt;28),28,Assumptions!$E$79)))</f>
        <v>44228</v>
      </c>
      <c r="C58" s="162">
        <f t="shared" ca="1" si="1"/>
        <v>240000</v>
      </c>
      <c r="D58" s="162">
        <f ca="1">IF(ISNA(MATCH($A58,Months,0))=TRUE,0,OFFSET(Forecast!$B$101,0,MATCH($A58,Months,0),1,1))</f>
        <v>0</v>
      </c>
      <c r="E58" s="163">
        <f t="shared" ca="1" si="2"/>
        <v>5399.5051740998015</v>
      </c>
      <c r="F58" s="163">
        <f t="shared" ca="1" si="3"/>
        <v>2500</v>
      </c>
      <c r="G58" s="163">
        <f t="shared" ca="1" si="0"/>
        <v>2899.5051740998015</v>
      </c>
      <c r="H58" s="164">
        <f ca="1">IF(ROUND(SUM(C58:D58,-G58),0)=0,0,IF($B$6="Yes",SUM($D$9:D58),SUM(C58:D58,-G58)))</f>
        <v>237100.49482590021</v>
      </c>
      <c r="I58" s="165">
        <f ca="1">IF(E58&gt;0,MAX(I$9:I57)+1,"-")</f>
        <v>1</v>
      </c>
    </row>
    <row r="59" spans="1:9" ht="16.149999999999999" customHeight="1" x14ac:dyDescent="0.25">
      <c r="A59" s="146">
        <f t="shared" ca="1" si="4"/>
        <v>44240</v>
      </c>
      <c r="B59" s="161">
        <f ca="1">IF(AND(B58&gt;A58,B58&lt;=A59),B58,DATE(YEAR(A59),MONTH(A59),IF(AND(MONTH(A59)=2,Assumptions!$E$79&gt;28),28,Assumptions!$E$79)))</f>
        <v>44228</v>
      </c>
      <c r="C59" s="162">
        <f t="shared" ca="1" si="1"/>
        <v>237100.49482590021</v>
      </c>
      <c r="D59" s="162">
        <f ca="1">IF(ISNA(MATCH($A59,Months,0))=TRUE,0,OFFSET(Forecast!$B$101,0,MATCH($A59,Months,0),1,1))</f>
        <v>0</v>
      </c>
      <c r="E59" s="163">
        <f t="shared" ca="1" si="2"/>
        <v>0</v>
      </c>
      <c r="F59" s="163">
        <f t="shared" ca="1" si="3"/>
        <v>0</v>
      </c>
      <c r="G59" s="163">
        <f t="shared" ca="1" si="0"/>
        <v>0</v>
      </c>
      <c r="H59" s="164">
        <f ca="1">IF(ROUND(SUM(C59:D59,-G59),0)=0,0,IF($B$6="Yes",SUM($D$9:D59),SUM(C59:D59,-G59)))</f>
        <v>237100.49482590021</v>
      </c>
      <c r="I59" s="165" t="str">
        <f ca="1">IF(E59&gt;0,MAX(I$9:I58)+1,"-")</f>
        <v>-</v>
      </c>
    </row>
    <row r="60" spans="1:9" ht="16.149999999999999" customHeight="1" x14ac:dyDescent="0.25">
      <c r="A60" s="146">
        <f t="shared" ca="1" si="4"/>
        <v>44247</v>
      </c>
      <c r="B60" s="161">
        <f ca="1">IF(AND(B59&gt;A59,B59&lt;=A60),B59,DATE(YEAR(A60),MONTH(A60),IF(AND(MONTH(A60)=2,Assumptions!$E$79&gt;28),28,Assumptions!$E$79)))</f>
        <v>44228</v>
      </c>
      <c r="C60" s="162">
        <f t="shared" ca="1" si="1"/>
        <v>237100.49482590021</v>
      </c>
      <c r="D60" s="162">
        <f ca="1">IF(ISNA(MATCH($A60,Months,0))=TRUE,0,OFFSET(Forecast!$B$101,0,MATCH($A60,Months,0),1,1))</f>
        <v>0</v>
      </c>
      <c r="E60" s="163">
        <f t="shared" ca="1" si="2"/>
        <v>0</v>
      </c>
      <c r="F60" s="163">
        <f t="shared" ca="1" si="3"/>
        <v>0</v>
      </c>
      <c r="G60" s="163">
        <f t="shared" ca="1" si="0"/>
        <v>0</v>
      </c>
      <c r="H60" s="164">
        <f ca="1">IF(ROUND(SUM(C60:D60,-G60),0)=0,0,IF($B$6="Yes",SUM($D$9:D60),SUM(C60:D60,-G60)))</f>
        <v>237100.49482590021</v>
      </c>
      <c r="I60" s="165" t="str">
        <f ca="1">IF(E60&gt;0,MAX(I$9:I59)+1,"-")</f>
        <v>-</v>
      </c>
    </row>
    <row r="61" spans="1:9" ht="16.149999999999999" customHeight="1" x14ac:dyDescent="0.25">
      <c r="A61" s="146">
        <f t="shared" ca="1" si="4"/>
        <v>44254</v>
      </c>
      <c r="B61" s="161">
        <f ca="1">IF(AND(B60&gt;A60,B60&lt;=A61),B60,DATE(YEAR(A61),MONTH(A61),IF(AND(MONTH(A61)=2,Assumptions!$E$79&gt;28),28,Assumptions!$E$79)))</f>
        <v>44228</v>
      </c>
      <c r="C61" s="162">
        <f t="shared" ca="1" si="1"/>
        <v>237100.49482590021</v>
      </c>
      <c r="D61" s="162">
        <f ca="1">IF(ISNA(MATCH($A61,Months,0))=TRUE,0,OFFSET(Forecast!$B$101,0,MATCH($A61,Months,0),1,1))</f>
        <v>0</v>
      </c>
      <c r="E61" s="163">
        <f t="shared" ca="1" si="2"/>
        <v>0</v>
      </c>
      <c r="F61" s="163">
        <f t="shared" ca="1" si="3"/>
        <v>0</v>
      </c>
      <c r="G61" s="163">
        <f t="shared" ca="1" si="0"/>
        <v>0</v>
      </c>
      <c r="H61" s="164">
        <f ca="1">IF(ROUND(SUM(C61:D61,-G61),0)=0,0,IF($B$6="Yes",SUM($D$9:D61),SUM(C61:D61,-G61)))</f>
        <v>237100.49482590021</v>
      </c>
      <c r="I61" s="165" t="str">
        <f ca="1">IF(E61&gt;0,MAX(I$9:I60)+1,"-")</f>
        <v>-</v>
      </c>
    </row>
    <row r="62" spans="1:9" ht="16.149999999999999" customHeight="1" x14ac:dyDescent="0.25">
      <c r="C62" s="162"/>
      <c r="D62" s="162"/>
      <c r="E62" s="163"/>
      <c r="F62" s="163"/>
      <c r="G62" s="163"/>
      <c r="H62" s="164"/>
    </row>
    <row r="63" spans="1:9" ht="16.149999999999999" customHeight="1" x14ac:dyDescent="0.25">
      <c r="C63" s="162"/>
      <c r="D63" s="162"/>
      <c r="E63" s="163"/>
      <c r="F63" s="163"/>
      <c r="G63" s="163"/>
      <c r="H63" s="164"/>
    </row>
    <row r="64" spans="1:9" ht="16.149999999999999" customHeight="1" x14ac:dyDescent="0.25">
      <c r="C64" s="162"/>
      <c r="D64" s="162"/>
      <c r="E64" s="163"/>
      <c r="F64" s="163"/>
      <c r="G64" s="163"/>
      <c r="H64" s="164"/>
    </row>
    <row r="65" spans="3:8" ht="16.149999999999999" customHeight="1" x14ac:dyDescent="0.25">
      <c r="C65" s="162"/>
      <c r="D65" s="162"/>
      <c r="E65" s="163"/>
      <c r="F65" s="163"/>
      <c r="G65" s="163"/>
      <c r="H65" s="164"/>
    </row>
    <row r="66" spans="3:8" ht="16.149999999999999" customHeight="1" x14ac:dyDescent="0.25">
      <c r="C66" s="162"/>
      <c r="D66" s="162"/>
      <c r="E66" s="163"/>
      <c r="F66" s="163"/>
      <c r="G66" s="163"/>
      <c r="H66" s="164"/>
    </row>
    <row r="67" spans="3:8" ht="16.149999999999999" customHeight="1" x14ac:dyDescent="0.25">
      <c r="C67" s="162"/>
      <c r="D67" s="162"/>
      <c r="E67" s="163"/>
      <c r="F67" s="163"/>
      <c r="G67" s="163"/>
      <c r="H67" s="164"/>
    </row>
    <row r="68" spans="3:8" ht="16.149999999999999" customHeight="1" x14ac:dyDescent="0.25">
      <c r="C68" s="162"/>
      <c r="D68" s="162"/>
      <c r="E68" s="163"/>
      <c r="F68" s="163"/>
      <c r="G68" s="163"/>
      <c r="H68" s="164"/>
    </row>
    <row r="69" spans="3:8" ht="16.149999999999999" customHeight="1" x14ac:dyDescent="0.25">
      <c r="C69" s="162"/>
      <c r="D69" s="162"/>
      <c r="E69" s="163"/>
      <c r="F69" s="163"/>
      <c r="G69" s="163"/>
      <c r="H69" s="164"/>
    </row>
    <row r="70" spans="3:8" ht="16.149999999999999" customHeight="1" x14ac:dyDescent="0.25">
      <c r="C70" s="162"/>
      <c r="D70" s="162"/>
      <c r="E70" s="163"/>
      <c r="F70" s="163"/>
      <c r="G70" s="163"/>
      <c r="H70" s="164"/>
    </row>
    <row r="71" spans="3:8" ht="16.149999999999999" customHeight="1" x14ac:dyDescent="0.25">
      <c r="C71" s="162"/>
      <c r="D71" s="162"/>
      <c r="E71" s="163"/>
      <c r="F71" s="163"/>
      <c r="G71" s="163"/>
      <c r="H71" s="164"/>
    </row>
    <row r="72" spans="3:8" ht="16.149999999999999" customHeight="1" x14ac:dyDescent="0.25">
      <c r="C72" s="162"/>
      <c r="D72" s="162"/>
      <c r="E72" s="163"/>
      <c r="F72" s="163"/>
      <c r="G72" s="163"/>
      <c r="H72" s="164"/>
    </row>
    <row r="73" spans="3:8" ht="16.149999999999999" customHeight="1" x14ac:dyDescent="0.25">
      <c r="C73" s="162"/>
      <c r="D73" s="162"/>
      <c r="E73" s="163"/>
      <c r="F73" s="163"/>
      <c r="G73" s="163"/>
      <c r="H73" s="164"/>
    </row>
    <row r="74" spans="3:8" ht="16.149999999999999" customHeight="1" x14ac:dyDescent="0.25">
      <c r="C74" s="162"/>
      <c r="D74" s="162"/>
      <c r="E74" s="163"/>
      <c r="F74" s="163"/>
      <c r="G74" s="163"/>
      <c r="H74" s="164"/>
    </row>
    <row r="75" spans="3:8" ht="16.149999999999999" customHeight="1" x14ac:dyDescent="0.25">
      <c r="C75" s="162"/>
      <c r="D75" s="162"/>
      <c r="E75" s="163"/>
      <c r="F75" s="163"/>
      <c r="G75" s="163"/>
      <c r="H75" s="164"/>
    </row>
    <row r="76" spans="3:8" ht="16.149999999999999" customHeight="1" x14ac:dyDescent="0.25">
      <c r="C76" s="162"/>
      <c r="D76" s="162"/>
      <c r="E76" s="163"/>
      <c r="F76" s="163"/>
      <c r="G76" s="163"/>
      <c r="H76" s="164"/>
    </row>
    <row r="77" spans="3:8" ht="16.149999999999999" customHeight="1" x14ac:dyDescent="0.25">
      <c r="C77" s="162"/>
      <c r="D77" s="162"/>
      <c r="E77" s="163"/>
      <c r="F77" s="163"/>
      <c r="G77" s="163"/>
      <c r="H77" s="164"/>
    </row>
    <row r="78" spans="3:8" ht="16.149999999999999" customHeight="1" x14ac:dyDescent="0.25">
      <c r="C78" s="162"/>
      <c r="D78" s="162"/>
      <c r="E78" s="163"/>
      <c r="F78" s="163"/>
      <c r="G78" s="163"/>
      <c r="H78" s="164"/>
    </row>
    <row r="79" spans="3:8" ht="16.149999999999999" customHeight="1" x14ac:dyDescent="0.25">
      <c r="C79" s="162"/>
      <c r="D79" s="162"/>
      <c r="E79" s="163"/>
      <c r="F79" s="163"/>
      <c r="G79" s="163"/>
      <c r="H79" s="164"/>
    </row>
    <row r="80" spans="3:8" ht="16.149999999999999" customHeight="1" x14ac:dyDescent="0.25">
      <c r="C80" s="162"/>
      <c r="D80" s="162"/>
      <c r="E80" s="163"/>
      <c r="F80" s="163"/>
      <c r="G80" s="163"/>
      <c r="H80" s="164"/>
    </row>
    <row r="81" spans="3:8" ht="16.149999999999999" customHeight="1" x14ac:dyDescent="0.25">
      <c r="C81" s="162"/>
      <c r="D81" s="162"/>
      <c r="E81" s="163"/>
      <c r="F81" s="163"/>
      <c r="G81" s="163"/>
      <c r="H81" s="164"/>
    </row>
    <row r="82" spans="3:8" ht="16.149999999999999" customHeight="1" x14ac:dyDescent="0.25">
      <c r="C82" s="162"/>
      <c r="D82" s="162"/>
      <c r="E82" s="163"/>
      <c r="F82" s="163"/>
      <c r="G82" s="163"/>
      <c r="H82" s="164"/>
    </row>
    <row r="83" spans="3:8" ht="16.149999999999999" customHeight="1" x14ac:dyDescent="0.25">
      <c r="C83" s="162"/>
      <c r="D83" s="162"/>
      <c r="E83" s="163"/>
      <c r="F83" s="163"/>
      <c r="G83" s="163"/>
      <c r="H83" s="164"/>
    </row>
    <row r="84" spans="3:8" ht="16.149999999999999" customHeight="1" x14ac:dyDescent="0.25">
      <c r="C84" s="162"/>
      <c r="D84" s="162"/>
      <c r="E84" s="163"/>
      <c r="F84" s="163"/>
      <c r="G84" s="163"/>
      <c r="H84" s="164"/>
    </row>
    <row r="85" spans="3:8" ht="16.149999999999999" customHeight="1" x14ac:dyDescent="0.25">
      <c r="C85" s="162"/>
      <c r="D85" s="162"/>
      <c r="E85" s="163"/>
      <c r="F85" s="163"/>
      <c r="G85" s="163"/>
      <c r="H85" s="164"/>
    </row>
    <row r="86" spans="3:8" ht="16.149999999999999" customHeight="1" x14ac:dyDescent="0.25">
      <c r="C86" s="162"/>
      <c r="D86" s="162"/>
      <c r="E86" s="163"/>
      <c r="F86" s="163"/>
      <c r="G86" s="163"/>
      <c r="H86" s="164"/>
    </row>
    <row r="87" spans="3:8" ht="16.149999999999999" customHeight="1" x14ac:dyDescent="0.25">
      <c r="C87" s="162"/>
      <c r="D87" s="162"/>
      <c r="E87" s="163"/>
      <c r="F87" s="163"/>
      <c r="G87" s="163"/>
      <c r="H87" s="164"/>
    </row>
    <row r="88" spans="3:8" ht="16.149999999999999" customHeight="1" x14ac:dyDescent="0.25">
      <c r="C88" s="162"/>
      <c r="D88" s="162"/>
      <c r="E88" s="163"/>
      <c r="F88" s="163"/>
      <c r="G88" s="163"/>
      <c r="H88" s="164"/>
    </row>
    <row r="89" spans="3:8" ht="16.149999999999999" customHeight="1" x14ac:dyDescent="0.25">
      <c r="C89" s="162"/>
      <c r="D89" s="162"/>
      <c r="E89" s="163"/>
      <c r="F89" s="163"/>
      <c r="G89" s="163"/>
      <c r="H89" s="164"/>
    </row>
    <row r="90" spans="3:8" ht="16.149999999999999" customHeight="1" x14ac:dyDescent="0.25">
      <c r="C90" s="162"/>
      <c r="D90" s="162"/>
      <c r="E90" s="163"/>
      <c r="F90" s="163"/>
      <c r="G90" s="163"/>
      <c r="H90" s="164"/>
    </row>
    <row r="91" spans="3:8" ht="16.149999999999999" customHeight="1" x14ac:dyDescent="0.25">
      <c r="C91" s="162"/>
      <c r="D91" s="162"/>
      <c r="E91" s="163"/>
      <c r="F91" s="163"/>
      <c r="G91" s="163"/>
      <c r="H91" s="164"/>
    </row>
    <row r="92" spans="3:8" ht="16.149999999999999" customHeight="1" x14ac:dyDescent="0.25">
      <c r="C92" s="162"/>
      <c r="D92" s="162"/>
      <c r="E92" s="163"/>
      <c r="F92" s="163"/>
      <c r="G92" s="163"/>
      <c r="H92" s="164"/>
    </row>
    <row r="93" spans="3:8" ht="16.149999999999999" customHeight="1" x14ac:dyDescent="0.25">
      <c r="C93" s="162"/>
      <c r="D93" s="162"/>
      <c r="E93" s="163"/>
      <c r="F93" s="163"/>
      <c r="G93" s="163"/>
      <c r="H93" s="164"/>
    </row>
    <row r="94" spans="3:8" ht="16.149999999999999" customHeight="1" x14ac:dyDescent="0.25">
      <c r="C94" s="162"/>
      <c r="D94" s="162"/>
      <c r="E94" s="163"/>
      <c r="F94" s="163"/>
      <c r="G94" s="163"/>
      <c r="H94" s="164"/>
    </row>
    <row r="95" spans="3:8" ht="16.149999999999999" customHeight="1" x14ac:dyDescent="0.25">
      <c r="C95" s="162"/>
      <c r="D95" s="162"/>
      <c r="E95" s="163"/>
      <c r="F95" s="163"/>
      <c r="G95" s="163"/>
      <c r="H95" s="164"/>
    </row>
    <row r="96" spans="3:8" ht="16.149999999999999" customHeight="1" x14ac:dyDescent="0.25">
      <c r="C96" s="162"/>
      <c r="D96" s="162"/>
      <c r="E96" s="163"/>
      <c r="F96" s="163"/>
      <c r="G96" s="163"/>
      <c r="H96" s="164"/>
    </row>
    <row r="97" spans="3:8" ht="16.149999999999999" customHeight="1" x14ac:dyDescent="0.25">
      <c r="C97" s="162"/>
      <c r="D97" s="162"/>
      <c r="E97" s="163"/>
      <c r="F97" s="163"/>
      <c r="G97" s="163"/>
      <c r="H97" s="164"/>
    </row>
    <row r="98" spans="3:8" ht="16.149999999999999" customHeight="1" x14ac:dyDescent="0.25">
      <c r="C98" s="162"/>
      <c r="D98" s="162"/>
      <c r="E98" s="163"/>
      <c r="F98" s="163"/>
      <c r="G98" s="163"/>
      <c r="H98" s="164"/>
    </row>
    <row r="99" spans="3:8" ht="16.149999999999999" customHeight="1" x14ac:dyDescent="0.25">
      <c r="C99" s="162"/>
      <c r="D99" s="162"/>
      <c r="E99" s="163"/>
      <c r="F99" s="163"/>
      <c r="G99" s="163"/>
      <c r="H99" s="164"/>
    </row>
    <row r="100" spans="3:8" ht="16.149999999999999" customHeight="1" x14ac:dyDescent="0.25">
      <c r="C100" s="162"/>
      <c r="D100" s="162"/>
      <c r="E100" s="163"/>
      <c r="F100" s="163"/>
      <c r="G100" s="163"/>
      <c r="H100" s="164"/>
    </row>
    <row r="101" spans="3:8" ht="16.149999999999999" customHeight="1" x14ac:dyDescent="0.25">
      <c r="C101" s="162"/>
      <c r="D101" s="162"/>
      <c r="E101" s="163"/>
      <c r="F101" s="163"/>
      <c r="G101" s="163"/>
      <c r="H101" s="164"/>
    </row>
    <row r="102" spans="3:8" ht="16.149999999999999" customHeight="1" x14ac:dyDescent="0.25">
      <c r="C102" s="162"/>
      <c r="D102" s="162"/>
      <c r="E102" s="163"/>
      <c r="F102" s="163"/>
      <c r="G102" s="163"/>
      <c r="H102" s="164"/>
    </row>
    <row r="103" spans="3:8" ht="16.149999999999999" customHeight="1" x14ac:dyDescent="0.25">
      <c r="C103" s="162"/>
      <c r="D103" s="162"/>
      <c r="E103" s="163"/>
      <c r="F103" s="163"/>
      <c r="G103" s="163"/>
      <c r="H103" s="164"/>
    </row>
    <row r="104" spans="3:8" ht="16.149999999999999" customHeight="1" x14ac:dyDescent="0.25">
      <c r="C104" s="162"/>
      <c r="D104" s="162"/>
      <c r="E104" s="163"/>
      <c r="F104" s="163"/>
      <c r="G104" s="163"/>
      <c r="H104" s="164"/>
    </row>
    <row r="105" spans="3:8" ht="16.149999999999999" customHeight="1" x14ac:dyDescent="0.25">
      <c r="C105" s="162"/>
      <c r="D105" s="162"/>
      <c r="E105" s="163"/>
      <c r="F105" s="163"/>
      <c r="G105" s="163"/>
      <c r="H105" s="164"/>
    </row>
    <row r="106" spans="3:8" ht="16.149999999999999" customHeight="1" x14ac:dyDescent="0.25">
      <c r="C106" s="162"/>
      <c r="D106" s="162"/>
      <c r="E106" s="163"/>
      <c r="F106" s="163"/>
      <c r="G106" s="163"/>
      <c r="H106" s="164"/>
    </row>
    <row r="107" spans="3:8" ht="16.149999999999999" customHeight="1" x14ac:dyDescent="0.25">
      <c r="C107" s="162"/>
      <c r="D107" s="162"/>
      <c r="E107" s="163"/>
      <c r="F107" s="163"/>
      <c r="G107" s="163"/>
      <c r="H107" s="164"/>
    </row>
    <row r="108" spans="3:8" ht="16.149999999999999" customHeight="1" x14ac:dyDescent="0.25">
      <c r="C108" s="162"/>
      <c r="D108" s="162"/>
      <c r="E108" s="163"/>
      <c r="F108" s="163"/>
      <c r="G108" s="163"/>
      <c r="H108" s="164"/>
    </row>
    <row r="109" spans="3:8" ht="16.149999999999999" customHeight="1" x14ac:dyDescent="0.25">
      <c r="C109" s="162"/>
      <c r="D109" s="162"/>
      <c r="E109" s="163"/>
      <c r="F109" s="163"/>
      <c r="G109" s="163"/>
      <c r="H109" s="164"/>
    </row>
    <row r="110" spans="3:8" ht="16.149999999999999" customHeight="1" x14ac:dyDescent="0.25">
      <c r="C110" s="162"/>
      <c r="D110" s="162"/>
      <c r="E110" s="163"/>
      <c r="F110" s="163"/>
      <c r="G110" s="163"/>
      <c r="H110" s="164"/>
    </row>
    <row r="111" spans="3:8" ht="16.149999999999999" customHeight="1" x14ac:dyDescent="0.25">
      <c r="C111" s="162"/>
      <c r="D111" s="162"/>
      <c r="E111" s="163"/>
      <c r="F111" s="163"/>
      <c r="G111" s="163"/>
      <c r="H111" s="164"/>
    </row>
    <row r="112" spans="3:8" ht="16.149999999999999" customHeight="1" x14ac:dyDescent="0.25">
      <c r="C112" s="162"/>
      <c r="D112" s="162"/>
      <c r="E112" s="163"/>
      <c r="F112" s="163"/>
      <c r="G112" s="163"/>
      <c r="H112" s="164"/>
    </row>
    <row r="113" spans="3:8" ht="16.149999999999999" customHeight="1" x14ac:dyDescent="0.25">
      <c r="C113" s="162"/>
      <c r="D113" s="162"/>
      <c r="E113" s="163"/>
      <c r="F113" s="163"/>
      <c r="G113" s="163"/>
      <c r="H113" s="164"/>
    </row>
    <row r="114" spans="3:8" ht="16.149999999999999" customHeight="1" x14ac:dyDescent="0.25">
      <c r="C114" s="162"/>
      <c r="D114" s="162"/>
      <c r="E114" s="163"/>
      <c r="F114" s="163"/>
      <c r="G114" s="163"/>
      <c r="H114" s="164"/>
    </row>
    <row r="115" spans="3:8" ht="16.149999999999999" customHeight="1" x14ac:dyDescent="0.25">
      <c r="C115" s="162"/>
      <c r="D115" s="162"/>
      <c r="E115" s="163"/>
      <c r="F115" s="163"/>
      <c r="G115" s="163"/>
      <c r="H115" s="164"/>
    </row>
    <row r="116" spans="3:8" ht="16.149999999999999" customHeight="1" x14ac:dyDescent="0.25">
      <c r="C116" s="162"/>
      <c r="D116" s="162"/>
      <c r="E116" s="163"/>
      <c r="F116" s="163"/>
      <c r="G116" s="163"/>
      <c r="H116" s="164"/>
    </row>
    <row r="117" spans="3:8" ht="16.149999999999999" customHeight="1" x14ac:dyDescent="0.25">
      <c r="C117" s="162"/>
      <c r="D117" s="162"/>
      <c r="E117" s="163"/>
      <c r="F117" s="163"/>
      <c r="G117" s="163"/>
      <c r="H117" s="164"/>
    </row>
    <row r="118" spans="3:8" ht="16.149999999999999" customHeight="1" x14ac:dyDescent="0.25">
      <c r="C118" s="162"/>
      <c r="D118" s="162"/>
      <c r="E118" s="163"/>
      <c r="F118" s="163"/>
      <c r="G118" s="163"/>
      <c r="H118" s="164"/>
    </row>
    <row r="119" spans="3:8" ht="16.149999999999999" customHeight="1" x14ac:dyDescent="0.25">
      <c r="C119" s="162"/>
      <c r="D119" s="162"/>
      <c r="E119" s="163"/>
      <c r="F119" s="163"/>
      <c r="G119" s="163"/>
      <c r="H119" s="164"/>
    </row>
    <row r="120" spans="3:8" ht="16.149999999999999" customHeight="1" x14ac:dyDescent="0.25">
      <c r="C120" s="162"/>
      <c r="D120" s="162"/>
      <c r="E120" s="163"/>
      <c r="F120" s="163"/>
      <c r="G120" s="163"/>
      <c r="H120" s="164"/>
    </row>
    <row r="121" spans="3:8" ht="16.149999999999999" customHeight="1" x14ac:dyDescent="0.25">
      <c r="C121" s="162"/>
      <c r="D121" s="162"/>
      <c r="E121" s="163"/>
      <c r="F121" s="163"/>
      <c r="G121" s="163"/>
      <c r="H121" s="164"/>
    </row>
    <row r="122" spans="3:8" ht="16.149999999999999" customHeight="1" x14ac:dyDescent="0.25">
      <c r="C122" s="162"/>
      <c r="D122" s="162"/>
      <c r="E122" s="163"/>
      <c r="F122" s="163"/>
      <c r="G122" s="163"/>
      <c r="H122" s="164"/>
    </row>
    <row r="123" spans="3:8" ht="16.149999999999999" customHeight="1" x14ac:dyDescent="0.25">
      <c r="C123" s="162"/>
      <c r="D123" s="162"/>
      <c r="E123" s="163"/>
      <c r="F123" s="163"/>
      <c r="G123" s="163"/>
      <c r="H123" s="164"/>
    </row>
    <row r="124" spans="3:8" ht="16.149999999999999" customHeight="1" x14ac:dyDescent="0.25">
      <c r="C124" s="162"/>
      <c r="D124" s="162"/>
      <c r="E124" s="163"/>
      <c r="F124" s="163"/>
      <c r="G124" s="163"/>
      <c r="H124" s="164"/>
    </row>
    <row r="125" spans="3:8" ht="16.149999999999999" customHeight="1" x14ac:dyDescent="0.25">
      <c r="C125" s="162"/>
      <c r="D125" s="162"/>
      <c r="E125" s="163"/>
      <c r="F125" s="163"/>
      <c r="G125" s="163"/>
      <c r="H125" s="164"/>
    </row>
    <row r="126" spans="3:8" ht="16.149999999999999" customHeight="1" x14ac:dyDescent="0.25">
      <c r="C126" s="162"/>
      <c r="D126" s="162"/>
      <c r="E126" s="163"/>
      <c r="F126" s="163"/>
      <c r="G126" s="163"/>
      <c r="H126" s="164"/>
    </row>
    <row r="127" spans="3:8" ht="16.149999999999999" customHeight="1" x14ac:dyDescent="0.25">
      <c r="C127" s="162"/>
      <c r="D127" s="162"/>
      <c r="E127" s="163"/>
      <c r="F127" s="163"/>
      <c r="G127" s="163"/>
      <c r="H127" s="164"/>
    </row>
    <row r="128" spans="3:8" ht="16.149999999999999" customHeight="1" x14ac:dyDescent="0.25">
      <c r="C128" s="162"/>
      <c r="D128" s="162"/>
      <c r="E128" s="163"/>
      <c r="F128" s="163"/>
      <c r="G128" s="163"/>
      <c r="H128" s="164"/>
    </row>
    <row r="129" spans="3:8" ht="16.149999999999999" customHeight="1" x14ac:dyDescent="0.25">
      <c r="C129" s="162"/>
      <c r="D129" s="162"/>
      <c r="E129" s="163"/>
      <c r="F129" s="163"/>
      <c r="G129" s="163"/>
      <c r="H129" s="164"/>
    </row>
    <row r="130" spans="3:8" ht="16.149999999999999" customHeight="1" x14ac:dyDescent="0.25">
      <c r="C130" s="162"/>
      <c r="D130" s="162"/>
      <c r="E130" s="163"/>
      <c r="F130" s="163"/>
      <c r="G130" s="163"/>
      <c r="H130" s="164"/>
    </row>
    <row r="131" spans="3:8" ht="16.149999999999999" customHeight="1" x14ac:dyDescent="0.25">
      <c r="C131" s="162"/>
      <c r="D131" s="162"/>
      <c r="E131" s="163"/>
      <c r="F131" s="163"/>
      <c r="G131" s="163"/>
      <c r="H131" s="164"/>
    </row>
    <row r="132" spans="3:8" ht="16.149999999999999" customHeight="1" x14ac:dyDescent="0.25">
      <c r="C132" s="162"/>
      <c r="D132" s="162"/>
      <c r="E132" s="163"/>
      <c r="F132" s="163"/>
      <c r="G132" s="163"/>
      <c r="H132" s="164"/>
    </row>
    <row r="133" spans="3:8" ht="16.149999999999999" customHeight="1" x14ac:dyDescent="0.25">
      <c r="C133" s="162"/>
      <c r="D133" s="162"/>
      <c r="E133" s="163"/>
      <c r="F133" s="163"/>
      <c r="G133" s="163"/>
      <c r="H133" s="164"/>
    </row>
    <row r="134" spans="3:8" ht="16.149999999999999" customHeight="1" x14ac:dyDescent="0.25">
      <c r="C134" s="162"/>
      <c r="D134" s="162"/>
      <c r="E134" s="163"/>
      <c r="F134" s="163"/>
      <c r="G134" s="163"/>
      <c r="H134" s="164"/>
    </row>
    <row r="135" spans="3:8" ht="16.149999999999999" customHeight="1" x14ac:dyDescent="0.25">
      <c r="C135" s="162"/>
      <c r="D135" s="162"/>
      <c r="E135" s="163"/>
      <c r="F135" s="163"/>
      <c r="G135" s="163"/>
      <c r="H135" s="164"/>
    </row>
    <row r="136" spans="3:8" ht="16.149999999999999" customHeight="1" x14ac:dyDescent="0.25">
      <c r="C136" s="162"/>
      <c r="D136" s="162"/>
      <c r="E136" s="163"/>
      <c r="F136" s="163"/>
      <c r="G136" s="163"/>
      <c r="H136" s="164"/>
    </row>
    <row r="137" spans="3:8" ht="16.149999999999999" customHeight="1" x14ac:dyDescent="0.25">
      <c r="C137" s="162"/>
      <c r="D137" s="162"/>
      <c r="E137" s="163"/>
      <c r="F137" s="163"/>
      <c r="G137" s="163"/>
      <c r="H137" s="164"/>
    </row>
    <row r="138" spans="3:8" ht="16.149999999999999" customHeight="1" x14ac:dyDescent="0.25">
      <c r="C138" s="162"/>
      <c r="D138" s="162"/>
      <c r="E138" s="163"/>
      <c r="F138" s="163"/>
      <c r="G138" s="163"/>
      <c r="H138" s="164"/>
    </row>
    <row r="139" spans="3:8" ht="16.149999999999999" customHeight="1" x14ac:dyDescent="0.25">
      <c r="C139" s="162"/>
      <c r="D139" s="162"/>
      <c r="E139" s="163"/>
      <c r="F139" s="163"/>
      <c r="G139" s="163"/>
      <c r="H139" s="164"/>
    </row>
    <row r="140" spans="3:8" ht="16.149999999999999" customHeight="1" x14ac:dyDescent="0.25">
      <c r="C140" s="162"/>
      <c r="D140" s="162"/>
      <c r="E140" s="163"/>
      <c r="F140" s="163"/>
      <c r="G140" s="163"/>
      <c r="H140" s="164"/>
    </row>
    <row r="141" spans="3:8" ht="16.149999999999999" customHeight="1" x14ac:dyDescent="0.25">
      <c r="C141" s="162"/>
      <c r="D141" s="162"/>
      <c r="E141" s="163"/>
      <c r="F141" s="163"/>
      <c r="G141" s="163"/>
      <c r="H141" s="164"/>
    </row>
    <row r="142" spans="3:8" ht="16.149999999999999" customHeight="1" x14ac:dyDescent="0.25">
      <c r="C142" s="162"/>
      <c r="D142" s="162"/>
      <c r="E142" s="163"/>
      <c r="F142" s="163"/>
      <c r="G142" s="163"/>
      <c r="H142" s="164"/>
    </row>
    <row r="143" spans="3:8" ht="16.149999999999999" customHeight="1" x14ac:dyDescent="0.25">
      <c r="C143" s="162"/>
      <c r="D143" s="162"/>
      <c r="E143" s="163"/>
      <c r="F143" s="163"/>
      <c r="G143" s="163"/>
      <c r="H143" s="164"/>
    </row>
    <row r="144" spans="3:8" ht="16.149999999999999" customHeight="1" x14ac:dyDescent="0.25">
      <c r="C144" s="162"/>
      <c r="D144" s="162"/>
      <c r="E144" s="163"/>
      <c r="F144" s="163"/>
      <c r="G144" s="163"/>
      <c r="H144" s="164"/>
    </row>
    <row r="145" spans="3:8" ht="16.149999999999999" customHeight="1" x14ac:dyDescent="0.25">
      <c r="C145" s="162"/>
      <c r="D145" s="162"/>
      <c r="E145" s="163"/>
      <c r="F145" s="163"/>
      <c r="G145" s="163"/>
      <c r="H145" s="164"/>
    </row>
    <row r="146" spans="3:8" ht="16.149999999999999" customHeight="1" x14ac:dyDescent="0.25">
      <c r="C146" s="162"/>
      <c r="D146" s="162"/>
      <c r="E146" s="163"/>
      <c r="F146" s="163"/>
      <c r="G146" s="163"/>
      <c r="H146" s="164"/>
    </row>
    <row r="147" spans="3:8" ht="16.149999999999999" customHeight="1" x14ac:dyDescent="0.25">
      <c r="C147" s="162"/>
      <c r="D147" s="162"/>
      <c r="E147" s="163"/>
      <c r="F147" s="163"/>
      <c r="G147" s="163"/>
      <c r="H147" s="164"/>
    </row>
    <row r="148" spans="3:8" ht="16.149999999999999" customHeight="1" x14ac:dyDescent="0.25">
      <c r="C148" s="162"/>
      <c r="D148" s="162"/>
      <c r="E148" s="163"/>
      <c r="F148" s="163"/>
      <c r="G148" s="163"/>
      <c r="H148" s="164"/>
    </row>
    <row r="149" spans="3:8" ht="16.149999999999999" customHeight="1" x14ac:dyDescent="0.25">
      <c r="C149" s="162"/>
      <c r="D149" s="162"/>
      <c r="E149" s="163"/>
      <c r="F149" s="163"/>
      <c r="G149" s="163"/>
      <c r="H149" s="164"/>
    </row>
    <row r="150" spans="3:8" ht="16.149999999999999" customHeight="1" x14ac:dyDescent="0.25">
      <c r="C150" s="162"/>
      <c r="D150" s="162"/>
      <c r="E150" s="163"/>
      <c r="F150" s="163"/>
      <c r="G150" s="163"/>
      <c r="H150" s="164"/>
    </row>
    <row r="151" spans="3:8" ht="16.149999999999999" customHeight="1" x14ac:dyDescent="0.25">
      <c r="C151" s="162"/>
      <c r="D151" s="162"/>
      <c r="E151" s="163"/>
      <c r="F151" s="163"/>
      <c r="G151" s="163"/>
      <c r="H151" s="164"/>
    </row>
    <row r="152" spans="3:8" ht="16.149999999999999" customHeight="1" x14ac:dyDescent="0.25">
      <c r="C152" s="162"/>
      <c r="D152" s="162"/>
      <c r="E152" s="163"/>
      <c r="F152" s="163"/>
      <c r="G152" s="163"/>
      <c r="H152" s="164"/>
    </row>
    <row r="153" spans="3:8" ht="16.149999999999999" customHeight="1" x14ac:dyDescent="0.25">
      <c r="C153" s="162"/>
      <c r="D153" s="162"/>
      <c r="E153" s="163"/>
      <c r="F153" s="163"/>
      <c r="G153" s="163"/>
      <c r="H153" s="164"/>
    </row>
    <row r="154" spans="3:8" ht="16.149999999999999" customHeight="1" x14ac:dyDescent="0.25">
      <c r="C154" s="162"/>
      <c r="D154" s="162"/>
      <c r="E154" s="163"/>
      <c r="F154" s="163"/>
      <c r="G154" s="163"/>
      <c r="H154" s="164"/>
    </row>
    <row r="155" spans="3:8" ht="16.149999999999999" customHeight="1" x14ac:dyDescent="0.25">
      <c r="C155" s="162"/>
      <c r="D155" s="162"/>
      <c r="E155" s="163"/>
      <c r="F155" s="163"/>
      <c r="G155" s="163"/>
      <c r="H155" s="164"/>
    </row>
    <row r="156" spans="3:8" ht="16.149999999999999" customHeight="1" x14ac:dyDescent="0.25">
      <c r="C156" s="162"/>
      <c r="D156" s="162"/>
      <c r="E156" s="163"/>
      <c r="F156" s="163"/>
      <c r="G156" s="163"/>
      <c r="H156" s="164"/>
    </row>
    <row r="157" spans="3:8" ht="16.149999999999999" customHeight="1" x14ac:dyDescent="0.25">
      <c r="C157" s="162"/>
      <c r="D157" s="162"/>
      <c r="E157" s="163"/>
      <c r="F157" s="163"/>
      <c r="G157" s="163"/>
      <c r="H157" s="164"/>
    </row>
    <row r="158" spans="3:8" ht="16.149999999999999" customHeight="1" x14ac:dyDescent="0.25">
      <c r="C158" s="162"/>
      <c r="D158" s="162"/>
      <c r="E158" s="163"/>
      <c r="F158" s="163"/>
      <c r="G158" s="163"/>
      <c r="H158" s="164"/>
    </row>
    <row r="159" spans="3:8" ht="16.149999999999999" customHeight="1" x14ac:dyDescent="0.25">
      <c r="C159" s="162"/>
      <c r="D159" s="162"/>
      <c r="E159" s="163"/>
      <c r="F159" s="163"/>
      <c r="G159" s="163"/>
      <c r="H159" s="164"/>
    </row>
    <row r="160" spans="3:8" ht="16.149999999999999" customHeight="1" x14ac:dyDescent="0.25">
      <c r="C160" s="162"/>
      <c r="D160" s="162"/>
      <c r="E160" s="163"/>
      <c r="F160" s="163"/>
      <c r="G160" s="163"/>
      <c r="H160" s="164"/>
    </row>
    <row r="161" spans="3:8" ht="16.149999999999999" customHeight="1" x14ac:dyDescent="0.25">
      <c r="C161" s="162"/>
      <c r="D161" s="162"/>
      <c r="E161" s="163"/>
      <c r="F161" s="163"/>
      <c r="G161" s="163"/>
      <c r="H161" s="164"/>
    </row>
    <row r="162" spans="3:8" ht="16.149999999999999" customHeight="1" x14ac:dyDescent="0.25">
      <c r="C162" s="162"/>
      <c r="D162" s="162"/>
      <c r="E162" s="163"/>
      <c r="F162" s="163"/>
      <c r="G162" s="163"/>
      <c r="H162" s="164"/>
    </row>
    <row r="163" spans="3:8" ht="16.149999999999999" customHeight="1" x14ac:dyDescent="0.25">
      <c r="C163" s="162"/>
      <c r="D163" s="162"/>
      <c r="E163" s="163"/>
      <c r="F163" s="163"/>
      <c r="G163" s="163"/>
      <c r="H163" s="164"/>
    </row>
    <row r="164" spans="3:8" ht="16.149999999999999" customHeight="1" x14ac:dyDescent="0.25">
      <c r="C164" s="162"/>
      <c r="D164" s="162"/>
      <c r="E164" s="163"/>
      <c r="F164" s="163"/>
      <c r="G164" s="163"/>
      <c r="H164" s="164"/>
    </row>
    <row r="165" spans="3:8" ht="16.149999999999999" customHeight="1" x14ac:dyDescent="0.25">
      <c r="C165" s="162"/>
      <c r="D165" s="162"/>
      <c r="E165" s="163"/>
      <c r="F165" s="163"/>
      <c r="G165" s="163"/>
      <c r="H165" s="164"/>
    </row>
  </sheetData>
  <printOptions horizontalCentered="1"/>
  <pageMargins left="0.59055118110236227" right="0.59055118110236227" top="0.59055118110236227" bottom="0.59055118110236227" header="0.39370078740157483" footer="0.39370078740157483"/>
  <pageSetup paperSize="9" scale="72" orientation="portrait"/>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53" customWidth="1"/>
    <col min="2" max="2" width="15.7109375" style="161" customWidth="1"/>
    <col min="3" max="8" width="13.7109375" style="17" customWidth="1"/>
    <col min="9" max="9" width="13.7109375" style="143" customWidth="1"/>
    <col min="10" max="13" width="15.7109375" style="17" customWidth="1"/>
    <col min="14" max="18" width="15.7109375" style="2" customWidth="1"/>
    <col min="19" max="16384" width="9.140625" style="2"/>
  </cols>
  <sheetData>
    <row r="1" spans="1:13" ht="16.149999999999999" customHeight="1" x14ac:dyDescent="0.25">
      <c r="A1" s="289" t="str">
        <f>IF(ISBLANK(Assumptions!$C$4),"Example Limited",Assumptions!$C$4)</f>
        <v>Example (Pty) Limited</v>
      </c>
      <c r="B1" s="142"/>
      <c r="D1" s="4"/>
      <c r="H1" s="95"/>
    </row>
    <row r="2" spans="1:13" ht="16.149999999999999" customHeight="1" x14ac:dyDescent="0.25">
      <c r="A2" s="144" t="s">
        <v>224</v>
      </c>
      <c r="B2" s="145"/>
    </row>
    <row r="3" spans="1:13" ht="16.149999999999999" customHeight="1" x14ac:dyDescent="0.25">
      <c r="A3" s="144"/>
      <c r="B3" s="145"/>
    </row>
    <row r="4" spans="1:13" ht="16.149999999999999" customHeight="1" x14ac:dyDescent="0.25">
      <c r="A4" s="146" t="s">
        <v>33</v>
      </c>
      <c r="B4" s="147">
        <f>Assumptions!$F$76</f>
        <v>0.115</v>
      </c>
      <c r="D4" s="148"/>
    </row>
    <row r="5" spans="1:13" ht="16.149999999999999" customHeight="1" x14ac:dyDescent="0.25">
      <c r="A5" s="149" t="s">
        <v>38</v>
      </c>
      <c r="B5" s="150">
        <f>Assumptions!$F$77</f>
        <v>4</v>
      </c>
      <c r="D5" s="151"/>
    </row>
    <row r="6" spans="1:13" ht="16.149999999999999" customHeight="1" x14ac:dyDescent="0.25">
      <c r="A6" s="149" t="s">
        <v>39</v>
      </c>
      <c r="B6" s="150" t="str">
        <f>Assumptions!$F$78</f>
        <v>No</v>
      </c>
      <c r="D6" s="152"/>
    </row>
    <row r="7" spans="1:13" ht="16.149999999999999" customHeight="1" x14ac:dyDescent="0.25">
      <c r="B7" s="154" t="s">
        <v>50</v>
      </c>
    </row>
    <row r="8" spans="1:13" s="160" customFormat="1" ht="25.5"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149999999999999" customHeight="1" x14ac:dyDescent="0.25">
      <c r="A9" s="146">
        <f ca="1">IF(ISBLANK(Assumptions!$C$5)=TRUE,DATE(YEAR(TODAY()),MONTH(TODAY()),1),DATE(YEAR(Assumptions!$C$5),MONTH(Assumptions!$C$5),DAY(Assumptions!$C$5)))</f>
        <v>43891</v>
      </c>
      <c r="B9" s="161">
        <f ca="1">IF(Assumptions!$F$79&gt;=DAY($A$9),DATE(YEAR(A9),MONTH(A9),IF(AND(MONTH($A$9)=2,Assumptions!$F$79&gt;28),28,Assumptions!$F$80)),DATE(YEAR(A9),MONTH(A9)+1,IF(AND(MONTH($A$9)=2,Assumptions!$F$79&gt;28),28,Assumptions!$F$79)))</f>
        <v>43890</v>
      </c>
      <c r="C9" s="162">
        <v>0</v>
      </c>
      <c r="D9" s="162">
        <f ca="1">-SUMIF(Assumptions!$A$81:$C$104,"FIN",Assumptions!$C$81:$C$104)</f>
        <v>425000</v>
      </c>
      <c r="E9" s="162">
        <v>0</v>
      </c>
      <c r="F9" s="162">
        <v>0</v>
      </c>
      <c r="G9" s="163">
        <f t="shared" ref="G9:G61" si="0">IF($B$6="Yes",0,E9-F9)</f>
        <v>0</v>
      </c>
      <c r="H9" s="164">
        <f ca="1">IF(ROUND(SUM(C9:D9,-G9),0)=0,0,IF($B$6="Yes",SUM($D$9:D9),SUM(C9:D9,-G9)))</f>
        <v>425000</v>
      </c>
      <c r="I9" s="143" t="str">
        <f>"-"</f>
        <v>-</v>
      </c>
      <c r="J9" s="162"/>
      <c r="K9" s="162"/>
      <c r="L9" s="162"/>
      <c r="M9" s="162"/>
    </row>
    <row r="10" spans="1:13" s="107" customFormat="1" ht="16.149999999999999" customHeight="1" x14ac:dyDescent="0.25">
      <c r="A10" s="146">
        <f ca="1">IF(ISBLANK(Assumptions!$C$5)=TRUE,DATE(YEAR(TODAY()),MONTH(TODAY()),7),DATE(YEAR(Assumptions!$C$5),MONTH(Assumptions!$C$5),DAY(Assumptions!$C$5)+6))</f>
        <v>43897</v>
      </c>
      <c r="B10" s="161">
        <f ca="1">IF(AND(B9&gt;A9,B9&lt;=A10),B9,DATE(YEAR(A10),MONTH(A10),IF(AND(MONTH(A10)=2,Assumptions!$F$79&gt;28),28,Assumptions!$F$79)))</f>
        <v>43900</v>
      </c>
      <c r="C10" s="162">
        <f ca="1">H9</f>
        <v>425000</v>
      </c>
      <c r="D10" s="162">
        <f ca="1">IF(ISNA(MATCH($A10,Months,0))=TRUE,0,OFFSET(Forecast!$B$102,0,MATCH($A10,Months,0),1,1))</f>
        <v>0</v>
      </c>
      <c r="E10" s="163">
        <f ca="1">IF(AND(B10&gt;A9,B10&lt;=A10),IF($B$6="Yes",0,IF(ROW(D10)-ROW($D$9)&gt;$B$5*52,-PMT($B$4/12,$B$5*12,SUM(OFFSET(D10,0,0,-$B$5*12,1)),0,0),-PMT($B$4/12,$B$5*12,SUM(OFFSET(D10,0,0,ROW($D$8)-ROW(D10),1)),0,0))),0)</f>
        <v>0</v>
      </c>
      <c r="F10" s="163">
        <f ca="1">IF(AND(B10&gt;A9,B10&lt;=A10),(H9+D10)*$B$4/12,0)</f>
        <v>0</v>
      </c>
      <c r="G10" s="163">
        <f t="shared" ca="1" si="0"/>
        <v>0</v>
      </c>
      <c r="H10" s="164">
        <f ca="1">IF(ROUND(SUM(C10:D10,-G10),0)=0,0,IF($B$6="Yes",SUM($D$9:D10),SUM(C10:D10,-G10)))</f>
        <v>425000</v>
      </c>
      <c r="I10" s="165" t="str">
        <f ca="1">IF(E10&gt;0,MAX(I$9:I9)+1,"-")</f>
        <v>-</v>
      </c>
      <c r="J10" s="162"/>
      <c r="K10" s="162"/>
      <c r="L10" s="162"/>
      <c r="M10" s="162"/>
    </row>
    <row r="11" spans="1:13" s="107" customFormat="1" ht="16.149999999999999" customHeight="1" x14ac:dyDescent="0.25">
      <c r="A11" s="146">
        <f ca="1">DATE(YEAR(A10),MONTH(A10),DAY(A10)+7)</f>
        <v>43904</v>
      </c>
      <c r="B11" s="161">
        <f ca="1">IF(AND(B10&gt;A10,B10&lt;=A11),B10,DATE(YEAR(A11),MONTH(A11),IF(AND(MONTH(A11)=2,Assumptions!$F$79&gt;28),28,Assumptions!$F$79)))</f>
        <v>43900</v>
      </c>
      <c r="C11" s="162">
        <f t="shared" ref="C11:C61" ca="1" si="1">H10</f>
        <v>425000</v>
      </c>
      <c r="D11" s="162">
        <f ca="1">IF(ISNA(MATCH($A11,Months,0))=TRUE,0,OFFSET(Forecast!$B$102,0,MATCH($A11,Months,0),1,1))</f>
        <v>0</v>
      </c>
      <c r="E11" s="163">
        <f t="shared" ref="E11:E61" ca="1" si="2">IF(AND(B11&gt;A10,B11&lt;=A11),IF($B$6="Yes",0,IF(ROW(D11)-ROW($D$9)&gt;$B$5*52,-PMT($B$4/12,$B$5*12,SUM(OFFSET(D11,0,0,-$B$5*12,1)),0,0),-PMT($B$4/12,$B$5*12,SUM(OFFSET(D11,0,0,ROW($D$8)-ROW(D11),1)),0,0))),0)</f>
        <v>11087.82878498939</v>
      </c>
      <c r="F11" s="163">
        <f t="shared" ref="F11:F61" ca="1" si="3">IF(AND(B11&gt;A10,B11&lt;=A11),(H10+D11)*$B$4/12,0)</f>
        <v>4072.9166666666665</v>
      </c>
      <c r="G11" s="163">
        <f t="shared" ca="1" si="0"/>
        <v>7014.9121183227235</v>
      </c>
      <c r="H11" s="164">
        <f ca="1">IF(ROUND(SUM(C11:D11,-G11),0)=0,0,IF($B$6="Yes",SUM($D$9:D11),SUM(C11:D11,-G11)))</f>
        <v>417985.08788167726</v>
      </c>
      <c r="I11" s="165">
        <f ca="1">IF(E11&gt;0,MAX(I$9:I10)+1,"-")</f>
        <v>1</v>
      </c>
      <c r="J11" s="162"/>
      <c r="K11" s="162"/>
      <c r="L11" s="162"/>
      <c r="M11" s="162"/>
    </row>
    <row r="12" spans="1:13" s="107" customFormat="1" ht="16.149999999999999" customHeight="1" x14ac:dyDescent="0.25">
      <c r="A12" s="146">
        <f t="shared" ref="A12:A61" ca="1" si="4">DATE(YEAR(A11),MONTH(A11),DAY(A11)+7)</f>
        <v>43911</v>
      </c>
      <c r="B12" s="161">
        <f ca="1">IF(AND(B11&gt;A11,B11&lt;=A12),B11,DATE(YEAR(A12),MONTH(A12),IF(AND(MONTH(A12)=2,Assumptions!$F$79&gt;28),28,Assumptions!$F$79)))</f>
        <v>43900</v>
      </c>
      <c r="C12" s="162">
        <f t="shared" ca="1" si="1"/>
        <v>417985.08788167726</v>
      </c>
      <c r="D12" s="162">
        <f ca="1">IF(ISNA(MATCH($A12,Months,0))=TRUE,0,OFFSET(Forecast!$B$102,0,MATCH($A12,Months,0),1,1))</f>
        <v>0</v>
      </c>
      <c r="E12" s="163">
        <f t="shared" ca="1" si="2"/>
        <v>0</v>
      </c>
      <c r="F12" s="163">
        <f t="shared" ca="1" si="3"/>
        <v>0</v>
      </c>
      <c r="G12" s="163">
        <f t="shared" ca="1" si="0"/>
        <v>0</v>
      </c>
      <c r="H12" s="164">
        <f ca="1">IF(ROUND(SUM(C12:D12,-G12),0)=0,0,IF($B$6="Yes",SUM($D$9:D12),SUM(C12:D12,-G12)))</f>
        <v>417985.08788167726</v>
      </c>
      <c r="I12" s="165" t="str">
        <f ca="1">IF(E12&gt;0,MAX(I$9:I11)+1,"-")</f>
        <v>-</v>
      </c>
      <c r="J12" s="162"/>
      <c r="K12" s="162"/>
      <c r="L12" s="162"/>
      <c r="M12" s="162"/>
    </row>
    <row r="13" spans="1:13" s="107" customFormat="1" ht="16.149999999999999" customHeight="1" x14ac:dyDescent="0.25">
      <c r="A13" s="146">
        <f t="shared" ca="1" si="4"/>
        <v>43918</v>
      </c>
      <c r="B13" s="161">
        <f ca="1">IF(AND(B12&gt;A12,B12&lt;=A13),B12,DATE(YEAR(A13),MONTH(A13),IF(AND(MONTH(A13)=2,Assumptions!$F$79&gt;28),28,Assumptions!$F$79)))</f>
        <v>43900</v>
      </c>
      <c r="C13" s="162">
        <f t="shared" ca="1" si="1"/>
        <v>417985.08788167726</v>
      </c>
      <c r="D13" s="162">
        <f ca="1">IF(ISNA(MATCH($A13,Months,0))=TRUE,0,OFFSET(Forecast!$B$102,0,MATCH($A13,Months,0),1,1))</f>
        <v>0</v>
      </c>
      <c r="E13" s="163">
        <f t="shared" ca="1" si="2"/>
        <v>0</v>
      </c>
      <c r="F13" s="163">
        <f t="shared" ca="1" si="3"/>
        <v>0</v>
      </c>
      <c r="G13" s="163">
        <f t="shared" ca="1" si="0"/>
        <v>0</v>
      </c>
      <c r="H13" s="164">
        <f ca="1">IF(ROUND(SUM(C13:D13,-G13),0)=0,0,IF($B$6="Yes",SUM($D$9:D13),SUM(C13:D13,-G13)))</f>
        <v>417985.08788167726</v>
      </c>
      <c r="I13" s="165" t="str">
        <f ca="1">IF(E13&gt;0,MAX(I$9:I12)+1,"-")</f>
        <v>-</v>
      </c>
      <c r="J13" s="162"/>
      <c r="K13" s="162"/>
      <c r="L13" s="162"/>
      <c r="M13" s="162"/>
    </row>
    <row r="14" spans="1:13" s="107" customFormat="1" ht="16.149999999999999" customHeight="1" x14ac:dyDescent="0.25">
      <c r="A14" s="146">
        <f t="shared" ca="1" si="4"/>
        <v>43925</v>
      </c>
      <c r="B14" s="161">
        <f ca="1">IF(AND(B13&gt;A13,B13&lt;=A14),B13,DATE(YEAR(A14),MONTH(A14),IF(AND(MONTH(A14)=2,Assumptions!$F$79&gt;28),28,Assumptions!$F$79)))</f>
        <v>43931</v>
      </c>
      <c r="C14" s="162">
        <f t="shared" ca="1" si="1"/>
        <v>417985.08788167726</v>
      </c>
      <c r="D14" s="162">
        <f ca="1">IF(ISNA(MATCH($A14,Months,0))=TRUE,0,OFFSET(Forecast!$B$102,0,MATCH($A14,Months,0),1,1))</f>
        <v>0</v>
      </c>
      <c r="E14" s="163">
        <f t="shared" ca="1" si="2"/>
        <v>0</v>
      </c>
      <c r="F14" s="163">
        <f t="shared" ca="1" si="3"/>
        <v>0</v>
      </c>
      <c r="G14" s="163">
        <f t="shared" ca="1" si="0"/>
        <v>0</v>
      </c>
      <c r="H14" s="164">
        <f ca="1">IF(ROUND(SUM(C14:D14,-G14),0)=0,0,IF($B$6="Yes",SUM($D$9:D14),SUM(C14:D14,-G14)))</f>
        <v>417985.08788167726</v>
      </c>
      <c r="I14" s="165" t="str">
        <f ca="1">IF(E14&gt;0,MAX(I$9:I13)+1,"-")</f>
        <v>-</v>
      </c>
      <c r="J14" s="162"/>
      <c r="K14" s="162"/>
      <c r="L14" s="162"/>
      <c r="M14" s="162"/>
    </row>
    <row r="15" spans="1:13" s="107" customFormat="1" ht="16.149999999999999" customHeight="1" x14ac:dyDescent="0.25">
      <c r="A15" s="146">
        <f t="shared" ca="1" si="4"/>
        <v>43932</v>
      </c>
      <c r="B15" s="161">
        <f ca="1">IF(AND(B14&gt;A14,B14&lt;=A15),B14,DATE(YEAR(A15),MONTH(A15),IF(AND(MONTH(A15)=2,Assumptions!$F$79&gt;28),28,Assumptions!$F$79)))</f>
        <v>43931</v>
      </c>
      <c r="C15" s="162">
        <f t="shared" ca="1" si="1"/>
        <v>417985.08788167726</v>
      </c>
      <c r="D15" s="162">
        <f ca="1">IF(ISNA(MATCH($A15,Months,0))=TRUE,0,OFFSET(Forecast!$B$102,0,MATCH($A15,Months,0),1,1))</f>
        <v>0</v>
      </c>
      <c r="E15" s="163">
        <f t="shared" ca="1" si="2"/>
        <v>11087.82878498939</v>
      </c>
      <c r="F15" s="163">
        <f t="shared" ca="1" si="3"/>
        <v>4005.6904255327408</v>
      </c>
      <c r="G15" s="163">
        <f t="shared" ca="1" si="0"/>
        <v>7082.1383594566487</v>
      </c>
      <c r="H15" s="164">
        <f ca="1">IF(ROUND(SUM(C15:D15,-G15),0)=0,0,IF($B$6="Yes",SUM($D$9:D15),SUM(C15:D15,-G15)))</f>
        <v>410902.94952222059</v>
      </c>
      <c r="I15" s="165">
        <f ca="1">IF(E15&gt;0,MAX(I$9:I14)+1,"-")</f>
        <v>2</v>
      </c>
      <c r="J15" s="162"/>
      <c r="K15" s="162"/>
      <c r="L15" s="162"/>
      <c r="M15" s="162"/>
    </row>
    <row r="16" spans="1:13" s="107" customFormat="1" ht="16.149999999999999" customHeight="1" x14ac:dyDescent="0.25">
      <c r="A16" s="146">
        <f t="shared" ca="1" si="4"/>
        <v>43939</v>
      </c>
      <c r="B16" s="161">
        <f ca="1">IF(AND(B15&gt;A15,B15&lt;=A16),B15,DATE(YEAR(A16),MONTH(A16),IF(AND(MONTH(A16)=2,Assumptions!$F$79&gt;28),28,Assumptions!$F$79)))</f>
        <v>43931</v>
      </c>
      <c r="C16" s="162">
        <f t="shared" ca="1" si="1"/>
        <v>410902.94952222059</v>
      </c>
      <c r="D16" s="162">
        <f ca="1">IF(ISNA(MATCH($A16,Months,0))=TRUE,0,OFFSET(Forecast!$B$102,0,MATCH($A16,Months,0),1,1))</f>
        <v>0</v>
      </c>
      <c r="E16" s="163">
        <f t="shared" ca="1" si="2"/>
        <v>0</v>
      </c>
      <c r="F16" s="163">
        <f t="shared" ca="1" si="3"/>
        <v>0</v>
      </c>
      <c r="G16" s="163">
        <f t="shared" ca="1" si="0"/>
        <v>0</v>
      </c>
      <c r="H16" s="164">
        <f ca="1">IF(ROUND(SUM(C16:D16,-G16),0)=0,0,IF($B$6="Yes",SUM($D$9:D16),SUM(C16:D16,-G16)))</f>
        <v>410902.94952222059</v>
      </c>
      <c r="I16" s="165" t="str">
        <f ca="1">IF(E16&gt;0,MAX(I$9:I15)+1,"-")</f>
        <v>-</v>
      </c>
      <c r="J16" s="162"/>
      <c r="K16" s="162"/>
      <c r="L16" s="162"/>
      <c r="M16" s="162"/>
    </row>
    <row r="17" spans="1:13" s="107" customFormat="1" ht="16.149999999999999" customHeight="1" x14ac:dyDescent="0.25">
      <c r="A17" s="146">
        <f t="shared" ca="1" si="4"/>
        <v>43946</v>
      </c>
      <c r="B17" s="161">
        <f ca="1">IF(AND(B16&gt;A16,B16&lt;=A17),B16,DATE(YEAR(A17),MONTH(A17),IF(AND(MONTH(A17)=2,Assumptions!$F$79&gt;28),28,Assumptions!$F$79)))</f>
        <v>43931</v>
      </c>
      <c r="C17" s="162">
        <f t="shared" ca="1" si="1"/>
        <v>410902.94952222059</v>
      </c>
      <c r="D17" s="162">
        <f ca="1">IF(ISNA(MATCH($A17,Months,0))=TRUE,0,OFFSET(Forecast!$B$102,0,MATCH($A17,Months,0),1,1))</f>
        <v>0</v>
      </c>
      <c r="E17" s="163">
        <f t="shared" ca="1" si="2"/>
        <v>0</v>
      </c>
      <c r="F17" s="163">
        <f t="shared" ca="1" si="3"/>
        <v>0</v>
      </c>
      <c r="G17" s="163">
        <f t="shared" ca="1" si="0"/>
        <v>0</v>
      </c>
      <c r="H17" s="164">
        <f ca="1">IF(ROUND(SUM(C17:D17,-G17),0)=0,0,IF($B$6="Yes",SUM($D$9:D17),SUM(C17:D17,-G17)))</f>
        <v>410902.94952222059</v>
      </c>
      <c r="I17" s="165" t="str">
        <f ca="1">IF(E17&gt;0,MAX(I$9:I16)+1,"-")</f>
        <v>-</v>
      </c>
      <c r="J17" s="162"/>
      <c r="K17" s="162"/>
      <c r="L17" s="162"/>
      <c r="M17" s="162"/>
    </row>
    <row r="18" spans="1:13" s="107" customFormat="1" ht="16.149999999999999" customHeight="1" x14ac:dyDescent="0.25">
      <c r="A18" s="146">
        <f t="shared" ca="1" si="4"/>
        <v>43953</v>
      </c>
      <c r="B18" s="161">
        <f ca="1">IF(AND(B17&gt;A17,B17&lt;=A18),B17,DATE(YEAR(A18),MONTH(A18),IF(AND(MONTH(A18)=2,Assumptions!$F$79&gt;28),28,Assumptions!$F$79)))</f>
        <v>43961</v>
      </c>
      <c r="C18" s="162">
        <f t="shared" ca="1" si="1"/>
        <v>410902.94952222059</v>
      </c>
      <c r="D18" s="162">
        <f ca="1">IF(ISNA(MATCH($A18,Months,0))=TRUE,0,OFFSET(Forecast!$B$102,0,MATCH($A18,Months,0),1,1))</f>
        <v>0</v>
      </c>
      <c r="E18" s="163">
        <f t="shared" ca="1" si="2"/>
        <v>0</v>
      </c>
      <c r="F18" s="163">
        <f t="shared" ca="1" si="3"/>
        <v>0</v>
      </c>
      <c r="G18" s="163">
        <f t="shared" ca="1" si="0"/>
        <v>0</v>
      </c>
      <c r="H18" s="164">
        <f ca="1">IF(ROUND(SUM(C18:D18,-G18),0)=0,0,IF($B$6="Yes",SUM($D$9:D18),SUM(C18:D18,-G18)))</f>
        <v>410902.94952222059</v>
      </c>
      <c r="I18" s="165" t="str">
        <f ca="1">IF(E18&gt;0,MAX(I$9:I17)+1,"-")</f>
        <v>-</v>
      </c>
      <c r="J18" s="162"/>
      <c r="K18" s="162"/>
      <c r="L18" s="162"/>
      <c r="M18" s="162"/>
    </row>
    <row r="19" spans="1:13" s="107" customFormat="1" ht="16.149999999999999" customHeight="1" x14ac:dyDescent="0.25">
      <c r="A19" s="146">
        <f t="shared" ca="1" si="4"/>
        <v>43960</v>
      </c>
      <c r="B19" s="161">
        <f ca="1">IF(AND(B18&gt;A18,B18&lt;=A19),B18,DATE(YEAR(A19),MONTH(A19),IF(AND(MONTH(A19)=2,Assumptions!$F$79&gt;28),28,Assumptions!$F$79)))</f>
        <v>43961</v>
      </c>
      <c r="C19" s="162">
        <f t="shared" ca="1" si="1"/>
        <v>410902.94952222059</v>
      </c>
      <c r="D19" s="162">
        <f ca="1">IF(ISNA(MATCH($A19,Months,0))=TRUE,0,OFFSET(Forecast!$B$102,0,MATCH($A19,Months,0),1,1))</f>
        <v>0</v>
      </c>
      <c r="E19" s="163">
        <f t="shared" ca="1" si="2"/>
        <v>0</v>
      </c>
      <c r="F19" s="163">
        <f t="shared" ca="1" si="3"/>
        <v>0</v>
      </c>
      <c r="G19" s="163">
        <f t="shared" ca="1" si="0"/>
        <v>0</v>
      </c>
      <c r="H19" s="164">
        <f ca="1">IF(ROUND(SUM(C19:D19,-G19),0)=0,0,IF($B$6="Yes",SUM($D$9:D19),SUM(C19:D19,-G19)))</f>
        <v>410902.94952222059</v>
      </c>
      <c r="I19" s="165" t="str">
        <f ca="1">IF(E19&gt;0,MAX(I$9:I18)+1,"-")</f>
        <v>-</v>
      </c>
      <c r="J19" s="162"/>
      <c r="K19" s="162"/>
      <c r="L19" s="162"/>
      <c r="M19" s="162"/>
    </row>
    <row r="20" spans="1:13" ht="16.149999999999999" customHeight="1" x14ac:dyDescent="0.25">
      <c r="A20" s="146">
        <f t="shared" ca="1" si="4"/>
        <v>43967</v>
      </c>
      <c r="B20" s="161">
        <f ca="1">IF(AND(B19&gt;A19,B19&lt;=A20),B19,DATE(YEAR(A20),MONTH(A20),IF(AND(MONTH(A20)=2,Assumptions!$F$79&gt;28),28,Assumptions!$F$79)))</f>
        <v>43961</v>
      </c>
      <c r="C20" s="162">
        <f t="shared" ca="1" si="1"/>
        <v>410902.94952222059</v>
      </c>
      <c r="D20" s="162">
        <f ca="1">IF(ISNA(MATCH($A20,Months,0))=TRUE,0,OFFSET(Forecast!$B$102,0,MATCH($A20,Months,0),1,1))</f>
        <v>0</v>
      </c>
      <c r="E20" s="163">
        <f t="shared" ca="1" si="2"/>
        <v>11087.82878498939</v>
      </c>
      <c r="F20" s="163">
        <f t="shared" ca="1" si="3"/>
        <v>3937.8199329212807</v>
      </c>
      <c r="G20" s="163">
        <f t="shared" ca="1" si="0"/>
        <v>7150.0088520681093</v>
      </c>
      <c r="H20" s="164">
        <f ca="1">IF(ROUND(SUM(C20:D20,-G20),0)=0,0,IF($B$6="Yes",SUM($D$9:D20),SUM(C20:D20,-G20)))</f>
        <v>403752.94067015249</v>
      </c>
      <c r="I20" s="165">
        <f ca="1">IF(E20&gt;0,MAX(I$9:I19)+1,"-")</f>
        <v>3</v>
      </c>
    </row>
    <row r="21" spans="1:13" ht="16.149999999999999" customHeight="1" x14ac:dyDescent="0.25">
      <c r="A21" s="146">
        <f t="shared" ca="1" si="4"/>
        <v>43974</v>
      </c>
      <c r="B21" s="161">
        <f ca="1">IF(AND(B20&gt;A20,B20&lt;=A21),B20,DATE(YEAR(A21),MONTH(A21),IF(AND(MONTH(A21)=2,Assumptions!$F$79&gt;28),28,Assumptions!$F$79)))</f>
        <v>43961</v>
      </c>
      <c r="C21" s="162">
        <f t="shared" ca="1" si="1"/>
        <v>403752.94067015249</v>
      </c>
      <c r="D21" s="162">
        <f ca="1">IF(ISNA(MATCH($A21,Months,0))=TRUE,0,OFFSET(Forecast!$B$102,0,MATCH($A21,Months,0),1,1))</f>
        <v>0</v>
      </c>
      <c r="E21" s="163">
        <f t="shared" ca="1" si="2"/>
        <v>0</v>
      </c>
      <c r="F21" s="163">
        <f t="shared" ca="1" si="3"/>
        <v>0</v>
      </c>
      <c r="G21" s="163">
        <f t="shared" ca="1" si="0"/>
        <v>0</v>
      </c>
      <c r="H21" s="164">
        <f ca="1">IF(ROUND(SUM(C21:D21,-G21),0)=0,0,IF($B$6="Yes",SUM($D$9:D21),SUM(C21:D21,-G21)))</f>
        <v>403752.94067015249</v>
      </c>
      <c r="I21" s="165" t="str">
        <f ca="1">IF(E21&gt;0,MAX(I$9:I20)+1,"-")</f>
        <v>-</v>
      </c>
    </row>
    <row r="22" spans="1:13" ht="16.149999999999999" customHeight="1" x14ac:dyDescent="0.25">
      <c r="A22" s="146">
        <f t="shared" ca="1" si="4"/>
        <v>43981</v>
      </c>
      <c r="B22" s="161">
        <f ca="1">IF(AND(B21&gt;A21,B21&lt;=A22),B21,DATE(YEAR(A22),MONTH(A22),IF(AND(MONTH(A22)=2,Assumptions!$F$79&gt;28),28,Assumptions!$F$79)))</f>
        <v>43961</v>
      </c>
      <c r="C22" s="162">
        <f t="shared" ca="1" si="1"/>
        <v>403752.94067015249</v>
      </c>
      <c r="D22" s="162">
        <f ca="1">IF(ISNA(MATCH($A22,Months,0))=TRUE,0,OFFSET(Forecast!$B$102,0,MATCH($A22,Months,0),1,1))</f>
        <v>0</v>
      </c>
      <c r="E22" s="163">
        <f t="shared" ca="1" si="2"/>
        <v>0</v>
      </c>
      <c r="F22" s="163">
        <f t="shared" ca="1" si="3"/>
        <v>0</v>
      </c>
      <c r="G22" s="163">
        <f t="shared" ca="1" si="0"/>
        <v>0</v>
      </c>
      <c r="H22" s="164">
        <f ca="1">IF(ROUND(SUM(C22:D22,-G22),0)=0,0,IF($B$6="Yes",SUM($D$9:D22),SUM(C22:D22,-G22)))</f>
        <v>403752.94067015249</v>
      </c>
      <c r="I22" s="165" t="str">
        <f ca="1">IF(E22&gt;0,MAX(I$9:I21)+1,"-")</f>
        <v>-</v>
      </c>
    </row>
    <row r="23" spans="1:13" s="119" customFormat="1" ht="16.149999999999999" customHeight="1" x14ac:dyDescent="0.25">
      <c r="A23" s="146">
        <f t="shared" ca="1" si="4"/>
        <v>43988</v>
      </c>
      <c r="B23" s="161">
        <f ca="1">IF(AND(B22&gt;A22,B22&lt;=A23),B22,DATE(YEAR(A23),MONTH(A23),IF(AND(MONTH(A23)=2,Assumptions!$F$79&gt;28),28,Assumptions!$F$79)))</f>
        <v>43992</v>
      </c>
      <c r="C23" s="162">
        <f t="shared" ca="1" si="1"/>
        <v>403752.94067015249</v>
      </c>
      <c r="D23" s="162">
        <f ca="1">IF(ISNA(MATCH($A23,Months,0))=TRUE,0,OFFSET(Forecast!$B$102,0,MATCH($A23,Months,0),1,1))</f>
        <v>0</v>
      </c>
      <c r="E23" s="163">
        <f t="shared" ca="1" si="2"/>
        <v>0</v>
      </c>
      <c r="F23" s="163">
        <f t="shared" ca="1" si="3"/>
        <v>0</v>
      </c>
      <c r="G23" s="163">
        <f t="shared" ca="1" si="0"/>
        <v>0</v>
      </c>
      <c r="H23" s="164">
        <f ca="1">IF(ROUND(SUM(C23:D23,-G23),0)=0,0,IF($B$6="Yes",SUM($D$9:D23),SUM(C23:D23,-G23)))</f>
        <v>403752.94067015249</v>
      </c>
      <c r="I23" s="165" t="str">
        <f ca="1">IF(E23&gt;0,MAX(I$9:I22)+1,"-")</f>
        <v>-</v>
      </c>
      <c r="J23" s="166"/>
      <c r="K23" s="166"/>
      <c r="L23" s="166"/>
      <c r="M23" s="166"/>
    </row>
    <row r="24" spans="1:13" ht="16.149999999999999" customHeight="1" x14ac:dyDescent="0.25">
      <c r="A24" s="146">
        <f t="shared" ca="1" si="4"/>
        <v>43995</v>
      </c>
      <c r="B24" s="161">
        <f ca="1">IF(AND(B23&gt;A23,B23&lt;=A24),B23,DATE(YEAR(A24),MONTH(A24),IF(AND(MONTH(A24)=2,Assumptions!$F$79&gt;28),28,Assumptions!$F$79)))</f>
        <v>43992</v>
      </c>
      <c r="C24" s="162">
        <f t="shared" ca="1" si="1"/>
        <v>403752.94067015249</v>
      </c>
      <c r="D24" s="162">
        <f ca="1">IF(ISNA(MATCH($A24,Months,0))=TRUE,0,OFFSET(Forecast!$B$102,0,MATCH($A24,Months,0),1,1))</f>
        <v>0</v>
      </c>
      <c r="E24" s="163">
        <f t="shared" ca="1" si="2"/>
        <v>11087.82878498939</v>
      </c>
      <c r="F24" s="163">
        <f t="shared" ca="1" si="3"/>
        <v>3869.2990147556284</v>
      </c>
      <c r="G24" s="163">
        <f t="shared" ca="1" si="0"/>
        <v>7218.5297702337612</v>
      </c>
      <c r="H24" s="164">
        <f ca="1">IF(ROUND(SUM(C24:D24,-G24),0)=0,0,IF($B$6="Yes",SUM($D$9:D24),SUM(C24:D24,-G24)))</f>
        <v>396534.4108999187</v>
      </c>
      <c r="I24" s="165">
        <f ca="1">IF(E24&gt;0,MAX(I$9:I23)+1,"-")</f>
        <v>4</v>
      </c>
    </row>
    <row r="25" spans="1:13" ht="16.149999999999999" customHeight="1" x14ac:dyDescent="0.25">
      <c r="A25" s="146">
        <f t="shared" ca="1" si="4"/>
        <v>44002</v>
      </c>
      <c r="B25" s="161">
        <f ca="1">IF(AND(B24&gt;A24,B24&lt;=A25),B24,DATE(YEAR(A25),MONTH(A25),IF(AND(MONTH(A25)=2,Assumptions!$F$79&gt;28),28,Assumptions!$F$79)))</f>
        <v>43992</v>
      </c>
      <c r="C25" s="162">
        <f t="shared" ca="1" si="1"/>
        <v>396534.4108999187</v>
      </c>
      <c r="D25" s="162">
        <f ca="1">IF(ISNA(MATCH($A25,Months,0))=TRUE,0,OFFSET(Forecast!$B$102,0,MATCH($A25,Months,0),1,1))</f>
        <v>0</v>
      </c>
      <c r="E25" s="163">
        <f t="shared" ca="1" si="2"/>
        <v>0</v>
      </c>
      <c r="F25" s="163">
        <f t="shared" ca="1" si="3"/>
        <v>0</v>
      </c>
      <c r="G25" s="163">
        <f t="shared" ca="1" si="0"/>
        <v>0</v>
      </c>
      <c r="H25" s="164">
        <f ca="1">IF(ROUND(SUM(C25:D25,-G25),0)=0,0,IF($B$6="Yes",SUM($D$9:D25),SUM(C25:D25,-G25)))</f>
        <v>396534.4108999187</v>
      </c>
      <c r="I25" s="165" t="str">
        <f ca="1">IF(E25&gt;0,MAX(I$9:I24)+1,"-")</f>
        <v>-</v>
      </c>
    </row>
    <row r="26" spans="1:13" ht="16.149999999999999" customHeight="1" x14ac:dyDescent="0.25">
      <c r="A26" s="146">
        <f t="shared" ca="1" si="4"/>
        <v>44009</v>
      </c>
      <c r="B26" s="161">
        <f ca="1">IF(AND(B25&gt;A25,B25&lt;=A26),B25,DATE(YEAR(A26),MONTH(A26),IF(AND(MONTH(A26)=2,Assumptions!$F$79&gt;28),28,Assumptions!$F$79)))</f>
        <v>43992</v>
      </c>
      <c r="C26" s="162">
        <f t="shared" ca="1" si="1"/>
        <v>396534.4108999187</v>
      </c>
      <c r="D26" s="162">
        <f ca="1">IF(ISNA(MATCH($A26,Months,0))=TRUE,0,OFFSET(Forecast!$B$102,0,MATCH($A26,Months,0),1,1))</f>
        <v>0</v>
      </c>
      <c r="E26" s="163">
        <f t="shared" ca="1" si="2"/>
        <v>0</v>
      </c>
      <c r="F26" s="163">
        <f t="shared" ca="1" si="3"/>
        <v>0</v>
      </c>
      <c r="G26" s="163">
        <f t="shared" ca="1" si="0"/>
        <v>0</v>
      </c>
      <c r="H26" s="164">
        <f ca="1">IF(ROUND(SUM(C26:D26,-G26),0)=0,0,IF($B$6="Yes",SUM($D$9:D26),SUM(C26:D26,-G26)))</f>
        <v>396534.4108999187</v>
      </c>
      <c r="I26" s="165" t="str">
        <f ca="1">IF(E26&gt;0,MAX(I$9:I25)+1,"-")</f>
        <v>-</v>
      </c>
    </row>
    <row r="27" spans="1:13" ht="16.149999999999999" customHeight="1" x14ac:dyDescent="0.25">
      <c r="A27" s="146">
        <f t="shared" ca="1" si="4"/>
        <v>44016</v>
      </c>
      <c r="B27" s="161">
        <f ca="1">IF(AND(B26&gt;A26,B26&lt;=A27),B26,DATE(YEAR(A27),MONTH(A27),IF(AND(MONTH(A27)=2,Assumptions!$F$79&gt;28),28,Assumptions!$F$79)))</f>
        <v>44022</v>
      </c>
      <c r="C27" s="162">
        <f t="shared" ca="1" si="1"/>
        <v>396534.4108999187</v>
      </c>
      <c r="D27" s="162">
        <f ca="1">IF(ISNA(MATCH($A27,Months,0))=TRUE,0,OFFSET(Forecast!$B$102,0,MATCH($A27,Months,0),1,1))</f>
        <v>0</v>
      </c>
      <c r="E27" s="163">
        <f t="shared" ca="1" si="2"/>
        <v>0</v>
      </c>
      <c r="F27" s="163">
        <f t="shared" ca="1" si="3"/>
        <v>0</v>
      </c>
      <c r="G27" s="163">
        <f t="shared" ca="1" si="0"/>
        <v>0</v>
      </c>
      <c r="H27" s="164">
        <f ca="1">IF(ROUND(SUM(C27:D27,-G27),0)=0,0,IF($B$6="Yes",SUM($D$9:D27),SUM(C27:D27,-G27)))</f>
        <v>396534.4108999187</v>
      </c>
      <c r="I27" s="165" t="str">
        <f ca="1">IF(E27&gt;0,MAX(I$9:I26)+1,"-")</f>
        <v>-</v>
      </c>
    </row>
    <row r="28" spans="1:13" ht="16.149999999999999" customHeight="1" x14ac:dyDescent="0.25">
      <c r="A28" s="146">
        <f t="shared" ca="1" si="4"/>
        <v>44023</v>
      </c>
      <c r="B28" s="161">
        <f ca="1">IF(AND(B27&gt;A27,B27&lt;=A28),B27,DATE(YEAR(A28),MONTH(A28),IF(AND(MONTH(A28)=2,Assumptions!$F$79&gt;28),28,Assumptions!$F$79)))</f>
        <v>44022</v>
      </c>
      <c r="C28" s="162">
        <f t="shared" ca="1" si="1"/>
        <v>396534.4108999187</v>
      </c>
      <c r="D28" s="162">
        <f ca="1">IF(ISNA(MATCH($A28,Months,0))=TRUE,0,OFFSET(Forecast!$B$102,0,MATCH($A28,Months,0),1,1))</f>
        <v>0</v>
      </c>
      <c r="E28" s="163">
        <f t="shared" ca="1" si="2"/>
        <v>11087.82878498939</v>
      </c>
      <c r="F28" s="163">
        <f t="shared" ca="1" si="3"/>
        <v>3800.1214377908877</v>
      </c>
      <c r="G28" s="163">
        <f t="shared" ca="1" si="0"/>
        <v>7287.7073471985022</v>
      </c>
      <c r="H28" s="164">
        <f ca="1">IF(ROUND(SUM(C28:D28,-G28),0)=0,0,IF($B$6="Yes",SUM($D$9:D28),SUM(C28:D28,-G28)))</f>
        <v>389246.7035527202</v>
      </c>
      <c r="I28" s="165">
        <f ca="1">IF(E28&gt;0,MAX(I$9:I27)+1,"-")</f>
        <v>5</v>
      </c>
    </row>
    <row r="29" spans="1:13" ht="16.149999999999999" customHeight="1" x14ac:dyDescent="0.25">
      <c r="A29" s="146">
        <f t="shared" ca="1" si="4"/>
        <v>44030</v>
      </c>
      <c r="B29" s="161">
        <f ca="1">IF(AND(B28&gt;A28,B28&lt;=A29),B28,DATE(YEAR(A29),MONTH(A29),IF(AND(MONTH(A29)=2,Assumptions!$F$79&gt;28),28,Assumptions!$F$79)))</f>
        <v>44022</v>
      </c>
      <c r="C29" s="162">
        <f t="shared" ca="1" si="1"/>
        <v>389246.7035527202</v>
      </c>
      <c r="D29" s="162">
        <f ca="1">IF(ISNA(MATCH($A29,Months,0))=TRUE,0,OFFSET(Forecast!$B$102,0,MATCH($A29,Months,0),1,1))</f>
        <v>0</v>
      </c>
      <c r="E29" s="163">
        <f t="shared" ca="1" si="2"/>
        <v>0</v>
      </c>
      <c r="F29" s="163">
        <f t="shared" ca="1" si="3"/>
        <v>0</v>
      </c>
      <c r="G29" s="163">
        <f t="shared" ca="1" si="0"/>
        <v>0</v>
      </c>
      <c r="H29" s="164">
        <f ca="1">IF(ROUND(SUM(C29:D29,-G29),0)=0,0,IF($B$6="Yes",SUM($D$9:D29),SUM(C29:D29,-G29)))</f>
        <v>389246.7035527202</v>
      </c>
      <c r="I29" s="165" t="str">
        <f ca="1">IF(E29&gt;0,MAX(I$9:I28)+1,"-")</f>
        <v>-</v>
      </c>
    </row>
    <row r="30" spans="1:13" ht="16.149999999999999" customHeight="1" x14ac:dyDescent="0.25">
      <c r="A30" s="146">
        <f t="shared" ca="1" si="4"/>
        <v>44037</v>
      </c>
      <c r="B30" s="161">
        <f ca="1">IF(AND(B29&gt;A29,B29&lt;=A30),B29,DATE(YEAR(A30),MONTH(A30),IF(AND(MONTH(A30)=2,Assumptions!$F$79&gt;28),28,Assumptions!$F$79)))</f>
        <v>44022</v>
      </c>
      <c r="C30" s="162">
        <f t="shared" ca="1" si="1"/>
        <v>389246.7035527202</v>
      </c>
      <c r="D30" s="162">
        <f ca="1">IF(ISNA(MATCH($A30,Months,0))=TRUE,0,OFFSET(Forecast!$B$102,0,MATCH($A30,Months,0),1,1))</f>
        <v>0</v>
      </c>
      <c r="E30" s="163">
        <f t="shared" ca="1" si="2"/>
        <v>0</v>
      </c>
      <c r="F30" s="163">
        <f t="shared" ca="1" si="3"/>
        <v>0</v>
      </c>
      <c r="G30" s="163">
        <f t="shared" ca="1" si="0"/>
        <v>0</v>
      </c>
      <c r="H30" s="164">
        <f ca="1">IF(ROUND(SUM(C30:D30,-G30),0)=0,0,IF($B$6="Yes",SUM($D$9:D30),SUM(C30:D30,-G30)))</f>
        <v>389246.7035527202</v>
      </c>
      <c r="I30" s="165" t="str">
        <f ca="1">IF(E30&gt;0,MAX(I$9:I29)+1,"-")</f>
        <v>-</v>
      </c>
    </row>
    <row r="31" spans="1:13" ht="16.149999999999999" customHeight="1" x14ac:dyDescent="0.25">
      <c r="A31" s="146">
        <f t="shared" ca="1" si="4"/>
        <v>44044</v>
      </c>
      <c r="B31" s="161">
        <f ca="1">IF(AND(B30&gt;A30,B30&lt;=A31),B30,DATE(YEAR(A31),MONTH(A31),IF(AND(MONTH(A31)=2,Assumptions!$F$79&gt;28),28,Assumptions!$F$79)))</f>
        <v>44053</v>
      </c>
      <c r="C31" s="162">
        <f t="shared" ca="1" si="1"/>
        <v>389246.7035527202</v>
      </c>
      <c r="D31" s="162">
        <f ca="1">IF(ISNA(MATCH($A31,Months,0))=TRUE,0,OFFSET(Forecast!$B$102,0,MATCH($A31,Months,0),1,1))</f>
        <v>0</v>
      </c>
      <c r="E31" s="163">
        <f t="shared" ca="1" si="2"/>
        <v>0</v>
      </c>
      <c r="F31" s="163">
        <f t="shared" ca="1" si="3"/>
        <v>0</v>
      </c>
      <c r="G31" s="163">
        <f t="shared" ca="1" si="0"/>
        <v>0</v>
      </c>
      <c r="H31" s="164">
        <f ca="1">IF(ROUND(SUM(C31:D31,-G31),0)=0,0,IF($B$6="Yes",SUM($D$9:D31),SUM(C31:D31,-G31)))</f>
        <v>389246.7035527202</v>
      </c>
      <c r="I31" s="165" t="str">
        <f ca="1">IF(E31&gt;0,MAX(I$9:I30)+1,"-")</f>
        <v>-</v>
      </c>
    </row>
    <row r="32" spans="1:13" ht="16.149999999999999" customHeight="1" x14ac:dyDescent="0.25">
      <c r="A32" s="146">
        <f t="shared" ca="1" si="4"/>
        <v>44051</v>
      </c>
      <c r="B32" s="161">
        <f ca="1">IF(AND(B31&gt;A31,B31&lt;=A32),B31,DATE(YEAR(A32),MONTH(A32),IF(AND(MONTH(A32)=2,Assumptions!$F$79&gt;28),28,Assumptions!$F$79)))</f>
        <v>44053</v>
      </c>
      <c r="C32" s="162">
        <f t="shared" ca="1" si="1"/>
        <v>389246.7035527202</v>
      </c>
      <c r="D32" s="162">
        <f ca="1">IF(ISNA(MATCH($A32,Months,0))=TRUE,0,OFFSET(Forecast!$B$102,0,MATCH($A32,Months,0),1,1))</f>
        <v>0</v>
      </c>
      <c r="E32" s="163">
        <f t="shared" ca="1" si="2"/>
        <v>0</v>
      </c>
      <c r="F32" s="163">
        <f t="shared" ca="1" si="3"/>
        <v>0</v>
      </c>
      <c r="G32" s="163">
        <f t="shared" ca="1" si="0"/>
        <v>0</v>
      </c>
      <c r="H32" s="164">
        <f ca="1">IF(ROUND(SUM(C32:D32,-G32),0)=0,0,IF($B$6="Yes",SUM($D$9:D32),SUM(C32:D32,-G32)))</f>
        <v>389246.7035527202</v>
      </c>
      <c r="I32" s="165" t="str">
        <f ca="1">IF(E32&gt;0,MAX(I$9:I31)+1,"-")</f>
        <v>-</v>
      </c>
    </row>
    <row r="33" spans="1:9" ht="16.149999999999999" customHeight="1" x14ac:dyDescent="0.25">
      <c r="A33" s="146">
        <f t="shared" ca="1" si="4"/>
        <v>44058</v>
      </c>
      <c r="B33" s="161">
        <f ca="1">IF(AND(B32&gt;A32,B32&lt;=A33),B32,DATE(YEAR(A33),MONTH(A33),IF(AND(MONTH(A33)=2,Assumptions!$F$79&gt;28),28,Assumptions!$F$79)))</f>
        <v>44053</v>
      </c>
      <c r="C33" s="162">
        <f t="shared" ca="1" si="1"/>
        <v>389246.7035527202</v>
      </c>
      <c r="D33" s="162">
        <f ca="1">IF(ISNA(MATCH($A33,Months,0))=TRUE,0,OFFSET(Forecast!$B$102,0,MATCH($A33,Months,0),1,1))</f>
        <v>0</v>
      </c>
      <c r="E33" s="163">
        <f t="shared" ca="1" si="2"/>
        <v>11087.82878498939</v>
      </c>
      <c r="F33" s="163">
        <f t="shared" ca="1" si="3"/>
        <v>3730.2809090469018</v>
      </c>
      <c r="G33" s="163">
        <f t="shared" ca="1" si="0"/>
        <v>7357.5478759424877</v>
      </c>
      <c r="H33" s="164">
        <f ca="1">IF(ROUND(SUM(C33:D33,-G33),0)=0,0,IF($B$6="Yes",SUM($D$9:D33),SUM(C33:D33,-G33)))</f>
        <v>381889.15567677771</v>
      </c>
      <c r="I33" s="165">
        <f ca="1">IF(E33&gt;0,MAX(I$9:I32)+1,"-")</f>
        <v>6</v>
      </c>
    </row>
    <row r="34" spans="1:9" ht="16.149999999999999" customHeight="1" x14ac:dyDescent="0.25">
      <c r="A34" s="146">
        <f t="shared" ca="1" si="4"/>
        <v>44065</v>
      </c>
      <c r="B34" s="161">
        <f ca="1">IF(AND(B33&gt;A33,B33&lt;=A34),B33,DATE(YEAR(A34),MONTH(A34),IF(AND(MONTH(A34)=2,Assumptions!$F$79&gt;28),28,Assumptions!$F$79)))</f>
        <v>44053</v>
      </c>
      <c r="C34" s="162">
        <f t="shared" ca="1" si="1"/>
        <v>381889.15567677771</v>
      </c>
      <c r="D34" s="162">
        <f ca="1">IF(ISNA(MATCH($A34,Months,0))=TRUE,0,OFFSET(Forecast!$B$102,0,MATCH($A34,Months,0),1,1))</f>
        <v>0</v>
      </c>
      <c r="E34" s="163">
        <f t="shared" ca="1" si="2"/>
        <v>0</v>
      </c>
      <c r="F34" s="163">
        <f t="shared" ca="1" si="3"/>
        <v>0</v>
      </c>
      <c r="G34" s="163">
        <f t="shared" ca="1" si="0"/>
        <v>0</v>
      </c>
      <c r="H34" s="164">
        <f ca="1">IF(ROUND(SUM(C34:D34,-G34),0)=0,0,IF($B$6="Yes",SUM($D$9:D34),SUM(C34:D34,-G34)))</f>
        <v>381889.15567677771</v>
      </c>
      <c r="I34" s="165" t="str">
        <f ca="1">IF(E34&gt;0,MAX(I$9:I33)+1,"-")</f>
        <v>-</v>
      </c>
    </row>
    <row r="35" spans="1:9" ht="16.149999999999999" customHeight="1" x14ac:dyDescent="0.25">
      <c r="A35" s="146">
        <f t="shared" ca="1" si="4"/>
        <v>44072</v>
      </c>
      <c r="B35" s="161">
        <f ca="1">IF(AND(B34&gt;A34,B34&lt;=A35),B34,DATE(YEAR(A35),MONTH(A35),IF(AND(MONTH(A35)=2,Assumptions!$F$79&gt;28),28,Assumptions!$F$79)))</f>
        <v>44053</v>
      </c>
      <c r="C35" s="162">
        <f t="shared" ca="1" si="1"/>
        <v>381889.15567677771</v>
      </c>
      <c r="D35" s="162">
        <f ca="1">IF(ISNA(MATCH($A35,Months,0))=TRUE,0,OFFSET(Forecast!$B$102,0,MATCH($A35,Months,0),1,1))</f>
        <v>0</v>
      </c>
      <c r="E35" s="163">
        <f t="shared" ca="1" si="2"/>
        <v>0</v>
      </c>
      <c r="F35" s="163">
        <f t="shared" ca="1" si="3"/>
        <v>0</v>
      </c>
      <c r="G35" s="163">
        <f t="shared" ca="1" si="0"/>
        <v>0</v>
      </c>
      <c r="H35" s="164">
        <f ca="1">IF(ROUND(SUM(C35:D35,-G35),0)=0,0,IF($B$6="Yes",SUM($D$9:D35),SUM(C35:D35,-G35)))</f>
        <v>381889.15567677771</v>
      </c>
      <c r="I35" s="165" t="str">
        <f ca="1">IF(E35&gt;0,MAX(I$9:I34)+1,"-")</f>
        <v>-</v>
      </c>
    </row>
    <row r="36" spans="1:9" ht="16.149999999999999" customHeight="1" x14ac:dyDescent="0.25">
      <c r="A36" s="146">
        <f t="shared" ca="1" si="4"/>
        <v>44079</v>
      </c>
      <c r="B36" s="161">
        <f ca="1">IF(AND(B35&gt;A35,B35&lt;=A36),B35,DATE(YEAR(A36),MONTH(A36),IF(AND(MONTH(A36)=2,Assumptions!$F$79&gt;28),28,Assumptions!$F$79)))</f>
        <v>44084</v>
      </c>
      <c r="C36" s="162">
        <f t="shared" ca="1" si="1"/>
        <v>381889.15567677771</v>
      </c>
      <c r="D36" s="162">
        <f ca="1">IF(ISNA(MATCH($A36,Months,0))=TRUE,0,OFFSET(Forecast!$B$102,0,MATCH($A36,Months,0),1,1))</f>
        <v>0</v>
      </c>
      <c r="E36" s="163">
        <f t="shared" ca="1" si="2"/>
        <v>0</v>
      </c>
      <c r="F36" s="163">
        <f t="shared" ca="1" si="3"/>
        <v>0</v>
      </c>
      <c r="G36" s="163">
        <f t="shared" ca="1" si="0"/>
        <v>0</v>
      </c>
      <c r="H36" s="164">
        <f ca="1">IF(ROUND(SUM(C36:D36,-G36),0)=0,0,IF($B$6="Yes",SUM($D$9:D36),SUM(C36:D36,-G36)))</f>
        <v>381889.15567677771</v>
      </c>
      <c r="I36" s="165" t="str">
        <f ca="1">IF(E36&gt;0,MAX(I$9:I35)+1,"-")</f>
        <v>-</v>
      </c>
    </row>
    <row r="37" spans="1:9" ht="16.149999999999999" customHeight="1" x14ac:dyDescent="0.25">
      <c r="A37" s="146">
        <f t="shared" ca="1" si="4"/>
        <v>44086</v>
      </c>
      <c r="B37" s="161">
        <f ca="1">IF(AND(B36&gt;A36,B36&lt;=A37),B36,DATE(YEAR(A37),MONTH(A37),IF(AND(MONTH(A37)=2,Assumptions!$F$79&gt;28),28,Assumptions!$F$79)))</f>
        <v>44084</v>
      </c>
      <c r="C37" s="162">
        <f t="shared" ca="1" si="1"/>
        <v>381889.15567677771</v>
      </c>
      <c r="D37" s="162">
        <f ca="1">IF(ISNA(MATCH($A37,Months,0))=TRUE,0,OFFSET(Forecast!$B$102,0,MATCH($A37,Months,0),1,1))</f>
        <v>0</v>
      </c>
      <c r="E37" s="163">
        <f t="shared" ca="1" si="2"/>
        <v>11087.82878498939</v>
      </c>
      <c r="F37" s="163">
        <f t="shared" ca="1" si="3"/>
        <v>3659.7710752357866</v>
      </c>
      <c r="G37" s="163">
        <f t="shared" ca="1" si="0"/>
        <v>7428.0577097536025</v>
      </c>
      <c r="H37" s="164">
        <f ca="1">IF(ROUND(SUM(C37:D37,-G37),0)=0,0,IF($B$6="Yes",SUM($D$9:D37),SUM(C37:D37,-G37)))</f>
        <v>374461.09796702408</v>
      </c>
      <c r="I37" s="165">
        <f ca="1">IF(E37&gt;0,MAX(I$9:I36)+1,"-")</f>
        <v>7</v>
      </c>
    </row>
    <row r="38" spans="1:9" ht="16.149999999999999" customHeight="1" x14ac:dyDescent="0.25">
      <c r="A38" s="146">
        <f t="shared" ca="1" si="4"/>
        <v>44093</v>
      </c>
      <c r="B38" s="161">
        <f ca="1">IF(AND(B37&gt;A37,B37&lt;=A38),B37,DATE(YEAR(A38),MONTH(A38),IF(AND(MONTH(A38)=2,Assumptions!$F$79&gt;28),28,Assumptions!$F$79)))</f>
        <v>44084</v>
      </c>
      <c r="C38" s="162">
        <f t="shared" ca="1" si="1"/>
        <v>374461.09796702408</v>
      </c>
      <c r="D38" s="162">
        <f ca="1">IF(ISNA(MATCH($A38,Months,0))=TRUE,0,OFFSET(Forecast!$B$102,0,MATCH($A38,Months,0),1,1))</f>
        <v>0</v>
      </c>
      <c r="E38" s="163">
        <f t="shared" ca="1" si="2"/>
        <v>0</v>
      </c>
      <c r="F38" s="163">
        <f t="shared" ca="1" si="3"/>
        <v>0</v>
      </c>
      <c r="G38" s="163">
        <f t="shared" ca="1" si="0"/>
        <v>0</v>
      </c>
      <c r="H38" s="164">
        <f ca="1">IF(ROUND(SUM(C38:D38,-G38),0)=0,0,IF($B$6="Yes",SUM($D$9:D38),SUM(C38:D38,-G38)))</f>
        <v>374461.09796702408</v>
      </c>
      <c r="I38" s="165" t="str">
        <f ca="1">IF(E38&gt;0,MAX(I$9:I37)+1,"-")</f>
        <v>-</v>
      </c>
    </row>
    <row r="39" spans="1:9" ht="16.149999999999999" customHeight="1" x14ac:dyDescent="0.25">
      <c r="A39" s="146">
        <f t="shared" ca="1" si="4"/>
        <v>44100</v>
      </c>
      <c r="B39" s="161">
        <f ca="1">IF(AND(B38&gt;A38,B38&lt;=A39),B38,DATE(YEAR(A39),MONTH(A39),IF(AND(MONTH(A39)=2,Assumptions!$F$79&gt;28),28,Assumptions!$F$79)))</f>
        <v>44084</v>
      </c>
      <c r="C39" s="162">
        <f t="shared" ca="1" si="1"/>
        <v>374461.09796702408</v>
      </c>
      <c r="D39" s="162">
        <f ca="1">IF(ISNA(MATCH($A39,Months,0))=TRUE,0,OFFSET(Forecast!$B$102,0,MATCH($A39,Months,0),1,1))</f>
        <v>0</v>
      </c>
      <c r="E39" s="163">
        <f t="shared" ca="1" si="2"/>
        <v>0</v>
      </c>
      <c r="F39" s="163">
        <f t="shared" ca="1" si="3"/>
        <v>0</v>
      </c>
      <c r="G39" s="163">
        <f t="shared" ca="1" si="0"/>
        <v>0</v>
      </c>
      <c r="H39" s="164">
        <f ca="1">IF(ROUND(SUM(C39:D39,-G39),0)=0,0,IF($B$6="Yes",SUM($D$9:D39),SUM(C39:D39,-G39)))</f>
        <v>374461.09796702408</v>
      </c>
      <c r="I39" s="165" t="str">
        <f ca="1">IF(E39&gt;0,MAX(I$9:I38)+1,"-")</f>
        <v>-</v>
      </c>
    </row>
    <row r="40" spans="1:9" ht="16.149999999999999" customHeight="1" x14ac:dyDescent="0.25">
      <c r="A40" s="146">
        <f t="shared" ca="1" si="4"/>
        <v>44107</v>
      </c>
      <c r="B40" s="161">
        <f ca="1">IF(AND(B39&gt;A39,B39&lt;=A40),B39,DATE(YEAR(A40),MONTH(A40),IF(AND(MONTH(A40)=2,Assumptions!$F$79&gt;28),28,Assumptions!$F$79)))</f>
        <v>44114</v>
      </c>
      <c r="C40" s="162">
        <f t="shared" ca="1" si="1"/>
        <v>374461.09796702408</v>
      </c>
      <c r="D40" s="162">
        <f ca="1">IF(ISNA(MATCH($A40,Months,0))=TRUE,0,OFFSET(Forecast!$B$102,0,MATCH($A40,Months,0),1,1))</f>
        <v>0</v>
      </c>
      <c r="E40" s="163">
        <f t="shared" ca="1" si="2"/>
        <v>0</v>
      </c>
      <c r="F40" s="163">
        <f t="shared" ca="1" si="3"/>
        <v>0</v>
      </c>
      <c r="G40" s="163">
        <f t="shared" ca="1" si="0"/>
        <v>0</v>
      </c>
      <c r="H40" s="164">
        <f ca="1">IF(ROUND(SUM(C40:D40,-G40),0)=0,0,IF($B$6="Yes",SUM($D$9:D40),SUM(C40:D40,-G40)))</f>
        <v>374461.09796702408</v>
      </c>
      <c r="I40" s="165" t="str">
        <f ca="1">IF(E40&gt;0,MAX(I$9:I39)+1,"-")</f>
        <v>-</v>
      </c>
    </row>
    <row r="41" spans="1:9" ht="16.149999999999999" customHeight="1" x14ac:dyDescent="0.25">
      <c r="A41" s="146">
        <f t="shared" ca="1" si="4"/>
        <v>44114</v>
      </c>
      <c r="B41" s="161">
        <f ca="1">IF(AND(B40&gt;A40,B40&lt;=A41),B40,DATE(YEAR(A41),MONTH(A41),IF(AND(MONTH(A41)=2,Assumptions!$F$79&gt;28),28,Assumptions!$F$79)))</f>
        <v>44114</v>
      </c>
      <c r="C41" s="162">
        <f t="shared" ca="1" si="1"/>
        <v>374461.09796702408</v>
      </c>
      <c r="D41" s="162">
        <f ca="1">IF(ISNA(MATCH($A41,Months,0))=TRUE,0,OFFSET(Forecast!$B$102,0,MATCH($A41,Months,0),1,1))</f>
        <v>0</v>
      </c>
      <c r="E41" s="163">
        <f t="shared" ca="1" si="2"/>
        <v>11087.82878498939</v>
      </c>
      <c r="F41" s="163">
        <f t="shared" ca="1" si="3"/>
        <v>3588.5855221839811</v>
      </c>
      <c r="G41" s="163">
        <f t="shared" ca="1" si="0"/>
        <v>7499.2432628054084</v>
      </c>
      <c r="H41" s="164">
        <f ca="1">IF(ROUND(SUM(C41:D41,-G41),0)=0,0,IF($B$6="Yes",SUM($D$9:D41),SUM(C41:D41,-G41)))</f>
        <v>366961.85470421868</v>
      </c>
      <c r="I41" s="165">
        <f ca="1">IF(E41&gt;0,MAX(I$9:I40)+1,"-")</f>
        <v>8</v>
      </c>
    </row>
    <row r="42" spans="1:9" ht="16.149999999999999" customHeight="1" x14ac:dyDescent="0.25">
      <c r="A42" s="146">
        <f t="shared" ca="1" si="4"/>
        <v>44121</v>
      </c>
      <c r="B42" s="161">
        <f ca="1">IF(AND(B41&gt;A41,B41&lt;=A42),B41,DATE(YEAR(A42),MONTH(A42),IF(AND(MONTH(A42)=2,Assumptions!$F$79&gt;28),28,Assumptions!$F$79)))</f>
        <v>44114</v>
      </c>
      <c r="C42" s="162">
        <f t="shared" ca="1" si="1"/>
        <v>366961.85470421868</v>
      </c>
      <c r="D42" s="162">
        <f ca="1">IF(ISNA(MATCH($A42,Months,0))=TRUE,0,OFFSET(Forecast!$B$102,0,MATCH($A42,Months,0),1,1))</f>
        <v>0</v>
      </c>
      <c r="E42" s="163">
        <f t="shared" ca="1" si="2"/>
        <v>0</v>
      </c>
      <c r="F42" s="163">
        <f t="shared" ca="1" si="3"/>
        <v>0</v>
      </c>
      <c r="G42" s="163">
        <f t="shared" ca="1" si="0"/>
        <v>0</v>
      </c>
      <c r="H42" s="164">
        <f ca="1">IF(ROUND(SUM(C42:D42,-G42),0)=0,0,IF($B$6="Yes",SUM($D$9:D42),SUM(C42:D42,-G42)))</f>
        <v>366961.85470421868</v>
      </c>
      <c r="I42" s="165" t="str">
        <f ca="1">IF(E42&gt;0,MAX(I$9:I41)+1,"-")</f>
        <v>-</v>
      </c>
    </row>
    <row r="43" spans="1:9" ht="16.149999999999999" customHeight="1" x14ac:dyDescent="0.25">
      <c r="A43" s="146">
        <f t="shared" ca="1" si="4"/>
        <v>44128</v>
      </c>
      <c r="B43" s="161">
        <f ca="1">IF(AND(B42&gt;A42,B42&lt;=A43),B42,DATE(YEAR(A43),MONTH(A43),IF(AND(MONTH(A43)=2,Assumptions!$F$79&gt;28),28,Assumptions!$F$79)))</f>
        <v>44114</v>
      </c>
      <c r="C43" s="162">
        <f t="shared" ca="1" si="1"/>
        <v>366961.85470421868</v>
      </c>
      <c r="D43" s="162">
        <f ca="1">IF(ISNA(MATCH($A43,Months,0))=TRUE,0,OFFSET(Forecast!$B$102,0,MATCH($A43,Months,0),1,1))</f>
        <v>0</v>
      </c>
      <c r="E43" s="163">
        <f t="shared" ca="1" si="2"/>
        <v>0</v>
      </c>
      <c r="F43" s="163">
        <f t="shared" ca="1" si="3"/>
        <v>0</v>
      </c>
      <c r="G43" s="163">
        <f t="shared" ca="1" si="0"/>
        <v>0</v>
      </c>
      <c r="H43" s="164">
        <f ca="1">IF(ROUND(SUM(C43:D43,-G43),0)=0,0,IF($B$6="Yes",SUM($D$9:D43),SUM(C43:D43,-G43)))</f>
        <v>366961.85470421868</v>
      </c>
      <c r="I43" s="165" t="str">
        <f ca="1">IF(E43&gt;0,MAX(I$9:I42)+1,"-")</f>
        <v>-</v>
      </c>
    </row>
    <row r="44" spans="1:9" ht="16.149999999999999" customHeight="1" x14ac:dyDescent="0.25">
      <c r="A44" s="146">
        <f t="shared" ca="1" si="4"/>
        <v>44135</v>
      </c>
      <c r="B44" s="161">
        <f ca="1">IF(AND(B43&gt;A43,B43&lt;=A44),B43,DATE(YEAR(A44),MONTH(A44),IF(AND(MONTH(A44)=2,Assumptions!$F$79&gt;28),28,Assumptions!$F$79)))</f>
        <v>44114</v>
      </c>
      <c r="C44" s="162">
        <f t="shared" ca="1" si="1"/>
        <v>366961.85470421868</v>
      </c>
      <c r="D44" s="162">
        <f ca="1">IF(ISNA(MATCH($A44,Months,0))=TRUE,0,OFFSET(Forecast!$B$102,0,MATCH($A44,Months,0),1,1))</f>
        <v>0</v>
      </c>
      <c r="E44" s="163">
        <f t="shared" ca="1" si="2"/>
        <v>0</v>
      </c>
      <c r="F44" s="163">
        <f t="shared" ca="1" si="3"/>
        <v>0</v>
      </c>
      <c r="G44" s="163">
        <f t="shared" ca="1" si="0"/>
        <v>0</v>
      </c>
      <c r="H44" s="164">
        <f ca="1">IF(ROUND(SUM(C44:D44,-G44),0)=0,0,IF($B$6="Yes",SUM($D$9:D44),SUM(C44:D44,-G44)))</f>
        <v>366961.85470421868</v>
      </c>
      <c r="I44" s="165" t="str">
        <f ca="1">IF(E44&gt;0,MAX(I$9:I43)+1,"-")</f>
        <v>-</v>
      </c>
    </row>
    <row r="45" spans="1:9" ht="16.149999999999999" customHeight="1" x14ac:dyDescent="0.25">
      <c r="A45" s="146">
        <f t="shared" ca="1" si="4"/>
        <v>44142</v>
      </c>
      <c r="B45" s="161">
        <f ca="1">IF(AND(B44&gt;A44,B44&lt;=A45),B44,DATE(YEAR(A45),MONTH(A45),IF(AND(MONTH(A45)=2,Assumptions!$F$79&gt;28),28,Assumptions!$F$79)))</f>
        <v>44145</v>
      </c>
      <c r="C45" s="162">
        <f t="shared" ca="1" si="1"/>
        <v>366961.85470421868</v>
      </c>
      <c r="D45" s="162">
        <f ca="1">IF(ISNA(MATCH($A45,Months,0))=TRUE,0,OFFSET(Forecast!$B$102,0,MATCH($A45,Months,0),1,1))</f>
        <v>0</v>
      </c>
      <c r="E45" s="163">
        <f t="shared" ca="1" si="2"/>
        <v>0</v>
      </c>
      <c r="F45" s="163">
        <f t="shared" ca="1" si="3"/>
        <v>0</v>
      </c>
      <c r="G45" s="163">
        <f t="shared" ca="1" si="0"/>
        <v>0</v>
      </c>
      <c r="H45" s="164">
        <f ca="1">IF(ROUND(SUM(C45:D45,-G45),0)=0,0,IF($B$6="Yes",SUM($D$9:D45),SUM(C45:D45,-G45)))</f>
        <v>366961.85470421868</v>
      </c>
      <c r="I45" s="165" t="str">
        <f ca="1">IF(E45&gt;0,MAX(I$9:I44)+1,"-")</f>
        <v>-</v>
      </c>
    </row>
    <row r="46" spans="1:9" ht="16.149999999999999" customHeight="1" x14ac:dyDescent="0.25">
      <c r="A46" s="146">
        <f t="shared" ca="1" si="4"/>
        <v>44149</v>
      </c>
      <c r="B46" s="161">
        <f ca="1">IF(AND(B45&gt;A45,B45&lt;=A46),B45,DATE(YEAR(A46),MONTH(A46),IF(AND(MONTH(A46)=2,Assumptions!$F$79&gt;28),28,Assumptions!$F$79)))</f>
        <v>44145</v>
      </c>
      <c r="C46" s="162">
        <f t="shared" ca="1" si="1"/>
        <v>366961.85470421868</v>
      </c>
      <c r="D46" s="162">
        <f ca="1">IF(ISNA(MATCH($A46,Months,0))=TRUE,0,OFFSET(Forecast!$B$102,0,MATCH($A46,Months,0),1,1))</f>
        <v>0</v>
      </c>
      <c r="E46" s="163">
        <f t="shared" ca="1" si="2"/>
        <v>11087.82878498939</v>
      </c>
      <c r="F46" s="163">
        <f t="shared" ca="1" si="3"/>
        <v>3516.7177742487625</v>
      </c>
      <c r="G46" s="163">
        <f t="shared" ca="1" si="0"/>
        <v>7571.1110107406275</v>
      </c>
      <c r="H46" s="164">
        <f ca="1">IF(ROUND(SUM(C46:D46,-G46),0)=0,0,IF($B$6="Yes",SUM($D$9:D46),SUM(C46:D46,-G46)))</f>
        <v>359390.74369347806</v>
      </c>
      <c r="I46" s="165">
        <f ca="1">IF(E46&gt;0,MAX(I$9:I45)+1,"-")</f>
        <v>9</v>
      </c>
    </row>
    <row r="47" spans="1:9" ht="16.149999999999999" customHeight="1" x14ac:dyDescent="0.25">
      <c r="A47" s="146">
        <f t="shared" ca="1" si="4"/>
        <v>44156</v>
      </c>
      <c r="B47" s="161">
        <f ca="1">IF(AND(B46&gt;A46,B46&lt;=A47),B46,DATE(YEAR(A47),MONTH(A47),IF(AND(MONTH(A47)=2,Assumptions!$F$79&gt;28),28,Assumptions!$F$79)))</f>
        <v>44145</v>
      </c>
      <c r="C47" s="162">
        <f t="shared" ca="1" si="1"/>
        <v>359390.74369347806</v>
      </c>
      <c r="D47" s="162">
        <f ca="1">IF(ISNA(MATCH($A47,Months,0))=TRUE,0,OFFSET(Forecast!$B$102,0,MATCH($A47,Months,0),1,1))</f>
        <v>0</v>
      </c>
      <c r="E47" s="163">
        <f t="shared" ca="1" si="2"/>
        <v>0</v>
      </c>
      <c r="F47" s="163">
        <f t="shared" ca="1" si="3"/>
        <v>0</v>
      </c>
      <c r="G47" s="163">
        <f t="shared" ca="1" si="0"/>
        <v>0</v>
      </c>
      <c r="H47" s="164">
        <f ca="1">IF(ROUND(SUM(C47:D47,-G47),0)=0,0,IF($B$6="Yes",SUM($D$9:D47),SUM(C47:D47,-G47)))</f>
        <v>359390.74369347806</v>
      </c>
      <c r="I47" s="165" t="str">
        <f ca="1">IF(E47&gt;0,MAX(I$9:I46)+1,"-")</f>
        <v>-</v>
      </c>
    </row>
    <row r="48" spans="1:9" ht="16.149999999999999" customHeight="1" x14ac:dyDescent="0.25">
      <c r="A48" s="146">
        <f t="shared" ca="1" si="4"/>
        <v>44163</v>
      </c>
      <c r="B48" s="161">
        <f ca="1">IF(AND(B47&gt;A47,B47&lt;=A48),B47,DATE(YEAR(A48),MONTH(A48),IF(AND(MONTH(A48)=2,Assumptions!$F$79&gt;28),28,Assumptions!$F$79)))</f>
        <v>44145</v>
      </c>
      <c r="C48" s="162">
        <f t="shared" ca="1" si="1"/>
        <v>359390.74369347806</v>
      </c>
      <c r="D48" s="162">
        <f ca="1">IF(ISNA(MATCH($A48,Months,0))=TRUE,0,OFFSET(Forecast!$B$102,0,MATCH($A48,Months,0),1,1))</f>
        <v>0</v>
      </c>
      <c r="E48" s="163">
        <f t="shared" ca="1" si="2"/>
        <v>0</v>
      </c>
      <c r="F48" s="163">
        <f t="shared" ca="1" si="3"/>
        <v>0</v>
      </c>
      <c r="G48" s="163">
        <f t="shared" ca="1" si="0"/>
        <v>0</v>
      </c>
      <c r="H48" s="164">
        <f ca="1">IF(ROUND(SUM(C48:D48,-G48),0)=0,0,IF($B$6="Yes",SUM($D$9:D48),SUM(C48:D48,-G48)))</f>
        <v>359390.74369347806</v>
      </c>
      <c r="I48" s="165" t="str">
        <f ca="1">IF(E48&gt;0,MAX(I$9:I47)+1,"-")</f>
        <v>-</v>
      </c>
    </row>
    <row r="49" spans="1:9" ht="16.149999999999999" customHeight="1" x14ac:dyDescent="0.25">
      <c r="A49" s="146">
        <f t="shared" ca="1" si="4"/>
        <v>44170</v>
      </c>
      <c r="B49" s="161">
        <f ca="1">IF(AND(B48&gt;A48,B48&lt;=A49),B48,DATE(YEAR(A49),MONTH(A49),IF(AND(MONTH(A49)=2,Assumptions!$F$79&gt;28),28,Assumptions!$F$79)))</f>
        <v>44175</v>
      </c>
      <c r="C49" s="162">
        <f t="shared" ca="1" si="1"/>
        <v>359390.74369347806</v>
      </c>
      <c r="D49" s="162">
        <f ca="1">IF(ISNA(MATCH($A49,Months,0))=TRUE,0,OFFSET(Forecast!$B$102,0,MATCH($A49,Months,0),1,1))</f>
        <v>0</v>
      </c>
      <c r="E49" s="163">
        <f t="shared" ca="1" si="2"/>
        <v>0</v>
      </c>
      <c r="F49" s="163">
        <f t="shared" ca="1" si="3"/>
        <v>0</v>
      </c>
      <c r="G49" s="163">
        <f t="shared" ca="1" si="0"/>
        <v>0</v>
      </c>
      <c r="H49" s="164">
        <f ca="1">IF(ROUND(SUM(C49:D49,-G49),0)=0,0,IF($B$6="Yes",SUM($D$9:D49),SUM(C49:D49,-G49)))</f>
        <v>359390.74369347806</v>
      </c>
      <c r="I49" s="165" t="str">
        <f ca="1">IF(E49&gt;0,MAX(I$9:I48)+1,"-")</f>
        <v>-</v>
      </c>
    </row>
    <row r="50" spans="1:9" ht="16.149999999999999" customHeight="1" x14ac:dyDescent="0.25">
      <c r="A50" s="146">
        <f t="shared" ca="1" si="4"/>
        <v>44177</v>
      </c>
      <c r="B50" s="161">
        <f ca="1">IF(AND(B49&gt;A49,B49&lt;=A50),B49,DATE(YEAR(A50),MONTH(A50),IF(AND(MONTH(A50)=2,Assumptions!$F$79&gt;28),28,Assumptions!$F$79)))</f>
        <v>44175</v>
      </c>
      <c r="C50" s="162">
        <f t="shared" ca="1" si="1"/>
        <v>359390.74369347806</v>
      </c>
      <c r="D50" s="162">
        <f ca="1">IF(ISNA(MATCH($A50,Months,0))=TRUE,0,OFFSET(Forecast!$B$102,0,MATCH($A50,Months,0),1,1))</f>
        <v>0</v>
      </c>
      <c r="E50" s="163">
        <f t="shared" ca="1" si="2"/>
        <v>11087.82878498939</v>
      </c>
      <c r="F50" s="163">
        <f t="shared" ca="1" si="3"/>
        <v>3444.1612937291648</v>
      </c>
      <c r="G50" s="163">
        <f t="shared" ca="1" si="0"/>
        <v>7643.6674912602248</v>
      </c>
      <c r="H50" s="164">
        <f ca="1">IF(ROUND(SUM(C50:D50,-G50),0)=0,0,IF($B$6="Yes",SUM($D$9:D50),SUM(C50:D50,-G50)))</f>
        <v>351747.07620221784</v>
      </c>
      <c r="I50" s="165">
        <f ca="1">IF(E50&gt;0,MAX(I$9:I49)+1,"-")</f>
        <v>10</v>
      </c>
    </row>
    <row r="51" spans="1:9" ht="16.149999999999999" customHeight="1" x14ac:dyDescent="0.25">
      <c r="A51" s="146">
        <f t="shared" ca="1" si="4"/>
        <v>44184</v>
      </c>
      <c r="B51" s="161">
        <f ca="1">IF(AND(B50&gt;A50,B50&lt;=A51),B50,DATE(YEAR(A51),MONTH(A51),IF(AND(MONTH(A51)=2,Assumptions!$F$79&gt;28),28,Assumptions!$F$79)))</f>
        <v>44175</v>
      </c>
      <c r="C51" s="162">
        <f t="shared" ca="1" si="1"/>
        <v>351747.07620221784</v>
      </c>
      <c r="D51" s="162">
        <f ca="1">IF(ISNA(MATCH($A51,Months,0))=TRUE,0,OFFSET(Forecast!$B$102,0,MATCH($A51,Months,0),1,1))</f>
        <v>0</v>
      </c>
      <c r="E51" s="163">
        <f t="shared" ca="1" si="2"/>
        <v>0</v>
      </c>
      <c r="F51" s="163">
        <f t="shared" ca="1" si="3"/>
        <v>0</v>
      </c>
      <c r="G51" s="163">
        <f t="shared" ca="1" si="0"/>
        <v>0</v>
      </c>
      <c r="H51" s="164">
        <f ca="1">IF(ROUND(SUM(C51:D51,-G51),0)=0,0,IF($B$6="Yes",SUM($D$9:D51),SUM(C51:D51,-G51)))</f>
        <v>351747.07620221784</v>
      </c>
      <c r="I51" s="165" t="str">
        <f ca="1">IF(E51&gt;0,MAX(I$9:I50)+1,"-")</f>
        <v>-</v>
      </c>
    </row>
    <row r="52" spans="1:9" ht="16.149999999999999" customHeight="1" x14ac:dyDescent="0.25">
      <c r="A52" s="146">
        <f t="shared" ca="1" si="4"/>
        <v>44191</v>
      </c>
      <c r="B52" s="161">
        <f ca="1">IF(AND(B51&gt;A51,B51&lt;=A52),B51,DATE(YEAR(A52),MONTH(A52),IF(AND(MONTH(A52)=2,Assumptions!$F$79&gt;28),28,Assumptions!$F$79)))</f>
        <v>44175</v>
      </c>
      <c r="C52" s="162">
        <f t="shared" ca="1" si="1"/>
        <v>351747.07620221784</v>
      </c>
      <c r="D52" s="162">
        <f ca="1">IF(ISNA(MATCH($A52,Months,0))=TRUE,0,OFFSET(Forecast!$B$102,0,MATCH($A52,Months,0),1,1))</f>
        <v>0</v>
      </c>
      <c r="E52" s="163">
        <f t="shared" ca="1" si="2"/>
        <v>0</v>
      </c>
      <c r="F52" s="163">
        <f t="shared" ca="1" si="3"/>
        <v>0</v>
      </c>
      <c r="G52" s="163">
        <f t="shared" ca="1" si="0"/>
        <v>0</v>
      </c>
      <c r="H52" s="164">
        <f ca="1">IF(ROUND(SUM(C52:D52,-G52),0)=0,0,IF($B$6="Yes",SUM($D$9:D52),SUM(C52:D52,-G52)))</f>
        <v>351747.07620221784</v>
      </c>
      <c r="I52" s="165" t="str">
        <f ca="1">IF(E52&gt;0,MAX(I$9:I51)+1,"-")</f>
        <v>-</v>
      </c>
    </row>
    <row r="53" spans="1:9" ht="16.149999999999999" customHeight="1" x14ac:dyDescent="0.25">
      <c r="A53" s="146">
        <f t="shared" ca="1" si="4"/>
        <v>44198</v>
      </c>
      <c r="B53" s="161">
        <f ca="1">IF(AND(B52&gt;A52,B52&lt;=A53),B52,DATE(YEAR(A53),MONTH(A53),IF(AND(MONTH(A53)=2,Assumptions!$F$79&gt;28),28,Assumptions!$F$79)))</f>
        <v>44206</v>
      </c>
      <c r="C53" s="162">
        <f t="shared" ca="1" si="1"/>
        <v>351747.07620221784</v>
      </c>
      <c r="D53" s="162">
        <f ca="1">IF(ISNA(MATCH($A53,Months,0))=TRUE,0,OFFSET(Forecast!$B$102,0,MATCH($A53,Months,0),1,1))</f>
        <v>0</v>
      </c>
      <c r="E53" s="163">
        <f t="shared" ca="1" si="2"/>
        <v>0</v>
      </c>
      <c r="F53" s="163">
        <f t="shared" ca="1" si="3"/>
        <v>0</v>
      </c>
      <c r="G53" s="163">
        <f t="shared" ca="1" si="0"/>
        <v>0</v>
      </c>
      <c r="H53" s="164">
        <f ca="1">IF(ROUND(SUM(C53:D53,-G53),0)=0,0,IF($B$6="Yes",SUM($D$9:D53),SUM(C53:D53,-G53)))</f>
        <v>351747.07620221784</v>
      </c>
      <c r="I53" s="165" t="str">
        <f ca="1">IF(E53&gt;0,MAX(I$9:I52)+1,"-")</f>
        <v>-</v>
      </c>
    </row>
    <row r="54" spans="1:9" ht="16.149999999999999" customHeight="1" x14ac:dyDescent="0.25">
      <c r="A54" s="146">
        <f t="shared" ca="1" si="4"/>
        <v>44205</v>
      </c>
      <c r="B54" s="161">
        <f ca="1">IF(AND(B53&gt;A53,B53&lt;=A54),B53,DATE(YEAR(A54),MONTH(A54),IF(AND(MONTH(A54)=2,Assumptions!$F$79&gt;28),28,Assumptions!$F$79)))</f>
        <v>44206</v>
      </c>
      <c r="C54" s="162">
        <f t="shared" ca="1" si="1"/>
        <v>351747.07620221784</v>
      </c>
      <c r="D54" s="162">
        <f ca="1">IF(ISNA(MATCH($A54,Months,0))=TRUE,0,OFFSET(Forecast!$B$102,0,MATCH($A54,Months,0),1,1))</f>
        <v>0</v>
      </c>
      <c r="E54" s="163">
        <f t="shared" ca="1" si="2"/>
        <v>0</v>
      </c>
      <c r="F54" s="163">
        <f t="shared" ca="1" si="3"/>
        <v>0</v>
      </c>
      <c r="G54" s="163">
        <f t="shared" ca="1" si="0"/>
        <v>0</v>
      </c>
      <c r="H54" s="164">
        <f ca="1">IF(ROUND(SUM(C54:D54,-G54),0)=0,0,IF($B$6="Yes",SUM($D$9:D54),SUM(C54:D54,-G54)))</f>
        <v>351747.07620221784</v>
      </c>
      <c r="I54" s="165" t="str">
        <f ca="1">IF(E54&gt;0,MAX(I$9:I53)+1,"-")</f>
        <v>-</v>
      </c>
    </row>
    <row r="55" spans="1:9" ht="16.149999999999999" customHeight="1" x14ac:dyDescent="0.25">
      <c r="A55" s="146">
        <f t="shared" ca="1" si="4"/>
        <v>44212</v>
      </c>
      <c r="B55" s="161">
        <f ca="1">IF(AND(B54&gt;A54,B54&lt;=A55),B54,DATE(YEAR(A55),MONTH(A55),IF(AND(MONTH(A55)=2,Assumptions!$F$79&gt;28),28,Assumptions!$F$79)))</f>
        <v>44206</v>
      </c>
      <c r="C55" s="162">
        <f t="shared" ca="1" si="1"/>
        <v>351747.07620221784</v>
      </c>
      <c r="D55" s="162">
        <f ca="1">IF(ISNA(MATCH($A55,Months,0))=TRUE,0,OFFSET(Forecast!$B$102,0,MATCH($A55,Months,0),1,1))</f>
        <v>0</v>
      </c>
      <c r="E55" s="163">
        <f t="shared" ca="1" si="2"/>
        <v>11087.82878498939</v>
      </c>
      <c r="F55" s="163">
        <f t="shared" ca="1" si="3"/>
        <v>3370.9094802712548</v>
      </c>
      <c r="G55" s="163">
        <f t="shared" ca="1" si="0"/>
        <v>7716.9193047181343</v>
      </c>
      <c r="H55" s="164">
        <f ca="1">IF(ROUND(SUM(C55:D55,-G55),0)=0,0,IF($B$6="Yes",SUM($D$9:D55),SUM(C55:D55,-G55)))</f>
        <v>344030.15689749969</v>
      </c>
      <c r="I55" s="165">
        <f ca="1">IF(E55&gt;0,MAX(I$9:I54)+1,"-")</f>
        <v>11</v>
      </c>
    </row>
    <row r="56" spans="1:9" ht="16.149999999999999" customHeight="1" x14ac:dyDescent="0.25">
      <c r="A56" s="146">
        <f t="shared" ca="1" si="4"/>
        <v>44219</v>
      </c>
      <c r="B56" s="161">
        <f ca="1">IF(AND(B55&gt;A55,B55&lt;=A56),B55,DATE(YEAR(A56),MONTH(A56),IF(AND(MONTH(A56)=2,Assumptions!$F$79&gt;28),28,Assumptions!$F$79)))</f>
        <v>44206</v>
      </c>
      <c r="C56" s="162">
        <f t="shared" ca="1" si="1"/>
        <v>344030.15689749969</v>
      </c>
      <c r="D56" s="162">
        <f ca="1">IF(ISNA(MATCH($A56,Months,0))=TRUE,0,OFFSET(Forecast!$B$102,0,MATCH($A56,Months,0),1,1))</f>
        <v>0</v>
      </c>
      <c r="E56" s="163">
        <f t="shared" ca="1" si="2"/>
        <v>0</v>
      </c>
      <c r="F56" s="163">
        <f t="shared" ca="1" si="3"/>
        <v>0</v>
      </c>
      <c r="G56" s="163">
        <f t="shared" ca="1" si="0"/>
        <v>0</v>
      </c>
      <c r="H56" s="164">
        <f ca="1">IF(ROUND(SUM(C56:D56,-G56),0)=0,0,IF($B$6="Yes",SUM($D$9:D56),SUM(C56:D56,-G56)))</f>
        <v>344030.15689749969</v>
      </c>
      <c r="I56" s="165" t="str">
        <f ca="1">IF(E56&gt;0,MAX(I$9:I55)+1,"-")</f>
        <v>-</v>
      </c>
    </row>
    <row r="57" spans="1:9" ht="16.149999999999999" customHeight="1" x14ac:dyDescent="0.25">
      <c r="A57" s="146">
        <f t="shared" ca="1" si="4"/>
        <v>44226</v>
      </c>
      <c r="B57" s="161">
        <f ca="1">IF(AND(B56&gt;A56,B56&lt;=A57),B56,DATE(YEAR(A57),MONTH(A57),IF(AND(MONTH(A57)=2,Assumptions!$F$79&gt;28),28,Assumptions!$F$79)))</f>
        <v>44206</v>
      </c>
      <c r="C57" s="162">
        <f t="shared" ca="1" si="1"/>
        <v>344030.15689749969</v>
      </c>
      <c r="D57" s="162">
        <f ca="1">IF(ISNA(MATCH($A57,Months,0))=TRUE,0,OFFSET(Forecast!$B$102,0,MATCH($A57,Months,0),1,1))</f>
        <v>0</v>
      </c>
      <c r="E57" s="163">
        <f t="shared" ca="1" si="2"/>
        <v>0</v>
      </c>
      <c r="F57" s="163">
        <f t="shared" ca="1" si="3"/>
        <v>0</v>
      </c>
      <c r="G57" s="163">
        <f t="shared" ca="1" si="0"/>
        <v>0</v>
      </c>
      <c r="H57" s="164">
        <f ca="1">IF(ROUND(SUM(C57:D57,-G57),0)=0,0,IF($B$6="Yes",SUM($D$9:D57),SUM(C57:D57,-G57)))</f>
        <v>344030.15689749969</v>
      </c>
      <c r="I57" s="165" t="str">
        <f ca="1">IF(E57&gt;0,MAX(I$9:I56)+1,"-")</f>
        <v>-</v>
      </c>
    </row>
    <row r="58" spans="1:9" ht="16.149999999999999" customHeight="1" x14ac:dyDescent="0.25">
      <c r="A58" s="146">
        <f t="shared" ca="1" si="4"/>
        <v>44233</v>
      </c>
      <c r="B58" s="161">
        <f ca="1">IF(AND(B57&gt;A57,B57&lt;=A58),B57,DATE(YEAR(A58),MONTH(A58),IF(AND(MONTH(A58)=2,Assumptions!$F$79&gt;28),28,Assumptions!$F$79)))</f>
        <v>44237</v>
      </c>
      <c r="C58" s="162">
        <f t="shared" ca="1" si="1"/>
        <v>344030.15689749969</v>
      </c>
      <c r="D58" s="162">
        <f ca="1">IF(ISNA(MATCH($A58,Months,0))=TRUE,0,OFFSET(Forecast!$B$102,0,MATCH($A58,Months,0),1,1))</f>
        <v>0</v>
      </c>
      <c r="E58" s="163">
        <f t="shared" ca="1" si="2"/>
        <v>0</v>
      </c>
      <c r="F58" s="163">
        <f t="shared" ca="1" si="3"/>
        <v>0</v>
      </c>
      <c r="G58" s="163">
        <f t="shared" ca="1" si="0"/>
        <v>0</v>
      </c>
      <c r="H58" s="164">
        <f ca="1">IF(ROUND(SUM(C58:D58,-G58),0)=0,0,IF($B$6="Yes",SUM($D$9:D58),SUM(C58:D58,-G58)))</f>
        <v>344030.15689749969</v>
      </c>
      <c r="I58" s="165" t="str">
        <f ca="1">IF(E58&gt;0,MAX(I$9:I57)+1,"-")</f>
        <v>-</v>
      </c>
    </row>
    <row r="59" spans="1:9" ht="16.149999999999999" customHeight="1" x14ac:dyDescent="0.25">
      <c r="A59" s="146">
        <f t="shared" ca="1" si="4"/>
        <v>44240</v>
      </c>
      <c r="B59" s="161">
        <f ca="1">IF(AND(B58&gt;A58,B58&lt;=A59),B58,DATE(YEAR(A59),MONTH(A59),IF(AND(MONTH(A59)=2,Assumptions!$F$79&gt;28),28,Assumptions!$F$79)))</f>
        <v>44237</v>
      </c>
      <c r="C59" s="162">
        <f t="shared" ca="1" si="1"/>
        <v>344030.15689749969</v>
      </c>
      <c r="D59" s="162">
        <f ca="1">IF(ISNA(MATCH($A59,Months,0))=TRUE,0,OFFSET(Forecast!$B$102,0,MATCH($A59,Months,0),1,1))</f>
        <v>0</v>
      </c>
      <c r="E59" s="163">
        <f t="shared" ca="1" si="2"/>
        <v>11087.82878498939</v>
      </c>
      <c r="F59" s="163">
        <f t="shared" ca="1" si="3"/>
        <v>3296.9556702677055</v>
      </c>
      <c r="G59" s="163">
        <f t="shared" ca="1" si="0"/>
        <v>7790.873114721684</v>
      </c>
      <c r="H59" s="164">
        <f ca="1">IF(ROUND(SUM(C59:D59,-G59),0)=0,0,IF($B$6="Yes",SUM($D$9:D59),SUM(C59:D59,-G59)))</f>
        <v>336239.28378277802</v>
      </c>
      <c r="I59" s="165">
        <f ca="1">IF(E59&gt;0,MAX(I$9:I58)+1,"-")</f>
        <v>12</v>
      </c>
    </row>
    <row r="60" spans="1:9" ht="16.149999999999999" customHeight="1" x14ac:dyDescent="0.25">
      <c r="A60" s="146">
        <f t="shared" ca="1" si="4"/>
        <v>44247</v>
      </c>
      <c r="B60" s="161">
        <f ca="1">IF(AND(B59&gt;A59,B59&lt;=A60),B59,DATE(YEAR(A60),MONTH(A60),IF(AND(MONTH(A60)=2,Assumptions!$F$79&gt;28),28,Assumptions!$F$79)))</f>
        <v>44237</v>
      </c>
      <c r="C60" s="162">
        <f t="shared" ca="1" si="1"/>
        <v>336239.28378277802</v>
      </c>
      <c r="D60" s="162">
        <f ca="1">IF(ISNA(MATCH($A60,Months,0))=TRUE,0,OFFSET(Forecast!$B$102,0,MATCH($A60,Months,0),1,1))</f>
        <v>0</v>
      </c>
      <c r="E60" s="163">
        <f t="shared" ca="1" si="2"/>
        <v>0</v>
      </c>
      <c r="F60" s="163">
        <f t="shared" ca="1" si="3"/>
        <v>0</v>
      </c>
      <c r="G60" s="163">
        <f t="shared" ca="1" si="0"/>
        <v>0</v>
      </c>
      <c r="H60" s="164">
        <f ca="1">IF(ROUND(SUM(C60:D60,-G60),0)=0,0,IF($B$6="Yes",SUM($D$9:D60),SUM(C60:D60,-G60)))</f>
        <v>336239.28378277802</v>
      </c>
      <c r="I60" s="165" t="str">
        <f ca="1">IF(E60&gt;0,MAX(I$9:I59)+1,"-")</f>
        <v>-</v>
      </c>
    </row>
    <row r="61" spans="1:9" ht="16.149999999999999" customHeight="1" x14ac:dyDescent="0.25">
      <c r="A61" s="146">
        <f t="shared" ca="1" si="4"/>
        <v>44254</v>
      </c>
      <c r="B61" s="161">
        <f ca="1">IF(AND(B60&gt;A60,B60&lt;=A61),B60,DATE(YEAR(A61),MONTH(A61),IF(AND(MONTH(A61)=2,Assumptions!$F$79&gt;28),28,Assumptions!$F$79)))</f>
        <v>44237</v>
      </c>
      <c r="C61" s="162">
        <f t="shared" ca="1" si="1"/>
        <v>336239.28378277802</v>
      </c>
      <c r="D61" s="162">
        <f ca="1">IF(ISNA(MATCH($A61,Months,0))=TRUE,0,OFFSET(Forecast!$B$102,0,MATCH($A61,Months,0),1,1))</f>
        <v>0</v>
      </c>
      <c r="E61" s="163">
        <f t="shared" ca="1" si="2"/>
        <v>0</v>
      </c>
      <c r="F61" s="163">
        <f t="shared" ca="1" si="3"/>
        <v>0</v>
      </c>
      <c r="G61" s="163">
        <f t="shared" ca="1" si="0"/>
        <v>0</v>
      </c>
      <c r="H61" s="164">
        <f ca="1">IF(ROUND(SUM(C61:D61,-G61),0)=0,0,IF($B$6="Yes",SUM($D$9:D61),SUM(C61:D61,-G61)))</f>
        <v>336239.28378277802</v>
      </c>
      <c r="I61" s="165" t="str">
        <f ca="1">IF(E61&gt;0,MAX(I$9:I60)+1,"-")</f>
        <v>-</v>
      </c>
    </row>
    <row r="62" spans="1:9" ht="16.149999999999999" customHeight="1" x14ac:dyDescent="0.25">
      <c r="C62" s="162"/>
      <c r="D62" s="162"/>
      <c r="E62" s="163"/>
      <c r="F62" s="163"/>
      <c r="G62" s="163"/>
      <c r="H62" s="164"/>
    </row>
    <row r="63" spans="1:9" ht="16.149999999999999" customHeight="1" x14ac:dyDescent="0.25">
      <c r="C63" s="162"/>
      <c r="D63" s="162"/>
      <c r="E63" s="163"/>
      <c r="F63" s="163"/>
      <c r="G63" s="163"/>
      <c r="H63" s="164"/>
    </row>
    <row r="64" spans="1:9" ht="16.149999999999999" customHeight="1" x14ac:dyDescent="0.25">
      <c r="C64" s="162"/>
      <c r="D64" s="162"/>
      <c r="E64" s="163"/>
      <c r="F64" s="163"/>
      <c r="G64" s="163"/>
      <c r="H64" s="164"/>
    </row>
    <row r="65" spans="3:8" ht="16.149999999999999" customHeight="1" x14ac:dyDescent="0.25">
      <c r="C65" s="162"/>
      <c r="D65" s="162"/>
      <c r="E65" s="163"/>
      <c r="F65" s="163"/>
      <c r="G65" s="163"/>
      <c r="H65" s="164"/>
    </row>
    <row r="66" spans="3:8" ht="16.149999999999999" customHeight="1" x14ac:dyDescent="0.25">
      <c r="C66" s="162"/>
      <c r="D66" s="162"/>
      <c r="E66" s="163"/>
      <c r="F66" s="163"/>
      <c r="G66" s="163"/>
      <c r="H66" s="164"/>
    </row>
    <row r="67" spans="3:8" ht="16.149999999999999" customHeight="1" x14ac:dyDescent="0.25">
      <c r="C67" s="162"/>
      <c r="D67" s="162"/>
      <c r="E67" s="163"/>
      <c r="F67" s="163"/>
      <c r="G67" s="163"/>
      <c r="H67" s="164"/>
    </row>
    <row r="68" spans="3:8" ht="16.149999999999999" customHeight="1" x14ac:dyDescent="0.25">
      <c r="C68" s="162"/>
      <c r="D68" s="162"/>
      <c r="E68" s="163"/>
      <c r="F68" s="163"/>
      <c r="G68" s="163"/>
      <c r="H68" s="164"/>
    </row>
    <row r="69" spans="3:8" ht="16.149999999999999" customHeight="1" x14ac:dyDescent="0.25">
      <c r="C69" s="162"/>
      <c r="D69" s="162"/>
      <c r="E69" s="163"/>
      <c r="F69" s="163"/>
      <c r="G69" s="163"/>
      <c r="H69" s="164"/>
    </row>
    <row r="70" spans="3:8" ht="16.149999999999999" customHeight="1" x14ac:dyDescent="0.25">
      <c r="C70" s="162"/>
      <c r="D70" s="162"/>
      <c r="E70" s="163"/>
      <c r="F70" s="163"/>
      <c r="G70" s="163"/>
      <c r="H70" s="164"/>
    </row>
    <row r="71" spans="3:8" ht="16.149999999999999" customHeight="1" x14ac:dyDescent="0.25">
      <c r="C71" s="162"/>
      <c r="D71" s="162"/>
      <c r="E71" s="163"/>
      <c r="F71" s="163"/>
      <c r="G71" s="163"/>
      <c r="H71" s="164"/>
    </row>
    <row r="72" spans="3:8" ht="16.149999999999999" customHeight="1" x14ac:dyDescent="0.25">
      <c r="C72" s="162"/>
      <c r="D72" s="162"/>
      <c r="E72" s="163"/>
      <c r="F72" s="163"/>
      <c r="G72" s="163"/>
      <c r="H72" s="164"/>
    </row>
    <row r="73" spans="3:8" ht="16.149999999999999" customHeight="1" x14ac:dyDescent="0.25">
      <c r="C73" s="162"/>
      <c r="D73" s="162"/>
      <c r="E73" s="163"/>
      <c r="F73" s="163"/>
      <c r="G73" s="163"/>
      <c r="H73" s="164"/>
    </row>
    <row r="74" spans="3:8" ht="16.149999999999999" customHeight="1" x14ac:dyDescent="0.25">
      <c r="C74" s="162"/>
      <c r="D74" s="162"/>
      <c r="E74" s="163"/>
      <c r="F74" s="163"/>
      <c r="G74" s="163"/>
      <c r="H74" s="164"/>
    </row>
    <row r="75" spans="3:8" ht="16.149999999999999" customHeight="1" x14ac:dyDescent="0.25">
      <c r="C75" s="162"/>
      <c r="D75" s="162"/>
      <c r="E75" s="163"/>
      <c r="F75" s="163"/>
      <c r="G75" s="163"/>
      <c r="H75" s="164"/>
    </row>
    <row r="76" spans="3:8" ht="16.149999999999999" customHeight="1" x14ac:dyDescent="0.25">
      <c r="C76" s="162"/>
      <c r="D76" s="162"/>
      <c r="E76" s="163"/>
      <c r="F76" s="163"/>
      <c r="G76" s="163"/>
      <c r="H76" s="164"/>
    </row>
    <row r="77" spans="3:8" ht="16.149999999999999" customHeight="1" x14ac:dyDescent="0.25">
      <c r="C77" s="162"/>
      <c r="D77" s="162"/>
      <c r="E77" s="163"/>
      <c r="F77" s="163"/>
      <c r="G77" s="163"/>
      <c r="H77" s="164"/>
    </row>
    <row r="78" spans="3:8" ht="16.149999999999999" customHeight="1" x14ac:dyDescent="0.25">
      <c r="C78" s="162"/>
      <c r="D78" s="162"/>
      <c r="E78" s="163"/>
      <c r="F78" s="163"/>
      <c r="G78" s="163"/>
      <c r="H78" s="164"/>
    </row>
    <row r="79" spans="3:8" ht="16.149999999999999" customHeight="1" x14ac:dyDescent="0.25">
      <c r="C79" s="162"/>
      <c r="D79" s="162"/>
      <c r="E79" s="163"/>
      <c r="F79" s="163"/>
      <c r="G79" s="163"/>
      <c r="H79" s="164"/>
    </row>
    <row r="80" spans="3:8" ht="16.149999999999999" customHeight="1" x14ac:dyDescent="0.25">
      <c r="C80" s="162"/>
      <c r="D80" s="162"/>
      <c r="E80" s="163"/>
      <c r="F80" s="163"/>
      <c r="G80" s="163"/>
      <c r="H80" s="164"/>
    </row>
    <row r="81" spans="3:8" ht="16.149999999999999" customHeight="1" x14ac:dyDescent="0.25">
      <c r="C81" s="162"/>
      <c r="D81" s="162"/>
      <c r="E81" s="163"/>
      <c r="F81" s="163"/>
      <c r="G81" s="163"/>
      <c r="H81" s="164"/>
    </row>
    <row r="82" spans="3:8" ht="16.149999999999999" customHeight="1" x14ac:dyDescent="0.25">
      <c r="C82" s="162"/>
      <c r="D82" s="162"/>
      <c r="E82" s="163"/>
      <c r="F82" s="163"/>
      <c r="G82" s="163"/>
      <c r="H82" s="164"/>
    </row>
    <row r="83" spans="3:8" ht="16.149999999999999" customHeight="1" x14ac:dyDescent="0.25">
      <c r="C83" s="162"/>
      <c r="D83" s="162"/>
      <c r="E83" s="163"/>
      <c r="F83" s="163"/>
      <c r="G83" s="163"/>
      <c r="H83" s="164"/>
    </row>
    <row r="84" spans="3:8" ht="16.149999999999999" customHeight="1" x14ac:dyDescent="0.25">
      <c r="C84" s="162"/>
      <c r="D84" s="162"/>
      <c r="E84" s="163"/>
      <c r="F84" s="163"/>
      <c r="G84" s="163"/>
      <c r="H84" s="164"/>
    </row>
    <row r="85" spans="3:8" ht="16.149999999999999" customHeight="1" x14ac:dyDescent="0.25">
      <c r="C85" s="162"/>
      <c r="D85" s="162"/>
      <c r="E85" s="163"/>
      <c r="F85" s="163"/>
      <c r="G85" s="163"/>
      <c r="H85" s="164"/>
    </row>
    <row r="86" spans="3:8" ht="16.149999999999999" customHeight="1" x14ac:dyDescent="0.25">
      <c r="C86" s="162"/>
      <c r="D86" s="162"/>
      <c r="E86" s="163"/>
      <c r="F86" s="163"/>
      <c r="G86" s="163"/>
      <c r="H86" s="164"/>
    </row>
    <row r="87" spans="3:8" ht="16.149999999999999" customHeight="1" x14ac:dyDescent="0.25">
      <c r="C87" s="162"/>
      <c r="D87" s="162"/>
      <c r="E87" s="163"/>
      <c r="F87" s="163"/>
      <c r="G87" s="163"/>
      <c r="H87" s="164"/>
    </row>
    <row r="88" spans="3:8" ht="16.149999999999999" customHeight="1" x14ac:dyDescent="0.25">
      <c r="C88" s="162"/>
      <c r="D88" s="162"/>
      <c r="E88" s="163"/>
      <c r="F88" s="163"/>
      <c r="G88" s="163"/>
      <c r="H88" s="164"/>
    </row>
    <row r="89" spans="3:8" ht="16.149999999999999" customHeight="1" x14ac:dyDescent="0.25">
      <c r="C89" s="162"/>
      <c r="D89" s="162"/>
      <c r="E89" s="163"/>
      <c r="F89" s="163"/>
      <c r="G89" s="163"/>
      <c r="H89" s="164"/>
    </row>
    <row r="90" spans="3:8" ht="16.149999999999999" customHeight="1" x14ac:dyDescent="0.25">
      <c r="C90" s="162"/>
      <c r="D90" s="162"/>
      <c r="E90" s="163"/>
      <c r="F90" s="163"/>
      <c r="G90" s="163"/>
      <c r="H90" s="164"/>
    </row>
    <row r="91" spans="3:8" ht="16.149999999999999" customHeight="1" x14ac:dyDescent="0.25">
      <c r="C91" s="162"/>
      <c r="D91" s="162"/>
      <c r="E91" s="163"/>
      <c r="F91" s="163"/>
      <c r="G91" s="163"/>
      <c r="H91" s="164"/>
    </row>
    <row r="92" spans="3:8" ht="16.149999999999999" customHeight="1" x14ac:dyDescent="0.25">
      <c r="C92" s="162"/>
      <c r="D92" s="162"/>
      <c r="E92" s="163"/>
      <c r="F92" s="163"/>
      <c r="G92" s="163"/>
      <c r="H92" s="164"/>
    </row>
    <row r="93" spans="3:8" ht="16.149999999999999" customHeight="1" x14ac:dyDescent="0.25">
      <c r="C93" s="162"/>
      <c r="D93" s="162"/>
      <c r="E93" s="163"/>
      <c r="F93" s="163"/>
      <c r="G93" s="163"/>
      <c r="H93" s="164"/>
    </row>
    <row r="94" spans="3:8" ht="16.149999999999999" customHeight="1" x14ac:dyDescent="0.25">
      <c r="C94" s="162"/>
      <c r="D94" s="162"/>
      <c r="E94" s="163"/>
      <c r="F94" s="163"/>
      <c r="G94" s="163"/>
      <c r="H94" s="164"/>
    </row>
    <row r="95" spans="3:8" ht="16.149999999999999" customHeight="1" x14ac:dyDescent="0.25">
      <c r="C95" s="162"/>
      <c r="D95" s="162"/>
      <c r="E95" s="163"/>
      <c r="F95" s="163"/>
      <c r="G95" s="163"/>
      <c r="H95" s="164"/>
    </row>
    <row r="96" spans="3:8" ht="16.149999999999999" customHeight="1" x14ac:dyDescent="0.25">
      <c r="C96" s="162"/>
      <c r="D96" s="162"/>
      <c r="E96" s="163"/>
      <c r="F96" s="163"/>
      <c r="G96" s="163"/>
      <c r="H96" s="164"/>
    </row>
    <row r="97" spans="3:8" ht="16.149999999999999" customHeight="1" x14ac:dyDescent="0.25">
      <c r="C97" s="162"/>
      <c r="D97" s="162"/>
      <c r="E97" s="163"/>
      <c r="F97" s="163"/>
      <c r="G97" s="163"/>
      <c r="H97" s="164"/>
    </row>
    <row r="98" spans="3:8" ht="16.149999999999999" customHeight="1" x14ac:dyDescent="0.25">
      <c r="C98" s="162"/>
      <c r="D98" s="162"/>
      <c r="E98" s="163"/>
      <c r="F98" s="163"/>
      <c r="G98" s="163"/>
      <c r="H98" s="164"/>
    </row>
    <row r="99" spans="3:8" ht="16.149999999999999" customHeight="1" x14ac:dyDescent="0.25">
      <c r="C99" s="162"/>
      <c r="D99" s="162"/>
      <c r="E99" s="163"/>
      <c r="F99" s="163"/>
      <c r="G99" s="163"/>
      <c r="H99" s="164"/>
    </row>
    <row r="100" spans="3:8" ht="16.149999999999999" customHeight="1" x14ac:dyDescent="0.25">
      <c r="C100" s="162"/>
      <c r="D100" s="162"/>
      <c r="E100" s="163"/>
      <c r="F100" s="163"/>
      <c r="G100" s="163"/>
      <c r="H100" s="164"/>
    </row>
    <row r="101" spans="3:8" ht="16.149999999999999" customHeight="1" x14ac:dyDescent="0.25">
      <c r="C101" s="162"/>
      <c r="D101" s="162"/>
      <c r="E101" s="163"/>
      <c r="F101" s="163"/>
      <c r="G101" s="163"/>
      <c r="H101" s="164"/>
    </row>
    <row r="102" spans="3:8" ht="16.149999999999999" customHeight="1" x14ac:dyDescent="0.25">
      <c r="C102" s="162"/>
      <c r="D102" s="162"/>
      <c r="E102" s="163"/>
      <c r="F102" s="163"/>
      <c r="G102" s="163"/>
      <c r="H102" s="164"/>
    </row>
    <row r="103" spans="3:8" ht="16.149999999999999" customHeight="1" x14ac:dyDescent="0.25">
      <c r="C103" s="162"/>
      <c r="D103" s="162"/>
      <c r="E103" s="163"/>
      <c r="F103" s="163"/>
      <c r="G103" s="163"/>
      <c r="H103" s="164"/>
    </row>
    <row r="104" spans="3:8" ht="16.149999999999999" customHeight="1" x14ac:dyDescent="0.25">
      <c r="C104" s="162"/>
      <c r="D104" s="162"/>
      <c r="E104" s="163"/>
      <c r="F104" s="163"/>
      <c r="G104" s="163"/>
      <c r="H104" s="164"/>
    </row>
    <row r="105" spans="3:8" ht="16.149999999999999" customHeight="1" x14ac:dyDescent="0.25">
      <c r="C105" s="162"/>
      <c r="D105" s="162"/>
      <c r="E105" s="163"/>
      <c r="F105" s="163"/>
      <c r="G105" s="163"/>
      <c r="H105" s="164"/>
    </row>
    <row r="106" spans="3:8" ht="16.149999999999999" customHeight="1" x14ac:dyDescent="0.25">
      <c r="C106" s="162"/>
      <c r="D106" s="162"/>
      <c r="E106" s="163"/>
      <c r="F106" s="163"/>
      <c r="G106" s="163"/>
      <c r="H106" s="164"/>
    </row>
    <row r="107" spans="3:8" ht="16.149999999999999" customHeight="1" x14ac:dyDescent="0.25">
      <c r="C107" s="162"/>
      <c r="D107" s="162"/>
      <c r="E107" s="163"/>
      <c r="F107" s="163"/>
      <c r="G107" s="163"/>
      <c r="H107" s="164"/>
    </row>
    <row r="108" spans="3:8" ht="16.149999999999999" customHeight="1" x14ac:dyDescent="0.25">
      <c r="C108" s="162"/>
      <c r="D108" s="162"/>
      <c r="E108" s="163"/>
      <c r="F108" s="163"/>
      <c r="G108" s="163"/>
      <c r="H108" s="164"/>
    </row>
    <row r="109" spans="3:8" ht="16.149999999999999" customHeight="1" x14ac:dyDescent="0.25">
      <c r="C109" s="162"/>
      <c r="D109" s="162"/>
      <c r="E109" s="163"/>
      <c r="F109" s="163"/>
      <c r="G109" s="163"/>
      <c r="H109" s="164"/>
    </row>
    <row r="110" spans="3:8" ht="16.149999999999999" customHeight="1" x14ac:dyDescent="0.25">
      <c r="C110" s="162"/>
      <c r="D110" s="162"/>
      <c r="E110" s="163"/>
      <c r="F110" s="163"/>
      <c r="G110" s="163"/>
      <c r="H110" s="164"/>
    </row>
    <row r="111" spans="3:8" ht="16.149999999999999" customHeight="1" x14ac:dyDescent="0.25">
      <c r="C111" s="162"/>
      <c r="D111" s="162"/>
      <c r="E111" s="163"/>
      <c r="F111" s="163"/>
      <c r="G111" s="163"/>
      <c r="H111" s="164"/>
    </row>
    <row r="112" spans="3:8" ht="16.149999999999999" customHeight="1" x14ac:dyDescent="0.25">
      <c r="C112" s="162"/>
      <c r="D112" s="162"/>
      <c r="E112" s="163"/>
      <c r="F112" s="163"/>
      <c r="G112" s="163"/>
      <c r="H112" s="164"/>
    </row>
    <row r="113" spans="3:8" ht="16.149999999999999" customHeight="1" x14ac:dyDescent="0.25">
      <c r="C113" s="162"/>
      <c r="D113" s="162"/>
      <c r="E113" s="163"/>
      <c r="F113" s="163"/>
      <c r="G113" s="163"/>
      <c r="H113" s="164"/>
    </row>
    <row r="114" spans="3:8" ht="16.149999999999999" customHeight="1" x14ac:dyDescent="0.25">
      <c r="C114" s="162"/>
      <c r="D114" s="162"/>
      <c r="E114" s="163"/>
      <c r="F114" s="163"/>
      <c r="G114" s="163"/>
      <c r="H114" s="164"/>
    </row>
    <row r="115" spans="3:8" ht="16.149999999999999" customHeight="1" x14ac:dyDescent="0.25">
      <c r="C115" s="162"/>
      <c r="D115" s="162"/>
      <c r="E115" s="163"/>
      <c r="F115" s="163"/>
      <c r="G115" s="163"/>
      <c r="H115" s="164"/>
    </row>
    <row r="116" spans="3:8" ht="16.149999999999999" customHeight="1" x14ac:dyDescent="0.25">
      <c r="C116" s="162"/>
      <c r="D116" s="162"/>
      <c r="E116" s="163"/>
      <c r="F116" s="163"/>
      <c r="G116" s="163"/>
      <c r="H116" s="164"/>
    </row>
    <row r="117" spans="3:8" ht="16.149999999999999" customHeight="1" x14ac:dyDescent="0.25">
      <c r="C117" s="162"/>
      <c r="D117" s="162"/>
      <c r="E117" s="163"/>
      <c r="F117" s="163"/>
      <c r="G117" s="163"/>
      <c r="H117" s="164"/>
    </row>
    <row r="118" spans="3:8" ht="16.149999999999999" customHeight="1" x14ac:dyDescent="0.25">
      <c r="C118" s="162"/>
      <c r="D118" s="162"/>
      <c r="E118" s="163"/>
      <c r="F118" s="163"/>
      <c r="G118" s="163"/>
      <c r="H118" s="164"/>
    </row>
    <row r="119" spans="3:8" ht="16.149999999999999" customHeight="1" x14ac:dyDescent="0.25">
      <c r="C119" s="162"/>
      <c r="D119" s="162"/>
      <c r="E119" s="163"/>
      <c r="F119" s="163"/>
      <c r="G119" s="163"/>
      <c r="H119" s="164"/>
    </row>
    <row r="120" spans="3:8" ht="16.149999999999999" customHeight="1" x14ac:dyDescent="0.25">
      <c r="C120" s="162"/>
      <c r="D120" s="162"/>
      <c r="E120" s="163"/>
      <c r="F120" s="163"/>
      <c r="G120" s="163"/>
      <c r="H120" s="164"/>
    </row>
    <row r="121" spans="3:8" ht="16.149999999999999" customHeight="1" x14ac:dyDescent="0.25">
      <c r="C121" s="162"/>
      <c r="D121" s="162"/>
      <c r="E121" s="163"/>
      <c r="F121" s="163"/>
      <c r="G121" s="163"/>
      <c r="H121" s="164"/>
    </row>
    <row r="122" spans="3:8" ht="16.149999999999999" customHeight="1" x14ac:dyDescent="0.25">
      <c r="C122" s="162"/>
      <c r="D122" s="162"/>
      <c r="E122" s="163"/>
      <c r="F122" s="163"/>
      <c r="G122" s="163"/>
      <c r="H122" s="164"/>
    </row>
    <row r="123" spans="3:8" ht="16.149999999999999" customHeight="1" x14ac:dyDescent="0.25">
      <c r="C123" s="162"/>
      <c r="D123" s="162"/>
      <c r="E123" s="163"/>
      <c r="F123" s="163"/>
      <c r="G123" s="163"/>
      <c r="H123" s="164"/>
    </row>
    <row r="124" spans="3:8" ht="16.149999999999999" customHeight="1" x14ac:dyDescent="0.25">
      <c r="C124" s="162"/>
      <c r="D124" s="162"/>
      <c r="E124" s="163"/>
      <c r="F124" s="163"/>
      <c r="G124" s="163"/>
      <c r="H124" s="164"/>
    </row>
    <row r="125" spans="3:8" ht="16.149999999999999" customHeight="1" x14ac:dyDescent="0.25">
      <c r="C125" s="162"/>
      <c r="D125" s="162"/>
      <c r="E125" s="163"/>
      <c r="F125" s="163"/>
      <c r="G125" s="163"/>
      <c r="H125" s="164"/>
    </row>
    <row r="126" spans="3:8" ht="16.149999999999999" customHeight="1" x14ac:dyDescent="0.25">
      <c r="C126" s="162"/>
      <c r="D126" s="162"/>
      <c r="E126" s="163"/>
      <c r="F126" s="163"/>
      <c r="G126" s="163"/>
      <c r="H126" s="164"/>
    </row>
    <row r="127" spans="3:8" ht="16.149999999999999" customHeight="1" x14ac:dyDescent="0.25">
      <c r="C127" s="162"/>
      <c r="D127" s="162"/>
      <c r="E127" s="163"/>
      <c r="F127" s="163"/>
      <c r="G127" s="163"/>
      <c r="H127" s="164"/>
    </row>
    <row r="128" spans="3:8" ht="16.149999999999999" customHeight="1" x14ac:dyDescent="0.25">
      <c r="C128" s="162"/>
      <c r="D128" s="162"/>
      <c r="E128" s="163"/>
      <c r="F128" s="163"/>
      <c r="G128" s="163"/>
      <c r="H128" s="164"/>
    </row>
    <row r="129" spans="3:8" ht="16.149999999999999" customHeight="1" x14ac:dyDescent="0.25">
      <c r="C129" s="162"/>
      <c r="D129" s="162"/>
      <c r="E129" s="163"/>
      <c r="F129" s="163"/>
      <c r="G129" s="163"/>
      <c r="H129" s="164"/>
    </row>
    <row r="130" spans="3:8" ht="16.149999999999999" customHeight="1" x14ac:dyDescent="0.25">
      <c r="C130" s="162"/>
      <c r="D130" s="162"/>
      <c r="E130" s="163"/>
      <c r="F130" s="163"/>
      <c r="G130" s="163"/>
      <c r="H130" s="164"/>
    </row>
    <row r="131" spans="3:8" ht="16.149999999999999" customHeight="1" x14ac:dyDescent="0.25">
      <c r="C131" s="162"/>
      <c r="D131" s="162"/>
      <c r="E131" s="163"/>
      <c r="F131" s="163"/>
      <c r="G131" s="163"/>
      <c r="H131" s="164"/>
    </row>
    <row r="132" spans="3:8" ht="16.149999999999999" customHeight="1" x14ac:dyDescent="0.25">
      <c r="C132" s="162"/>
      <c r="D132" s="162"/>
      <c r="E132" s="163"/>
      <c r="F132" s="163"/>
      <c r="G132" s="163"/>
      <c r="H132" s="164"/>
    </row>
    <row r="133" spans="3:8" ht="16.149999999999999" customHeight="1" x14ac:dyDescent="0.25">
      <c r="C133" s="162"/>
      <c r="D133" s="162"/>
      <c r="E133" s="163"/>
      <c r="F133" s="163"/>
      <c r="G133" s="163"/>
      <c r="H133" s="164"/>
    </row>
    <row r="134" spans="3:8" ht="16.149999999999999" customHeight="1" x14ac:dyDescent="0.25">
      <c r="C134" s="162"/>
      <c r="D134" s="162"/>
      <c r="E134" s="163"/>
      <c r="F134" s="163"/>
      <c r="G134" s="163"/>
      <c r="H134" s="164"/>
    </row>
    <row r="135" spans="3:8" ht="16.149999999999999" customHeight="1" x14ac:dyDescent="0.25">
      <c r="C135" s="162"/>
      <c r="D135" s="162"/>
      <c r="E135" s="163"/>
      <c r="F135" s="163"/>
      <c r="G135" s="163"/>
      <c r="H135" s="164"/>
    </row>
    <row r="136" spans="3:8" ht="16.149999999999999" customHeight="1" x14ac:dyDescent="0.25">
      <c r="C136" s="162"/>
      <c r="D136" s="162"/>
      <c r="E136" s="163"/>
      <c r="F136" s="163"/>
      <c r="G136" s="163"/>
      <c r="H136" s="164"/>
    </row>
    <row r="137" spans="3:8" ht="16.149999999999999" customHeight="1" x14ac:dyDescent="0.25">
      <c r="C137" s="162"/>
      <c r="D137" s="162"/>
      <c r="E137" s="163"/>
      <c r="F137" s="163"/>
      <c r="G137" s="163"/>
      <c r="H137" s="164"/>
    </row>
    <row r="138" spans="3:8" ht="16.149999999999999" customHeight="1" x14ac:dyDescent="0.25">
      <c r="C138" s="162"/>
      <c r="D138" s="162"/>
      <c r="E138" s="163"/>
      <c r="F138" s="163"/>
      <c r="G138" s="163"/>
      <c r="H138" s="164"/>
    </row>
    <row r="139" spans="3:8" ht="16.149999999999999" customHeight="1" x14ac:dyDescent="0.25">
      <c r="C139" s="162"/>
      <c r="D139" s="162"/>
      <c r="E139" s="163"/>
      <c r="F139" s="163"/>
      <c r="G139" s="163"/>
      <c r="H139" s="164"/>
    </row>
    <row r="140" spans="3:8" ht="16.149999999999999" customHeight="1" x14ac:dyDescent="0.25">
      <c r="C140" s="162"/>
      <c r="D140" s="162"/>
      <c r="E140" s="163"/>
      <c r="F140" s="163"/>
      <c r="G140" s="163"/>
      <c r="H140" s="164"/>
    </row>
    <row r="141" spans="3:8" ht="16.149999999999999" customHeight="1" x14ac:dyDescent="0.25">
      <c r="C141" s="162"/>
      <c r="D141" s="162"/>
      <c r="E141" s="163"/>
      <c r="F141" s="163"/>
      <c r="G141" s="163"/>
      <c r="H141" s="164"/>
    </row>
    <row r="142" spans="3:8" ht="16.149999999999999" customHeight="1" x14ac:dyDescent="0.25">
      <c r="C142" s="162"/>
      <c r="D142" s="162"/>
      <c r="E142" s="163"/>
      <c r="F142" s="163"/>
      <c r="G142" s="163"/>
      <c r="H142" s="164"/>
    </row>
    <row r="143" spans="3:8" ht="16.149999999999999" customHeight="1" x14ac:dyDescent="0.25">
      <c r="C143" s="162"/>
      <c r="D143" s="162"/>
      <c r="E143" s="163"/>
      <c r="F143" s="163"/>
      <c r="G143" s="163"/>
      <c r="H143" s="164"/>
    </row>
    <row r="144" spans="3:8" ht="16.149999999999999" customHeight="1" x14ac:dyDescent="0.25">
      <c r="C144" s="162"/>
      <c r="D144" s="162"/>
      <c r="E144" s="163"/>
      <c r="F144" s="163"/>
      <c r="G144" s="163"/>
      <c r="H144" s="164"/>
    </row>
    <row r="145" spans="3:8" ht="16.149999999999999" customHeight="1" x14ac:dyDescent="0.25">
      <c r="C145" s="162"/>
      <c r="D145" s="162"/>
      <c r="E145" s="163"/>
      <c r="F145" s="163"/>
      <c r="G145" s="163"/>
      <c r="H145" s="164"/>
    </row>
    <row r="146" spans="3:8" ht="16.149999999999999" customHeight="1" x14ac:dyDescent="0.25">
      <c r="C146" s="162"/>
      <c r="D146" s="162"/>
      <c r="E146" s="163"/>
      <c r="F146" s="163"/>
      <c r="G146" s="163"/>
      <c r="H146" s="164"/>
    </row>
    <row r="147" spans="3:8" ht="16.149999999999999" customHeight="1" x14ac:dyDescent="0.25">
      <c r="C147" s="162"/>
      <c r="D147" s="162"/>
      <c r="E147" s="163"/>
      <c r="F147" s="163"/>
      <c r="G147" s="163"/>
      <c r="H147" s="164"/>
    </row>
    <row r="148" spans="3:8" ht="16.149999999999999" customHeight="1" x14ac:dyDescent="0.25">
      <c r="C148" s="162"/>
      <c r="D148" s="162"/>
      <c r="E148" s="163"/>
      <c r="F148" s="163"/>
      <c r="G148" s="163"/>
      <c r="H148" s="164"/>
    </row>
    <row r="149" spans="3:8" ht="16.149999999999999" customHeight="1" x14ac:dyDescent="0.25">
      <c r="C149" s="162"/>
      <c r="D149" s="162"/>
      <c r="E149" s="163"/>
      <c r="F149" s="163"/>
      <c r="G149" s="163"/>
      <c r="H149" s="164"/>
    </row>
    <row r="150" spans="3:8" ht="16.149999999999999" customHeight="1" x14ac:dyDescent="0.25">
      <c r="C150" s="162"/>
      <c r="D150" s="162"/>
      <c r="E150" s="163"/>
      <c r="F150" s="163"/>
      <c r="G150" s="163"/>
      <c r="H150" s="164"/>
    </row>
    <row r="151" spans="3:8" ht="16.149999999999999" customHeight="1" x14ac:dyDescent="0.25">
      <c r="C151" s="162"/>
      <c r="D151" s="162"/>
      <c r="E151" s="163"/>
      <c r="F151" s="163"/>
      <c r="G151" s="163"/>
      <c r="H151" s="164"/>
    </row>
    <row r="152" spans="3:8" ht="16.149999999999999" customHeight="1" x14ac:dyDescent="0.25">
      <c r="C152" s="162"/>
      <c r="D152" s="162"/>
      <c r="E152" s="163"/>
      <c r="F152" s="163"/>
      <c r="G152" s="163"/>
      <c r="H152" s="164"/>
    </row>
    <row r="153" spans="3:8" ht="16.149999999999999" customHeight="1" x14ac:dyDescent="0.25">
      <c r="C153" s="162"/>
      <c r="D153" s="162"/>
      <c r="E153" s="163"/>
      <c r="F153" s="163"/>
      <c r="G153" s="163"/>
      <c r="H153" s="164"/>
    </row>
    <row r="154" spans="3:8" ht="16.149999999999999" customHeight="1" x14ac:dyDescent="0.25">
      <c r="C154" s="162"/>
      <c r="D154" s="162"/>
      <c r="E154" s="163"/>
      <c r="F154" s="163"/>
      <c r="G154" s="163"/>
      <c r="H154" s="164"/>
    </row>
    <row r="155" spans="3:8" ht="16.149999999999999" customHeight="1" x14ac:dyDescent="0.25">
      <c r="C155" s="162"/>
      <c r="D155" s="162"/>
      <c r="E155" s="163"/>
      <c r="F155" s="163"/>
      <c r="G155" s="163"/>
      <c r="H155" s="164"/>
    </row>
    <row r="156" spans="3:8" ht="16.149999999999999" customHeight="1" x14ac:dyDescent="0.25">
      <c r="C156" s="162"/>
      <c r="D156" s="162"/>
      <c r="E156" s="163"/>
      <c r="F156" s="163"/>
      <c r="G156" s="163"/>
      <c r="H156" s="164"/>
    </row>
    <row r="157" spans="3:8" ht="16.149999999999999" customHeight="1" x14ac:dyDescent="0.25">
      <c r="C157" s="162"/>
      <c r="D157" s="162"/>
      <c r="E157" s="163"/>
      <c r="F157" s="163"/>
      <c r="G157" s="163"/>
      <c r="H157" s="164"/>
    </row>
    <row r="158" spans="3:8" ht="16.149999999999999" customHeight="1" x14ac:dyDescent="0.25">
      <c r="C158" s="162"/>
      <c r="D158" s="162"/>
      <c r="E158" s="163"/>
      <c r="F158" s="163"/>
      <c r="G158" s="163"/>
      <c r="H158" s="164"/>
    </row>
    <row r="159" spans="3:8" ht="16.149999999999999" customHeight="1" x14ac:dyDescent="0.25">
      <c r="C159" s="162"/>
      <c r="D159" s="162"/>
      <c r="E159" s="163"/>
      <c r="F159" s="163"/>
      <c r="G159" s="163"/>
      <c r="H159" s="164"/>
    </row>
    <row r="160" spans="3:8" ht="16.149999999999999" customHeight="1" x14ac:dyDescent="0.25">
      <c r="C160" s="162"/>
      <c r="D160" s="162"/>
      <c r="E160" s="163"/>
      <c r="F160" s="163"/>
      <c r="G160" s="163"/>
      <c r="H160" s="164"/>
    </row>
    <row r="161" spans="3:8" ht="16.149999999999999" customHeight="1" x14ac:dyDescent="0.25">
      <c r="C161" s="162"/>
      <c r="D161" s="162"/>
      <c r="E161" s="163"/>
      <c r="F161" s="163"/>
      <c r="G161" s="163"/>
      <c r="H161" s="164"/>
    </row>
    <row r="162" spans="3:8" ht="16.149999999999999" customHeight="1" x14ac:dyDescent="0.25">
      <c r="C162" s="162"/>
      <c r="D162" s="162"/>
      <c r="E162" s="163"/>
      <c r="F162" s="163"/>
      <c r="G162" s="163"/>
      <c r="H162" s="164"/>
    </row>
    <row r="163" spans="3:8" ht="16.149999999999999" customHeight="1" x14ac:dyDescent="0.25">
      <c r="C163" s="162"/>
      <c r="D163" s="162"/>
      <c r="E163" s="163"/>
      <c r="F163" s="163"/>
      <c r="G163" s="163"/>
      <c r="H163" s="164"/>
    </row>
    <row r="164" spans="3:8" ht="16.149999999999999" customHeight="1" x14ac:dyDescent="0.25">
      <c r="C164" s="162"/>
      <c r="D164" s="162"/>
      <c r="E164" s="163"/>
      <c r="F164" s="163"/>
      <c r="G164" s="163"/>
      <c r="H164" s="164"/>
    </row>
    <row r="165" spans="3:8" ht="16.149999999999999" customHeight="1" x14ac:dyDescent="0.25">
      <c r="C165" s="162"/>
      <c r="D165" s="162"/>
      <c r="E165" s="163"/>
      <c r="F165" s="163"/>
      <c r="G165" s="163"/>
      <c r="H165" s="164"/>
    </row>
  </sheetData>
  <printOptions horizontalCentered="1"/>
  <pageMargins left="0.59055118110236227" right="0.59055118110236227" top="0.59055118110236227" bottom="0.59055118110236227" header="0.39370078740157483" footer="0.39370078740157483"/>
  <pageSetup paperSize="9" scale="72" orientation="portrait"/>
  <headerFooter alignWithMargins="0">
    <oddFooter>&amp;C&amp;9Page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M152"/>
  <sheetViews>
    <sheetView zoomScale="95" zoomScaleNormal="95" workbookViewId="0">
      <selection activeCell="L1" sqref="L1"/>
    </sheetView>
  </sheetViews>
  <sheetFormatPr defaultColWidth="9.140625" defaultRowHeight="16.149999999999999" customHeight="1" x14ac:dyDescent="0.25"/>
  <cols>
    <col min="1" max="1" width="44.140625" style="201" customWidth="1"/>
    <col min="2" max="4" width="12.7109375" style="174" customWidth="1"/>
    <col min="5" max="5" width="12.7109375" style="175" customWidth="1"/>
    <col min="6" max="7" width="12.7109375" style="172" customWidth="1"/>
    <col min="8" max="8" width="12.7109375" style="174" customWidth="1"/>
    <col min="9" max="9" width="12.7109375" style="175" customWidth="1"/>
    <col min="10" max="12" width="12.7109375" style="172" customWidth="1"/>
    <col min="13" max="13" width="12.7109375" style="175" customWidth="1"/>
    <col min="14" max="16384" width="9.140625" style="172"/>
  </cols>
  <sheetData>
    <row r="1" spans="1:13" ht="16.149999999999999" customHeight="1" x14ac:dyDescent="0.25">
      <c r="A1" s="288" t="str">
        <f>IF(ISBLANK(Assumptions!$C$4),"Example Limited",Assumptions!$C$4)</f>
        <v>Example (Pty) Limited</v>
      </c>
      <c r="B1" s="168"/>
      <c r="C1" s="168"/>
      <c r="D1" s="168"/>
      <c r="E1" s="168"/>
      <c r="F1" s="168"/>
      <c r="G1" s="169"/>
      <c r="H1" s="168"/>
      <c r="I1" s="168"/>
      <c r="J1" s="168"/>
      <c r="K1" s="169" t="s">
        <v>116</v>
      </c>
      <c r="L1" s="170">
        <v>44254</v>
      </c>
      <c r="M1" s="171" t="str">
        <f ca="1">IF(ISNA(MATCH(Report!$L$1,Months,0))=TRUE,"Period Error!","")</f>
        <v/>
      </c>
    </row>
    <row r="2" spans="1:13" ht="16.149999999999999" customHeight="1" x14ac:dyDescent="0.25">
      <c r="A2" s="173" t="s">
        <v>105</v>
      </c>
      <c r="G2" s="176"/>
      <c r="H2" s="177">
        <f ca="1">IF(ISNA(MATCH($L$2,Assumptions!$D$8:$D$11,1))=TRUE,"?",OFFSET(Assumptions!$E$7,MATCH($L$2,Assumptions!$D$8:$D$11,1),0,1,1))</f>
        <v>39</v>
      </c>
      <c r="I2" s="177">
        <f ca="1">IF(ISNA(MATCH($L$2,Assumptions!$D$8:$D$11,1))=TRUE,"?",MATCH($L$2,Assumptions!$D$8:$D$11,1))</f>
        <v>4</v>
      </c>
      <c r="K2" s="176" t="s">
        <v>117</v>
      </c>
      <c r="L2" s="178">
        <f ca="1">IF(ISNA(MATCH(Report!$L$1,Months,0))=TRUE,0,MATCH($L$1,Months,0))</f>
        <v>52</v>
      </c>
      <c r="M2" s="179"/>
    </row>
    <row r="3" spans="1:13" s="181" customFormat="1" ht="18" customHeight="1" x14ac:dyDescent="0.25">
      <c r="A3" s="180" t="s">
        <v>50</v>
      </c>
      <c r="B3" s="334" t="str">
        <f ca="1">"Week "&amp;$L$2</f>
        <v>Week 52</v>
      </c>
      <c r="C3" s="335"/>
      <c r="D3" s="335"/>
      <c r="E3" s="336"/>
      <c r="F3" s="334" t="str">
        <f ca="1">"Quarter "&amp;$I$2</f>
        <v>Quarter 4</v>
      </c>
      <c r="G3" s="335"/>
      <c r="H3" s="335"/>
      <c r="I3" s="336"/>
      <c r="J3" s="337" t="s">
        <v>106</v>
      </c>
      <c r="K3" s="338"/>
      <c r="L3" s="338"/>
      <c r="M3" s="339"/>
    </row>
    <row r="4" spans="1:13" s="187" customFormat="1" ht="18" customHeight="1" x14ac:dyDescent="0.25">
      <c r="A4" s="182" t="s">
        <v>107</v>
      </c>
      <c r="B4" s="183" t="s">
        <v>108</v>
      </c>
      <c r="C4" s="183" t="s">
        <v>109</v>
      </c>
      <c r="D4" s="183" t="s">
        <v>110</v>
      </c>
      <c r="E4" s="184" t="s">
        <v>111</v>
      </c>
      <c r="F4" s="185" t="s">
        <v>108</v>
      </c>
      <c r="G4" s="186" t="s">
        <v>109</v>
      </c>
      <c r="H4" s="183" t="s">
        <v>110</v>
      </c>
      <c r="I4" s="184" t="s">
        <v>111</v>
      </c>
      <c r="J4" s="185" t="s">
        <v>108</v>
      </c>
      <c r="K4" s="186" t="s">
        <v>109</v>
      </c>
      <c r="L4" s="183" t="s">
        <v>110</v>
      </c>
      <c r="M4" s="184" t="s">
        <v>111</v>
      </c>
    </row>
    <row r="5" spans="1:13" ht="16.149999999999999" customHeight="1" x14ac:dyDescent="0.25">
      <c r="A5" s="188" t="s">
        <v>198</v>
      </c>
      <c r="B5" s="189">
        <f ca="1">IF($L$2=0,0,OFFSET(Forecast!$B5,0,$L$2,1,1))</f>
        <v>77120</v>
      </c>
      <c r="C5" s="190">
        <f ca="1">IF($L$2=0,0,OFFSET(Actual!$B5,0,$L$2,1,1))</f>
        <v>83552</v>
      </c>
      <c r="D5" s="190">
        <f t="shared" ref="D5:D6" ca="1" si="0">C5-B5</f>
        <v>6432</v>
      </c>
      <c r="E5" s="191">
        <f t="shared" ref="E5:E6" ca="1" si="1">IF(B5=0,IF(D5=0,0,-1),D5/ABS(B5))</f>
        <v>8.3402489626556012E-2</v>
      </c>
      <c r="F5" s="189">
        <f ca="1">IF($L$2=0,0,SUM(OFFSET(Forecast!$B5,0,$L$2,1,-$L$2+$H$2)))</f>
        <v>849688</v>
      </c>
      <c r="G5" s="190">
        <f ca="1">IF($L$2=0,0,SUM(OFFSET(Actual!$B5,0,$L$2,1,-$L$2+$H$2)))</f>
        <v>914968</v>
      </c>
      <c r="H5" s="190">
        <f t="shared" ref="H5:H6" ca="1" si="2">G5-F5</f>
        <v>65280</v>
      </c>
      <c r="I5" s="191">
        <f t="shared" ref="I5:I6" ca="1" si="3">IF(F5=0,IF(H5=0,0,-1),H5/ABS(F5))</f>
        <v>7.6828200468877991E-2</v>
      </c>
      <c r="J5" s="189">
        <f ca="1">IF($L$2=0,0,SUM(OFFSET(Forecast!$B5,0,$L$2,1,-$L$2)))</f>
        <v>3507128</v>
      </c>
      <c r="K5" s="190">
        <f ca="1">IF($L$2=0,0,SUM(OFFSET(Actual!$B5,0,$L$2,1,-$L$2)))</f>
        <v>3665696</v>
      </c>
      <c r="L5" s="190">
        <f t="shared" ref="L5:L6" ca="1" si="4">K5-J5</f>
        <v>158568</v>
      </c>
      <c r="M5" s="191">
        <f t="shared" ref="M5:M6" ca="1" si="5">IF(J5=0,IF(L5=0,0,-1),L5/ABS(J5))</f>
        <v>4.5213063224381886E-2</v>
      </c>
    </row>
    <row r="6" spans="1:13" ht="16.149999999999999" customHeight="1" x14ac:dyDescent="0.25">
      <c r="A6" s="192" t="s">
        <v>199</v>
      </c>
      <c r="B6" s="193">
        <f ca="1">IF($L$2=0,0,OFFSET(Forecast!$B6,0,$L$2,1,1))</f>
        <v>34704</v>
      </c>
      <c r="C6" s="194">
        <f ca="1">IF($L$2=0,0,OFFSET(Actual!$B6,0,$L$2,1,1))</f>
        <v>33315.840000000004</v>
      </c>
      <c r="D6" s="194">
        <f t="shared" ca="1" si="0"/>
        <v>-1388.1599999999962</v>
      </c>
      <c r="E6" s="195">
        <f t="shared" ca="1" si="1"/>
        <v>-3.999999999999989E-2</v>
      </c>
      <c r="F6" s="193">
        <f ca="1">IF($L$2=0,0,SUM(OFFSET(Forecast!$B6,0,$L$2,1,-$L$2+$H$2)))</f>
        <v>357766.23333333334</v>
      </c>
      <c r="G6" s="194">
        <f ca="1">IF($L$2=0,0,SUM(OFFSET(Actual!$B6,0,$L$2,1,-$L$2+$H$2)))</f>
        <v>369999.73066666676</v>
      </c>
      <c r="H6" s="194">
        <f t="shared" ca="1" si="2"/>
        <v>12233.49733333342</v>
      </c>
      <c r="I6" s="195">
        <f t="shared" ca="1" si="3"/>
        <v>3.4194108312998295E-2</v>
      </c>
      <c r="J6" s="193">
        <f ca="1">IF($L$2=0,0,SUM(OFFSET(Forecast!$B6,0,$L$2,1,-$L$2)))</f>
        <v>1479501.7333333332</v>
      </c>
      <c r="K6" s="194">
        <f ca="1">IF($L$2=0,0,SUM(OFFSET(Actual!$B6,0,$L$2,1,-$L$2)))</f>
        <v>1536704.2673333338</v>
      </c>
      <c r="L6" s="194">
        <f t="shared" ca="1" si="4"/>
        <v>57202.534000000684</v>
      </c>
      <c r="M6" s="195">
        <f t="shared" ca="1" si="5"/>
        <v>3.8663377481229957E-2</v>
      </c>
    </row>
    <row r="7" spans="1:13" s="200" customFormat="1" ht="16.149999999999999" customHeight="1" thickBot="1" x14ac:dyDescent="0.25">
      <c r="A7" s="196" t="s">
        <v>200</v>
      </c>
      <c r="B7" s="197">
        <f ca="1">SUM(OFFSET(B4,1,0,ROW($A7)-ROW($A4)-1,1))</f>
        <v>111824</v>
      </c>
      <c r="C7" s="198">
        <f t="shared" ref="C7:D7" ca="1" si="6">SUM(OFFSET(C4,1,0,ROW($A7)-ROW($A4)-1,1))</f>
        <v>116867.84</v>
      </c>
      <c r="D7" s="198">
        <f t="shared" ca="1" si="6"/>
        <v>5043.8400000000038</v>
      </c>
      <c r="E7" s="199">
        <f ca="1">IF(B7=0,IF(D7=0,0,-1),D7/ABS(B7))</f>
        <v>4.5105165259693838E-2</v>
      </c>
      <c r="F7" s="197">
        <f t="shared" ref="F7:H7" ca="1" si="7">SUM(OFFSET(F4,1,0,ROW($A7)-ROW($A4)-1,1))</f>
        <v>1207454.2333333334</v>
      </c>
      <c r="G7" s="198">
        <f t="shared" ca="1" si="7"/>
        <v>1284967.7306666668</v>
      </c>
      <c r="H7" s="198">
        <f t="shared" ca="1" si="7"/>
        <v>77513.49733333342</v>
      </c>
      <c r="I7" s="199">
        <f ca="1">IF(F7=0,IF(H7=0,0,-1),H7/ABS(F7))</f>
        <v>6.419580568229688E-2</v>
      </c>
      <c r="J7" s="197">
        <f t="shared" ref="J7:L7" ca="1" si="8">SUM(OFFSET(J4,1,0,ROW($A7)-ROW($A4)-1,1))</f>
        <v>4986629.7333333334</v>
      </c>
      <c r="K7" s="198">
        <f t="shared" ca="1" si="8"/>
        <v>5202400.2673333343</v>
      </c>
      <c r="L7" s="198">
        <f t="shared" ca="1" si="8"/>
        <v>215770.53400000068</v>
      </c>
      <c r="M7" s="199">
        <f ca="1">IF(J7=0,IF(L7=0,0,-1),L7/ABS(J7))</f>
        <v>4.3269812586579991E-2</v>
      </c>
    </row>
    <row r="8" spans="1:13" ht="16.149999999999999" customHeight="1" x14ac:dyDescent="0.25">
      <c r="A8" s="201" t="s">
        <v>201</v>
      </c>
      <c r="B8" s="193">
        <f ca="1">IF($L$2=0,0,OFFSET(Forecast!$B8,0,$L$2,1,1))</f>
        <v>46272</v>
      </c>
      <c r="C8" s="194">
        <f ca="1">IF($L$2=0,0,OFFSET(Actual!$B8,0,$L$2,1,1))</f>
        <v>49713.439999999995</v>
      </c>
      <c r="D8" s="174">
        <f ca="1">B8-C8</f>
        <v>-3441.4399999999951</v>
      </c>
      <c r="E8" s="195">
        <f ca="1">IF(B8=0,IF(D8=0,0,-1),D8/ABS(B8))</f>
        <v>-7.437413554633461E-2</v>
      </c>
      <c r="F8" s="193">
        <f ca="1">IF($L$2=0,0,SUM(OFFSET(Forecast!$B8,0,$L$2,1,-$L$2+$H$2)))</f>
        <v>509812.8</v>
      </c>
      <c r="G8" s="194">
        <f ca="1">IF($L$2=0,0,SUM(OFFSET(Actual!$B8,0,$L$2,1,-$L$2+$H$2)))</f>
        <v>544925.13600000006</v>
      </c>
      <c r="H8" s="174">
        <f t="shared" ref="H8:H9" ca="1" si="9">F8-G8</f>
        <v>-35112.336000000068</v>
      </c>
      <c r="I8" s="195">
        <f t="shared" ref="I8:I9" ca="1" si="10">IF(F8=0,IF(H8=0,0,-1),H8/ABS(F8))</f>
        <v>-6.8872998088710349E-2</v>
      </c>
      <c r="J8" s="193">
        <f ca="1">IF($L$2=0,0,SUM(OFFSET(Forecast!$B8,0,$L$2,1,-$L$2)))</f>
        <v>2154336.4000000004</v>
      </c>
      <c r="K8" s="194">
        <f ca="1">IF($L$2=0,0,SUM(OFFSET(Actual!$B8,0,$L$2,1,-$L$2)))</f>
        <v>2246504.7280000006</v>
      </c>
      <c r="L8" s="174">
        <f t="shared" ref="L8:L9" ca="1" si="11">J8-K8</f>
        <v>-92168.328000000212</v>
      </c>
      <c r="M8" s="195">
        <f t="shared" ref="M8:M9" ca="1" si="12">IF(J8=0,IF(L8=0,0,-1),L8/ABS(J8))</f>
        <v>-4.2782700046288126E-2</v>
      </c>
    </row>
    <row r="9" spans="1:13" ht="16.149999999999999" customHeight="1" x14ac:dyDescent="0.25">
      <c r="A9" s="201" t="s">
        <v>203</v>
      </c>
      <c r="B9" s="193">
        <f ca="1">IF($L$2=0,0,OFFSET(Forecast!$B9,0,$L$2,1,1))</f>
        <v>0</v>
      </c>
      <c r="C9" s="194">
        <f ca="1">IF($L$2=0,0,OFFSET(Actual!$B9,0,$L$2,1,1))</f>
        <v>0</v>
      </c>
      <c r="D9" s="174">
        <f ca="1">B9-C9</f>
        <v>0</v>
      </c>
      <c r="E9" s="195">
        <f ca="1">IF(B9=0,IF(D9=0,0,-1),D9/ABS(B9))</f>
        <v>0</v>
      </c>
      <c r="F9" s="193">
        <f ca="1">IF($L$2=0,0,SUM(OFFSET(Forecast!$B9,0,$L$2,1,-$L$2+$H$2)))</f>
        <v>0</v>
      </c>
      <c r="G9" s="194">
        <f ca="1">IF($L$2=0,0,SUM(OFFSET(Actual!$B9,0,$L$2,1,-$L$2+$H$2)))</f>
        <v>0</v>
      </c>
      <c r="H9" s="174">
        <f t="shared" ca="1" si="9"/>
        <v>0</v>
      </c>
      <c r="I9" s="195">
        <f t="shared" ca="1" si="10"/>
        <v>0</v>
      </c>
      <c r="J9" s="193">
        <f ca="1">IF($L$2=0,0,SUM(OFFSET(Forecast!$B9,0,$L$2,1,-$L$2)))</f>
        <v>0</v>
      </c>
      <c r="K9" s="194">
        <f ca="1">IF($L$2=0,0,SUM(OFFSET(Actual!$B9,0,$L$2,1,-$L$2)))</f>
        <v>0</v>
      </c>
      <c r="L9" s="174">
        <f t="shared" ca="1" si="11"/>
        <v>0</v>
      </c>
      <c r="M9" s="195">
        <f t="shared" ca="1" si="12"/>
        <v>0</v>
      </c>
    </row>
    <row r="10" spans="1:13" s="200" customFormat="1" ht="16.149999999999999" customHeight="1" thickBot="1" x14ac:dyDescent="0.25">
      <c r="A10" s="167" t="s">
        <v>204</v>
      </c>
      <c r="B10" s="197">
        <f ca="1">SUM(OFFSET(B7,1,0,ROW($A10)-ROW($A7)-1,1))</f>
        <v>46272</v>
      </c>
      <c r="C10" s="198">
        <f t="shared" ref="C10:D10" ca="1" si="13">SUM(OFFSET(C7,1,0,ROW($A10)-ROW($A7)-1,1))</f>
        <v>49713.439999999995</v>
      </c>
      <c r="D10" s="198">
        <f t="shared" ca="1" si="13"/>
        <v>-3441.4399999999951</v>
      </c>
      <c r="E10" s="199">
        <f ca="1">IF(B10=0,IF(D10=0,0,-1),D10/ABS(B10))</f>
        <v>-7.437413554633461E-2</v>
      </c>
      <c r="F10" s="197">
        <f t="shared" ref="F10:H10" ca="1" si="14">SUM(OFFSET(F7,1,0,ROW($A10)-ROW($A7)-1,1))</f>
        <v>509812.8</v>
      </c>
      <c r="G10" s="198">
        <f t="shared" ca="1" si="14"/>
        <v>544925.13600000006</v>
      </c>
      <c r="H10" s="198">
        <f t="shared" ca="1" si="14"/>
        <v>-35112.336000000068</v>
      </c>
      <c r="I10" s="199">
        <f ca="1">IF(F10=0,IF(H10=0,0,-1),H10/ABS(F10))</f>
        <v>-6.8872998088710349E-2</v>
      </c>
      <c r="J10" s="197">
        <f t="shared" ref="J10:L10" ca="1" si="15">SUM(OFFSET(J7,1,0,ROW($A10)-ROW($A7)-1,1))</f>
        <v>2154336.4000000004</v>
      </c>
      <c r="K10" s="198">
        <f t="shared" ca="1" si="15"/>
        <v>2246504.7280000006</v>
      </c>
      <c r="L10" s="198">
        <f t="shared" ca="1" si="15"/>
        <v>-92168.328000000212</v>
      </c>
      <c r="M10" s="199">
        <f ca="1">IF(J10=0,IF(L10=0,0,-1),L10/ABS(J10))</f>
        <v>-4.2782700046288126E-2</v>
      </c>
    </row>
    <row r="11" spans="1:13" ht="16.149999999999999" customHeight="1" x14ac:dyDescent="0.25">
      <c r="A11" s="201" t="s">
        <v>201</v>
      </c>
      <c r="B11" s="193">
        <f ca="1">IF($L$2=0,0,OFFSET(Forecast!$B11,0,$L$2,1,1))</f>
        <v>30848</v>
      </c>
      <c r="C11" s="194">
        <f ca="1">IF($L$2=0,0,OFFSET(Actual!$B11,0,$L$2,1,1))</f>
        <v>33838.560000000005</v>
      </c>
      <c r="D11" s="174">
        <f t="shared" ref="D11:D12" ca="1" si="16">C11-B11</f>
        <v>2990.5600000000049</v>
      </c>
      <c r="E11" s="195">
        <f t="shared" ref="E11:E12" ca="1" si="17">IF(B11=0,IF(D11=0,0,-1),D11/ABS(B11))</f>
        <v>9.6945020746888128E-2</v>
      </c>
      <c r="F11" s="193">
        <f ca="1">IF($L$2=0,0,SUM(OFFSET(Forecast!$B11,0,$L$2,1,-$L$2+$H$2)))</f>
        <v>339875.19999999995</v>
      </c>
      <c r="G11" s="194">
        <f ca="1">IF($L$2=0,0,SUM(OFFSET(Actual!$B11,0,$L$2,1,-$L$2+$H$2)))</f>
        <v>370042.86400000006</v>
      </c>
      <c r="H11" s="174">
        <f t="shared" ref="H11:H12" ca="1" si="18">SUM(H5,H8)</f>
        <v>30167.663999999932</v>
      </c>
      <c r="I11" s="195">
        <f t="shared" ref="I11:I12" ca="1" si="19">IF(F11=0,IF(H11=0,0,-1),H11/ABS(F11))</f>
        <v>8.8761004039129468E-2</v>
      </c>
      <c r="J11" s="193">
        <f ca="1">IF($L$2=0,0,SUM(OFFSET(Forecast!$B11,0,$L$2,1,-$L$2)))</f>
        <v>1352791.5999999996</v>
      </c>
      <c r="K11" s="194">
        <f ca="1">IF($L$2=0,0,SUM(OFFSET(Actual!$B11,0,$L$2,1,-$L$2)))</f>
        <v>1419191.2719999999</v>
      </c>
      <c r="L11" s="174">
        <f t="shared" ref="L11:L12" ca="1" si="20">K11-J11</f>
        <v>66399.672000000253</v>
      </c>
      <c r="M11" s="195">
        <f t="shared" ref="M11:M12" ca="1" si="21">IF(J11=0,IF(L11=0,0,-1),L11/ABS(J11))</f>
        <v>4.9083444929729214E-2</v>
      </c>
    </row>
    <row r="12" spans="1:13" ht="16.149999999999999" customHeight="1" x14ac:dyDescent="0.25">
      <c r="A12" s="201" t="s">
        <v>203</v>
      </c>
      <c r="B12" s="193">
        <f ca="1">IF($L$2=0,0,OFFSET(Forecast!$B12,0,$L$2,1,1))</f>
        <v>34704</v>
      </c>
      <c r="C12" s="194">
        <f ca="1">IF($L$2=0,0,OFFSET(Actual!$B12,0,$L$2,1,1))</f>
        <v>33315.840000000004</v>
      </c>
      <c r="D12" s="174">
        <f t="shared" ca="1" si="16"/>
        <v>-1388.1599999999962</v>
      </c>
      <c r="E12" s="195">
        <f t="shared" ca="1" si="17"/>
        <v>-3.999999999999989E-2</v>
      </c>
      <c r="F12" s="193">
        <f ca="1">IF($L$2=0,0,SUM(OFFSET(Forecast!$B12,0,$L$2,1,-$L$2+$H$2)))</f>
        <v>357766.23333333334</v>
      </c>
      <c r="G12" s="194">
        <f ca="1">IF($L$2=0,0,SUM(OFFSET(Actual!$B12,0,$L$2,1,-$L$2+$H$2)))</f>
        <v>369999.73066666676</v>
      </c>
      <c r="H12" s="174">
        <f t="shared" ca="1" si="18"/>
        <v>12233.49733333342</v>
      </c>
      <c r="I12" s="195">
        <f t="shared" ca="1" si="19"/>
        <v>3.4194108312998295E-2</v>
      </c>
      <c r="J12" s="193">
        <f ca="1">IF($L$2=0,0,SUM(OFFSET(Forecast!$B12,0,$L$2,1,-$L$2)))</f>
        <v>1479501.7333333332</v>
      </c>
      <c r="K12" s="194">
        <f ca="1">IF($L$2=0,0,SUM(OFFSET(Actual!$B12,0,$L$2,1,-$L$2)))</f>
        <v>1536704.2673333338</v>
      </c>
      <c r="L12" s="174">
        <f t="shared" ca="1" si="20"/>
        <v>57202.534000000684</v>
      </c>
      <c r="M12" s="195">
        <f t="shared" ca="1" si="21"/>
        <v>3.8663377481229957E-2</v>
      </c>
    </row>
    <row r="13" spans="1:13" s="200" customFormat="1" ht="16.149999999999999" customHeight="1" thickBot="1" x14ac:dyDescent="0.25">
      <c r="A13" s="167" t="s">
        <v>205</v>
      </c>
      <c r="B13" s="197">
        <f ca="1">SUM(OFFSET(B10,1,0,ROW($A13)-ROW($A10)-1,1))</f>
        <v>65552</v>
      </c>
      <c r="C13" s="198">
        <f t="shared" ref="C13:D13" ca="1" si="22">SUM(OFFSET(C10,1,0,ROW($A13)-ROW($A10)-1,1))</f>
        <v>67154.400000000009</v>
      </c>
      <c r="D13" s="198">
        <f t="shared" ca="1" si="22"/>
        <v>1602.4000000000087</v>
      </c>
      <c r="E13" s="199">
        <f ca="1">IF(B13=0,IF(D13=0,0,-1),D13/ABS(B13))</f>
        <v>2.4444715645594469E-2</v>
      </c>
      <c r="F13" s="197">
        <f t="shared" ref="F13:H13" ca="1" si="23">SUM(OFFSET(F10,1,0,ROW($A13)-ROW($A10)-1,1))</f>
        <v>697641.43333333335</v>
      </c>
      <c r="G13" s="198">
        <f t="shared" ca="1" si="23"/>
        <v>740042.59466666682</v>
      </c>
      <c r="H13" s="198">
        <f t="shared" ca="1" si="23"/>
        <v>42401.161333333352</v>
      </c>
      <c r="I13" s="199">
        <f ca="1">IF(F13=0,IF(H13=0,0,-1),H13/ABS(F13))</f>
        <v>6.0777871421340966E-2</v>
      </c>
      <c r="J13" s="197">
        <f t="shared" ref="J13:L13" ca="1" si="24">SUM(OFFSET(J10,1,0,ROW($A13)-ROW($A10)-1,1))</f>
        <v>2832293.333333333</v>
      </c>
      <c r="K13" s="198">
        <f t="shared" ca="1" si="24"/>
        <v>2955895.5393333337</v>
      </c>
      <c r="L13" s="198">
        <f t="shared" ca="1" si="24"/>
        <v>123602.20600000094</v>
      </c>
      <c r="M13" s="199">
        <f ca="1">IF(J13=0,IF(L13=0,0,-1),L13/ABS(J13))</f>
        <v>4.3640326566928435E-2</v>
      </c>
    </row>
    <row r="14" spans="1:13" s="58" customFormat="1" ht="16.149999999999999" customHeight="1" x14ac:dyDescent="0.2">
      <c r="A14" s="58" t="s">
        <v>201</v>
      </c>
      <c r="B14" s="202">
        <f t="shared" ref="B14:C14" ca="1" si="25">IF(B5=0,0,B11/B5)</f>
        <v>0.4</v>
      </c>
      <c r="C14" s="203">
        <f t="shared" ca="1" si="25"/>
        <v>0.40500000000000008</v>
      </c>
      <c r="D14" s="203">
        <f t="shared" ref="D14:D15" ca="1" si="26">C14-B14</f>
        <v>5.00000000000006E-3</v>
      </c>
      <c r="E14" s="204"/>
      <c r="F14" s="202">
        <f t="shared" ref="F14:G14" ca="1" si="27">IF(F5=0,0,F11/F5)</f>
        <v>0.39999999999999997</v>
      </c>
      <c r="G14" s="203">
        <f t="shared" ca="1" si="27"/>
        <v>0.4044325746911368</v>
      </c>
      <c r="H14" s="203">
        <f t="shared" ref="H14:H15" ca="1" si="28">G14-F14</f>
        <v>4.4325746911368369E-3</v>
      </c>
      <c r="I14" s="204"/>
      <c r="J14" s="202">
        <f t="shared" ref="J14:K14" ca="1" si="29">IF(J5=0,0,J11/J5)</f>
        <v>0.38572632649849098</v>
      </c>
      <c r="K14" s="203">
        <f t="shared" ca="1" si="29"/>
        <v>0.3871546554869798</v>
      </c>
      <c r="L14" s="203">
        <f t="shared" ref="L14:L15" ca="1" si="30">K14-J14</f>
        <v>1.4283289884888251E-3</v>
      </c>
      <c r="M14" s="204"/>
    </row>
    <row r="15" spans="1:13" s="58" customFormat="1" ht="16.149999999999999" customHeight="1" x14ac:dyDescent="0.2">
      <c r="A15" s="58" t="s">
        <v>203</v>
      </c>
      <c r="B15" s="205">
        <f t="shared" ref="B15:C15" ca="1" si="31">IF(B6=0,0,B12/B6)</f>
        <v>1</v>
      </c>
      <c r="C15" s="206">
        <f t="shared" ca="1" si="31"/>
        <v>1</v>
      </c>
      <c r="D15" s="206">
        <f t="shared" ca="1" si="26"/>
        <v>0</v>
      </c>
      <c r="E15" s="207"/>
      <c r="F15" s="205">
        <f t="shared" ref="F15:G15" ca="1" si="32">IF(F6=0,0,F12/F6)</f>
        <v>1</v>
      </c>
      <c r="G15" s="206">
        <f t="shared" ca="1" si="32"/>
        <v>1</v>
      </c>
      <c r="H15" s="206">
        <f t="shared" ca="1" si="28"/>
        <v>0</v>
      </c>
      <c r="I15" s="207"/>
      <c r="J15" s="205">
        <f t="shared" ref="J15:K15" ca="1" si="33">IF(J6=0,0,J12/J6)</f>
        <v>1</v>
      </c>
      <c r="K15" s="206">
        <f t="shared" ca="1" si="33"/>
        <v>1</v>
      </c>
      <c r="L15" s="206">
        <f t="shared" ca="1" si="30"/>
        <v>0</v>
      </c>
      <c r="M15" s="207"/>
    </row>
    <row r="16" spans="1:13" s="208" customFormat="1" ht="16.149999999999999" customHeight="1" thickBot="1" x14ac:dyDescent="0.25">
      <c r="A16" s="208" t="s">
        <v>2</v>
      </c>
      <c r="B16" s="209">
        <f ca="1">IF(B7=0,0,B13/B7)</f>
        <v>0.58620689655172409</v>
      </c>
      <c r="C16" s="210">
        <f t="shared" ref="C16" ca="1" si="34">IF(C7=0,0,C13/C7)</f>
        <v>0.57461830388924795</v>
      </c>
      <c r="D16" s="211">
        <f ca="1">C16-B16</f>
        <v>-1.1588592662476138E-2</v>
      </c>
      <c r="E16" s="212"/>
      <c r="F16" s="209">
        <f t="shared" ref="F16:G16" ca="1" si="35">IF(F7=0,0,F13/F7)</f>
        <v>0.57777877957941648</v>
      </c>
      <c r="G16" s="210">
        <f t="shared" ca="1" si="35"/>
        <v>0.57592309674789888</v>
      </c>
      <c r="H16" s="211">
        <f ca="1">G16-F16</f>
        <v>-1.8556828315176022E-3</v>
      </c>
      <c r="I16" s="212"/>
      <c r="J16" s="209">
        <f t="shared" ref="J16:K16" ca="1" si="36">IF(J7=0,0,J13/J7)</f>
        <v>0.56797746871012911</v>
      </c>
      <c r="K16" s="210">
        <f t="shared" ca="1" si="36"/>
        <v>0.56817918411504265</v>
      </c>
      <c r="L16" s="211">
        <f ca="1">K16-J16</f>
        <v>2.0171540491353834E-4</v>
      </c>
      <c r="M16" s="212"/>
    </row>
    <row r="17" spans="1:13" ht="16.149999999999999" customHeight="1" x14ac:dyDescent="0.25">
      <c r="A17" s="201" t="s">
        <v>279</v>
      </c>
      <c r="B17" s="193">
        <f ca="1">IF($L$2=0,0,OFFSET(Forecast!$B17,0,$L$2,1,1))</f>
        <v>500</v>
      </c>
      <c r="C17" s="194">
        <f ca="1">IF($L$2=0,0,OFFSET(Actual!$B17,0,$L$2,1,1))</f>
        <v>500</v>
      </c>
      <c r="D17" s="174">
        <f ca="1">B17-C17</f>
        <v>0</v>
      </c>
      <c r="E17" s="195">
        <f t="shared" ref="E17" ca="1" si="37">IF(B17=0,IF(D17=0,0,-1),D17/ABS(B17))</f>
        <v>0</v>
      </c>
      <c r="F17" s="193">
        <f ca="1">IF($L$2=0,0,SUM(OFFSET(Forecast!$B17,0,$L$2,1,-$L$2+$H$2)))</f>
        <v>1500</v>
      </c>
      <c r="G17" s="194">
        <f ca="1">IF($L$2=0,0,SUM(OFFSET(Actual!$B17,0,$L$2,1,-$L$2+$H$2)))</f>
        <v>1500</v>
      </c>
      <c r="H17" s="174">
        <f ca="1">F17-G17</f>
        <v>0</v>
      </c>
      <c r="I17" s="195">
        <f t="shared" ref="I17" ca="1" si="38">IF(F17=0,IF(H17=0,0,-1),H17/ABS(F17))</f>
        <v>0</v>
      </c>
      <c r="J17" s="193">
        <f ca="1">IF($L$2=0,0,SUM(OFFSET(Forecast!$B17,0,$L$2,1,-$L$2)))</f>
        <v>6000</v>
      </c>
      <c r="K17" s="194">
        <f ca="1">IF($L$2=0,0,SUM(OFFSET(Actual!$B17,0,$L$2,1,-$L$2)))</f>
        <v>6000</v>
      </c>
      <c r="L17" s="174">
        <f ca="1">J17-K17</f>
        <v>0</v>
      </c>
      <c r="M17" s="195">
        <f t="shared" ref="M17" ca="1" si="39">IF(J17=0,IF(L17=0,0,-1),L17/ABS(J17))</f>
        <v>0</v>
      </c>
    </row>
    <row r="18" spans="1:13" s="200" customFormat="1" ht="16.149999999999999" customHeight="1" x14ac:dyDescent="0.2">
      <c r="A18" s="167" t="s">
        <v>121</v>
      </c>
      <c r="B18" s="213"/>
      <c r="C18" s="214"/>
      <c r="D18" s="215"/>
      <c r="E18" s="216"/>
      <c r="F18" s="213"/>
      <c r="G18" s="214"/>
      <c r="H18" s="215"/>
      <c r="I18" s="216"/>
      <c r="J18" s="213"/>
      <c r="K18" s="214"/>
      <c r="L18" s="215"/>
      <c r="M18" s="216"/>
    </row>
    <row r="19" spans="1:13" ht="16.149999999999999" customHeight="1" x14ac:dyDescent="0.25">
      <c r="A19" s="201" t="s">
        <v>3</v>
      </c>
      <c r="B19" s="193">
        <f ca="1">IF($L$2=0,0,OFFSET(Forecast!$B19,0,$L$2,1,1))</f>
        <v>2000</v>
      </c>
      <c r="C19" s="194">
        <f ca="1">IF($L$2=0,0,OFFSET(Actual!$B19,0,$L$2,1,1))</f>
        <v>2120</v>
      </c>
      <c r="D19" s="174">
        <f ca="1">B19-C19</f>
        <v>-120</v>
      </c>
      <c r="E19" s="195">
        <f t="shared" ref="E19:E41" ca="1" si="40">IF(B19=0,IF(D19=0,0,-1),D19/ABS(B19))</f>
        <v>-0.06</v>
      </c>
      <c r="F19" s="193">
        <f ca="1">IF($L$2=0,0,SUM(OFFSET(Forecast!$B19,0,$L$2,1,-$L$2+$H$2)))</f>
        <v>6000</v>
      </c>
      <c r="G19" s="194">
        <f ca="1">IF($L$2=0,0,SUM(OFFSET(Actual!$B19,0,$L$2,1,-$L$2+$H$2)))</f>
        <v>6360</v>
      </c>
      <c r="H19" s="174">
        <f ca="1">F19-G19</f>
        <v>-360</v>
      </c>
      <c r="I19" s="195">
        <f t="shared" ref="I19:I41" ca="1" si="41">IF(F19=0,IF(H19=0,0,-1),H19/ABS(F19))</f>
        <v>-0.06</v>
      </c>
      <c r="J19" s="193">
        <f ca="1">IF($L$2=0,0,SUM(OFFSET(Forecast!$B19,0,$L$2,1,-$L$2)))</f>
        <v>24000</v>
      </c>
      <c r="K19" s="194">
        <f ca="1">IF($L$2=0,0,SUM(OFFSET(Actual!$B19,0,$L$2,1,-$L$2)))</f>
        <v>25200</v>
      </c>
      <c r="L19" s="174">
        <f ca="1">J19-K19</f>
        <v>-1200</v>
      </c>
      <c r="M19" s="195">
        <f t="shared" ref="M19:M41" ca="1" si="42">IF(J19=0,IF(L19=0,0,-1),L19/ABS(J19))</f>
        <v>-0.05</v>
      </c>
    </row>
    <row r="20" spans="1:13" ht="16.149999999999999" customHeight="1" x14ac:dyDescent="0.25">
      <c r="A20" s="201" t="s">
        <v>15</v>
      </c>
      <c r="B20" s="193">
        <f ca="1">IF($L$2=0,0,OFFSET(Forecast!$B20,0,$L$2,1,1))</f>
        <v>22000</v>
      </c>
      <c r="C20" s="194">
        <f ca="1">IF($L$2=0,0,OFFSET(Actual!$B20,0,$L$2,1,1))</f>
        <v>18300</v>
      </c>
      <c r="D20" s="174">
        <f t="shared" ref="D20:D40" ca="1" si="43">B20-C20</f>
        <v>3700</v>
      </c>
      <c r="E20" s="195">
        <f t="shared" ref="E20:E40" ca="1" si="44">IF(B20=0,IF(D20=0,0,-1),D20/ABS(B20))</f>
        <v>0.16818181818181818</v>
      </c>
      <c r="F20" s="193">
        <f ca="1">IF($L$2=0,0,SUM(OFFSET(Forecast!$B20,0,$L$2,1,-$L$2+$H$2)))</f>
        <v>35000</v>
      </c>
      <c r="G20" s="194">
        <f ca="1">IF($L$2=0,0,SUM(OFFSET(Actual!$B20,0,$L$2,1,-$L$2+$H$2)))</f>
        <v>31450</v>
      </c>
      <c r="H20" s="174">
        <f t="shared" ref="H20:H40" ca="1" si="45">F20-G20</f>
        <v>3550</v>
      </c>
      <c r="I20" s="195">
        <f t="shared" ref="I20:I40" ca="1" si="46">IF(F20=0,IF(H20=0,0,-1),H20/ABS(F20))</f>
        <v>0.10142857142857142</v>
      </c>
      <c r="J20" s="193">
        <f ca="1">IF($L$2=0,0,SUM(OFFSET(Forecast!$B20,0,$L$2,1,-$L$2)))</f>
        <v>126000</v>
      </c>
      <c r="K20" s="194">
        <f ca="1">IF($L$2=0,0,SUM(OFFSET(Actual!$B20,0,$L$2,1,-$L$2)))</f>
        <v>132550</v>
      </c>
      <c r="L20" s="174">
        <f t="shared" ref="L20:L40" ca="1" si="47">J20-K20</f>
        <v>-6550</v>
      </c>
      <c r="M20" s="195">
        <f t="shared" ref="M20:M40" ca="1" si="48">IF(J20=0,IF(L20=0,0,-1),L20/ABS(J20))</f>
        <v>-5.1984126984126987E-2</v>
      </c>
    </row>
    <row r="21" spans="1:13" ht="16.149999999999999" customHeight="1" x14ac:dyDescent="0.25">
      <c r="A21" s="201" t="s">
        <v>4</v>
      </c>
      <c r="B21" s="193">
        <f ca="1">IF($L$2=0,0,OFFSET(Forecast!$B21,0,$L$2,1,1))</f>
        <v>500</v>
      </c>
      <c r="C21" s="194">
        <f ca="1">IF($L$2=0,0,OFFSET(Actual!$B21,0,$L$2,1,1))</f>
        <v>480</v>
      </c>
      <c r="D21" s="174">
        <f t="shared" ca="1" si="43"/>
        <v>20</v>
      </c>
      <c r="E21" s="195">
        <f t="shared" ca="1" si="44"/>
        <v>0.04</v>
      </c>
      <c r="F21" s="193">
        <f ca="1">IF($L$2=0,0,SUM(OFFSET(Forecast!$B21,0,$L$2,1,-$L$2+$H$2)))</f>
        <v>1500</v>
      </c>
      <c r="G21" s="194">
        <f ca="1">IF($L$2=0,0,SUM(OFFSET(Actual!$B21,0,$L$2,1,-$L$2+$H$2)))</f>
        <v>1440</v>
      </c>
      <c r="H21" s="174">
        <f t="shared" ca="1" si="45"/>
        <v>60</v>
      </c>
      <c r="I21" s="195">
        <f t="shared" ca="1" si="46"/>
        <v>0.04</v>
      </c>
      <c r="J21" s="193">
        <f ca="1">IF($L$2=0,0,SUM(OFFSET(Forecast!$B21,0,$L$2,1,-$L$2)))</f>
        <v>5250</v>
      </c>
      <c r="K21" s="194">
        <f ca="1">IF($L$2=0,0,SUM(OFFSET(Actual!$B21,0,$L$2,1,-$L$2)))</f>
        <v>5040</v>
      </c>
      <c r="L21" s="174">
        <f t="shared" ca="1" si="47"/>
        <v>210</v>
      </c>
      <c r="M21" s="195">
        <f t="shared" ca="1" si="48"/>
        <v>0.04</v>
      </c>
    </row>
    <row r="22" spans="1:13" ht="16.149999999999999" customHeight="1" x14ac:dyDescent="0.25">
      <c r="A22" s="201" t="s">
        <v>16</v>
      </c>
      <c r="B22" s="193">
        <f ca="1">IF($L$2=0,0,OFFSET(Forecast!$B22,0,$L$2,1,1))</f>
        <v>0</v>
      </c>
      <c r="C22" s="194">
        <f ca="1">IF($L$2=0,0,OFFSET(Actual!$B22,0,$L$2,1,1))</f>
        <v>0</v>
      </c>
      <c r="D22" s="174">
        <f t="shared" ca="1" si="43"/>
        <v>0</v>
      </c>
      <c r="E22" s="195">
        <f t="shared" ca="1" si="44"/>
        <v>0</v>
      </c>
      <c r="F22" s="193">
        <f ca="1">IF($L$2=0,0,SUM(OFFSET(Forecast!$B22,0,$L$2,1,-$L$2+$H$2)))</f>
        <v>2870</v>
      </c>
      <c r="G22" s="194">
        <f ca="1">IF($L$2=0,0,SUM(OFFSET(Actual!$B22,0,$L$2,1,-$L$2+$H$2)))</f>
        <v>2910</v>
      </c>
      <c r="H22" s="174">
        <f t="shared" ca="1" si="45"/>
        <v>-40</v>
      </c>
      <c r="I22" s="195">
        <f t="shared" ca="1" si="46"/>
        <v>-1.3937282229965157E-2</v>
      </c>
      <c r="J22" s="193">
        <f ca="1">IF($L$2=0,0,SUM(OFFSET(Forecast!$B22,0,$L$2,1,-$L$2)))</f>
        <v>11025</v>
      </c>
      <c r="K22" s="194">
        <f ca="1">IF($L$2=0,0,SUM(OFFSET(Actual!$B22,0,$L$2,1,-$L$2)))</f>
        <v>10380</v>
      </c>
      <c r="L22" s="174">
        <f t="shared" ca="1" si="47"/>
        <v>645</v>
      </c>
      <c r="M22" s="195">
        <f t="shared" ca="1" si="48"/>
        <v>5.8503401360544216E-2</v>
      </c>
    </row>
    <row r="23" spans="1:13" ht="16.149999999999999" customHeight="1" x14ac:dyDescent="0.25">
      <c r="A23" s="201" t="s">
        <v>5</v>
      </c>
      <c r="B23" s="193">
        <f ca="1">IF($L$2=0,0,OFFSET(Forecast!$B23,0,$L$2,1,1))</f>
        <v>0</v>
      </c>
      <c r="C23" s="194">
        <f ca="1">IF($L$2=0,0,OFFSET(Actual!$B23,0,$L$2,1,1))</f>
        <v>0</v>
      </c>
      <c r="D23" s="174">
        <f t="shared" ca="1" si="43"/>
        <v>0</v>
      </c>
      <c r="E23" s="195">
        <f t="shared" ca="1" si="44"/>
        <v>0</v>
      </c>
      <c r="F23" s="193">
        <f ca="1">IF($L$2=0,0,SUM(OFFSET(Forecast!$B23,0,$L$2,1,-$L$2+$H$2)))</f>
        <v>4200</v>
      </c>
      <c r="G23" s="194">
        <f ca="1">IF($L$2=0,0,SUM(OFFSET(Actual!$B23,0,$L$2,1,-$L$2+$H$2)))</f>
        <v>3500</v>
      </c>
      <c r="H23" s="174">
        <f t="shared" ca="1" si="45"/>
        <v>700</v>
      </c>
      <c r="I23" s="195">
        <f t="shared" ca="1" si="46"/>
        <v>0.16666666666666666</v>
      </c>
      <c r="J23" s="193">
        <f ca="1">IF($L$2=0,0,SUM(OFFSET(Forecast!$B23,0,$L$2,1,-$L$2)))</f>
        <v>10139</v>
      </c>
      <c r="K23" s="194">
        <f ca="1">IF($L$2=0,0,SUM(OFFSET(Actual!$B23,0,$L$2,1,-$L$2)))</f>
        <v>8500</v>
      </c>
      <c r="L23" s="174">
        <f t="shared" ca="1" si="47"/>
        <v>1639</v>
      </c>
      <c r="M23" s="195">
        <f t="shared" ca="1" si="48"/>
        <v>0.16165302298057008</v>
      </c>
    </row>
    <row r="24" spans="1:13" ht="16.149999999999999" customHeight="1" x14ac:dyDescent="0.25">
      <c r="A24" s="201" t="s">
        <v>22</v>
      </c>
      <c r="B24" s="193">
        <f ca="1">IF($L$2=0,0,OFFSET(Forecast!$B24,0,$L$2,1,1))</f>
        <v>987</v>
      </c>
      <c r="C24" s="194">
        <f ca="1">IF($L$2=0,0,OFFSET(Actual!$B24,0,$L$2,1,1))</f>
        <v>900</v>
      </c>
      <c r="D24" s="174">
        <f t="shared" ca="1" si="43"/>
        <v>87</v>
      </c>
      <c r="E24" s="195">
        <f t="shared" ca="1" si="44"/>
        <v>8.8145896656534953E-2</v>
      </c>
      <c r="F24" s="193">
        <f ca="1">IF($L$2=0,0,SUM(OFFSET(Forecast!$B24,0,$L$2,1,-$L$2+$H$2)))</f>
        <v>4543</v>
      </c>
      <c r="G24" s="194">
        <f ca="1">IF($L$2=0,0,SUM(OFFSET(Actual!$B24,0,$L$2,1,-$L$2+$H$2)))</f>
        <v>1720</v>
      </c>
      <c r="H24" s="174">
        <f t="shared" ca="1" si="45"/>
        <v>2823</v>
      </c>
      <c r="I24" s="195">
        <f t="shared" ca="1" si="46"/>
        <v>0.62139555359894338</v>
      </c>
      <c r="J24" s="193">
        <f ca="1">IF($L$2=0,0,SUM(OFFSET(Forecast!$B24,0,$L$2,1,-$L$2)))</f>
        <v>7883</v>
      </c>
      <c r="K24" s="194">
        <f ca="1">IF($L$2=0,0,SUM(OFFSET(Actual!$B24,0,$L$2,1,-$L$2)))</f>
        <v>4290</v>
      </c>
      <c r="L24" s="174">
        <f t="shared" ca="1" si="47"/>
        <v>3593</v>
      </c>
      <c r="M24" s="195">
        <f t="shared" ca="1" si="48"/>
        <v>0.45579094253456803</v>
      </c>
    </row>
    <row r="25" spans="1:13" ht="16.149999999999999" customHeight="1" x14ac:dyDescent="0.25">
      <c r="A25" s="201" t="s">
        <v>7</v>
      </c>
      <c r="B25" s="193">
        <f ca="1">IF($L$2=0,0,OFFSET(Forecast!$B25,0,$L$2,1,1))</f>
        <v>1000</v>
      </c>
      <c r="C25" s="194">
        <f ca="1">IF($L$2=0,0,OFFSET(Actual!$B25,0,$L$2,1,1))</f>
        <v>1150</v>
      </c>
      <c r="D25" s="174">
        <f t="shared" ca="1" si="43"/>
        <v>-150</v>
      </c>
      <c r="E25" s="195">
        <f t="shared" ca="1" si="44"/>
        <v>-0.15</v>
      </c>
      <c r="F25" s="193">
        <f ca="1">IF($L$2=0,0,SUM(OFFSET(Forecast!$B25,0,$L$2,1,-$L$2+$H$2)))</f>
        <v>3000</v>
      </c>
      <c r="G25" s="194">
        <f ca="1">IF($L$2=0,0,SUM(OFFSET(Actual!$B25,0,$L$2,1,-$L$2+$H$2)))</f>
        <v>3450</v>
      </c>
      <c r="H25" s="174">
        <f t="shared" ca="1" si="45"/>
        <v>-450</v>
      </c>
      <c r="I25" s="195">
        <f t="shared" ca="1" si="46"/>
        <v>-0.15</v>
      </c>
      <c r="J25" s="193">
        <f ca="1">IF($L$2=0,0,SUM(OFFSET(Forecast!$B25,0,$L$2,1,-$L$2)))</f>
        <v>12000</v>
      </c>
      <c r="K25" s="194">
        <f ca="1">IF($L$2=0,0,SUM(OFFSET(Actual!$B25,0,$L$2,1,-$L$2)))</f>
        <v>13800</v>
      </c>
      <c r="L25" s="174">
        <f t="shared" ca="1" si="47"/>
        <v>-1800</v>
      </c>
      <c r="M25" s="195">
        <f t="shared" ca="1" si="48"/>
        <v>-0.15</v>
      </c>
    </row>
    <row r="26" spans="1:13" ht="16.149999999999999" customHeight="1" x14ac:dyDescent="0.25">
      <c r="A26" s="201" t="s">
        <v>8</v>
      </c>
      <c r="B26" s="193">
        <f ca="1">IF($L$2=0,0,OFFSET(Forecast!$B26,0,$L$2,1,1))</f>
        <v>0</v>
      </c>
      <c r="C26" s="194">
        <f ca="1">IF($L$2=0,0,OFFSET(Actual!$B26,0,$L$2,1,1))</f>
        <v>0</v>
      </c>
      <c r="D26" s="174">
        <f t="shared" ca="1" si="43"/>
        <v>0</v>
      </c>
      <c r="E26" s="195">
        <f t="shared" ca="1" si="44"/>
        <v>0</v>
      </c>
      <c r="F26" s="193">
        <f ca="1">IF($L$2=0,0,SUM(OFFSET(Forecast!$B26,0,$L$2,1,-$L$2+$H$2)))</f>
        <v>22000</v>
      </c>
      <c r="G26" s="194">
        <f ca="1">IF($L$2=0,0,SUM(OFFSET(Actual!$B26,0,$L$2,1,-$L$2+$H$2)))</f>
        <v>18540</v>
      </c>
      <c r="H26" s="174">
        <f t="shared" ca="1" si="45"/>
        <v>3460</v>
      </c>
      <c r="I26" s="195">
        <f t="shared" ca="1" si="46"/>
        <v>0.15727272727272729</v>
      </c>
      <c r="J26" s="193">
        <f ca="1">IF($L$2=0,0,SUM(OFFSET(Forecast!$B26,0,$L$2,1,-$L$2)))</f>
        <v>34000</v>
      </c>
      <c r="K26" s="194">
        <f ca="1">IF($L$2=0,0,SUM(OFFSET(Actual!$B26,0,$L$2,1,-$L$2)))</f>
        <v>32340</v>
      </c>
      <c r="L26" s="174">
        <f t="shared" ca="1" si="47"/>
        <v>1660</v>
      </c>
      <c r="M26" s="195">
        <f t="shared" ca="1" si="48"/>
        <v>4.8823529411764703E-2</v>
      </c>
    </row>
    <row r="27" spans="1:13" ht="16.149999999999999" customHeight="1" x14ac:dyDescent="0.25">
      <c r="A27" s="201" t="s">
        <v>20</v>
      </c>
      <c r="B27" s="193">
        <f ca="1">IF($L$2=0,0,OFFSET(Forecast!$B27,0,$L$2,1,1))</f>
        <v>0</v>
      </c>
      <c r="C27" s="194">
        <f ca="1">IF($L$2=0,0,OFFSET(Actual!$B27,0,$L$2,1,1))</f>
        <v>0</v>
      </c>
      <c r="D27" s="174">
        <f t="shared" ca="1" si="43"/>
        <v>0</v>
      </c>
      <c r="E27" s="195">
        <f t="shared" ca="1" si="44"/>
        <v>0</v>
      </c>
      <c r="F27" s="193">
        <f ca="1">IF($L$2=0,0,SUM(OFFSET(Forecast!$B27,0,$L$2,1,-$L$2+$H$2)))</f>
        <v>0</v>
      </c>
      <c r="G27" s="194">
        <f ca="1">IF($L$2=0,0,SUM(OFFSET(Actual!$B27,0,$L$2,1,-$L$2+$H$2)))</f>
        <v>0</v>
      </c>
      <c r="H27" s="174">
        <f t="shared" ca="1" si="45"/>
        <v>0</v>
      </c>
      <c r="I27" s="195">
        <f t="shared" ca="1" si="46"/>
        <v>0</v>
      </c>
      <c r="J27" s="193">
        <f ca="1">IF($L$2=0,0,SUM(OFFSET(Forecast!$B27,0,$L$2,1,-$L$2)))</f>
        <v>18000</v>
      </c>
      <c r="K27" s="194">
        <f ca="1">IF($L$2=0,0,SUM(OFFSET(Actual!$B27,0,$L$2,1,-$L$2)))</f>
        <v>17200</v>
      </c>
      <c r="L27" s="174">
        <f t="shared" ca="1" si="47"/>
        <v>800</v>
      </c>
      <c r="M27" s="195">
        <f t="shared" ca="1" si="48"/>
        <v>4.4444444444444446E-2</v>
      </c>
    </row>
    <row r="28" spans="1:13" ht="16.149999999999999" customHeight="1" x14ac:dyDescent="0.25">
      <c r="A28" s="201" t="s">
        <v>9</v>
      </c>
      <c r="B28" s="193">
        <f ca="1">IF($L$2=0,0,OFFSET(Forecast!$B28,0,$L$2,1,1))</f>
        <v>0</v>
      </c>
      <c r="C28" s="194">
        <f ca="1">IF($L$2=0,0,OFFSET(Actual!$B28,0,$L$2,1,1))</f>
        <v>0</v>
      </c>
      <c r="D28" s="174">
        <f t="shared" ca="1" si="43"/>
        <v>0</v>
      </c>
      <c r="E28" s="195">
        <f t="shared" ca="1" si="44"/>
        <v>0</v>
      </c>
      <c r="F28" s="193">
        <f ca="1">IF($L$2=0,0,SUM(OFFSET(Forecast!$B28,0,$L$2,1,-$L$2+$H$2)))</f>
        <v>6000</v>
      </c>
      <c r="G28" s="194">
        <f ca="1">IF($L$2=0,0,SUM(OFFSET(Actual!$B28,0,$L$2,1,-$L$2+$H$2)))</f>
        <v>6600</v>
      </c>
      <c r="H28" s="174">
        <f t="shared" ca="1" si="45"/>
        <v>-600</v>
      </c>
      <c r="I28" s="195">
        <f t="shared" ca="1" si="46"/>
        <v>-0.1</v>
      </c>
      <c r="J28" s="193">
        <f ca="1">IF($L$2=0,0,SUM(OFFSET(Forecast!$B28,0,$L$2,1,-$L$2)))</f>
        <v>24000</v>
      </c>
      <c r="K28" s="194">
        <f ca="1">IF($L$2=0,0,SUM(OFFSET(Actual!$B28,0,$L$2,1,-$L$2)))</f>
        <v>25200</v>
      </c>
      <c r="L28" s="174">
        <f t="shared" ca="1" si="47"/>
        <v>-1200</v>
      </c>
      <c r="M28" s="195">
        <f t="shared" ca="1" si="48"/>
        <v>-0.05</v>
      </c>
    </row>
    <row r="29" spans="1:13" ht="16.149999999999999" customHeight="1" x14ac:dyDescent="0.25">
      <c r="A29" s="201" t="s">
        <v>23</v>
      </c>
      <c r="B29" s="193">
        <f ca="1">IF($L$2=0,0,OFFSET(Forecast!$B29,0,$L$2,1,1))</f>
        <v>0</v>
      </c>
      <c r="C29" s="194">
        <f ca="1">IF($L$2=0,0,OFFSET(Actual!$B29,0,$L$2,1,1))</f>
        <v>0</v>
      </c>
      <c r="D29" s="174">
        <f t="shared" ca="1" si="43"/>
        <v>0</v>
      </c>
      <c r="E29" s="195">
        <f t="shared" ca="1" si="44"/>
        <v>0</v>
      </c>
      <c r="F29" s="193">
        <f ca="1">IF($L$2=0,0,SUM(OFFSET(Forecast!$B29,0,$L$2,1,-$L$2+$H$2)))</f>
        <v>14000</v>
      </c>
      <c r="G29" s="194">
        <f ca="1">IF($L$2=0,0,SUM(OFFSET(Actual!$B29,0,$L$2,1,-$L$2+$H$2)))</f>
        <v>0</v>
      </c>
      <c r="H29" s="174">
        <f t="shared" ca="1" si="45"/>
        <v>14000</v>
      </c>
      <c r="I29" s="195">
        <f t="shared" ca="1" si="46"/>
        <v>1</v>
      </c>
      <c r="J29" s="193">
        <f ca="1">IF($L$2=0,0,SUM(OFFSET(Forecast!$B29,0,$L$2,1,-$L$2)))</f>
        <v>48340</v>
      </c>
      <c r="K29" s="194">
        <f ca="1">IF($L$2=0,0,SUM(OFFSET(Actual!$B29,0,$L$2,1,-$L$2)))</f>
        <v>22920</v>
      </c>
      <c r="L29" s="174">
        <f t="shared" ca="1" si="47"/>
        <v>25420</v>
      </c>
      <c r="M29" s="195">
        <f t="shared" ca="1" si="48"/>
        <v>0.5258585022755482</v>
      </c>
    </row>
    <row r="30" spans="1:13" ht="16.149999999999999" customHeight="1" x14ac:dyDescent="0.25">
      <c r="A30" s="201" t="s">
        <v>19</v>
      </c>
      <c r="B30" s="193">
        <f ca="1">IF($L$2=0,0,OFFSET(Forecast!$B30,0,$L$2,1,1))</f>
        <v>0</v>
      </c>
      <c r="C30" s="194">
        <f ca="1">IF($L$2=0,0,OFFSET(Actual!$B30,0,$L$2,1,1))</f>
        <v>0</v>
      </c>
      <c r="D30" s="174">
        <f t="shared" ca="1" si="43"/>
        <v>0</v>
      </c>
      <c r="E30" s="195">
        <f t="shared" ca="1" si="44"/>
        <v>0</v>
      </c>
      <c r="F30" s="193">
        <f ca="1">IF($L$2=0,0,SUM(OFFSET(Forecast!$B30,0,$L$2,1,-$L$2+$H$2)))</f>
        <v>3200</v>
      </c>
      <c r="G30" s="194">
        <f ca="1">IF($L$2=0,0,SUM(OFFSET(Actual!$B30,0,$L$2,1,-$L$2+$H$2)))</f>
        <v>4000</v>
      </c>
      <c r="H30" s="174">
        <f t="shared" ca="1" si="45"/>
        <v>-800</v>
      </c>
      <c r="I30" s="195">
        <f t="shared" ca="1" si="46"/>
        <v>-0.25</v>
      </c>
      <c r="J30" s="193">
        <f ca="1">IF($L$2=0,0,SUM(OFFSET(Forecast!$B30,0,$L$2,1,-$L$2)))</f>
        <v>14000</v>
      </c>
      <c r="K30" s="194">
        <f ca="1">IF($L$2=0,0,SUM(OFFSET(Actual!$B30,0,$L$2,1,-$L$2)))</f>
        <v>17520</v>
      </c>
      <c r="L30" s="174">
        <f t="shared" ca="1" si="47"/>
        <v>-3520</v>
      </c>
      <c r="M30" s="195">
        <f t="shared" ca="1" si="48"/>
        <v>-0.25142857142857145</v>
      </c>
    </row>
    <row r="31" spans="1:13" ht="16.149999999999999" customHeight="1" x14ac:dyDescent="0.25">
      <c r="A31" s="201" t="s">
        <v>18</v>
      </c>
      <c r="B31" s="193">
        <f ca="1">IF($L$2=0,0,OFFSET(Forecast!$B31,0,$L$2,1,1))</f>
        <v>100</v>
      </c>
      <c r="C31" s="194">
        <f ca="1">IF($L$2=0,0,OFFSET(Actual!$B31,0,$L$2,1,1))</f>
        <v>125</v>
      </c>
      <c r="D31" s="174">
        <f t="shared" ca="1" si="43"/>
        <v>-25</v>
      </c>
      <c r="E31" s="195">
        <f t="shared" ca="1" si="44"/>
        <v>-0.25</v>
      </c>
      <c r="F31" s="193">
        <f ca="1">IF($L$2=0,0,SUM(OFFSET(Forecast!$B31,0,$L$2,1,-$L$2+$H$2)))</f>
        <v>300</v>
      </c>
      <c r="G31" s="194">
        <f ca="1">IF($L$2=0,0,SUM(OFFSET(Actual!$B31,0,$L$2,1,-$L$2+$H$2)))</f>
        <v>375</v>
      </c>
      <c r="H31" s="174">
        <f t="shared" ca="1" si="45"/>
        <v>-75</v>
      </c>
      <c r="I31" s="195">
        <f t="shared" ca="1" si="46"/>
        <v>-0.25</v>
      </c>
      <c r="J31" s="193">
        <f ca="1">IF($L$2=0,0,SUM(OFFSET(Forecast!$B31,0,$L$2,1,-$L$2)))</f>
        <v>1200</v>
      </c>
      <c r="K31" s="194">
        <f ca="1">IF($L$2=0,0,SUM(OFFSET(Actual!$B31,0,$L$2,1,-$L$2)))</f>
        <v>1500</v>
      </c>
      <c r="L31" s="174">
        <f t="shared" ca="1" si="47"/>
        <v>-300</v>
      </c>
      <c r="M31" s="195">
        <f t="shared" ca="1" si="48"/>
        <v>-0.25</v>
      </c>
    </row>
    <row r="32" spans="1:13" ht="16.149999999999999" customHeight="1" x14ac:dyDescent="0.25">
      <c r="A32" s="201" t="s">
        <v>10</v>
      </c>
      <c r="B32" s="193">
        <f ca="1">IF($L$2=0,0,OFFSET(Forecast!$B32,0,$L$2,1,1))</f>
        <v>300</v>
      </c>
      <c r="C32" s="194">
        <f ca="1">IF($L$2=0,0,OFFSET(Actual!$B32,0,$L$2,1,1))</f>
        <v>184</v>
      </c>
      <c r="D32" s="174">
        <f t="shared" ca="1" si="43"/>
        <v>116</v>
      </c>
      <c r="E32" s="195">
        <f t="shared" ca="1" si="44"/>
        <v>0.38666666666666666</v>
      </c>
      <c r="F32" s="193">
        <f ca="1">IF($L$2=0,0,SUM(OFFSET(Forecast!$B32,0,$L$2,1,-$L$2+$H$2)))</f>
        <v>900</v>
      </c>
      <c r="G32" s="194">
        <f ca="1">IF($L$2=0,0,SUM(OFFSET(Actual!$B32,0,$L$2,1,-$L$2+$H$2)))</f>
        <v>552</v>
      </c>
      <c r="H32" s="174">
        <f t="shared" ca="1" si="45"/>
        <v>348</v>
      </c>
      <c r="I32" s="195">
        <f t="shared" ca="1" si="46"/>
        <v>0.38666666666666666</v>
      </c>
      <c r="J32" s="193">
        <f ca="1">IF($L$2=0,0,SUM(OFFSET(Forecast!$B32,0,$L$2,1,-$L$2)))</f>
        <v>3600</v>
      </c>
      <c r="K32" s="194">
        <f ca="1">IF($L$2=0,0,SUM(OFFSET(Actual!$B32,0,$L$2,1,-$L$2)))</f>
        <v>2208</v>
      </c>
      <c r="L32" s="174">
        <f t="shared" ca="1" si="47"/>
        <v>1392</v>
      </c>
      <c r="M32" s="195">
        <f t="shared" ca="1" si="48"/>
        <v>0.38666666666666666</v>
      </c>
    </row>
    <row r="33" spans="1:13" ht="16.149999999999999" customHeight="1" x14ac:dyDescent="0.25">
      <c r="A33" s="201" t="s">
        <v>17</v>
      </c>
      <c r="B33" s="193">
        <f ca="1">IF($L$2=0,0,OFFSET(Forecast!$B33,0,$L$2,1,1))</f>
        <v>0</v>
      </c>
      <c r="C33" s="194">
        <f ca="1">IF($L$2=0,0,OFFSET(Actual!$B33,0,$L$2,1,1))</f>
        <v>0</v>
      </c>
      <c r="D33" s="174">
        <f t="shared" ca="1" si="43"/>
        <v>0</v>
      </c>
      <c r="E33" s="195">
        <f t="shared" ca="1" si="44"/>
        <v>0</v>
      </c>
      <c r="F33" s="193">
        <f ca="1">IF($L$2=0,0,SUM(OFFSET(Forecast!$B33,0,$L$2,1,-$L$2+$H$2)))</f>
        <v>5000</v>
      </c>
      <c r="G33" s="194">
        <f ca="1">IF($L$2=0,0,SUM(OFFSET(Actual!$B33,0,$L$2,1,-$L$2+$H$2)))</f>
        <v>4853</v>
      </c>
      <c r="H33" s="174">
        <f t="shared" ca="1" si="45"/>
        <v>147</v>
      </c>
      <c r="I33" s="195">
        <f t="shared" ca="1" si="46"/>
        <v>2.9399999999999999E-2</v>
      </c>
      <c r="J33" s="193">
        <f ca="1">IF($L$2=0,0,SUM(OFFSET(Forecast!$B33,0,$L$2,1,-$L$2)))</f>
        <v>20900</v>
      </c>
      <c r="K33" s="194">
        <f ca="1">IF($L$2=0,0,SUM(OFFSET(Actual!$B33,0,$L$2,1,-$L$2)))</f>
        <v>23953</v>
      </c>
      <c r="L33" s="174">
        <f t="shared" ca="1" si="47"/>
        <v>-3053</v>
      </c>
      <c r="M33" s="195">
        <f t="shared" ca="1" si="48"/>
        <v>-0.14607655502392344</v>
      </c>
    </row>
    <row r="34" spans="1:13" ht="16.149999999999999" customHeight="1" x14ac:dyDescent="0.25">
      <c r="A34" s="201" t="s">
        <v>11</v>
      </c>
      <c r="B34" s="193">
        <f ca="1">IF($L$2=0,0,OFFSET(Forecast!$B34,0,$L$2,1,1))</f>
        <v>0</v>
      </c>
      <c r="C34" s="194">
        <f ca="1">IF($L$2=0,0,OFFSET(Actual!$B34,0,$L$2,1,1))</f>
        <v>0</v>
      </c>
      <c r="D34" s="174">
        <f t="shared" ca="1" si="43"/>
        <v>0</v>
      </c>
      <c r="E34" s="195">
        <f t="shared" ca="1" si="44"/>
        <v>0</v>
      </c>
      <c r="F34" s="193">
        <f ca="1">IF($L$2=0,0,SUM(OFFSET(Forecast!$B34,0,$L$2,1,-$L$2+$H$2)))</f>
        <v>60000</v>
      </c>
      <c r="G34" s="194">
        <f ca="1">IF($L$2=0,0,SUM(OFFSET(Actual!$B34,0,$L$2,1,-$L$2+$H$2)))</f>
        <v>64500</v>
      </c>
      <c r="H34" s="174">
        <f t="shared" ca="1" si="45"/>
        <v>-4500</v>
      </c>
      <c r="I34" s="195">
        <f t="shared" ca="1" si="46"/>
        <v>-7.4999999999999997E-2</v>
      </c>
      <c r="J34" s="193">
        <f ca="1">IF($L$2=0,0,SUM(OFFSET(Forecast!$B34,0,$L$2,1,-$L$2)))</f>
        <v>240000</v>
      </c>
      <c r="K34" s="194">
        <f ca="1">IF($L$2=0,0,SUM(OFFSET(Actual!$B34,0,$L$2,1,-$L$2)))</f>
        <v>247500</v>
      </c>
      <c r="L34" s="174">
        <f t="shared" ca="1" si="47"/>
        <v>-7500</v>
      </c>
      <c r="M34" s="195">
        <f t="shared" ca="1" si="48"/>
        <v>-3.125E-2</v>
      </c>
    </row>
    <row r="35" spans="1:13" ht="16.149999999999999" customHeight="1" x14ac:dyDescent="0.25">
      <c r="A35" s="201" t="s">
        <v>21</v>
      </c>
      <c r="B35" s="193">
        <f ca="1">IF($L$2=0,0,OFFSET(Forecast!$B35,0,$L$2,1,1))</f>
        <v>0</v>
      </c>
      <c r="C35" s="194">
        <f ca="1">IF($L$2=0,0,OFFSET(Actual!$B35,0,$L$2,1,1))</f>
        <v>0</v>
      </c>
      <c r="D35" s="174">
        <f t="shared" ca="1" si="43"/>
        <v>0</v>
      </c>
      <c r="E35" s="195">
        <f t="shared" ca="1" si="44"/>
        <v>0</v>
      </c>
      <c r="F35" s="193">
        <f ca="1">IF($L$2=0,0,SUM(OFFSET(Forecast!$B35,0,$L$2,1,-$L$2+$H$2)))</f>
        <v>3100</v>
      </c>
      <c r="G35" s="194">
        <f ca="1">IF($L$2=0,0,SUM(OFFSET(Actual!$B35,0,$L$2,1,-$L$2+$H$2)))</f>
        <v>3100</v>
      </c>
      <c r="H35" s="174">
        <f t="shared" ca="1" si="45"/>
        <v>0</v>
      </c>
      <c r="I35" s="195">
        <f t="shared" ca="1" si="46"/>
        <v>0</v>
      </c>
      <c r="J35" s="193">
        <f ca="1">IF($L$2=0,0,SUM(OFFSET(Forecast!$B35,0,$L$2,1,-$L$2)))</f>
        <v>11400</v>
      </c>
      <c r="K35" s="194">
        <f ca="1">IF($L$2=0,0,SUM(OFFSET(Actual!$B35,0,$L$2,1,-$L$2)))</f>
        <v>11400</v>
      </c>
      <c r="L35" s="174">
        <f t="shared" ca="1" si="47"/>
        <v>0</v>
      </c>
      <c r="M35" s="195">
        <f t="shared" ca="1" si="48"/>
        <v>0</v>
      </c>
    </row>
    <row r="36" spans="1:13" ht="16.149999999999999" customHeight="1" x14ac:dyDescent="0.25">
      <c r="A36" s="201" t="s">
        <v>12</v>
      </c>
      <c r="B36" s="193">
        <f ca="1">IF($L$2=0,0,OFFSET(Forecast!$B36,0,$L$2,1,1))</f>
        <v>325</v>
      </c>
      <c r="C36" s="194">
        <f ca="1">IF($L$2=0,0,OFFSET(Actual!$B36,0,$L$2,1,1))</f>
        <v>325</v>
      </c>
      <c r="D36" s="174">
        <f t="shared" ca="1" si="43"/>
        <v>0</v>
      </c>
      <c r="E36" s="195">
        <f t="shared" ca="1" si="44"/>
        <v>0</v>
      </c>
      <c r="F36" s="193">
        <f ca="1">IF($L$2=0,0,SUM(OFFSET(Forecast!$B36,0,$L$2,1,-$L$2+$H$2)))</f>
        <v>975</v>
      </c>
      <c r="G36" s="194">
        <f ca="1">IF($L$2=0,0,SUM(OFFSET(Actual!$B36,0,$L$2,1,-$L$2+$H$2)))</f>
        <v>975</v>
      </c>
      <c r="H36" s="174">
        <f t="shared" ca="1" si="45"/>
        <v>0</v>
      </c>
      <c r="I36" s="195">
        <f t="shared" ca="1" si="46"/>
        <v>0</v>
      </c>
      <c r="J36" s="193">
        <f ca="1">IF($L$2=0,0,SUM(OFFSET(Forecast!$B36,0,$L$2,1,-$L$2)))</f>
        <v>3900</v>
      </c>
      <c r="K36" s="194">
        <f ca="1">IF($L$2=0,0,SUM(OFFSET(Actual!$B36,0,$L$2,1,-$L$2)))</f>
        <v>3900</v>
      </c>
      <c r="L36" s="174">
        <f t="shared" ca="1" si="47"/>
        <v>0</v>
      </c>
      <c r="M36" s="195">
        <f t="shared" ca="1" si="48"/>
        <v>0</v>
      </c>
    </row>
    <row r="37" spans="1:13" ht="16.149999999999999" customHeight="1" x14ac:dyDescent="0.25">
      <c r="A37" s="201" t="s">
        <v>13</v>
      </c>
      <c r="B37" s="193">
        <f ca="1">IF($L$2=0,0,OFFSET(Forecast!$B37,0,$L$2,1,1))</f>
        <v>0</v>
      </c>
      <c r="C37" s="194">
        <f ca="1">IF($L$2=0,0,OFFSET(Actual!$B37,0,$L$2,1,1))</f>
        <v>0</v>
      </c>
      <c r="D37" s="174">
        <f t="shared" ca="1" si="43"/>
        <v>0</v>
      </c>
      <c r="E37" s="195">
        <f t="shared" ca="1" si="44"/>
        <v>0</v>
      </c>
      <c r="F37" s="193">
        <f ca="1">IF($L$2=0,0,SUM(OFFSET(Forecast!$B37,0,$L$2,1,-$L$2+$H$2)))</f>
        <v>0</v>
      </c>
      <c r="G37" s="194">
        <f ca="1">IF($L$2=0,0,SUM(OFFSET(Actual!$B37,0,$L$2,1,-$L$2+$H$2)))</f>
        <v>0</v>
      </c>
      <c r="H37" s="174">
        <f t="shared" ca="1" si="45"/>
        <v>0</v>
      </c>
      <c r="I37" s="195">
        <f t="shared" ca="1" si="46"/>
        <v>0</v>
      </c>
      <c r="J37" s="193">
        <f ca="1">IF($L$2=0,0,SUM(OFFSET(Forecast!$B37,0,$L$2,1,-$L$2)))</f>
        <v>3200</v>
      </c>
      <c r="K37" s="194">
        <f ca="1">IF($L$2=0,0,SUM(OFFSET(Actual!$B37,0,$L$2,1,-$L$2)))</f>
        <v>3280</v>
      </c>
      <c r="L37" s="174">
        <f t="shared" ca="1" si="47"/>
        <v>-80</v>
      </c>
      <c r="M37" s="195">
        <f t="shared" ca="1" si="48"/>
        <v>-2.5000000000000001E-2</v>
      </c>
    </row>
    <row r="38" spans="1:13" s="217" customFormat="1" ht="16.149999999999999" customHeight="1" x14ac:dyDescent="0.25">
      <c r="A38" s="201" t="s">
        <v>14</v>
      </c>
      <c r="B38" s="193">
        <f ca="1">IF($L$2=0,0,OFFSET(Forecast!$B38,0,$L$2,1,1))</f>
        <v>2510</v>
      </c>
      <c r="C38" s="194">
        <f ca="1">IF($L$2=0,0,OFFSET(Actual!$B38,0,$L$2,1,1))</f>
        <v>2745</v>
      </c>
      <c r="D38" s="194">
        <f t="shared" ca="1" si="43"/>
        <v>-235</v>
      </c>
      <c r="E38" s="195">
        <f t="shared" ca="1" si="44"/>
        <v>-9.3625498007968128E-2</v>
      </c>
      <c r="F38" s="193">
        <f ca="1">IF($L$2=0,0,SUM(OFFSET(Forecast!$B38,0,$L$2,1,-$L$2+$H$2)))</f>
        <v>7530</v>
      </c>
      <c r="G38" s="194">
        <f ca="1">IF($L$2=0,0,SUM(OFFSET(Actual!$B38,0,$L$2,1,-$L$2+$H$2)))</f>
        <v>8235</v>
      </c>
      <c r="H38" s="194">
        <f t="shared" ca="1" si="45"/>
        <v>-705</v>
      </c>
      <c r="I38" s="195">
        <f t="shared" ca="1" si="46"/>
        <v>-9.3625498007968128E-2</v>
      </c>
      <c r="J38" s="193">
        <f ca="1">IF($L$2=0,0,SUM(OFFSET(Forecast!$B38,0,$L$2,1,-$L$2)))</f>
        <v>30120</v>
      </c>
      <c r="K38" s="194">
        <f ca="1">IF($L$2=0,0,SUM(OFFSET(Actual!$B38,0,$L$2,1,-$L$2)))</f>
        <v>32940</v>
      </c>
      <c r="L38" s="194">
        <f t="shared" ca="1" si="47"/>
        <v>-2820</v>
      </c>
      <c r="M38" s="195">
        <f t="shared" ca="1" si="48"/>
        <v>-9.3625498007968128E-2</v>
      </c>
    </row>
    <row r="39" spans="1:13" ht="16.149999999999999" customHeight="1" x14ac:dyDescent="0.25">
      <c r="A39" s="201" t="s">
        <v>24</v>
      </c>
      <c r="B39" s="193">
        <f ca="1">IF($L$2=0,0,OFFSET(Forecast!$B39,0,$L$2,1,1))</f>
        <v>0</v>
      </c>
      <c r="C39" s="194">
        <f ca="1">IF($L$2=0,0,OFFSET(Actual!$B39,0,$L$2,1,1))</f>
        <v>0</v>
      </c>
      <c r="D39" s="194">
        <f t="shared" ca="1" si="43"/>
        <v>0</v>
      </c>
      <c r="E39" s="195">
        <f t="shared" ca="1" si="44"/>
        <v>0</v>
      </c>
      <c r="F39" s="193">
        <f ca="1">IF($L$2=0,0,SUM(OFFSET(Forecast!$B39,0,$L$2,1,-$L$2+$H$2)))</f>
        <v>4000</v>
      </c>
      <c r="G39" s="194">
        <f ca="1">IF($L$2=0,0,SUM(OFFSET(Actual!$B39,0,$L$2,1,-$L$2+$H$2)))</f>
        <v>3350</v>
      </c>
      <c r="H39" s="194">
        <f t="shared" ca="1" si="45"/>
        <v>650</v>
      </c>
      <c r="I39" s="195">
        <f t="shared" ca="1" si="46"/>
        <v>0.16250000000000001</v>
      </c>
      <c r="J39" s="193">
        <f ca="1">IF($L$2=0,0,SUM(OFFSET(Forecast!$B39,0,$L$2,1,-$L$2)))</f>
        <v>16000</v>
      </c>
      <c r="K39" s="194">
        <f ca="1">IF($L$2=0,0,SUM(OFFSET(Actual!$B39,0,$L$2,1,-$L$2)))</f>
        <v>17190</v>
      </c>
      <c r="L39" s="194">
        <f t="shared" ca="1" si="47"/>
        <v>-1190</v>
      </c>
      <c r="M39" s="195">
        <f t="shared" ca="1" si="48"/>
        <v>-7.4374999999999997E-2</v>
      </c>
    </row>
    <row r="40" spans="1:13" ht="16.149999999999999" customHeight="1" x14ac:dyDescent="0.25">
      <c r="A40" s="201" t="s">
        <v>6</v>
      </c>
      <c r="B40" s="193">
        <f ca="1">IF($L$2=0,0,OFFSET(Forecast!$B40,0,$L$2,1,1))</f>
        <v>0</v>
      </c>
      <c r="C40" s="194">
        <f ca="1">IF($L$2=0,0,OFFSET(Actual!$B40,0,$L$2,1,1))</f>
        <v>0</v>
      </c>
      <c r="D40" s="174">
        <f t="shared" ca="1" si="43"/>
        <v>0</v>
      </c>
      <c r="E40" s="195">
        <f t="shared" ca="1" si="44"/>
        <v>0</v>
      </c>
      <c r="F40" s="193">
        <f ca="1">IF($L$2=0,0,SUM(OFFSET(Forecast!$B40,0,$L$2,1,-$L$2+$H$2)))</f>
        <v>0</v>
      </c>
      <c r="G40" s="194">
        <f ca="1">IF($L$2=0,0,SUM(OFFSET(Actual!$B40,0,$L$2,1,-$L$2+$H$2)))</f>
        <v>0</v>
      </c>
      <c r="H40" s="174">
        <f t="shared" ca="1" si="45"/>
        <v>0</v>
      </c>
      <c r="I40" s="195">
        <f t="shared" ca="1" si="46"/>
        <v>0</v>
      </c>
      <c r="J40" s="193">
        <f ca="1">IF($L$2=0,0,SUM(OFFSET(Forecast!$B40,0,$L$2,1,-$L$2)))</f>
        <v>2500</v>
      </c>
      <c r="K40" s="194">
        <f ca="1">IF($L$2=0,0,SUM(OFFSET(Actual!$B40,0,$L$2,1,-$L$2)))</f>
        <v>4310</v>
      </c>
      <c r="L40" s="174">
        <f t="shared" ca="1" si="47"/>
        <v>-1810</v>
      </c>
      <c r="M40" s="195">
        <f t="shared" ca="1" si="48"/>
        <v>-0.72399999999999998</v>
      </c>
    </row>
    <row r="41" spans="1:13" s="200" customFormat="1" ht="16.149999999999999" customHeight="1" thickBot="1" x14ac:dyDescent="0.25">
      <c r="A41" s="167" t="s">
        <v>206</v>
      </c>
      <c r="B41" s="197">
        <f ca="1">SUM(OFFSET(B18,1,0,ROW($B$41)-ROW($B$18)-1,1))</f>
        <v>29722</v>
      </c>
      <c r="C41" s="198">
        <f t="shared" ref="C41:D41" ca="1" si="49">SUM(OFFSET(C18,1,0,ROW($B$41)-ROW($B$18)-1,1))</f>
        <v>26329</v>
      </c>
      <c r="D41" s="198">
        <f t="shared" ca="1" si="49"/>
        <v>3393</v>
      </c>
      <c r="E41" s="199">
        <f t="shared" ca="1" si="40"/>
        <v>0.11415786286252608</v>
      </c>
      <c r="F41" s="197">
        <f t="shared" ref="F41:H41" ca="1" si="50">SUM(OFFSET(F18,1,0,ROW($B$41)-ROW($B$18)-1,1))</f>
        <v>184118</v>
      </c>
      <c r="G41" s="198">
        <f t="shared" ca="1" si="50"/>
        <v>165910</v>
      </c>
      <c r="H41" s="198">
        <f t="shared" ca="1" si="50"/>
        <v>18208</v>
      </c>
      <c r="I41" s="199">
        <f t="shared" ca="1" si="41"/>
        <v>9.8893101163384345E-2</v>
      </c>
      <c r="J41" s="197">
        <f t="shared" ref="J41:L41" ca="1" si="51">SUM(OFFSET(J18,1,0,ROW($B$41)-ROW($B$18)-1,1))</f>
        <v>667457</v>
      </c>
      <c r="K41" s="198">
        <f t="shared" ca="1" si="51"/>
        <v>663121</v>
      </c>
      <c r="L41" s="198">
        <f t="shared" ca="1" si="51"/>
        <v>4336</v>
      </c>
      <c r="M41" s="199">
        <f t="shared" ca="1" si="42"/>
        <v>6.4962986379646925E-3</v>
      </c>
    </row>
    <row r="42" spans="1:13" s="200" customFormat="1" ht="16.149999999999999" customHeight="1" x14ac:dyDescent="0.2">
      <c r="A42" s="167" t="s">
        <v>122</v>
      </c>
      <c r="B42" s="213"/>
      <c r="C42" s="214"/>
      <c r="D42" s="214"/>
      <c r="E42" s="216"/>
      <c r="F42" s="213"/>
      <c r="G42" s="214"/>
      <c r="H42" s="214"/>
      <c r="I42" s="216"/>
      <c r="J42" s="213"/>
      <c r="K42" s="214"/>
      <c r="L42" s="214"/>
      <c r="M42" s="216"/>
    </row>
    <row r="43" spans="1:13" ht="16.149999999999999" customHeight="1" x14ac:dyDescent="0.25">
      <c r="A43" s="201" t="s">
        <v>207</v>
      </c>
      <c r="B43" s="193">
        <f ca="1">IF($L$2=0,0,OFFSET(Forecast!$B43,0,$L$2,1,1))</f>
        <v>70000</v>
      </c>
      <c r="C43" s="194">
        <f ca="1">IF($L$2=0,0,OFFSET(Actual!$B43,0,$L$2,1,1))</f>
        <v>75000</v>
      </c>
      <c r="D43" s="194">
        <f t="shared" ref="D43:D44" ca="1" si="52">B43-C43</f>
        <v>-5000</v>
      </c>
      <c r="E43" s="195">
        <f t="shared" ref="E43:E44" ca="1" si="53">IF(B43=0,IF(D43=0,0,-1),D43/ABS(B43))</f>
        <v>-7.1428571428571425E-2</v>
      </c>
      <c r="F43" s="193">
        <f ca="1">IF($L$2=0,0,SUM(OFFSET(Forecast!$B43,0,$L$2,1,-$L$2+$H$2)))</f>
        <v>215000</v>
      </c>
      <c r="G43" s="194">
        <f ca="1">IF($L$2=0,0,SUM(OFFSET(Actual!$B43,0,$L$2,1,-$L$2+$H$2)))</f>
        <v>225000</v>
      </c>
      <c r="H43" s="194">
        <f t="shared" ref="H43:H44" ca="1" si="54">F43-G43</f>
        <v>-10000</v>
      </c>
      <c r="I43" s="195">
        <f t="shared" ref="I43:I44" ca="1" si="55">IF(F43=0,IF(H43=0,0,-1),H43/ABS(F43))</f>
        <v>-4.6511627906976744E-2</v>
      </c>
      <c r="J43" s="193">
        <f ca="1">IF($L$2=0,0,SUM(OFFSET(Forecast!$B43,0,$L$2,1,-$L$2)))</f>
        <v>845000</v>
      </c>
      <c r="K43" s="194">
        <f ca="1">IF($L$2=0,0,SUM(OFFSET(Actual!$B43,0,$L$2,1,-$L$2)))</f>
        <v>870000</v>
      </c>
      <c r="L43" s="194">
        <f t="shared" ref="L43:L44" ca="1" si="56">J43-K43</f>
        <v>-25000</v>
      </c>
      <c r="M43" s="195">
        <f t="shared" ref="M43:M44" ca="1" si="57">IF(J43=0,IF(L43=0,0,-1),L43/ABS(J43))</f>
        <v>-2.9585798816568046E-2</v>
      </c>
    </row>
    <row r="44" spans="1:13" ht="16.149999999999999" customHeight="1" x14ac:dyDescent="0.25">
      <c r="A44" s="201" t="s">
        <v>208</v>
      </c>
      <c r="B44" s="193">
        <f ca="1">IF($L$2=0,0,OFFSET(Forecast!$B44,0,$L$2,1,1))</f>
        <v>6800</v>
      </c>
      <c r="C44" s="194">
        <f ca="1">IF($L$2=0,0,OFFSET(Actual!$B44,0,$L$2,1,1))</f>
        <v>6500</v>
      </c>
      <c r="D44" s="194">
        <f t="shared" ca="1" si="52"/>
        <v>300</v>
      </c>
      <c r="E44" s="195">
        <f t="shared" ca="1" si="53"/>
        <v>4.4117647058823532E-2</v>
      </c>
      <c r="F44" s="193">
        <f ca="1">IF($L$2=0,0,SUM(OFFSET(Forecast!$B44,0,$L$2,1,-$L$2+$H$2)))</f>
        <v>87800</v>
      </c>
      <c r="G44" s="194">
        <f ca="1">IF($L$2=0,0,SUM(OFFSET(Actual!$B44,0,$L$2,1,-$L$2+$H$2)))</f>
        <v>84500</v>
      </c>
      <c r="H44" s="194">
        <f t="shared" ca="1" si="54"/>
        <v>3300</v>
      </c>
      <c r="I44" s="195">
        <f t="shared" ca="1" si="55"/>
        <v>3.7585421412300681E-2</v>
      </c>
      <c r="J44" s="193">
        <f ca="1">IF($L$2=0,0,SUM(OFFSET(Forecast!$B44,0,$L$2,1,-$L$2)))</f>
        <v>320000</v>
      </c>
      <c r="K44" s="194">
        <f ca="1">IF($L$2=0,0,SUM(OFFSET(Actual!$B44,0,$L$2,1,-$L$2)))</f>
        <v>321200</v>
      </c>
      <c r="L44" s="194">
        <f t="shared" ca="1" si="56"/>
        <v>-1200</v>
      </c>
      <c r="M44" s="195">
        <f t="shared" ca="1" si="57"/>
        <v>-3.7499999999999999E-3</v>
      </c>
    </row>
    <row r="45" spans="1:13" s="200" customFormat="1" ht="16.149999999999999" customHeight="1" thickBot="1" x14ac:dyDescent="0.25">
      <c r="A45" s="167" t="s">
        <v>209</v>
      </c>
      <c r="B45" s="197">
        <f ca="1">SUM(OFFSET(B42,1,0,ROW($B45)-ROW($B42)-1,1))</f>
        <v>76800</v>
      </c>
      <c r="C45" s="198">
        <f t="shared" ref="C45:D45" ca="1" si="58">SUM(OFFSET(C42,1,0,ROW($B45)-ROW($B42)-1,1))</f>
        <v>81500</v>
      </c>
      <c r="D45" s="198">
        <f t="shared" ca="1" si="58"/>
        <v>-4700</v>
      </c>
      <c r="E45" s="199">
        <f t="shared" ref="E45" ca="1" si="59">IF(B45=0,IF(D45=0,0,-1),D45/ABS(B45))</f>
        <v>-6.1197916666666664E-2</v>
      </c>
      <c r="F45" s="197">
        <f t="shared" ref="F45:H45" ca="1" si="60">SUM(OFFSET(F42,1,0,ROW($B45)-ROW($B42)-1,1))</f>
        <v>302800</v>
      </c>
      <c r="G45" s="198">
        <f t="shared" ca="1" si="60"/>
        <v>309500</v>
      </c>
      <c r="H45" s="198">
        <f t="shared" ca="1" si="60"/>
        <v>-6700</v>
      </c>
      <c r="I45" s="199">
        <f t="shared" ref="I45" ca="1" si="61">IF(F45=0,IF(H45=0,0,-1),H45/ABS(F45))</f>
        <v>-2.2126816380449141E-2</v>
      </c>
      <c r="J45" s="197">
        <f t="shared" ref="J45:L45" ca="1" si="62">SUM(OFFSET(J42,1,0,ROW($B45)-ROW($B42)-1,1))</f>
        <v>1165000</v>
      </c>
      <c r="K45" s="198">
        <f t="shared" ca="1" si="62"/>
        <v>1191200</v>
      </c>
      <c r="L45" s="198">
        <f t="shared" ca="1" si="62"/>
        <v>-26200</v>
      </c>
      <c r="M45" s="199">
        <f t="shared" ref="M45" ca="1" si="63">IF(J45=0,IF(L45=0,0,-1),L45/ABS(J45))</f>
        <v>-2.2489270386266094E-2</v>
      </c>
    </row>
    <row r="46" spans="1:13" s="200" customFormat="1" ht="16.149999999999999" customHeight="1" x14ac:dyDescent="0.2">
      <c r="A46" s="167" t="s">
        <v>123</v>
      </c>
      <c r="B46" s="213"/>
      <c r="C46" s="214"/>
      <c r="D46" s="215"/>
      <c r="E46" s="216"/>
      <c r="F46" s="213"/>
      <c r="G46" s="214"/>
      <c r="H46" s="215"/>
      <c r="I46" s="216"/>
      <c r="J46" s="213"/>
      <c r="K46" s="214"/>
      <c r="L46" s="215"/>
      <c r="M46" s="216"/>
    </row>
    <row r="47" spans="1:13" s="223" customFormat="1" ht="16.149999999999999" customHeight="1" x14ac:dyDescent="0.25">
      <c r="A47" s="218" t="s">
        <v>57</v>
      </c>
      <c r="B47" s="219">
        <f ca="1">IF($L$2=0,0,OFFSET(Forecast!$B47,0,$L$2,1,1))</f>
        <v>19000</v>
      </c>
      <c r="C47" s="220">
        <f ca="1">IF($L$2=0,0,OFFSET(Actual!$B47,0,$L$2,1,1))</f>
        <v>20000</v>
      </c>
      <c r="D47" s="221">
        <f t="shared" ref="D47:D48" ca="1" si="64">B47-C47</f>
        <v>-1000</v>
      </c>
      <c r="E47" s="222">
        <f t="shared" ref="E47:E48" ca="1" si="65">IF(B47=0,IF(D47=0,0,-1),D47/ABS(B47))</f>
        <v>-5.2631578947368418E-2</v>
      </c>
      <c r="F47" s="219">
        <f ca="1">IF($L$2=0,0,SUM(OFFSET(Forecast!$B47,0,$L$2,1,-$L$2+$H$2)))</f>
        <v>53000</v>
      </c>
      <c r="G47" s="220">
        <f ca="1">IF($L$2=0,0,SUM(OFFSET(Actual!$B47,0,$L$2,1,-$L$2+$H$2)))</f>
        <v>50000</v>
      </c>
      <c r="H47" s="221">
        <f t="shared" ref="H47:H48" ca="1" si="66">F47-G47</f>
        <v>3000</v>
      </c>
      <c r="I47" s="222">
        <f t="shared" ref="I47:I48" ca="1" si="67">IF(F47=0,IF(H47=0,0,-1),H47/ABS(F47))</f>
        <v>5.6603773584905662E-2</v>
      </c>
      <c r="J47" s="219">
        <f ca="1">IF($L$2=0,0,SUM(OFFSET(Forecast!$B47,0,$L$2,1,-$L$2)))</f>
        <v>188000</v>
      </c>
      <c r="K47" s="220">
        <f ca="1">IF($L$2=0,0,SUM(OFFSET(Actual!$B47,0,$L$2,1,-$L$2)))</f>
        <v>185000</v>
      </c>
      <c r="L47" s="221">
        <f t="shared" ref="L47:L48" ca="1" si="68">J47-K47</f>
        <v>3000</v>
      </c>
      <c r="M47" s="222">
        <f t="shared" ref="M47:M48" ca="1" si="69">IF(J47=0,IF(L47=0,0,-1),L47/ABS(J47))</f>
        <v>1.5957446808510637E-2</v>
      </c>
    </row>
    <row r="48" spans="1:13" s="223" customFormat="1" ht="16.149999999999999" customHeight="1" x14ac:dyDescent="0.25">
      <c r="A48" s="218" t="s">
        <v>212</v>
      </c>
      <c r="B48" s="219">
        <f ca="1">IF($L$2=0,0,OFFSET(Forecast!$B48,0,$L$2,1,1))</f>
        <v>1000</v>
      </c>
      <c r="C48" s="220">
        <f ca="1">IF($L$2=0,0,OFFSET(Actual!$B48,0,$L$2,1,1))</f>
        <v>1000</v>
      </c>
      <c r="D48" s="221">
        <f t="shared" ca="1" si="64"/>
        <v>0</v>
      </c>
      <c r="E48" s="222">
        <f t="shared" ca="1" si="65"/>
        <v>0</v>
      </c>
      <c r="F48" s="219">
        <f ca="1">IF($L$2=0,0,SUM(OFFSET(Forecast!$B48,0,$L$2,1,-$L$2+$H$2)))</f>
        <v>3000</v>
      </c>
      <c r="G48" s="220">
        <f ca="1">IF($L$2=0,0,SUM(OFFSET(Actual!$B48,0,$L$2,1,-$L$2+$H$2)))</f>
        <v>3000</v>
      </c>
      <c r="H48" s="221">
        <f t="shared" ca="1" si="66"/>
        <v>0</v>
      </c>
      <c r="I48" s="222">
        <f t="shared" ca="1" si="67"/>
        <v>0</v>
      </c>
      <c r="J48" s="219">
        <f ca="1">IF($L$2=0,0,SUM(OFFSET(Forecast!$B48,0,$L$2,1,-$L$2)))</f>
        <v>12000</v>
      </c>
      <c r="K48" s="220">
        <f ca="1">IF($L$2=0,0,SUM(OFFSET(Actual!$B48,0,$L$2,1,-$L$2)))</f>
        <v>12000</v>
      </c>
      <c r="L48" s="221">
        <f t="shared" ca="1" si="68"/>
        <v>0</v>
      </c>
      <c r="M48" s="222">
        <f t="shared" ca="1" si="69"/>
        <v>0</v>
      </c>
    </row>
    <row r="49" spans="1:13" s="228" customFormat="1" ht="16.149999999999999" customHeight="1" thickBot="1" x14ac:dyDescent="0.25">
      <c r="A49" s="224" t="s">
        <v>213</v>
      </c>
      <c r="B49" s="225">
        <f ca="1">SUM(B47:B48)</f>
        <v>20000</v>
      </c>
      <c r="C49" s="226">
        <f t="shared" ref="C49:D49" ca="1" si="70">SUM(C47:C48)</f>
        <v>21000</v>
      </c>
      <c r="D49" s="226">
        <f t="shared" ca="1" si="70"/>
        <v>-1000</v>
      </c>
      <c r="E49" s="227">
        <f t="shared" ref="E49" ca="1" si="71">IF(B49=0,IF(D49=0,0,-1),D49/ABS(B49))</f>
        <v>-0.05</v>
      </c>
      <c r="F49" s="225">
        <f t="shared" ref="F49:H49" ca="1" si="72">SUM(F47:F48)</f>
        <v>56000</v>
      </c>
      <c r="G49" s="226">
        <f t="shared" ca="1" si="72"/>
        <v>53000</v>
      </c>
      <c r="H49" s="226">
        <f t="shared" ca="1" si="72"/>
        <v>3000</v>
      </c>
      <c r="I49" s="227">
        <f t="shared" ref="I49" ca="1" si="73">IF(F49=0,IF(H49=0,0,-1),H49/ABS(F49))</f>
        <v>5.3571428571428568E-2</v>
      </c>
      <c r="J49" s="225">
        <f t="shared" ref="J49:L49" ca="1" si="74">SUM(J47:J48)</f>
        <v>200000</v>
      </c>
      <c r="K49" s="226">
        <f t="shared" ca="1" si="74"/>
        <v>197000</v>
      </c>
      <c r="L49" s="226">
        <f t="shared" ca="1" si="74"/>
        <v>3000</v>
      </c>
      <c r="M49" s="227">
        <f t="shared" ref="M49" ca="1" si="75">IF(J49=0,IF(L49=0,0,-1),L49/ABS(J49))</f>
        <v>1.4999999999999999E-2</v>
      </c>
    </row>
    <row r="50" spans="1:13" s="200" customFormat="1" ht="16.149999999999999" customHeight="1" x14ac:dyDescent="0.2">
      <c r="A50" s="167" t="s">
        <v>54</v>
      </c>
      <c r="B50" s="213">
        <f ca="1">SUM(B13,B17,-B41,-B45,-B49)</f>
        <v>-60470</v>
      </c>
      <c r="C50" s="214">
        <f ca="1">SUM(C13,C17,-C41,-C45,-C49)</f>
        <v>-61174.599999999991</v>
      </c>
      <c r="D50" s="214">
        <f ca="1">SUM(D13,D17,D41,D45,D49)</f>
        <v>-704.59999999999127</v>
      </c>
      <c r="E50" s="216">
        <f ca="1">IF(B50=0,IF(D50=0,0,-1),D50/ABS(B50))</f>
        <v>-1.1652058872167873E-2</v>
      </c>
      <c r="F50" s="213">
        <f t="shared" ref="F50:G50" ca="1" si="76">SUM(F13,F17,-F41,-F45,-F49)</f>
        <v>156223.43333333335</v>
      </c>
      <c r="G50" s="214">
        <f t="shared" ca="1" si="76"/>
        <v>213132.59466666682</v>
      </c>
      <c r="H50" s="214">
        <f ca="1">SUM(H13,H17,H41,H45,H49)</f>
        <v>56909.161333333352</v>
      </c>
      <c r="I50" s="216">
        <f ca="1">IF(F50=0,IF(H50=0,0,-1),H50/ABS(F50))</f>
        <v>0.36428056994437247</v>
      </c>
      <c r="J50" s="213">
        <f t="shared" ref="J50:K50" ca="1" si="77">SUM(J13,J17,-J41,-J45,-J49)</f>
        <v>805836.33333333302</v>
      </c>
      <c r="K50" s="214">
        <f t="shared" ca="1" si="77"/>
        <v>910574.53933333373</v>
      </c>
      <c r="L50" s="214">
        <f ca="1">SUM(L13,L17,L41,L45,L49)</f>
        <v>104738.20600000094</v>
      </c>
      <c r="M50" s="216">
        <f ca="1">IF(J50=0,IF(L50=0,0,-1),L50/ABS(J50))</f>
        <v>0.12997453908134485</v>
      </c>
    </row>
    <row r="51" spans="1:13" s="200" customFormat="1" ht="16.149999999999999" customHeight="1" x14ac:dyDescent="0.2">
      <c r="A51" s="167" t="s">
        <v>215</v>
      </c>
      <c r="B51" s="213"/>
      <c r="C51" s="214"/>
      <c r="D51" s="215"/>
      <c r="E51" s="216"/>
      <c r="F51" s="213"/>
      <c r="G51" s="214"/>
      <c r="H51" s="215"/>
      <c r="I51" s="216"/>
      <c r="J51" s="213"/>
      <c r="K51" s="214"/>
      <c r="L51" s="215"/>
      <c r="M51" s="216"/>
    </row>
    <row r="52" spans="1:13" s="223" customFormat="1" ht="16.149999999999999" customHeight="1" x14ac:dyDescent="0.25">
      <c r="A52" s="218" t="s">
        <v>217</v>
      </c>
      <c r="B52" s="219">
        <f ca="1">IF($L$2=0,0,OFFSET(Forecast!$B52,0,$L$2,1,1))</f>
        <v>0</v>
      </c>
      <c r="C52" s="220">
        <f ca="1">IF($L$2=0,0,OFFSET(Actual!$B52,0,$L$2,1,1))</f>
        <v>0</v>
      </c>
      <c r="D52" s="221">
        <f t="shared" ref="D52:D55" ca="1" si="78">B52-C52</f>
        <v>0</v>
      </c>
      <c r="E52" s="222">
        <f t="shared" ref="E52:E55" ca="1" si="79">IF(B52=0,IF(D52=0,0,-1),D52/ABS(B52))</f>
        <v>0</v>
      </c>
      <c r="F52" s="219">
        <f ca="1">IF($L$2=0,0,SUM(OFFSET(Forecast!$B52,0,$L$2,1,-$L$2+$H$2)))</f>
        <v>29211.589880541775</v>
      </c>
      <c r="G52" s="220">
        <f ca="1">IF($L$2=0,0,SUM(OFFSET(Actual!$B52,0,$L$2,1,-$L$2+$H$2)))</f>
        <v>31414.455934447011</v>
      </c>
      <c r="H52" s="221">
        <f t="shared" ref="H52:H55" ca="1" si="80">F52-G52</f>
        <v>-2202.8660539052362</v>
      </c>
      <c r="I52" s="222">
        <f t="shared" ref="I52:I55" ca="1" si="81">IF(F52=0,IF(H52=0,0,-1),H52/ABS(F52))</f>
        <v>-7.5410686748433167E-2</v>
      </c>
      <c r="J52" s="219">
        <f ca="1">IF($L$2=0,0,SUM(OFFSET(Forecast!$B52,0,$L$2,1,-$L$2)))</f>
        <v>119650.02739925773</v>
      </c>
      <c r="K52" s="220">
        <f ca="1">IF($L$2=0,0,SUM(OFFSET(Actual!$B52,0,$L$2,1,-$L$2)))</f>
        <v>128549.98124632044</v>
      </c>
      <c r="L52" s="221">
        <f t="shared" ref="L52:L55" ca="1" si="82">J52-K52</f>
        <v>-8899.9538470627158</v>
      </c>
      <c r="M52" s="222">
        <f t="shared" ref="M52:M55" ca="1" si="83">IF(J52=0,IF(L52=0,0,-1),L52/ABS(J52))</f>
        <v>-7.4383216122171386E-2</v>
      </c>
    </row>
    <row r="53" spans="1:13" s="223" customFormat="1" ht="16.149999999999999" customHeight="1" x14ac:dyDescent="0.25">
      <c r="A53" s="218" t="s">
        <v>218</v>
      </c>
      <c r="B53" s="219">
        <f ca="1">IF($L$2=0,0,OFFSET(Forecast!$B53,0,$L$2,1,1))</f>
        <v>0</v>
      </c>
      <c r="C53" s="220">
        <f ca="1">IF($L$2=0,0,OFFSET(Actual!$B53,0,$L$2,1,1))</f>
        <v>0</v>
      </c>
      <c r="D53" s="221">
        <f t="shared" ca="1" si="78"/>
        <v>0</v>
      </c>
      <c r="E53" s="222">
        <f t="shared" ca="1" si="79"/>
        <v>0</v>
      </c>
      <c r="F53" s="219">
        <f ca="1">IF($L$2=0,0,SUM(OFFSET(Forecast!$B53,0,$L$2,1,-$L$2+$H$2)))</f>
        <v>13049.53647186984</v>
      </c>
      <c r="G53" s="220">
        <f ca="1">IF($L$2=0,0,SUM(OFFSET(Actual!$B53,0,$L$2,1,-$L$2+$H$2)))</f>
        <v>14024.854135299205</v>
      </c>
      <c r="H53" s="221">
        <f t="shared" ca="1" si="80"/>
        <v>-975.31766342936498</v>
      </c>
      <c r="I53" s="222">
        <f t="shared" ca="1" si="81"/>
        <v>-7.4739640410355038E-2</v>
      </c>
      <c r="J53" s="219">
        <f ca="1">IF($L$2=0,0,SUM(OFFSET(Forecast!$B53,0,$L$2,1,-$L$2)))</f>
        <v>45403.919919001208</v>
      </c>
      <c r="K53" s="220">
        <f ca="1">IF($L$2=0,0,SUM(OFFSET(Actual!$B53,0,$L$2,1,-$L$2)))</f>
        <v>53777.464362864754</v>
      </c>
      <c r="L53" s="221">
        <f t="shared" ca="1" si="82"/>
        <v>-8373.5444438635459</v>
      </c>
      <c r="M53" s="222">
        <f t="shared" ca="1" si="83"/>
        <v>-0.18442338147899162</v>
      </c>
    </row>
    <row r="54" spans="1:13" s="223" customFormat="1" ht="16.149999999999999" customHeight="1" x14ac:dyDescent="0.25">
      <c r="A54" s="218" t="s">
        <v>219</v>
      </c>
      <c r="B54" s="219">
        <f ca="1">IF($L$2=0,0,OFFSET(Forecast!$B54,0,$L$2,1,1))</f>
        <v>0</v>
      </c>
      <c r="C54" s="220">
        <f ca="1">IF($L$2=0,0,OFFSET(Actual!$B54,0,$L$2,1,1))</f>
        <v>0</v>
      </c>
      <c r="D54" s="221">
        <f t="shared" ca="1" si="78"/>
        <v>0</v>
      </c>
      <c r="E54" s="222">
        <f t="shared" ca="1" si="79"/>
        <v>0</v>
      </c>
      <c r="F54" s="219">
        <f ca="1">IF($L$2=0,0,SUM(OFFSET(Forecast!$B54,0,$L$2,1,-$L$2+$H$2)))</f>
        <v>2500</v>
      </c>
      <c r="G54" s="220">
        <f ca="1">IF($L$2=0,0,SUM(OFFSET(Actual!$B54,0,$L$2,1,-$L$2+$H$2)))</f>
        <v>2395.8333333333335</v>
      </c>
      <c r="H54" s="221">
        <f t="shared" ca="1" si="80"/>
        <v>104.16666666666652</v>
      </c>
      <c r="I54" s="222">
        <f t="shared" ca="1" si="81"/>
        <v>4.1666666666666609E-2</v>
      </c>
      <c r="J54" s="219">
        <f ca="1">IF($L$2=0,0,SUM(OFFSET(Forecast!$B54,0,$L$2,1,-$L$2)))</f>
        <v>2500</v>
      </c>
      <c r="K54" s="220">
        <f ca="1">IF($L$2=0,0,SUM(OFFSET(Actual!$B54,0,$L$2,1,-$L$2)))</f>
        <v>2395.8333333333335</v>
      </c>
      <c r="L54" s="221">
        <f t="shared" ca="1" si="82"/>
        <v>104.16666666666652</v>
      </c>
      <c r="M54" s="222">
        <f t="shared" ca="1" si="83"/>
        <v>4.1666666666666609E-2</v>
      </c>
    </row>
    <row r="55" spans="1:13" s="223" customFormat="1" ht="16.149999999999999" customHeight="1" x14ac:dyDescent="0.25">
      <c r="A55" s="218" t="s">
        <v>220</v>
      </c>
      <c r="B55" s="219">
        <f ca="1">IF($L$2=0,0,OFFSET(Forecast!$B55,0,$L$2,1,1))</f>
        <v>0</v>
      </c>
      <c r="C55" s="220">
        <f ca="1">IF($L$2=0,0,OFFSET(Actual!$B55,0,$L$2,1,1))</f>
        <v>0</v>
      </c>
      <c r="D55" s="221">
        <f t="shared" ca="1" si="78"/>
        <v>0</v>
      </c>
      <c r="E55" s="222">
        <f t="shared" ca="1" si="79"/>
        <v>0</v>
      </c>
      <c r="F55" s="219">
        <f ca="1">IF($L$2=0,0,SUM(OFFSET(Forecast!$B55,0,$L$2,1,-$L$2+$H$2)))</f>
        <v>10112.026444268125</v>
      </c>
      <c r="G55" s="220">
        <f ca="1">IF($L$2=0,0,SUM(OFFSET(Actual!$B55,0,$L$2,1,-$L$2+$H$2)))</f>
        <v>9655.1043041562898</v>
      </c>
      <c r="H55" s="221">
        <f t="shared" ca="1" si="80"/>
        <v>456.92214011183569</v>
      </c>
      <c r="I55" s="222">
        <f t="shared" ca="1" si="81"/>
        <v>4.5186011194703335E-2</v>
      </c>
      <c r="J55" s="219">
        <f ca="1">IF($L$2=0,0,SUM(OFFSET(Forecast!$B55,0,$L$2,1,-$L$2)))</f>
        <v>44293.229202650764</v>
      </c>
      <c r="K55" s="220">
        <f ca="1">IF($L$2=0,0,SUM(OFFSET(Actual!$B55,0,$L$2,1,-$L$2)))</f>
        <v>42327.66736485318</v>
      </c>
      <c r="L55" s="221">
        <f t="shared" ca="1" si="82"/>
        <v>1965.5618377975843</v>
      </c>
      <c r="M55" s="222">
        <f t="shared" ca="1" si="83"/>
        <v>4.4376124143144513E-2</v>
      </c>
    </row>
    <row r="56" spans="1:13" s="228" customFormat="1" ht="16.149999999999999" customHeight="1" thickBot="1" x14ac:dyDescent="0.25">
      <c r="A56" s="224" t="s">
        <v>221</v>
      </c>
      <c r="B56" s="225">
        <f ca="1">SUM(B52:B55)</f>
        <v>0</v>
      </c>
      <c r="C56" s="226">
        <f t="shared" ref="C56:D56" ca="1" si="84">SUM(C52:C55)</f>
        <v>0</v>
      </c>
      <c r="D56" s="226">
        <f t="shared" ca="1" si="84"/>
        <v>0</v>
      </c>
      <c r="E56" s="227">
        <f t="shared" ref="E56" ca="1" si="85">IF(B56=0,IF(D56=0,0,-1),D56/ABS(B56))</f>
        <v>0</v>
      </c>
      <c r="F56" s="225">
        <f t="shared" ref="F56:H56" ca="1" si="86">SUM(F52:F55)</f>
        <v>54873.152796679744</v>
      </c>
      <c r="G56" s="226">
        <f t="shared" ca="1" si="86"/>
        <v>57490.247707235838</v>
      </c>
      <c r="H56" s="226">
        <f t="shared" ca="1" si="86"/>
        <v>-2617.094910556099</v>
      </c>
      <c r="I56" s="227">
        <f t="shared" ref="I56" ca="1" si="87">IF(F56=0,IF(H56=0,0,-1),H56/ABS(F56))</f>
        <v>-4.7693540049596965E-2</v>
      </c>
      <c r="J56" s="225">
        <f t="shared" ref="J56:L56" ca="1" si="88">SUM(J52:J55)</f>
        <v>211847.17652090971</v>
      </c>
      <c r="K56" s="226">
        <f t="shared" ca="1" si="88"/>
        <v>227050.94630737172</v>
      </c>
      <c r="L56" s="226">
        <f t="shared" ca="1" si="88"/>
        <v>-15203.76978646201</v>
      </c>
      <c r="M56" s="227">
        <f t="shared" ref="M56" ca="1" si="89">IF(J56=0,IF(L56=0,0,-1),L56/ABS(J56))</f>
        <v>-7.1767630025323326E-2</v>
      </c>
    </row>
    <row r="57" spans="1:13" s="228" customFormat="1" ht="16.149999999999999" customHeight="1" x14ac:dyDescent="0.2">
      <c r="A57" s="224" t="s">
        <v>222</v>
      </c>
      <c r="B57" s="229">
        <f ca="1">SUM(B50,-B56)</f>
        <v>-60470</v>
      </c>
      <c r="C57" s="230">
        <f ca="1">SUM(C50,-C56)</f>
        <v>-61174.599999999991</v>
      </c>
      <c r="D57" s="231">
        <f ca="1">SUM(D50,D56)</f>
        <v>-704.59999999999127</v>
      </c>
      <c r="E57" s="232">
        <f ca="1">IF(B57=0,IF(D57=0,0,-1),D57/ABS(B57))</f>
        <v>-1.1652058872167873E-2</v>
      </c>
      <c r="F57" s="229">
        <f ca="1">SUM(F50,-F56)</f>
        <v>101350.2805366536</v>
      </c>
      <c r="G57" s="230">
        <f ca="1">SUM(G50,-G56)</f>
        <v>155642.34695943099</v>
      </c>
      <c r="H57" s="231">
        <f ca="1">SUM(H50,H56)</f>
        <v>54292.06642277725</v>
      </c>
      <c r="I57" s="232">
        <f ca="1">IF(F57=0,IF(H57=0,0,-1),H57/ABS(F57))</f>
        <v>0.53568738177436392</v>
      </c>
      <c r="J57" s="229">
        <f ca="1">SUM(J50,-J56)</f>
        <v>593989.15681242337</v>
      </c>
      <c r="K57" s="230">
        <f ca="1">SUM(K50,-K56)</f>
        <v>683523.59302596201</v>
      </c>
      <c r="L57" s="231">
        <f ca="1">SUM(L50,L56)</f>
        <v>89534.436213538924</v>
      </c>
      <c r="M57" s="232">
        <f ca="1">IF(J57=0,IF(L57=0,0,-1),L57/ABS(J57))</f>
        <v>0.15073412567666303</v>
      </c>
    </row>
    <row r="58" spans="1:13" s="234" customFormat="1" ht="16.149999999999999" customHeight="1" x14ac:dyDescent="0.25">
      <c r="A58" s="233" t="s">
        <v>37</v>
      </c>
      <c r="B58" s="219">
        <f ca="1">IF($L$2=0,0,OFFSET(Forecast!$B58,0,$L$2,1,1))</f>
        <v>-16931.599999999977</v>
      </c>
      <c r="C58" s="220">
        <f ca="1">IF($L$2=0,0,OFFSET(Actual!$B58,0,$L$2,1,1))</f>
        <v>-17268.887999999999</v>
      </c>
      <c r="D58" s="221">
        <f ca="1">B58-C58</f>
        <v>337.28800000002229</v>
      </c>
      <c r="E58" s="195">
        <f ca="1">IF(B58=0,IF(D58=0,0,-1),D58/ABS(B58))</f>
        <v>1.9920621795933211E-2</v>
      </c>
      <c r="F58" s="219">
        <f ca="1">IF($L$2=0,0,SUM(OFFSET(Forecast!$B58,0,$L$2,1,-$L$2+$H$2)))</f>
        <v>28378.078550262988</v>
      </c>
      <c r="G58" s="220">
        <f ca="1">IF($L$2=0,0,SUM(OFFSET(Actual!$B58,0,$L$2,1,-$L$2+$H$2)))</f>
        <v>43159.857148640658</v>
      </c>
      <c r="H58" s="221">
        <f ca="1">F58-G58</f>
        <v>-14781.77859837767</v>
      </c>
      <c r="I58" s="195">
        <f ca="1">IF(F58=0,IF(H58=0,0,-1),H58/ABS(F58))</f>
        <v>-0.52088722540521271</v>
      </c>
      <c r="J58" s="219">
        <f ca="1">IF($L$2=0,0,SUM(OFFSET(Forecast!$B58,0,$L$2,1,-$L$2)))</f>
        <v>166316.96390747864</v>
      </c>
      <c r="K58" s="220">
        <f ca="1">IF($L$2=0,0,SUM(OFFSET(Actual!$B58,0,$L$2,1,-$L$2)))</f>
        <v>189706.60604726931</v>
      </c>
      <c r="L58" s="221">
        <f ca="1">J58-K58</f>
        <v>-23389.642139790667</v>
      </c>
      <c r="M58" s="195">
        <f ca="1">IF(J58=0,IF(L58=0,0,-1),L58/ABS(J58))</f>
        <v>-0.14063293118314868</v>
      </c>
    </row>
    <row r="59" spans="1:13" s="200" customFormat="1" ht="16.149999999999999" customHeight="1" x14ac:dyDescent="0.2">
      <c r="A59" s="167" t="s">
        <v>55</v>
      </c>
      <c r="B59" s="213">
        <f ca="1">SUM(B57,-B58)</f>
        <v>-43538.400000000023</v>
      </c>
      <c r="C59" s="214">
        <f t="shared" ref="C59" ca="1" si="90">SUM(C57,-C58)</f>
        <v>-43905.711999999992</v>
      </c>
      <c r="D59" s="215">
        <f ca="1">SUM(D57,D58)</f>
        <v>-367.31199999996898</v>
      </c>
      <c r="E59" s="216">
        <f ca="1">IF(B59=0,IF(D59=0,0,-1),D59/ABS(B59))</f>
        <v>-8.436506624036914E-3</v>
      </c>
      <c r="F59" s="213">
        <f t="shared" ref="F59:G59" ca="1" si="91">SUM(F57,-F58)</f>
        <v>72972.201986390617</v>
      </c>
      <c r="G59" s="214">
        <f t="shared" ca="1" si="91"/>
        <v>112482.48981079033</v>
      </c>
      <c r="H59" s="215">
        <f ca="1">SUM(H57,H58)</f>
        <v>39510.28782439958</v>
      </c>
      <c r="I59" s="216">
        <f ca="1">IF(F59=0,IF(H59=0,0,-1),H59/ABS(F59))</f>
        <v>0.54144299814014496</v>
      </c>
      <c r="J59" s="213">
        <f t="shared" ref="J59:K59" ca="1" si="92">SUM(J57,-J58)</f>
        <v>427672.19290494476</v>
      </c>
      <c r="K59" s="214">
        <f t="shared" ca="1" si="92"/>
        <v>493816.9869786927</v>
      </c>
      <c r="L59" s="215">
        <f ca="1">SUM(L57,L58)</f>
        <v>66144.794073748257</v>
      </c>
      <c r="M59" s="216">
        <f ca="1">IF(J59=0,IF(L59=0,0,-1),L59/ABS(J59))</f>
        <v>0.15466236797969637</v>
      </c>
    </row>
    <row r="60" spans="1:13" ht="16.149999999999999" customHeight="1" x14ac:dyDescent="0.25">
      <c r="A60" s="201" t="s">
        <v>274</v>
      </c>
      <c r="B60" s="219">
        <f ca="1">IF($L$2=0,0,OFFSET(Forecast!$B60,0,$L$2,1,1))</f>
        <v>0</v>
      </c>
      <c r="C60" s="220">
        <f ca="1">IF($L$2=0,0,OFFSET(Actual!$B60,0,$L$2,1,1))</f>
        <v>0</v>
      </c>
      <c r="D60" s="221">
        <f ca="1">B60-C60</f>
        <v>0</v>
      </c>
      <c r="E60" s="195">
        <f ca="1">IF(B60=0,IF(D60=0,0,-1),D60/ABS(B60))</f>
        <v>0</v>
      </c>
      <c r="F60" s="219">
        <f ca="1">IF($L$2=0,0,SUM(OFFSET(Forecast!$B60,0,$L$2,1,-$L$2+$H$2)))</f>
        <v>0</v>
      </c>
      <c r="G60" s="220">
        <f ca="1">IF($L$2=0,0,SUM(OFFSET(Actual!$B60,0,$L$2,1,-$L$2+$H$2)))</f>
        <v>0</v>
      </c>
      <c r="H60" s="221">
        <f ca="1">F60-G60</f>
        <v>0</v>
      </c>
      <c r="I60" s="195">
        <f ca="1">IF(F60=0,IF(H60=0,0,-1),H60/ABS(F60))</f>
        <v>0</v>
      </c>
      <c r="J60" s="219">
        <f ca="1">IF($L$2=0,0,SUM(OFFSET(Forecast!$B60,0,$L$2,1,-$L$2)))</f>
        <v>0</v>
      </c>
      <c r="K60" s="220">
        <f ca="1">IF($L$2=0,0,SUM(OFFSET(Actual!$B60,0,$L$2,1,-$L$2)))</f>
        <v>0</v>
      </c>
      <c r="L60" s="221">
        <f ca="1">J60-K60</f>
        <v>0</v>
      </c>
      <c r="M60" s="195">
        <f ca="1">IF(J60=0,IF(L60=0,0,-1),L60/ABS(J60))</f>
        <v>0</v>
      </c>
    </row>
    <row r="61" spans="1:13" s="200" customFormat="1" ht="16.149999999999999" customHeight="1" x14ac:dyDescent="0.2">
      <c r="A61" s="167" t="s">
        <v>275</v>
      </c>
      <c r="B61" s="213">
        <f ca="1">SUM(B59,-B60)</f>
        <v>-43538.400000000023</v>
      </c>
      <c r="C61" s="214">
        <f ca="1">SUM(C59,-C60)</f>
        <v>-43905.711999999992</v>
      </c>
      <c r="D61" s="215">
        <f ca="1">SUM(D59,D60)</f>
        <v>-367.31199999996898</v>
      </c>
      <c r="E61" s="216">
        <f ca="1">IF(B61=0,IF(D61=0,0,-1),D61/ABS(B61))</f>
        <v>-8.436506624036914E-3</v>
      </c>
      <c r="F61" s="213">
        <f ca="1">SUM(F59,-F60)</f>
        <v>72972.201986390617</v>
      </c>
      <c r="G61" s="214">
        <f ca="1">SUM(G59,-G60)</f>
        <v>112482.48981079033</v>
      </c>
      <c r="H61" s="215">
        <f ca="1">SUM(H59,H60)</f>
        <v>39510.28782439958</v>
      </c>
      <c r="I61" s="216">
        <f ca="1">IF(F61=0,IF(H61=0,0,-1),H61/ABS(F61))</f>
        <v>0.54144299814014496</v>
      </c>
      <c r="J61" s="213">
        <f ca="1">SUM(J59,-J60)</f>
        <v>427672.19290494476</v>
      </c>
      <c r="K61" s="214">
        <f ca="1">SUM(K59,-K60)</f>
        <v>493816.9869786927</v>
      </c>
      <c r="L61" s="215">
        <f ca="1">SUM(L59,L60)</f>
        <v>66144.794073748257</v>
      </c>
      <c r="M61" s="216">
        <f ca="1">IF(J61=0,IF(L61=0,0,-1),L61/ABS(J61))</f>
        <v>0.15466236797969637</v>
      </c>
    </row>
    <row r="62" spans="1:13" s="58" customFormat="1" ht="16.149999999999999" customHeight="1" x14ac:dyDescent="0.2">
      <c r="A62" s="58" t="s">
        <v>56</v>
      </c>
      <c r="B62" s="202">
        <f ca="1">IF(B$7=0,0,B59/B$7)</f>
        <v>-0.38934754614394068</v>
      </c>
      <c r="C62" s="235">
        <f ca="1">IF(C$7=0,0,C59/C$7)</f>
        <v>-0.37568686132985768</v>
      </c>
      <c r="D62" s="235">
        <f ca="1">C62-B62</f>
        <v>1.3660684814083002E-2</v>
      </c>
      <c r="E62" s="236"/>
      <c r="F62" s="202">
        <f t="shared" ref="F62:G62" ca="1" si="93">IF(F$7=0,0,F59/F$7)</f>
        <v>6.0434756011365685E-2</v>
      </c>
      <c r="G62" s="203">
        <f t="shared" ca="1" si="93"/>
        <v>8.7537209788476303E-2</v>
      </c>
      <c r="H62" s="203">
        <f ca="1">G62-F62</f>
        <v>2.7102453777110617E-2</v>
      </c>
      <c r="I62" s="236"/>
      <c r="J62" s="202">
        <f t="shared" ref="J62:K62" ca="1" si="94">IF(J$7=0,0,J59/J$7)</f>
        <v>8.576377549071916E-2</v>
      </c>
      <c r="K62" s="203">
        <f t="shared" ca="1" si="94"/>
        <v>9.4920990620319043E-2</v>
      </c>
      <c r="L62" s="203">
        <f ca="1">K62-J62</f>
        <v>9.1572151295998827E-3</v>
      </c>
      <c r="M62" s="236"/>
    </row>
    <row r="63" spans="1:13" ht="16.149999999999999" customHeight="1" x14ac:dyDescent="0.25">
      <c r="B63" s="237"/>
      <c r="C63" s="238"/>
      <c r="D63" s="238"/>
      <c r="E63" s="239"/>
      <c r="F63" s="237"/>
      <c r="G63" s="238"/>
      <c r="H63" s="238"/>
      <c r="I63" s="239"/>
      <c r="J63" s="237"/>
      <c r="K63" s="238"/>
      <c r="L63" s="238"/>
      <c r="M63" s="239"/>
    </row>
    <row r="64" spans="1:13" s="217" customFormat="1" ht="16.149999999999999" customHeight="1" x14ac:dyDescent="0.25">
      <c r="A64" s="192"/>
      <c r="B64" s="194"/>
      <c r="C64" s="194"/>
      <c r="D64" s="194"/>
      <c r="E64" s="240"/>
      <c r="F64" s="194"/>
      <c r="G64" s="194"/>
      <c r="H64" s="194"/>
      <c r="I64" s="240"/>
      <c r="J64" s="194"/>
      <c r="K64" s="194"/>
      <c r="L64" s="194"/>
      <c r="M64" s="240"/>
    </row>
    <row r="65" spans="1:13" s="181" customFormat="1" ht="18" customHeight="1" x14ac:dyDescent="0.25">
      <c r="A65" s="241"/>
      <c r="B65" s="334" t="str">
        <f ca="1">B3</f>
        <v>Week 52</v>
      </c>
      <c r="C65" s="335"/>
      <c r="D65" s="335"/>
      <c r="E65" s="336"/>
      <c r="F65" s="334" t="str">
        <f ca="1">"Quarter "&amp;$I$2</f>
        <v>Quarter 4</v>
      </c>
      <c r="G65" s="335"/>
      <c r="H65" s="335"/>
      <c r="I65" s="336"/>
      <c r="J65" s="337" t="s">
        <v>106</v>
      </c>
      <c r="K65" s="338"/>
      <c r="L65" s="338"/>
      <c r="M65" s="339"/>
    </row>
    <row r="66" spans="1:13" s="187" customFormat="1" ht="18" customHeight="1" x14ac:dyDescent="0.25">
      <c r="A66" s="182" t="s">
        <v>112</v>
      </c>
      <c r="B66" s="183" t="s">
        <v>108</v>
      </c>
      <c r="C66" s="183" t="s">
        <v>109</v>
      </c>
      <c r="D66" s="183" t="s">
        <v>110</v>
      </c>
      <c r="E66" s="184" t="s">
        <v>111</v>
      </c>
      <c r="F66" s="185" t="s">
        <v>108</v>
      </c>
      <c r="G66" s="186" t="s">
        <v>109</v>
      </c>
      <c r="H66" s="183" t="s">
        <v>110</v>
      </c>
      <c r="I66" s="184" t="s">
        <v>111</v>
      </c>
      <c r="J66" s="185" t="s">
        <v>108</v>
      </c>
      <c r="K66" s="186" t="s">
        <v>109</v>
      </c>
      <c r="L66" s="183" t="s">
        <v>110</v>
      </c>
      <c r="M66" s="184" t="s">
        <v>111</v>
      </c>
    </row>
    <row r="67" spans="1:13" ht="16.149999999999999" customHeight="1" x14ac:dyDescent="0.25">
      <c r="A67" s="200" t="s">
        <v>58</v>
      </c>
      <c r="B67" s="193"/>
      <c r="C67" s="194"/>
      <c r="E67" s="195"/>
      <c r="F67" s="193"/>
      <c r="G67" s="194"/>
      <c r="I67" s="195"/>
      <c r="J67" s="193"/>
      <c r="K67" s="194"/>
      <c r="L67" s="174"/>
      <c r="M67" s="195"/>
    </row>
    <row r="68" spans="1:13" ht="16.149999999999999" customHeight="1" x14ac:dyDescent="0.25">
      <c r="A68" s="242" t="s">
        <v>55</v>
      </c>
      <c r="B68" s="193">
        <f ca="1">B59</f>
        <v>-43538.400000000023</v>
      </c>
      <c r="C68" s="194">
        <f ca="1">C59</f>
        <v>-43905.711999999992</v>
      </c>
      <c r="D68" s="174">
        <f ca="1">C68-B68</f>
        <v>-367.31199999996898</v>
      </c>
      <c r="E68" s="195">
        <f ca="1">IF(B68=0,IF(D68=0,0,-1),D68/ABS(B68))</f>
        <v>-8.436506624036914E-3</v>
      </c>
      <c r="F68" s="193">
        <f ca="1">F59</f>
        <v>72972.201986390617</v>
      </c>
      <c r="G68" s="194">
        <f ca="1">G59</f>
        <v>112482.48981079033</v>
      </c>
      <c r="H68" s="174">
        <f ca="1">G68-F68</f>
        <v>39510.287824399711</v>
      </c>
      <c r="I68" s="195">
        <f ca="1">IF(F68=0,IF(H68=0,0,-1),H68/ABS(F68))</f>
        <v>0.54144299814014685</v>
      </c>
      <c r="J68" s="193">
        <f ca="1">J59</f>
        <v>427672.19290494476</v>
      </c>
      <c r="K68" s="194">
        <f ca="1">K59</f>
        <v>493816.9869786927</v>
      </c>
      <c r="L68" s="174">
        <f ca="1">K68-J68</f>
        <v>66144.794073747937</v>
      </c>
      <c r="M68" s="195">
        <f ca="1">IF(J68=0,IF(L68=0,0,-1),L68/ABS(J68))</f>
        <v>0.15466236797969563</v>
      </c>
    </row>
    <row r="69" spans="1:13" ht="16.149999999999999" customHeight="1" x14ac:dyDescent="0.25">
      <c r="A69" s="242" t="s">
        <v>41</v>
      </c>
      <c r="B69" s="193">
        <f ca="1">B56</f>
        <v>0</v>
      </c>
      <c r="C69" s="194">
        <f t="shared" ref="C69" ca="1" si="95">C56</f>
        <v>0</v>
      </c>
      <c r="D69" s="174">
        <f ca="1">C69-B69</f>
        <v>0</v>
      </c>
      <c r="E69" s="195">
        <f ca="1">IF(B69=0,IF(D69=0,0,-1),D69/ABS(B69))</f>
        <v>0</v>
      </c>
      <c r="F69" s="193">
        <f t="shared" ref="F69:G69" ca="1" si="96">F56</f>
        <v>54873.152796679744</v>
      </c>
      <c r="G69" s="194">
        <f t="shared" ca="1" si="96"/>
        <v>57490.247707235838</v>
      </c>
      <c r="H69" s="174">
        <f ca="1">G69-F69</f>
        <v>2617.094910556094</v>
      </c>
      <c r="I69" s="195">
        <f ca="1">IF(F69=0,IF(H69=0,0,-1),H69/ABS(F69))</f>
        <v>4.7693540049596875E-2</v>
      </c>
      <c r="J69" s="193">
        <f t="shared" ref="J69:K69" ca="1" si="97">J56</f>
        <v>211847.17652090971</v>
      </c>
      <c r="K69" s="194">
        <f t="shared" ca="1" si="97"/>
        <v>227050.94630737172</v>
      </c>
      <c r="L69" s="174">
        <f ca="1">K69-J69</f>
        <v>15203.769786462013</v>
      </c>
      <c r="M69" s="195">
        <f ca="1">IF(J69=0,IF(L69=0,0,-1),L69/ABS(J69))</f>
        <v>7.176763002532334E-2</v>
      </c>
    </row>
    <row r="70" spans="1:13" ht="16.149999999999999" customHeight="1" x14ac:dyDescent="0.25">
      <c r="A70" s="242" t="s">
        <v>37</v>
      </c>
      <c r="B70" s="193">
        <f ca="1">B58</f>
        <v>-16931.599999999977</v>
      </c>
      <c r="C70" s="194">
        <f ca="1">C58</f>
        <v>-17268.887999999999</v>
      </c>
      <c r="D70" s="174">
        <f ca="1">C70-B70</f>
        <v>-337.28800000002229</v>
      </c>
      <c r="E70" s="195">
        <f ca="1">IF(B70=0,IF(D70=0,0,-1),D70/ABS(B70))</f>
        <v>-1.9920621795933211E-2</v>
      </c>
      <c r="F70" s="193">
        <f ca="1">F58</f>
        <v>28378.078550262988</v>
      </c>
      <c r="G70" s="194">
        <f ca="1">G58</f>
        <v>43159.857148640658</v>
      </c>
      <c r="H70" s="174">
        <f ca="1">G70-F70</f>
        <v>14781.77859837767</v>
      </c>
      <c r="I70" s="195">
        <f ca="1">IF(F70=0,IF(H70=0,0,-1),H70/ABS(F70))</f>
        <v>0.52088722540521271</v>
      </c>
      <c r="J70" s="193">
        <f ca="1">J58</f>
        <v>166316.96390747864</v>
      </c>
      <c r="K70" s="194">
        <f ca="1">K58</f>
        <v>189706.60604726931</v>
      </c>
      <c r="L70" s="174">
        <f ca="1">K70-J70</f>
        <v>23389.642139790667</v>
      </c>
      <c r="M70" s="195">
        <f ca="1">IF(J70=0,IF(L70=0,0,-1),L70/ABS(J70))</f>
        <v>0.14063293118314868</v>
      </c>
    </row>
    <row r="71" spans="1:13" ht="16.149999999999999" customHeight="1" x14ac:dyDescent="0.25">
      <c r="A71" s="243" t="s">
        <v>59</v>
      </c>
      <c r="B71" s="193"/>
      <c r="C71" s="194"/>
      <c r="E71" s="195"/>
      <c r="F71" s="193"/>
      <c r="G71" s="194"/>
      <c r="I71" s="195"/>
      <c r="J71" s="193"/>
      <c r="K71" s="194"/>
      <c r="L71" s="174"/>
      <c r="M71" s="195"/>
    </row>
    <row r="72" spans="1:13" ht="16.149999999999999" customHeight="1" x14ac:dyDescent="0.25">
      <c r="A72" s="172" t="s">
        <v>57</v>
      </c>
      <c r="B72" s="193">
        <f ca="1">IF($L$2=0,0,OFFSET(Forecast!$B74,0,$L$2,1,1))</f>
        <v>19000</v>
      </c>
      <c r="C72" s="194">
        <f ca="1">IF($L$2=0,0,OFFSET(Actual!$B74,0,$L$2,1,1))</f>
        <v>20000</v>
      </c>
      <c r="D72" s="174">
        <f ca="1">C72-B72</f>
        <v>1000</v>
      </c>
      <c r="E72" s="195">
        <f ca="1">IF(B72=0,IF(D72=0,0,-1),D72/ABS(B72))</f>
        <v>5.2631578947368418E-2</v>
      </c>
      <c r="F72" s="193">
        <f ca="1">IF($L$2=0,0,SUM(OFFSET(Forecast!$B74,0,$L$2,1,-$L$2+$H$2)))</f>
        <v>53000</v>
      </c>
      <c r="G72" s="194">
        <f ca="1">IF($L$2=0,0,SUM(OFFSET(Actual!$B74,0,$L$2,1,-$L$2+$H$2)))</f>
        <v>50000</v>
      </c>
      <c r="H72" s="174">
        <f ca="1">G72-F72</f>
        <v>-3000</v>
      </c>
      <c r="I72" s="195">
        <f ca="1">IF(F72=0,IF(H72=0,0,-1),H72/ABS(F72))</f>
        <v>-5.6603773584905662E-2</v>
      </c>
      <c r="J72" s="193">
        <f ca="1">IF($L$2=0,0,SUM(OFFSET(Forecast!$B74,0,$L$2,1,-$L$2)))</f>
        <v>188000</v>
      </c>
      <c r="K72" s="194">
        <f ca="1">IF($L$2=0,0,SUM(OFFSET(Actual!$B74,0,$L$2,1,-$L$2)))</f>
        <v>185000</v>
      </c>
      <c r="L72" s="174">
        <f ca="1">K72-J72</f>
        <v>-3000</v>
      </c>
      <c r="M72" s="195">
        <f ca="1">IF(J72=0,IF(L72=0,0,-1),L72/ABS(J72))</f>
        <v>-1.5957446808510637E-2</v>
      </c>
    </row>
    <row r="73" spans="1:13" ht="16.149999999999999" customHeight="1" x14ac:dyDescent="0.25">
      <c r="A73" s="172" t="s">
        <v>212</v>
      </c>
      <c r="B73" s="193">
        <f ca="1">IF($L$2=0,0,OFFSET(Forecast!$B75,0,$L$2,1,1))</f>
        <v>1000</v>
      </c>
      <c r="C73" s="194">
        <f ca="1">IF($L$2=0,0,OFFSET(Actual!$B75,0,$L$2,1,1))</f>
        <v>1000</v>
      </c>
      <c r="D73" s="174">
        <f t="shared" ref="D73:D74" ca="1" si="98">C73-B73</f>
        <v>0</v>
      </c>
      <c r="E73" s="195">
        <f t="shared" ref="E73:E74" ca="1" si="99">IF(B73=0,IF(D73=0,0,-1),D73/ABS(B73))</f>
        <v>0</v>
      </c>
      <c r="F73" s="193">
        <f ca="1">IF($L$2=0,0,SUM(OFFSET(Forecast!$B75,0,$L$2,1,-$L$2+$H$2)))</f>
        <v>3000</v>
      </c>
      <c r="G73" s="194">
        <f ca="1">IF($L$2=0,0,SUM(OFFSET(Actual!$B75,0,$L$2,1,-$L$2+$H$2)))</f>
        <v>3000</v>
      </c>
      <c r="H73" s="174">
        <f t="shared" ref="H73:H74" ca="1" si="100">G73-F73</f>
        <v>0</v>
      </c>
      <c r="I73" s="195">
        <f t="shared" ref="I73:I74" ca="1" si="101">IF(F73=0,IF(H73=0,0,-1),H73/ABS(F73))</f>
        <v>0</v>
      </c>
      <c r="J73" s="193">
        <f ca="1">IF($L$2=0,0,SUM(OFFSET(Forecast!$B75,0,$L$2,1,-$L$2)))</f>
        <v>12000</v>
      </c>
      <c r="K73" s="194">
        <f ca="1">IF($L$2=0,0,SUM(OFFSET(Actual!$B75,0,$L$2,1,-$L$2)))</f>
        <v>12000</v>
      </c>
      <c r="L73" s="174">
        <f t="shared" ref="L73:L74" ca="1" si="102">K73-J73</f>
        <v>0</v>
      </c>
      <c r="M73" s="195">
        <f t="shared" ref="M73:M74" ca="1" si="103">IF(J73=0,IF(L73=0,0,-1),L73/ABS(J73))</f>
        <v>0</v>
      </c>
    </row>
    <row r="74" spans="1:13" ht="16.149999999999999" customHeight="1" x14ac:dyDescent="0.25">
      <c r="A74" s="172" t="s">
        <v>128</v>
      </c>
      <c r="B74" s="193">
        <f ca="1">IF($L$2=0,0,OFFSET(Forecast!$B76,0,$L$2,1,1))</f>
        <v>0</v>
      </c>
      <c r="C74" s="194">
        <f ca="1">IF($L$2=0,0,OFFSET(Actual!$B76,0,$L$2,1,1))</f>
        <v>0</v>
      </c>
      <c r="D74" s="174">
        <f t="shared" ca="1" si="98"/>
        <v>0</v>
      </c>
      <c r="E74" s="195">
        <f t="shared" ca="1" si="99"/>
        <v>0</v>
      </c>
      <c r="F74" s="193">
        <f ca="1">IF($L$2=0,0,SUM(OFFSET(Forecast!$B76,0,$L$2,1,-$L$2+$H$2)))</f>
        <v>0</v>
      </c>
      <c r="G74" s="194">
        <f ca="1">IF($L$2=0,0,SUM(OFFSET(Actual!$B76,0,$L$2,1,-$L$2+$H$2)))</f>
        <v>0</v>
      </c>
      <c r="H74" s="174">
        <f t="shared" ca="1" si="100"/>
        <v>0</v>
      </c>
      <c r="I74" s="195">
        <f t="shared" ca="1" si="101"/>
        <v>0</v>
      </c>
      <c r="J74" s="193">
        <f ca="1">IF($L$2=0,0,SUM(OFFSET(Forecast!$B76,0,$L$2,1,-$L$2)))</f>
        <v>0</v>
      </c>
      <c r="K74" s="194">
        <f ca="1">IF($L$2=0,0,SUM(OFFSET(Actual!$B76,0,$L$2,1,-$L$2)))</f>
        <v>0</v>
      </c>
      <c r="L74" s="174">
        <f t="shared" ca="1" si="102"/>
        <v>0</v>
      </c>
      <c r="M74" s="195">
        <f t="shared" ca="1" si="103"/>
        <v>0</v>
      </c>
    </row>
    <row r="75" spans="1:13" s="200" customFormat="1" ht="16.149999999999999" customHeight="1" x14ac:dyDescent="0.2">
      <c r="A75" s="167" t="s">
        <v>60</v>
      </c>
      <c r="B75" s="213"/>
      <c r="C75" s="214"/>
      <c r="D75" s="214"/>
      <c r="E75" s="216"/>
      <c r="F75" s="213"/>
      <c r="G75" s="214"/>
      <c r="H75" s="214"/>
      <c r="I75" s="216"/>
      <c r="J75" s="213"/>
      <c r="K75" s="214"/>
      <c r="L75" s="214"/>
      <c r="M75" s="216"/>
    </row>
    <row r="76" spans="1:13" ht="16.149999999999999" customHeight="1" x14ac:dyDescent="0.25">
      <c r="A76" s="201" t="s">
        <v>25</v>
      </c>
      <c r="B76" s="219">
        <f ca="1">IF($L$2=0,0,OFFSET(Forecast!$B78,0,$L$2,1,1))</f>
        <v>-586.97142857141444</v>
      </c>
      <c r="C76" s="220">
        <f ca="1">IF($L$2=0,0,OFFSET(Actual!$B78,0,$L$2,1,1))</f>
        <v>1900</v>
      </c>
      <c r="D76" s="194">
        <f ca="1">C76-B76</f>
        <v>2486.9714285714144</v>
      </c>
      <c r="E76" s="195">
        <f t="shared" ref="E76:E88" ca="1" si="104">IF(B76=0,IF(D76=0,0,-1),D76/ABS(B76))</f>
        <v>4.2369548286605143</v>
      </c>
      <c r="F76" s="219">
        <f ca="1">IF($L$2=0,0,SUM(OFFSET(Forecast!$B78,0,$L$2,1,-$L$2+$H$2)))</f>
        <v>-5674.2857142857101</v>
      </c>
      <c r="G76" s="220">
        <f ca="1">IF($L$2=0,0,SUM(OFFSET(Actual!$B78,0,$L$2,1,-$L$2+$H$2)))</f>
        <v>-11080</v>
      </c>
      <c r="H76" s="194">
        <f t="shared" ref="H76" ca="1" si="105">G76-F76</f>
        <v>-5405.7142857142899</v>
      </c>
      <c r="I76" s="195">
        <f t="shared" ref="I76" ca="1" si="106">IF(F76=0,IF(H76=0,0,-1),H76/ABS(F76))</f>
        <v>-0.95266868076535893</v>
      </c>
      <c r="J76" s="219">
        <f ca="1">IF($L$2=0,0,SUM(OFFSET(Forecast!$B78,0,$L$2,1,-$L$2)))</f>
        <v>-31908.57142857142</v>
      </c>
      <c r="K76" s="220">
        <f ca="1">IF($L$2=0,0,SUM(OFFSET(Actual!$B78,0,$L$2,1,-$L$2)))</f>
        <v>-53700</v>
      </c>
      <c r="L76" s="194">
        <f ca="1">K76-J76</f>
        <v>-21791.42857142858</v>
      </c>
      <c r="M76" s="195">
        <f t="shared" ref="M76:M88" ca="1" si="107">IF(J76=0,IF(L76=0,0,-1),L76/ABS(J76))</f>
        <v>-0.68293338108882562</v>
      </c>
    </row>
    <row r="77" spans="1:13" ht="16.149999999999999" customHeight="1" x14ac:dyDescent="0.25">
      <c r="A77" s="201" t="s">
        <v>179</v>
      </c>
      <c r="B77" s="219">
        <f ca="1">IF($L$2=0,0,OFFSET(Forecast!$B79,0,$L$2,1,1))</f>
        <v>-834.79047619045014</v>
      </c>
      <c r="C77" s="220">
        <f ca="1">IF($L$2=0,0,OFFSET(Actual!$B79,0,$L$2,1,1))</f>
        <v>1300</v>
      </c>
      <c r="D77" s="194">
        <f ca="1">C77-B77</f>
        <v>2134.7904761904501</v>
      </c>
      <c r="E77" s="195">
        <f t="shared" ca="1" si="104"/>
        <v>2.5572769899490519</v>
      </c>
      <c r="F77" s="219">
        <f ca="1">IF($L$2=0,0,SUM(OFFSET(Forecast!$B79,0,$L$2,1,-$L$2+$H$2)))</f>
        <v>-16919.895238095254</v>
      </c>
      <c r="G77" s="220">
        <f ca="1">IF($L$2=0,0,SUM(OFFSET(Actual!$B79,0,$L$2,1,-$L$2+$H$2)))</f>
        <v>-26600</v>
      </c>
      <c r="H77" s="194">
        <f t="shared" ref="H77:H84" ca="1" si="108">G77-F77</f>
        <v>-9680.1047619047458</v>
      </c>
      <c r="I77" s="195">
        <f t="shared" ref="I77:I84" ca="1" si="109">IF(F77=0,IF(H77=0,0,-1),H77/ABS(F77))</f>
        <v>-0.57211375281508403</v>
      </c>
      <c r="J77" s="219">
        <f ca="1">IF($L$2=0,0,SUM(OFFSET(Forecast!$B79,0,$L$2,1,-$L$2)))</f>
        <v>-90198.895238095196</v>
      </c>
      <c r="K77" s="220">
        <f ca="1">IF($L$2=0,0,SUM(OFFSET(Actual!$B79,0,$L$2,1,-$L$2)))</f>
        <v>-83500</v>
      </c>
      <c r="L77" s="194">
        <f t="shared" ref="L77:L84" ca="1" si="110">K77-J77</f>
        <v>6698.895238095196</v>
      </c>
      <c r="M77" s="195">
        <f t="shared" ref="M77:M84" ca="1" si="111">IF(J77=0,IF(L77=0,0,-1),L77/ABS(J77))</f>
        <v>7.4268040871369123E-2</v>
      </c>
    </row>
    <row r="78" spans="1:13" ht="16.149999999999999" customHeight="1" x14ac:dyDescent="0.25">
      <c r="A78" s="201" t="s">
        <v>130</v>
      </c>
      <c r="B78" s="219">
        <f ca="1">IF($L$2=0,0,OFFSET(Forecast!$B80,0,$L$2,1,1))</f>
        <v>0</v>
      </c>
      <c r="C78" s="220">
        <f ca="1">IF($L$2=0,0,OFFSET(Actual!$B80,0,$L$2,1,1))</f>
        <v>0</v>
      </c>
      <c r="D78" s="194">
        <f t="shared" ref="D78:D84" ca="1" si="112">C78-B78</f>
        <v>0</v>
      </c>
      <c r="E78" s="195">
        <f t="shared" ref="E78:E84" ca="1" si="113">IF(B78=0,IF(D78=0,0,-1),D78/ABS(B78))</f>
        <v>0</v>
      </c>
      <c r="F78" s="219">
        <f ca="1">IF($L$2=0,0,SUM(OFFSET(Forecast!$B80,0,$L$2,1,-$L$2+$H$2)))</f>
        <v>10000</v>
      </c>
      <c r="G78" s="220">
        <f ca="1">IF($L$2=0,0,SUM(OFFSET(Actual!$B80,0,$L$2,1,-$L$2+$H$2)))</f>
        <v>0</v>
      </c>
      <c r="H78" s="194">
        <f t="shared" ca="1" si="108"/>
        <v>-10000</v>
      </c>
      <c r="I78" s="195">
        <f t="shared" ca="1" si="109"/>
        <v>-1</v>
      </c>
      <c r="J78" s="219">
        <f ca="1">IF($L$2=0,0,SUM(OFFSET(Forecast!$B80,0,$L$2,1,-$L$2)))</f>
        <v>0</v>
      </c>
      <c r="K78" s="220">
        <f ca="1">IF($L$2=0,0,SUM(OFFSET(Actual!$B80,0,$L$2,1,-$L$2)))</f>
        <v>-10000</v>
      </c>
      <c r="L78" s="194">
        <f t="shared" ca="1" si="110"/>
        <v>-10000</v>
      </c>
      <c r="M78" s="195">
        <f t="shared" ca="1" si="111"/>
        <v>-1</v>
      </c>
    </row>
    <row r="79" spans="1:13" ht="16.149999999999999" customHeight="1" x14ac:dyDescent="0.25">
      <c r="A79" s="201" t="s">
        <v>132</v>
      </c>
      <c r="B79" s="219">
        <f ca="1">IF($L$2=0,0,OFFSET(Forecast!$B81,0,$L$2,1,1))</f>
        <v>0</v>
      </c>
      <c r="C79" s="220">
        <f ca="1">IF($L$2=0,0,OFFSET(Actual!$B81,0,$L$2,1,1))</f>
        <v>0</v>
      </c>
      <c r="D79" s="194">
        <f t="shared" ca="1" si="112"/>
        <v>0</v>
      </c>
      <c r="E79" s="195">
        <f t="shared" ca="1" si="113"/>
        <v>0</v>
      </c>
      <c r="F79" s="219">
        <f ca="1">IF($L$2=0,0,SUM(OFFSET(Forecast!$B81,0,$L$2,1,-$L$2+$H$2)))</f>
        <v>0</v>
      </c>
      <c r="G79" s="220">
        <f ca="1">IF($L$2=0,0,SUM(OFFSET(Actual!$B81,0,$L$2,1,-$L$2+$H$2)))</f>
        <v>3000</v>
      </c>
      <c r="H79" s="194">
        <f t="shared" ca="1" si="108"/>
        <v>3000</v>
      </c>
      <c r="I79" s="195">
        <f t="shared" ca="1" si="109"/>
        <v>-1</v>
      </c>
      <c r="J79" s="219">
        <f ca="1">IF($L$2=0,0,SUM(OFFSET(Forecast!$B81,0,$L$2,1,-$L$2)))</f>
        <v>0</v>
      </c>
      <c r="K79" s="220">
        <f ca="1">IF($L$2=0,0,SUM(OFFSET(Actual!$B81,0,$L$2,1,-$L$2)))</f>
        <v>3000</v>
      </c>
      <c r="L79" s="194">
        <f t="shared" ca="1" si="110"/>
        <v>3000</v>
      </c>
      <c r="M79" s="195">
        <f t="shared" ca="1" si="111"/>
        <v>-1</v>
      </c>
    </row>
    <row r="80" spans="1:13" ht="16.149999999999999" customHeight="1" x14ac:dyDescent="0.25">
      <c r="A80" s="201" t="s">
        <v>190</v>
      </c>
      <c r="B80" s="219">
        <f ca="1">IF($L$2=0,0,OFFSET(Forecast!$B82,0,$L$2,1,1))</f>
        <v>29862.050000000047</v>
      </c>
      <c r="C80" s="220">
        <f ca="1">IF($L$2=0,0,OFFSET(Actual!$B82,0,$L$2,1,1))</f>
        <v>30160.670500000066</v>
      </c>
      <c r="D80" s="194">
        <f t="shared" ca="1" si="112"/>
        <v>298.62050000001909</v>
      </c>
      <c r="E80" s="195">
        <f t="shared" ca="1" si="113"/>
        <v>1.0000000000000623E-2</v>
      </c>
      <c r="F80" s="219">
        <f ca="1">IF($L$2=0,0,SUM(OFFSET(Forecast!$B82,0,$L$2,1,-$L$2+$H$2)))</f>
        <v>30484.857142857159</v>
      </c>
      <c r="G80" s="220">
        <f ca="1">IF($L$2=0,0,SUM(OFFSET(Actual!$B82,0,$L$2,1,-$L$2+$H$2)))</f>
        <v>14393.753214285738</v>
      </c>
      <c r="H80" s="194">
        <f t="shared" ca="1" si="108"/>
        <v>-16091.103928571421</v>
      </c>
      <c r="I80" s="195">
        <f t="shared" ca="1" si="109"/>
        <v>-0.52783924337141575</v>
      </c>
      <c r="J80" s="219">
        <f ca="1">IF($L$2=0,0,SUM(OFFSET(Forecast!$B82,0,$L$2,1,-$L$2)))</f>
        <v>82662.107142857159</v>
      </c>
      <c r="K80" s="220">
        <f ca="1">IF($L$2=0,0,SUM(OFFSET(Actual!$B82,0,$L$2,1,-$L$2)))</f>
        <v>84788.728214285744</v>
      </c>
      <c r="L80" s="194">
        <f t="shared" ca="1" si="110"/>
        <v>2126.6210714285844</v>
      </c>
      <c r="M80" s="195">
        <f t="shared" ca="1" si="111"/>
        <v>2.5726673864644473E-2</v>
      </c>
    </row>
    <row r="81" spans="1:13" ht="16.149999999999999" customHeight="1" x14ac:dyDescent="0.25">
      <c r="A81" s="201" t="s">
        <v>159</v>
      </c>
      <c r="B81" s="219">
        <f ca="1">IF($L$2=0,0,OFFSET(Forecast!$B83,0,$L$2,1,1))</f>
        <v>5374.4999999999927</v>
      </c>
      <c r="C81" s="220">
        <f ca="1">IF($L$2=0,0,OFFSET(Actual!$B83,0,$L$2,1,1))</f>
        <v>8074.6526999999915</v>
      </c>
      <c r="D81" s="194">
        <f t="shared" ca="1" si="112"/>
        <v>2700.1526999999987</v>
      </c>
      <c r="E81" s="195">
        <f t="shared" ca="1" si="113"/>
        <v>0.50240072564889804</v>
      </c>
      <c r="F81" s="219">
        <f ca="1">IF($L$2=0,0,SUM(OFFSET(Forecast!$B83,0,$L$2,1,-$L$2+$H$2)))</f>
        <v>23369.294999999998</v>
      </c>
      <c r="G81" s="220">
        <f ca="1">IF($L$2=0,0,SUM(OFFSET(Actual!$B83,0,$L$2,1,-$L$2+$H$2)))</f>
        <v>24053.879099999998</v>
      </c>
      <c r="H81" s="194">
        <f t="shared" ca="1" si="108"/>
        <v>684.58410000000003</v>
      </c>
      <c r="I81" s="195">
        <f t="shared" ca="1" si="109"/>
        <v>2.9294169978170078E-2</v>
      </c>
      <c r="J81" s="219">
        <f ca="1">IF($L$2=0,0,SUM(OFFSET(Forecast!$B83,0,$L$2,1,-$L$2)))</f>
        <v>36168.544999999998</v>
      </c>
      <c r="K81" s="220">
        <f ca="1">IF($L$2=0,0,SUM(OFFSET(Actual!$B83,0,$L$2,1,-$L$2)))</f>
        <v>35125.174099999997</v>
      </c>
      <c r="L81" s="194">
        <f t="shared" ca="1" si="110"/>
        <v>-1043.3709000000017</v>
      </c>
      <c r="M81" s="195">
        <f t="shared" ca="1" si="111"/>
        <v>-2.884746676981343E-2</v>
      </c>
    </row>
    <row r="82" spans="1:13" ht="16.149999999999999" customHeight="1" x14ac:dyDescent="0.25">
      <c r="A82" s="201" t="s">
        <v>193</v>
      </c>
      <c r="B82" s="219">
        <f ca="1">IF($L$2=0,0,OFFSET(Forecast!$B84,0,$L$2,1,1))</f>
        <v>15360</v>
      </c>
      <c r="C82" s="220">
        <f ca="1">IF($L$2=0,0,OFFSET(Actual!$B84,0,$L$2,1,1))</f>
        <v>15713.28</v>
      </c>
      <c r="D82" s="194">
        <f t="shared" ca="1" si="112"/>
        <v>353.28000000000065</v>
      </c>
      <c r="E82" s="195">
        <f t="shared" ca="1" si="113"/>
        <v>2.3000000000000041E-2</v>
      </c>
      <c r="F82" s="219">
        <f ca="1">IF($L$2=0,0,SUM(OFFSET(Forecast!$B84,0,$L$2,1,-$L$2+$H$2)))</f>
        <v>480</v>
      </c>
      <c r="G82" s="220">
        <f ca="1">IF($L$2=0,0,SUM(OFFSET(Actual!$B84,0,$L$2,1,-$L$2+$H$2)))</f>
        <v>368.28000000000247</v>
      </c>
      <c r="H82" s="194">
        <f t="shared" ca="1" si="108"/>
        <v>-111.71999999999753</v>
      </c>
      <c r="I82" s="195">
        <f t="shared" ca="1" si="109"/>
        <v>-0.23274999999999485</v>
      </c>
      <c r="J82" s="219">
        <f ca="1">IF($L$2=0,0,SUM(OFFSET(Forecast!$B84,0,$L$2,1,-$L$2)))</f>
        <v>-560</v>
      </c>
      <c r="K82" s="220">
        <f ca="1">IF($L$2=0,0,SUM(OFFSET(Actual!$B84,0,$L$2,1,-$L$2)))</f>
        <v>-1504.1600000000053</v>
      </c>
      <c r="L82" s="194">
        <f t="shared" ca="1" si="110"/>
        <v>-944.16000000000531</v>
      </c>
      <c r="M82" s="195">
        <f t="shared" ca="1" si="111"/>
        <v>-1.6860000000000095</v>
      </c>
    </row>
    <row r="83" spans="1:13" ht="16.149999999999999" customHeight="1" x14ac:dyDescent="0.25">
      <c r="A83" s="201" t="s">
        <v>134</v>
      </c>
      <c r="B83" s="219">
        <f ca="1">IF($L$2=0,0,OFFSET(Forecast!$B85,0,$L$2,1,1))</f>
        <v>60000</v>
      </c>
      <c r="C83" s="220">
        <f ca="1">IF($L$2=0,0,OFFSET(Actual!$B85,0,$L$2,1,1))</f>
        <v>50000</v>
      </c>
      <c r="D83" s="194">
        <f t="shared" ca="1" si="112"/>
        <v>-10000</v>
      </c>
      <c r="E83" s="195">
        <f t="shared" ca="1" si="113"/>
        <v>-0.16666666666666666</v>
      </c>
      <c r="F83" s="219">
        <f ca="1">IF($L$2=0,0,SUM(OFFSET(Forecast!$B85,0,$L$2,1,-$L$2+$H$2)))</f>
        <v>60000</v>
      </c>
      <c r="G83" s="220">
        <f ca="1">IF($L$2=0,0,SUM(OFFSET(Actual!$B85,0,$L$2,1,-$L$2+$H$2)))</f>
        <v>50000</v>
      </c>
      <c r="H83" s="194">
        <f t="shared" ca="1" si="108"/>
        <v>-10000</v>
      </c>
      <c r="I83" s="195">
        <f t="shared" ca="1" si="109"/>
        <v>-0.16666666666666666</v>
      </c>
      <c r="J83" s="219">
        <f ca="1">IF($L$2=0,0,SUM(OFFSET(Forecast!$B85,0,$L$2,1,-$L$2)))</f>
        <v>5000</v>
      </c>
      <c r="K83" s="220">
        <f ca="1">IF($L$2=0,0,SUM(OFFSET(Actual!$B85,0,$L$2,1,-$L$2)))</f>
        <v>-5000</v>
      </c>
      <c r="L83" s="194">
        <f t="shared" ca="1" si="110"/>
        <v>-10000</v>
      </c>
      <c r="M83" s="195">
        <f t="shared" ca="1" si="111"/>
        <v>-2</v>
      </c>
    </row>
    <row r="84" spans="1:13" ht="16.149999999999999" customHeight="1" x14ac:dyDescent="0.25">
      <c r="A84" s="201" t="s">
        <v>136</v>
      </c>
      <c r="B84" s="219">
        <f ca="1">IF($L$2=0,0,OFFSET(Forecast!$B86,0,$L$2,1,1))</f>
        <v>30000</v>
      </c>
      <c r="C84" s="220">
        <f ca="1">IF($L$2=0,0,OFFSET(Actual!$B86,0,$L$2,1,1))</f>
        <v>32000</v>
      </c>
      <c r="D84" s="194">
        <f t="shared" ca="1" si="112"/>
        <v>2000</v>
      </c>
      <c r="E84" s="195">
        <f t="shared" ca="1" si="113"/>
        <v>6.6666666666666666E-2</v>
      </c>
      <c r="F84" s="219">
        <f ca="1">IF($L$2=0,0,SUM(OFFSET(Forecast!$B86,0,$L$2,1,-$L$2+$H$2)))</f>
        <v>30000</v>
      </c>
      <c r="G84" s="220">
        <f ca="1">IF($L$2=0,0,SUM(OFFSET(Actual!$B86,0,$L$2,1,-$L$2+$H$2)))</f>
        <v>32000</v>
      </c>
      <c r="H84" s="194">
        <f t="shared" ca="1" si="108"/>
        <v>2000</v>
      </c>
      <c r="I84" s="195">
        <f t="shared" ca="1" si="109"/>
        <v>6.6666666666666666E-2</v>
      </c>
      <c r="J84" s="219">
        <f ca="1">IF($L$2=0,0,SUM(OFFSET(Forecast!$B86,0,$L$2,1,-$L$2)))</f>
        <v>-12000</v>
      </c>
      <c r="K84" s="220">
        <f ca="1">IF($L$2=0,0,SUM(OFFSET(Actual!$B86,0,$L$2,1,-$L$2)))</f>
        <v>-10000</v>
      </c>
      <c r="L84" s="194">
        <f t="shared" ca="1" si="110"/>
        <v>2000</v>
      </c>
      <c r="M84" s="195">
        <f t="shared" ca="1" si="111"/>
        <v>0.16666666666666666</v>
      </c>
    </row>
    <row r="85" spans="1:13" s="243" customFormat="1" ht="16.149999999999999" customHeight="1" x14ac:dyDescent="0.2">
      <c r="A85" s="244" t="s">
        <v>61</v>
      </c>
      <c r="B85" s="245">
        <f ca="1">SUM(B68:B84)</f>
        <v>98704.788095238182</v>
      </c>
      <c r="C85" s="246">
        <f t="shared" ref="C85" ca="1" si="114">SUM(C68:C84)</f>
        <v>98974.003200000065</v>
      </c>
      <c r="D85" s="247">
        <f ca="1">SUM(D68:D84)</f>
        <v>269.21510476189178</v>
      </c>
      <c r="E85" s="248">
        <f t="shared" ca="1" si="104"/>
        <v>2.7274776630099419E-3</v>
      </c>
      <c r="F85" s="245">
        <f t="shared" ref="F85:G85" ca="1" si="115">SUM(F68:F84)</f>
        <v>343963.40452380956</v>
      </c>
      <c r="G85" s="246">
        <f t="shared" ca="1" si="115"/>
        <v>352268.50698095257</v>
      </c>
      <c r="H85" s="247">
        <f ca="1">SUM(H68:H84)</f>
        <v>8305.1024571430207</v>
      </c>
      <c r="I85" s="248">
        <f t="shared" ref="I85:I88" ca="1" si="116">IF(F85=0,IF(H85=0,0,-1),H85/ABS(F85))</f>
        <v>2.4145308331974404E-2</v>
      </c>
      <c r="J85" s="245">
        <f t="shared" ref="J85:K85" ca="1" si="117">SUM(J68:J84)</f>
        <v>994999.51880952367</v>
      </c>
      <c r="K85" s="246">
        <f t="shared" ca="1" si="117"/>
        <v>1066784.2816476196</v>
      </c>
      <c r="L85" s="247">
        <f ca="1">SUM(L68:L84)</f>
        <v>71784.762838095805</v>
      </c>
      <c r="M85" s="248">
        <f t="shared" ca="1" si="107"/>
        <v>7.2145525179734105E-2</v>
      </c>
    </row>
    <row r="86" spans="1:13" ht="16.149999999999999" customHeight="1" x14ac:dyDescent="0.25">
      <c r="A86" s="201" t="s">
        <v>62</v>
      </c>
      <c r="B86" s="219">
        <f ca="1">-B69</f>
        <v>0</v>
      </c>
      <c r="C86" s="220">
        <f ca="1">-C69</f>
        <v>0</v>
      </c>
      <c r="D86" s="194">
        <f ca="1">C86-B86</f>
        <v>0</v>
      </c>
      <c r="E86" s="195">
        <f t="shared" ca="1" si="104"/>
        <v>0</v>
      </c>
      <c r="F86" s="219">
        <f ca="1">-F69</f>
        <v>-54873.152796679744</v>
      </c>
      <c r="G86" s="220">
        <f ca="1">-G69</f>
        <v>-57490.247707235838</v>
      </c>
      <c r="H86" s="194">
        <f ca="1">G86-F86</f>
        <v>-2617.094910556094</v>
      </c>
      <c r="I86" s="195">
        <f t="shared" ca="1" si="116"/>
        <v>-4.7693540049596875E-2</v>
      </c>
      <c r="J86" s="219">
        <f ca="1">-J69</f>
        <v>-211847.17652090971</v>
      </c>
      <c r="K86" s="220">
        <f ca="1">-K69</f>
        <v>-227050.94630737172</v>
      </c>
      <c r="L86" s="194">
        <f ca="1">K86-J86</f>
        <v>-15203.769786462013</v>
      </c>
      <c r="M86" s="195">
        <f t="shared" ca="1" si="107"/>
        <v>-7.176763002532334E-2</v>
      </c>
    </row>
    <row r="87" spans="1:13" ht="16.149999999999999" customHeight="1" x14ac:dyDescent="0.25">
      <c r="A87" s="201" t="s">
        <v>63</v>
      </c>
      <c r="B87" s="219">
        <f ca="1">IF($L$2=0,0,OFFSET(Forecast!$B89,0,$L$2,1,1))</f>
        <v>-79143.031974933445</v>
      </c>
      <c r="C87" s="220">
        <f ca="1">IF($L$2=0,0,OFFSET(Actual!$B89,0,$L$2,1,1))</f>
        <v>0</v>
      </c>
      <c r="D87" s="194">
        <f ca="1">C87-B87</f>
        <v>79143.031974933445</v>
      </c>
      <c r="E87" s="195">
        <f t="shared" ca="1" si="104"/>
        <v>1</v>
      </c>
      <c r="F87" s="219">
        <f ca="1">IF($L$2=0,0,SUM(OFFSET(Forecast!$B89,0,$L$2,1,-$L$2+$H$2)))</f>
        <v>-79143.031974933445</v>
      </c>
      <c r="G87" s="220">
        <f ca="1">IF($L$2=0,0,SUM(OFFSET(Actual!$B89,0,$L$2,1,-$L$2+$H$2)))</f>
        <v>-6.3664629124104977E-12</v>
      </c>
      <c r="H87" s="194">
        <f ca="1">G87-F87</f>
        <v>79143.031974933445</v>
      </c>
      <c r="I87" s="195">
        <f t="shared" ca="1" si="116"/>
        <v>1</v>
      </c>
      <c r="J87" s="219">
        <f ca="1">IF($L$2=0,0,SUM(OFFSET(Forecast!$B89,0,$L$2,1,-$L$2)))</f>
        <v>-166316.96390747864</v>
      </c>
      <c r="K87" s="220">
        <f ca="1">IF($L$2=0,0,SUM(OFFSET(Actual!$B89,0,$L$2,1,-$L$2)))</f>
        <v>-81940.587062359584</v>
      </c>
      <c r="L87" s="194">
        <f ca="1">K87-J87</f>
        <v>84376.376845119055</v>
      </c>
      <c r="M87" s="195">
        <f t="shared" ca="1" si="107"/>
        <v>0.50732273403004902</v>
      </c>
    </row>
    <row r="88" spans="1:13" s="243" customFormat="1" ht="16.149999999999999" customHeight="1" thickBot="1" x14ac:dyDescent="0.25">
      <c r="A88" s="244" t="s">
        <v>64</v>
      </c>
      <c r="B88" s="249">
        <f ca="1">SUM(B85:B87)</f>
        <v>19561.756120304737</v>
      </c>
      <c r="C88" s="250">
        <f t="shared" ref="C88:L88" ca="1" si="118">SUM(C85:C87)</f>
        <v>98974.003200000065</v>
      </c>
      <c r="D88" s="251">
        <f t="shared" ca="1" si="118"/>
        <v>79412.247079695342</v>
      </c>
      <c r="E88" s="252">
        <f t="shared" ca="1" si="104"/>
        <v>4.0595663595492288</v>
      </c>
      <c r="F88" s="249">
        <f ca="1">SUM(F85:F87)</f>
        <v>209947.21975219634</v>
      </c>
      <c r="G88" s="250">
        <f ca="1">SUM(G85:G87)</f>
        <v>294778.25927371671</v>
      </c>
      <c r="H88" s="251">
        <f ca="1">SUM(H85:H87)</f>
        <v>84831.039521520375</v>
      </c>
      <c r="I88" s="252">
        <f t="shared" ca="1" si="116"/>
        <v>0.40405888499808496</v>
      </c>
      <c r="J88" s="249">
        <f t="shared" ca="1" si="118"/>
        <v>616835.37838113541</v>
      </c>
      <c r="K88" s="250">
        <f t="shared" ca="1" si="118"/>
        <v>757792.74827788828</v>
      </c>
      <c r="L88" s="251">
        <f t="shared" ca="1" si="118"/>
        <v>140957.36989675285</v>
      </c>
      <c r="M88" s="252">
        <f t="shared" ca="1" si="107"/>
        <v>0.22851699957076219</v>
      </c>
    </row>
    <row r="89" spans="1:13" s="200" customFormat="1" ht="16.149999999999999" customHeight="1" x14ac:dyDescent="0.2">
      <c r="A89" s="167" t="s">
        <v>65</v>
      </c>
      <c r="B89" s="229"/>
      <c r="C89" s="230"/>
      <c r="D89" s="214"/>
      <c r="E89" s="216"/>
      <c r="F89" s="229"/>
      <c r="G89" s="230"/>
      <c r="H89" s="214"/>
      <c r="I89" s="216"/>
      <c r="J89" s="229"/>
      <c r="K89" s="230"/>
      <c r="L89" s="214"/>
      <c r="M89" s="216"/>
    </row>
    <row r="90" spans="1:13" ht="16.149999999999999" customHeight="1" x14ac:dyDescent="0.25">
      <c r="A90" s="242" t="s">
        <v>66</v>
      </c>
      <c r="B90" s="193">
        <f ca="1">IF($L$2=0,0,OFFSET(Forecast!$B92,0,$L$2,1,1))</f>
        <v>0</v>
      </c>
      <c r="C90" s="194">
        <f ca="1">IF($L$2=0,0,OFFSET(Actual!$B92,0,$L$2,1,1))</f>
        <v>0</v>
      </c>
      <c r="D90" s="194">
        <f ca="1">C90-B90</f>
        <v>0</v>
      </c>
      <c r="E90" s="195">
        <f ca="1">IF(B90=0,IF(D90=0,0,-1),D90/ABS(B90))</f>
        <v>0</v>
      </c>
      <c r="F90" s="193">
        <f ca="1">IF($L$2=0,0,SUM(OFFSET(Forecast!$B92,0,$L$2,1,-$L$2+$H$2)))</f>
        <v>-240000</v>
      </c>
      <c r="G90" s="194">
        <f ca="1">IF($L$2=0,0,SUM(OFFSET(Actual!$B92,0,$L$2,1,-$L$2+$H$2)))</f>
        <v>-250000</v>
      </c>
      <c r="H90" s="194">
        <f ca="1">G90-F90</f>
        <v>-10000</v>
      </c>
      <c r="I90" s="195">
        <f ca="1">IF(F90=0,IF(H90=0,0,-1),H90/ABS(F90))</f>
        <v>-4.1666666666666664E-2</v>
      </c>
      <c r="J90" s="193">
        <f ca="1">IF($L$2=0,0,SUM(OFFSET(Forecast!$B92,0,$L$2,1,-$L$2)))</f>
        <v>-240000</v>
      </c>
      <c r="K90" s="194">
        <f ca="1">IF($L$2=0,0,SUM(OFFSET(Actual!$B92,0,$L$2,1,-$L$2)))</f>
        <v>-250000</v>
      </c>
      <c r="L90" s="194">
        <f ca="1">K90-J90</f>
        <v>-10000</v>
      </c>
      <c r="M90" s="195">
        <f ca="1">IF(J90=0,IF(L90=0,0,-1),L90/ABS(J90))</f>
        <v>-4.1666666666666664E-2</v>
      </c>
    </row>
    <row r="91" spans="1:13" ht="16.149999999999999" customHeight="1" x14ac:dyDescent="0.25">
      <c r="A91" s="242" t="s">
        <v>139</v>
      </c>
      <c r="B91" s="193">
        <f ca="1">IF($L$2=0,0,OFFSET(Forecast!$B93,0,$L$2,1,1))</f>
        <v>0</v>
      </c>
      <c r="C91" s="194">
        <f ca="1">IF($L$2=0,0,OFFSET(Actual!$B93,0,$L$2,1,1))</f>
        <v>0</v>
      </c>
      <c r="D91" s="194">
        <f t="shared" ref="D91:D92" ca="1" si="119">C91-B91</f>
        <v>0</v>
      </c>
      <c r="E91" s="195">
        <f t="shared" ref="E91:E92" ca="1" si="120">IF(B91=0,IF(D91=0,0,-1),D91/ABS(B91))</f>
        <v>0</v>
      </c>
      <c r="F91" s="193">
        <f ca="1">IF($L$2=0,0,SUM(OFFSET(Forecast!$B93,0,$L$2,1,-$L$2+$H$2)))</f>
        <v>0</v>
      </c>
      <c r="G91" s="194">
        <f ca="1">IF($L$2=0,0,SUM(OFFSET(Actual!$B93,0,$L$2,1,-$L$2+$H$2)))</f>
        <v>0</v>
      </c>
      <c r="H91" s="194">
        <f t="shared" ref="H91:H92" ca="1" si="121">G91-F91</f>
        <v>0</v>
      </c>
      <c r="I91" s="195">
        <f t="shared" ref="I91:I92" ca="1" si="122">IF(F91=0,IF(H91=0,0,-1),H91/ABS(F91))</f>
        <v>0</v>
      </c>
      <c r="J91" s="193">
        <f ca="1">IF($L$2=0,0,SUM(OFFSET(Forecast!$B93,0,$L$2,1,-$L$2)))</f>
        <v>0</v>
      </c>
      <c r="K91" s="194">
        <f ca="1">IF($L$2=0,0,SUM(OFFSET(Actual!$B93,0,$L$2,1,-$L$2)))</f>
        <v>0</v>
      </c>
      <c r="L91" s="194">
        <f t="shared" ref="L91:L92" ca="1" si="123">K91-J91</f>
        <v>0</v>
      </c>
      <c r="M91" s="195">
        <f t="shared" ref="M91:M92" ca="1" si="124">IF(J91=0,IF(L91=0,0,-1),L91/ABS(J91))</f>
        <v>0</v>
      </c>
    </row>
    <row r="92" spans="1:13" ht="16.149999999999999" customHeight="1" x14ac:dyDescent="0.25">
      <c r="A92" s="242" t="s">
        <v>141</v>
      </c>
      <c r="B92" s="193">
        <f ca="1">IF($L$2=0,0,OFFSET(Forecast!$B94,0,$L$2,1,1))</f>
        <v>0</v>
      </c>
      <c r="C92" s="194">
        <f ca="1">IF($L$2=0,0,OFFSET(Actual!$B94,0,$L$2,1,1))</f>
        <v>0</v>
      </c>
      <c r="D92" s="194">
        <f t="shared" ca="1" si="119"/>
        <v>0</v>
      </c>
      <c r="E92" s="195">
        <f t="shared" ca="1" si="120"/>
        <v>0</v>
      </c>
      <c r="F92" s="193">
        <f ca="1">IF($L$2=0,0,SUM(OFFSET(Forecast!$B94,0,$L$2,1,-$L$2+$H$2)))</f>
        <v>0</v>
      </c>
      <c r="G92" s="194">
        <f ca="1">IF($L$2=0,0,SUM(OFFSET(Actual!$B94,0,$L$2,1,-$L$2+$H$2)))</f>
        <v>0</v>
      </c>
      <c r="H92" s="194">
        <f t="shared" ca="1" si="121"/>
        <v>0</v>
      </c>
      <c r="I92" s="195">
        <f t="shared" ca="1" si="122"/>
        <v>0</v>
      </c>
      <c r="J92" s="193">
        <f ca="1">IF($L$2=0,0,SUM(OFFSET(Forecast!$B94,0,$L$2,1,-$L$2)))</f>
        <v>0</v>
      </c>
      <c r="K92" s="194">
        <f ca="1">IF($L$2=0,0,SUM(OFFSET(Actual!$B94,0,$L$2,1,-$L$2)))</f>
        <v>0</v>
      </c>
      <c r="L92" s="194">
        <f t="shared" ca="1" si="123"/>
        <v>0</v>
      </c>
      <c r="M92" s="195">
        <f t="shared" ca="1" si="124"/>
        <v>0</v>
      </c>
    </row>
    <row r="93" spans="1:13" s="243" customFormat="1" ht="16.149999999999999" customHeight="1" thickBot="1" x14ac:dyDescent="0.25">
      <c r="A93" s="244" t="s">
        <v>67</v>
      </c>
      <c r="B93" s="249">
        <f ca="1">SUM(B90:B92)</f>
        <v>0</v>
      </c>
      <c r="C93" s="250">
        <f t="shared" ref="C93:D93" ca="1" si="125">SUM(C90:C92)</f>
        <v>0</v>
      </c>
      <c r="D93" s="251">
        <f t="shared" ca="1" si="125"/>
        <v>0</v>
      </c>
      <c r="E93" s="252">
        <f ca="1">IF(B93=0,IF(D93=0,0,-1),D93/ABS(B93))</f>
        <v>0</v>
      </c>
      <c r="F93" s="249">
        <f t="shared" ref="F93:H93" ca="1" si="126">SUM(F90:F92)</f>
        <v>-240000</v>
      </c>
      <c r="G93" s="250">
        <f t="shared" ca="1" si="126"/>
        <v>-250000</v>
      </c>
      <c r="H93" s="251">
        <f t="shared" ca="1" si="126"/>
        <v>-10000</v>
      </c>
      <c r="I93" s="252">
        <f ca="1">IF(F93=0,IF(H93=0,0,-1),H93/ABS(F93))</f>
        <v>-4.1666666666666664E-2</v>
      </c>
      <c r="J93" s="249">
        <f t="shared" ref="J93:L93" ca="1" si="127">SUM(J90:J92)</f>
        <v>-240000</v>
      </c>
      <c r="K93" s="250">
        <f t="shared" ca="1" si="127"/>
        <v>-250000</v>
      </c>
      <c r="L93" s="251">
        <f t="shared" ca="1" si="127"/>
        <v>-10000</v>
      </c>
      <c r="M93" s="252">
        <f ca="1">IF(J93=0,IF(L93=0,0,-1),L93/ABS(J93))</f>
        <v>-4.1666666666666664E-2</v>
      </c>
    </row>
    <row r="94" spans="1:13" s="253" customFormat="1" ht="16.149999999999999" customHeight="1" x14ac:dyDescent="0.2">
      <c r="A94" s="196" t="s">
        <v>68</v>
      </c>
      <c r="B94" s="213"/>
      <c r="C94" s="214"/>
      <c r="D94" s="214"/>
      <c r="E94" s="216"/>
      <c r="F94" s="213"/>
      <c r="G94" s="214"/>
      <c r="H94" s="214"/>
      <c r="I94" s="216"/>
      <c r="J94" s="213"/>
      <c r="K94" s="214"/>
      <c r="L94" s="214"/>
      <c r="M94" s="216"/>
    </row>
    <row r="95" spans="1:13" ht="16.149999999999999" customHeight="1" x14ac:dyDescent="0.25">
      <c r="A95" s="201" t="s">
        <v>69</v>
      </c>
      <c r="B95" s="193">
        <f ca="1">IF($L$2=0,0,OFFSET(Forecast!$B97,0,$L$2,1,1))</f>
        <v>0</v>
      </c>
      <c r="C95" s="194">
        <f ca="1">IF($L$2=0,0,OFFSET(Actual!$B97,0,$L$2,1,1))</f>
        <v>0</v>
      </c>
      <c r="D95" s="194">
        <f t="shared" ref="D95:D104" ca="1" si="128">C95-B95</f>
        <v>0</v>
      </c>
      <c r="E95" s="195">
        <f t="shared" ref="E95:E104" ca="1" si="129">IF(B95=0,IF(D95=0,0,-1),D95/ABS(B95))</f>
        <v>0</v>
      </c>
      <c r="F95" s="193">
        <f ca="1">IF($L$2=0,0,SUM(OFFSET(Forecast!$B97,0,$L$2,1,-$L$2+$H$2)))</f>
        <v>0</v>
      </c>
      <c r="G95" s="194">
        <f ca="1">IF($L$2=0,0,SUM(OFFSET(Actual!$B97,0,$L$2,1,-$L$2+$H$2)))</f>
        <v>0</v>
      </c>
      <c r="H95" s="194">
        <f t="shared" ref="H95:H104" ca="1" si="130">G95-F95</f>
        <v>0</v>
      </c>
      <c r="I95" s="195">
        <f t="shared" ref="I95:I104" ca="1" si="131">IF(F95=0,IF(H95=0,0,-1),H95/ABS(F95))</f>
        <v>0</v>
      </c>
      <c r="J95" s="193">
        <f ca="1">IF($L$2=0,0,SUM(OFFSET(Forecast!$B97,0,$L$2,1,-$L$2)))</f>
        <v>0</v>
      </c>
      <c r="K95" s="194">
        <f ca="1">IF($L$2=0,0,SUM(OFFSET(Actual!$B97,0,$L$2,1,-$L$2)))</f>
        <v>0</v>
      </c>
      <c r="L95" s="194">
        <f t="shared" ref="L95:L104" ca="1" si="132">K95-J95</f>
        <v>0</v>
      </c>
      <c r="M95" s="195">
        <f t="shared" ref="M95:M104" ca="1" si="133">IF(J95=0,IF(L95=0,0,-1),L95/ABS(J95))</f>
        <v>0</v>
      </c>
    </row>
    <row r="96" spans="1:13" ht="16.149999999999999" customHeight="1" x14ac:dyDescent="0.25">
      <c r="A96" s="201" t="s">
        <v>277</v>
      </c>
      <c r="B96" s="193">
        <f ca="1">IF($L$2=0,0,OFFSET(Forecast!$B98,0,$L$2,1,1))</f>
        <v>0</v>
      </c>
      <c r="C96" s="194">
        <f ca="1">IF($L$2=0,0,OFFSET(Actual!$B98,0,$L$2,1,1))</f>
        <v>0</v>
      </c>
      <c r="D96" s="194">
        <f t="shared" ref="D96" ca="1" si="134">C96-B96</f>
        <v>0</v>
      </c>
      <c r="E96" s="195">
        <f t="shared" ref="E96" ca="1" si="135">IF(B96=0,IF(D96=0,0,-1),D96/ABS(B96))</f>
        <v>0</v>
      </c>
      <c r="F96" s="193">
        <f ca="1">IF($L$2=0,0,SUM(OFFSET(Forecast!$B98,0,$L$2,1,-$L$2+$H$2)))</f>
        <v>0</v>
      </c>
      <c r="G96" s="194">
        <f ca="1">IF($L$2=0,0,SUM(OFFSET(Actual!$B98,0,$L$2,1,-$L$2+$H$2)))</f>
        <v>0</v>
      </c>
      <c r="H96" s="194">
        <f t="shared" ref="H96" ca="1" si="136">G96-F96</f>
        <v>0</v>
      </c>
      <c r="I96" s="195">
        <f t="shared" ref="I96" ca="1" si="137">IF(F96=0,IF(H96=0,0,-1),H96/ABS(F96))</f>
        <v>0</v>
      </c>
      <c r="J96" s="193">
        <f ca="1">IF($L$2=0,0,SUM(OFFSET(Forecast!$B98,0,$L$2,1,-$L$2)))</f>
        <v>0</v>
      </c>
      <c r="K96" s="194">
        <f ca="1">IF($L$2=0,0,SUM(OFFSET(Actual!$B98,0,$L$2,1,-$L$2)))</f>
        <v>0</v>
      </c>
      <c r="L96" s="194">
        <f t="shared" ref="L96" ca="1" si="138">K96-J96</f>
        <v>0</v>
      </c>
      <c r="M96" s="195">
        <f t="shared" ref="M96" ca="1" si="139">IF(J96=0,IF(L96=0,0,-1),L96/ABS(J96))</f>
        <v>0</v>
      </c>
    </row>
    <row r="97" spans="1:13" ht="16.149999999999999" customHeight="1" x14ac:dyDescent="0.25">
      <c r="A97" s="201" t="s">
        <v>227</v>
      </c>
      <c r="B97" s="193">
        <f ca="1">IF($L$2=0,0,OFFSET(Forecast!$B99,0,$L$2,1,1))</f>
        <v>0</v>
      </c>
      <c r="C97" s="194">
        <f ca="1">IF($L$2=0,0,OFFSET(Actual!$B99,0,$L$2,1,1))</f>
        <v>0</v>
      </c>
      <c r="D97" s="194">
        <f t="shared" ca="1" si="128"/>
        <v>0</v>
      </c>
      <c r="E97" s="195">
        <f t="shared" ca="1" si="129"/>
        <v>0</v>
      </c>
      <c r="F97" s="193">
        <f ca="1">IF($L$2=0,0,SUM(OFFSET(Forecast!$B99,0,$L$2,1,-$L$2+$H$2)))</f>
        <v>0</v>
      </c>
      <c r="G97" s="194">
        <f ca="1">IF($L$2=0,0,SUM(OFFSET(Actual!$B99,0,$L$2,1,-$L$2+$H$2)))</f>
        <v>0</v>
      </c>
      <c r="H97" s="194">
        <f t="shared" ca="1" si="130"/>
        <v>0</v>
      </c>
      <c r="I97" s="195">
        <f t="shared" ca="1" si="131"/>
        <v>0</v>
      </c>
      <c r="J97" s="193">
        <f ca="1">IF($L$2=0,0,SUM(OFFSET(Forecast!$B99,0,$L$2,1,-$L$2)))</f>
        <v>0</v>
      </c>
      <c r="K97" s="194">
        <f ca="1">IF($L$2=0,0,SUM(OFFSET(Actual!$B99,0,$L$2,1,-$L$2)))</f>
        <v>0</v>
      </c>
      <c r="L97" s="194">
        <f t="shared" ca="1" si="132"/>
        <v>0</v>
      </c>
      <c r="M97" s="195">
        <f t="shared" ca="1" si="133"/>
        <v>0</v>
      </c>
    </row>
    <row r="98" spans="1:13" ht="16.149999999999999" customHeight="1" x14ac:dyDescent="0.25">
      <c r="A98" s="201" t="s">
        <v>228</v>
      </c>
      <c r="B98" s="193">
        <f ca="1">IF($L$2=0,0,OFFSET(Forecast!$B100,0,$L$2,1,1))</f>
        <v>0</v>
      </c>
      <c r="C98" s="194">
        <f ca="1">IF($L$2=0,0,OFFSET(Actual!$B100,0,$L$2,1,1))</f>
        <v>0</v>
      </c>
      <c r="D98" s="194">
        <f t="shared" ca="1" si="128"/>
        <v>0</v>
      </c>
      <c r="E98" s="195">
        <f t="shared" ca="1" si="129"/>
        <v>0</v>
      </c>
      <c r="F98" s="193">
        <f ca="1">IF($L$2=0,0,SUM(OFFSET(Forecast!$B100,0,$L$2,1,-$L$2+$H$2)))</f>
        <v>0</v>
      </c>
      <c r="G98" s="194">
        <f ca="1">IF($L$2=0,0,SUM(OFFSET(Actual!$B100,0,$L$2,1,-$L$2+$H$2)))</f>
        <v>0</v>
      </c>
      <c r="H98" s="194">
        <f t="shared" ca="1" si="130"/>
        <v>0</v>
      </c>
      <c r="I98" s="195">
        <f t="shared" ca="1" si="131"/>
        <v>0</v>
      </c>
      <c r="J98" s="193">
        <f ca="1">IF($L$2=0,0,SUM(OFFSET(Forecast!$B100,0,$L$2,1,-$L$2)))</f>
        <v>100000</v>
      </c>
      <c r="K98" s="194">
        <f ca="1">IF($L$2=0,0,SUM(OFFSET(Actual!$B100,0,$L$2,1,-$L$2)))</f>
        <v>100000</v>
      </c>
      <c r="L98" s="194">
        <f t="shared" ca="1" si="132"/>
        <v>0</v>
      </c>
      <c r="M98" s="195">
        <f t="shared" ca="1" si="133"/>
        <v>0</v>
      </c>
    </row>
    <row r="99" spans="1:13" ht="16.149999999999999" customHeight="1" x14ac:dyDescent="0.25">
      <c r="A99" s="201" t="s">
        <v>229</v>
      </c>
      <c r="B99" s="193">
        <f ca="1">IF($L$2=0,0,OFFSET(Forecast!$B101,0,$L$2,1,1))</f>
        <v>0</v>
      </c>
      <c r="C99" s="194">
        <f ca="1">IF($L$2=0,0,OFFSET(Actual!$B101,0,$L$2,1,1))</f>
        <v>0</v>
      </c>
      <c r="D99" s="194">
        <f t="shared" ca="1" si="128"/>
        <v>0</v>
      </c>
      <c r="E99" s="195">
        <f t="shared" ca="1" si="129"/>
        <v>0</v>
      </c>
      <c r="F99" s="193">
        <f ca="1">IF($L$2=0,0,SUM(OFFSET(Forecast!$B101,0,$L$2,1,-$L$2+$H$2)))</f>
        <v>240000</v>
      </c>
      <c r="G99" s="194">
        <f ca="1">IF($L$2=0,0,SUM(OFFSET(Actual!$B101,0,$L$2,1,-$L$2+$H$2)))</f>
        <v>250000</v>
      </c>
      <c r="H99" s="194">
        <f t="shared" ca="1" si="130"/>
        <v>10000</v>
      </c>
      <c r="I99" s="195">
        <f t="shared" ca="1" si="131"/>
        <v>4.1666666666666664E-2</v>
      </c>
      <c r="J99" s="193">
        <f ca="1">IF($L$2=0,0,SUM(OFFSET(Forecast!$B101,0,$L$2,1,-$L$2)))</f>
        <v>240000</v>
      </c>
      <c r="K99" s="194">
        <f ca="1">IF($L$2=0,0,SUM(OFFSET(Actual!$B101,0,$L$2,1,-$L$2)))</f>
        <v>250000</v>
      </c>
      <c r="L99" s="194">
        <f t="shared" ca="1" si="132"/>
        <v>10000</v>
      </c>
      <c r="M99" s="195">
        <f t="shared" ca="1" si="133"/>
        <v>4.1666666666666664E-2</v>
      </c>
    </row>
    <row r="100" spans="1:13" ht="16.149999999999999" customHeight="1" x14ac:dyDescent="0.25">
      <c r="A100" s="201" t="s">
        <v>230</v>
      </c>
      <c r="B100" s="193">
        <f ca="1">IF($L$2=0,0,OFFSET(Forecast!$B102,0,$L$2,1,1))</f>
        <v>0</v>
      </c>
      <c r="C100" s="194">
        <f ca="1">IF($L$2=0,0,OFFSET(Actual!$B102,0,$L$2,1,1))</f>
        <v>0</v>
      </c>
      <c r="D100" s="194">
        <f t="shared" ca="1" si="128"/>
        <v>0</v>
      </c>
      <c r="E100" s="195">
        <f t="shared" ca="1" si="129"/>
        <v>0</v>
      </c>
      <c r="F100" s="193">
        <f ca="1">IF($L$2=0,0,SUM(OFFSET(Forecast!$B102,0,$L$2,1,-$L$2+$H$2)))</f>
        <v>0</v>
      </c>
      <c r="G100" s="194">
        <f ca="1">IF($L$2=0,0,SUM(OFFSET(Actual!$B102,0,$L$2,1,-$L$2+$H$2)))</f>
        <v>0</v>
      </c>
      <c r="H100" s="194">
        <f t="shared" ca="1" si="130"/>
        <v>0</v>
      </c>
      <c r="I100" s="195">
        <f t="shared" ca="1" si="131"/>
        <v>0</v>
      </c>
      <c r="J100" s="193">
        <f ca="1">IF($L$2=0,0,SUM(OFFSET(Forecast!$B102,0,$L$2,1,-$L$2)))</f>
        <v>0</v>
      </c>
      <c r="K100" s="194">
        <f ca="1">IF($L$2=0,0,SUM(OFFSET(Actual!$B102,0,$L$2,1,-$L$2)))</f>
        <v>0</v>
      </c>
      <c r="L100" s="194">
        <f t="shared" ca="1" si="132"/>
        <v>0</v>
      </c>
      <c r="M100" s="195">
        <f t="shared" ca="1" si="133"/>
        <v>0</v>
      </c>
    </row>
    <row r="101" spans="1:13" ht="16.149999999999999" customHeight="1" x14ac:dyDescent="0.25">
      <c r="A101" s="201" t="s">
        <v>231</v>
      </c>
      <c r="B101" s="193">
        <f ca="1">IF($L$2=0,0,OFFSET(Forecast!$B103,0,$L$2,1,1))</f>
        <v>0</v>
      </c>
      <c r="C101" s="194">
        <f ca="1">IF($L$2=0,0,OFFSET(Actual!$B103,0,$L$2,1,1))</f>
        <v>0</v>
      </c>
      <c r="D101" s="194">
        <f t="shared" ca="1" si="128"/>
        <v>0</v>
      </c>
      <c r="E101" s="195">
        <f t="shared" ca="1" si="129"/>
        <v>0</v>
      </c>
      <c r="F101" s="193">
        <f ca="1">IF($L$2=0,0,SUM(OFFSET(Forecast!$B103,0,$L$2,1,-$L$2+$H$2)))</f>
        <v>-18862.450795097793</v>
      </c>
      <c r="G101" s="194">
        <f ca="1">IF($L$2=0,0,SUM(OFFSET(Actual!$B103,0,$L$2,1,-$L$2+$H$2)))</f>
        <v>-18175.548130644951</v>
      </c>
      <c r="H101" s="194">
        <f t="shared" ca="1" si="130"/>
        <v>686.90266445284215</v>
      </c>
      <c r="I101" s="195">
        <f t="shared" ca="1" si="131"/>
        <v>3.6416405901578963E-2</v>
      </c>
      <c r="J101" s="193">
        <f ca="1">IF($L$2=0,0,SUM(OFFSET(Forecast!$B103,0,$L$2,1,-$L$2)))</f>
        <v>-72646.135303300558</v>
      </c>
      <c r="K101" s="194">
        <f ca="1">IF($L$2=0,0,SUM(OFFSET(Actual!$B103,0,$L$2,1,-$L$2)))</f>
        <v>-69810.035014047753</v>
      </c>
      <c r="L101" s="194">
        <f t="shared" ca="1" si="132"/>
        <v>2836.1002892528049</v>
      </c>
      <c r="M101" s="195">
        <f t="shared" ca="1" si="133"/>
        <v>3.9039933472193276E-2</v>
      </c>
    </row>
    <row r="102" spans="1:13" ht="16.149999999999999" customHeight="1" x14ac:dyDescent="0.25">
      <c r="A102" s="201" t="s">
        <v>232</v>
      </c>
      <c r="B102" s="193">
        <f ca="1">IF($L$2=0,0,OFFSET(Forecast!$B104,0,$L$2,1,1))</f>
        <v>0</v>
      </c>
      <c r="C102" s="194">
        <f ca="1">IF($L$2=0,0,OFFSET(Actual!$B104,0,$L$2,1,1))</f>
        <v>0</v>
      </c>
      <c r="D102" s="194">
        <f t="shared" ca="1" si="128"/>
        <v>0</v>
      </c>
      <c r="E102" s="195">
        <f t="shared" ca="1" si="129"/>
        <v>0</v>
      </c>
      <c r="F102" s="193">
        <f ca="1">IF($L$2=0,0,SUM(OFFSET(Forecast!$B104,0,$L$2,1,-$L$2+$H$2)))</f>
        <v>-13554.859816898232</v>
      </c>
      <c r="G102" s="194">
        <f ca="1">IF($L$2=0,0,SUM(OFFSET(Actual!$B104,0,$L$2,1,-$L$2+$H$2)))</f>
        <v>-13288.64124074846</v>
      </c>
      <c r="H102" s="194">
        <f t="shared" ca="1" si="130"/>
        <v>266.21857614977125</v>
      </c>
      <c r="I102" s="195">
        <f t="shared" ca="1" si="131"/>
        <v>1.9640083316677947E-2</v>
      </c>
      <c r="J102" s="193">
        <f ca="1">IF($L$2=0,0,SUM(OFFSET(Forecast!$B104,0,$L$2,1,-$L$2)))</f>
        <v>-44755.423059601708</v>
      </c>
      <c r="K102" s="194">
        <f ca="1">IF($L$2=0,0,SUM(OFFSET(Actual!$B104,0,$L$2,1,-$L$2)))</f>
        <v>-47889.435092424159</v>
      </c>
      <c r="L102" s="194">
        <f t="shared" ca="1" si="132"/>
        <v>-3134.0120328224511</v>
      </c>
      <c r="M102" s="195">
        <f t="shared" ca="1" si="133"/>
        <v>-7.0025302378413978E-2</v>
      </c>
    </row>
    <row r="103" spans="1:13" ht="16.149999999999999" customHeight="1" x14ac:dyDescent="0.25">
      <c r="A103" s="201" t="s">
        <v>233</v>
      </c>
      <c r="B103" s="193">
        <f ca="1">IF($L$2=0,0,OFFSET(Forecast!$B105,0,$L$2,1,1))</f>
        <v>0</v>
      </c>
      <c r="C103" s="194">
        <f ca="1">IF($L$2=0,0,OFFSET(Actual!$B105,0,$L$2,1,1))</f>
        <v>0</v>
      </c>
      <c r="D103" s="194">
        <f t="shared" ca="1" si="128"/>
        <v>0</v>
      </c>
      <c r="E103" s="195">
        <f t="shared" ca="1" si="129"/>
        <v>0</v>
      </c>
      <c r="F103" s="193">
        <f ca="1">IF($L$2=0,0,SUM(OFFSET(Forecast!$B105,0,$L$2,1,-$L$2+$H$2)))</f>
        <v>-2899.5051740998015</v>
      </c>
      <c r="G103" s="194">
        <f ca="1">IF($L$2=0,0,SUM(OFFSET(Actual!$B105,0,$L$2,1,-$L$2+$H$2)))</f>
        <v>-3102.3185103842698</v>
      </c>
      <c r="H103" s="194">
        <f t="shared" ca="1" si="130"/>
        <v>-202.81333628446828</v>
      </c>
      <c r="I103" s="195">
        <f t="shared" ca="1" si="131"/>
        <v>-6.9947568328597651E-2</v>
      </c>
      <c r="J103" s="193">
        <f ca="1">IF($L$2=0,0,SUM(OFFSET(Forecast!$B105,0,$L$2,1,-$L$2)))</f>
        <v>-2899.5051740998015</v>
      </c>
      <c r="K103" s="194">
        <f ca="1">IF($L$2=0,0,SUM(OFFSET(Actual!$B105,0,$L$2,1,-$L$2)))</f>
        <v>-3102.3185103842698</v>
      </c>
      <c r="L103" s="194">
        <f t="shared" ca="1" si="132"/>
        <v>-202.81333628446828</v>
      </c>
      <c r="M103" s="195">
        <f t="shared" ca="1" si="133"/>
        <v>-6.9947568328597651E-2</v>
      </c>
    </row>
    <row r="104" spans="1:13" ht="16.149999999999999" customHeight="1" x14ac:dyDescent="0.25">
      <c r="A104" s="201" t="s">
        <v>234</v>
      </c>
      <c r="B104" s="193">
        <f ca="1">IF($L$2=0,0,OFFSET(Forecast!$B106,0,$L$2,1,1))</f>
        <v>0</v>
      </c>
      <c r="C104" s="194">
        <f ca="1">IF($L$2=0,0,OFFSET(Actual!$B106,0,$L$2,1,1))</f>
        <v>0</v>
      </c>
      <c r="D104" s="194">
        <f t="shared" ca="1" si="128"/>
        <v>0</v>
      </c>
      <c r="E104" s="195">
        <f t="shared" ca="1" si="129"/>
        <v>0</v>
      </c>
      <c r="F104" s="193">
        <f ca="1">IF($L$2=0,0,SUM(OFFSET(Forecast!$B106,0,$L$2,1,-$L$2+$H$2)))</f>
        <v>-23151.459910700043</v>
      </c>
      <c r="G104" s="194">
        <f ca="1">IF($L$2=0,0,SUM(OFFSET(Actual!$B106,0,$L$2,1,-$L$2+$H$2)))</f>
        <v>-23297.937025446096</v>
      </c>
      <c r="H104" s="194">
        <f t="shared" ca="1" si="130"/>
        <v>-146.47711474605239</v>
      </c>
      <c r="I104" s="195">
        <f t="shared" ca="1" si="131"/>
        <v>-6.3269061783163931E-3</v>
      </c>
      <c r="J104" s="193">
        <f ca="1">IF($L$2=0,0,SUM(OFFSET(Forecast!$B106,0,$L$2,1,-$L$2)))</f>
        <v>-88760.716217221925</v>
      </c>
      <c r="K104" s="194">
        <f ca="1">IF($L$2=0,0,SUM(OFFSET(Actual!$B106,0,$L$2,1,-$L$2)))</f>
        <v>-89484.497953556245</v>
      </c>
      <c r="L104" s="194">
        <f t="shared" ca="1" si="132"/>
        <v>-723.78173633432016</v>
      </c>
      <c r="M104" s="195">
        <f t="shared" ca="1" si="133"/>
        <v>-8.1543025696528496E-3</v>
      </c>
    </row>
    <row r="105" spans="1:13" s="243" customFormat="1" ht="16.149999999999999" customHeight="1" thickBot="1" x14ac:dyDescent="0.25">
      <c r="A105" s="254" t="s">
        <v>70</v>
      </c>
      <c r="B105" s="255">
        <f ca="1">SUM(B95:B104)</f>
        <v>0</v>
      </c>
      <c r="C105" s="251">
        <f t="shared" ref="C105:D105" ca="1" si="140">SUM(C95:C104)</f>
        <v>0</v>
      </c>
      <c r="D105" s="251">
        <f t="shared" ca="1" si="140"/>
        <v>0</v>
      </c>
      <c r="E105" s="252">
        <f ca="1">IF(B105=0,IF(D105=0,0,-1),D105/ABS(B105))</f>
        <v>0</v>
      </c>
      <c r="F105" s="255">
        <f t="shared" ref="F105:H105" ca="1" si="141">SUM(F95:F104)</f>
        <v>181531.72430320413</v>
      </c>
      <c r="G105" s="251">
        <f t="shared" ca="1" si="141"/>
        <v>192135.55509277622</v>
      </c>
      <c r="H105" s="251">
        <f t="shared" ca="1" si="141"/>
        <v>10603.830789572094</v>
      </c>
      <c r="I105" s="252">
        <f ca="1">IF(F105=0,IF(H105=0,0,-1),H105/ABS(F105))</f>
        <v>5.8413100135935474E-2</v>
      </c>
      <c r="J105" s="255">
        <f t="shared" ref="J105:L105" ca="1" si="142">SUM(J95:J104)</f>
        <v>130938.220245776</v>
      </c>
      <c r="K105" s="251">
        <f t="shared" ca="1" si="142"/>
        <v>139713.71342958757</v>
      </c>
      <c r="L105" s="251">
        <f t="shared" ca="1" si="142"/>
        <v>8775.4931838115663</v>
      </c>
      <c r="M105" s="252">
        <f ca="1">IF(J105=0,IF(L105=0,0,-1),L105/ABS(J105))</f>
        <v>6.7020104346459219E-2</v>
      </c>
    </row>
    <row r="106" spans="1:13" ht="16.149999999999999" customHeight="1" x14ac:dyDescent="0.25">
      <c r="A106" s="201" t="s">
        <v>71</v>
      </c>
      <c r="B106" s="193">
        <f ca="1">SUM(B88,B93,B105)</f>
        <v>19561.756120304737</v>
      </c>
      <c r="C106" s="194">
        <f ca="1">SUM(C88,C93,C105)</f>
        <v>98974.003200000065</v>
      </c>
      <c r="D106" s="194">
        <f ca="1">SUM(D88,D93,D105)</f>
        <v>79412.247079695342</v>
      </c>
      <c r="E106" s="195">
        <f ca="1">IF(B106=0,IF(D106=0,0,-1),D106/ABS(B106))</f>
        <v>4.0595663595492288</v>
      </c>
      <c r="F106" s="193">
        <f ca="1">SUM(F88,F93,F105)</f>
        <v>151478.94405540047</v>
      </c>
      <c r="G106" s="194">
        <f ca="1">SUM(G88,G93,G105)</f>
        <v>236913.81436649294</v>
      </c>
      <c r="H106" s="194">
        <f ca="1">SUM(H88,H93,H105)</f>
        <v>85434.870311092469</v>
      </c>
      <c r="I106" s="195">
        <f ca="1">IF(F106=0,IF(H106=0,0,-1),H106/ABS(F106))</f>
        <v>0.56400492387804291</v>
      </c>
      <c r="J106" s="193">
        <f ca="1">SUM(J88,J93,J105)</f>
        <v>507773.59862691141</v>
      </c>
      <c r="K106" s="194">
        <f ca="1">SUM(K88,K93,K105)</f>
        <v>647506.46170747583</v>
      </c>
      <c r="L106" s="194">
        <f ca="1">SUM(L88,L93,L105)</f>
        <v>139732.86308056442</v>
      </c>
      <c r="M106" s="195">
        <f ca="1">IF(J106=0,IF(L106=0,0,-1),L106/ABS(J106))</f>
        <v>0.2751873343915891</v>
      </c>
    </row>
    <row r="107" spans="1:13" ht="16.149999999999999" customHeight="1" x14ac:dyDescent="0.25">
      <c r="A107" s="201" t="s">
        <v>72</v>
      </c>
      <c r="B107" s="193">
        <f ca="1">IF($L$2=0,0,OFFSET(Forecast!$B109,0,$L$2,1,1))</f>
        <v>659211.8425066066</v>
      </c>
      <c r="C107" s="194">
        <f ca="1">IF($L$2=0,0,OFFSET(Actual!$B109,0,$L$2,1,1))</f>
        <v>719532.45850747544</v>
      </c>
      <c r="D107" s="174">
        <f ca="1">C107-B107</f>
        <v>60320.616000868846</v>
      </c>
      <c r="E107" s="195">
        <f ca="1">IF(B107=0,IF(D107=0,0,-1),D107/ABS(B107))</f>
        <v>9.1504144967274784E-2</v>
      </c>
      <c r="F107" s="194">
        <f ca="1">IF($L$2=0,0,SUM(OFFSET(Forecast!$B$109,0,1+$H$2,1,1)))</f>
        <v>527294.65457151097</v>
      </c>
      <c r="G107" s="194">
        <f ca="1">IF($L$2=0,0,SUM(OFFSET(Actual!$B$109,0,1+$H$2,1,1)))</f>
        <v>581592.6473409828</v>
      </c>
      <c r="H107" s="174">
        <f ca="1">G107-F107</f>
        <v>54297.992769471835</v>
      </c>
      <c r="I107" s="195">
        <f ca="1">IF(F107=0,IF(H107=0,0,-1),H107/ABS(F107))</f>
        <v>0.10297466947317217</v>
      </c>
      <c r="J107" s="194">
        <f ca="1">IF($L$2=0,0,SUM(OFFSET(Forecast!$B$109,0,1,1,1)))</f>
        <v>171000</v>
      </c>
      <c r="K107" s="194">
        <f ca="1">IF($L$2=0,0,SUM(OFFSET(Actual!$B$109,0,1,1,1)))</f>
        <v>171000</v>
      </c>
      <c r="L107" s="174">
        <f ca="1">K107-J107</f>
        <v>0</v>
      </c>
      <c r="M107" s="195">
        <f ca="1">IF(J107=0,IF(L107=0,0,-1),L107/ABS(J107))</f>
        <v>0</v>
      </c>
    </row>
    <row r="108" spans="1:13" s="200" customFormat="1" ht="16.149999999999999" customHeight="1" thickBot="1" x14ac:dyDescent="0.25">
      <c r="A108" s="167" t="s">
        <v>73</v>
      </c>
      <c r="B108" s="256">
        <f ca="1">SUM(B106,B107)</f>
        <v>678773.59862691129</v>
      </c>
      <c r="C108" s="257">
        <f ca="1">SUM(C106,C107)</f>
        <v>818506.46170747548</v>
      </c>
      <c r="D108" s="257">
        <f ca="1">SUM(D106,D107)</f>
        <v>139732.86308056419</v>
      </c>
      <c r="E108" s="258">
        <f ca="1">IF(B108=0,IF(D108=0,0,-1),D108/ABS(B108))</f>
        <v>0.20586078091904178</v>
      </c>
      <c r="F108" s="256">
        <f ca="1">SUM(F106,F107)</f>
        <v>678773.59862691141</v>
      </c>
      <c r="G108" s="257">
        <f ca="1">SUM(G106,G107)</f>
        <v>818506.46170747571</v>
      </c>
      <c r="H108" s="257">
        <f ca="1">SUM(H106,H107)</f>
        <v>139732.8630805643</v>
      </c>
      <c r="I108" s="258">
        <f ca="1">IF(F108=0,IF(H108=0,0,-1),H108/ABS(F108))</f>
        <v>0.20586078091904192</v>
      </c>
      <c r="J108" s="256">
        <f ca="1">SUM(J106,J107)</f>
        <v>678773.59862691141</v>
      </c>
      <c r="K108" s="257">
        <f ca="1">SUM(K106,K107)</f>
        <v>818506.46170747583</v>
      </c>
      <c r="L108" s="257">
        <f ca="1">SUM(L106,L107)</f>
        <v>139732.86308056442</v>
      </c>
      <c r="M108" s="258">
        <f ca="1">IF(J108=0,IF(L108=0,0,-1),L108/ABS(J108))</f>
        <v>0.20586078091904209</v>
      </c>
    </row>
    <row r="109" spans="1:13" s="259" customFormat="1" ht="16.149999999999999" customHeight="1" thickTop="1" x14ac:dyDescent="0.25">
      <c r="A109" s="233"/>
      <c r="B109" s="194"/>
      <c r="C109" s="194"/>
      <c r="D109" s="194"/>
      <c r="E109" s="240"/>
      <c r="F109" s="194"/>
      <c r="G109" s="194"/>
      <c r="H109" s="194"/>
      <c r="I109" s="240"/>
      <c r="J109" s="194"/>
      <c r="K109" s="194"/>
      <c r="L109" s="194"/>
      <c r="M109" s="240"/>
    </row>
    <row r="110" spans="1:13" s="181" customFormat="1" ht="18" customHeight="1" x14ac:dyDescent="0.25">
      <c r="A110" s="241"/>
      <c r="B110" s="334" t="str">
        <f ca="1">B65</f>
        <v>Week 52</v>
      </c>
      <c r="C110" s="335"/>
      <c r="D110" s="335"/>
      <c r="E110" s="336"/>
      <c r="F110" s="334" t="str">
        <f ca="1">"Quarter "&amp;$I$2</f>
        <v>Quarter 4</v>
      </c>
      <c r="G110" s="335"/>
      <c r="H110" s="335"/>
      <c r="I110" s="336"/>
      <c r="J110" s="337" t="s">
        <v>106</v>
      </c>
      <c r="K110" s="338"/>
      <c r="L110" s="338"/>
      <c r="M110" s="339"/>
    </row>
    <row r="111" spans="1:13" s="187" customFormat="1" ht="18" customHeight="1" x14ac:dyDescent="0.25">
      <c r="A111" s="182" t="s">
        <v>113</v>
      </c>
      <c r="B111" s="183" t="s">
        <v>108</v>
      </c>
      <c r="C111" s="183" t="s">
        <v>109</v>
      </c>
      <c r="D111" s="183" t="s">
        <v>110</v>
      </c>
      <c r="E111" s="184" t="s">
        <v>111</v>
      </c>
      <c r="F111" s="185" t="s">
        <v>108</v>
      </c>
      <c r="G111" s="186" t="s">
        <v>109</v>
      </c>
      <c r="H111" s="183" t="s">
        <v>110</v>
      </c>
      <c r="I111" s="184" t="s">
        <v>111</v>
      </c>
      <c r="J111" s="185" t="s">
        <v>108</v>
      </c>
      <c r="K111" s="186" t="s">
        <v>109</v>
      </c>
      <c r="L111" s="183" t="s">
        <v>110</v>
      </c>
      <c r="M111" s="184" t="s">
        <v>111</v>
      </c>
    </row>
    <row r="112" spans="1:13" ht="16.149999999999999" customHeight="1" x14ac:dyDescent="0.25">
      <c r="A112" s="260" t="s">
        <v>235</v>
      </c>
      <c r="B112" s="193"/>
      <c r="E112" s="195"/>
      <c r="F112" s="193"/>
      <c r="G112" s="174"/>
      <c r="I112" s="195"/>
      <c r="J112" s="193"/>
      <c r="K112" s="174"/>
      <c r="L112" s="174"/>
      <c r="M112" s="195"/>
    </row>
    <row r="113" spans="1:13" ht="16.149999999999999" customHeight="1" x14ac:dyDescent="0.25">
      <c r="A113" s="260" t="s">
        <v>236</v>
      </c>
      <c r="B113" s="193"/>
      <c r="E113" s="195"/>
      <c r="F113" s="193"/>
      <c r="G113" s="174"/>
      <c r="I113" s="195"/>
      <c r="J113" s="193"/>
      <c r="K113" s="174"/>
      <c r="L113" s="174"/>
      <c r="M113" s="195"/>
    </row>
    <row r="114" spans="1:13" s="174" customFormat="1" ht="16.149999999999999" customHeight="1" x14ac:dyDescent="0.25">
      <c r="A114" s="242" t="s">
        <v>48</v>
      </c>
      <c r="B114" s="193">
        <f ca="1">IF($L$2=0,0,OFFSET(BS!$C7,0,MATCH(Report!$L$1,Months,0),1,1))</f>
        <v>1102000</v>
      </c>
      <c r="C114" s="194">
        <f ca="1">IF($L$2=0,0,OFFSET(BS!$C51,0,MATCH(Report!$L$1,Months,0),1,1))</f>
        <v>1115000</v>
      </c>
      <c r="D114" s="174">
        <f ca="1">C114-B114</f>
        <v>13000</v>
      </c>
      <c r="E114" s="195">
        <f ca="1">IF(B114=0,IF(D114=0,0,-1),D114/ABS(B114))</f>
        <v>1.1796733212341199E-2</v>
      </c>
      <c r="F114" s="193">
        <f ca="1">B114</f>
        <v>1102000</v>
      </c>
      <c r="G114" s="194">
        <f ca="1">C114</f>
        <v>1115000</v>
      </c>
      <c r="H114" s="174">
        <f ca="1">G114-F114</f>
        <v>13000</v>
      </c>
      <c r="I114" s="195">
        <f ca="1">IF(F114=0,IF(H114=0,0,-1),H114/ABS(F114))</f>
        <v>1.1796733212341199E-2</v>
      </c>
      <c r="J114" s="193">
        <f ca="1">B114</f>
        <v>1102000</v>
      </c>
      <c r="K114" s="194">
        <f ca="1">C114</f>
        <v>1115000</v>
      </c>
      <c r="L114" s="174">
        <f ca="1">K114-J114</f>
        <v>13000</v>
      </c>
      <c r="M114" s="195">
        <f ca="1">IF(J114=0,IF(L114=0,0,-1),L114/ABS(J114))</f>
        <v>1.1796733212341199E-2</v>
      </c>
    </row>
    <row r="115" spans="1:13" s="174" customFormat="1" ht="16.149999999999999" customHeight="1" x14ac:dyDescent="0.25">
      <c r="A115" s="242" t="s">
        <v>175</v>
      </c>
      <c r="B115" s="193">
        <f ca="1">IF($L$2=0,0,OFFSET(BS!$C8,0,MATCH(Report!$L$1,Months,0),1,1))</f>
        <v>108000</v>
      </c>
      <c r="C115" s="194">
        <f ca="1">IF($L$2=0,0,OFFSET(BS!$C52,0,MATCH(Report!$L$1,Months,0),1,1))</f>
        <v>108000</v>
      </c>
      <c r="D115" s="174">
        <f t="shared" ref="D115:D116" ca="1" si="143">C115-B115</f>
        <v>0</v>
      </c>
      <c r="E115" s="195">
        <f t="shared" ref="E115:E116" ca="1" si="144">IF(B115=0,IF(D115=0,0,-1),D115/ABS(B115))</f>
        <v>0</v>
      </c>
      <c r="F115" s="193">
        <f t="shared" ref="F115:F116" ca="1" si="145">B115</f>
        <v>108000</v>
      </c>
      <c r="G115" s="194">
        <f t="shared" ref="G115:G116" ca="1" si="146">C115</f>
        <v>108000</v>
      </c>
      <c r="H115" s="174">
        <f t="shared" ref="H115:H116" ca="1" si="147">G115-F115</f>
        <v>0</v>
      </c>
      <c r="I115" s="195">
        <f t="shared" ref="I115:I116" ca="1" si="148">IF(F115=0,IF(H115=0,0,-1),H115/ABS(F115))</f>
        <v>0</v>
      </c>
      <c r="J115" s="193">
        <f t="shared" ref="J115:J116" ca="1" si="149">B115</f>
        <v>108000</v>
      </c>
      <c r="K115" s="194">
        <f t="shared" ref="K115:K116" ca="1" si="150">C115</f>
        <v>108000</v>
      </c>
      <c r="L115" s="174">
        <f t="shared" ref="L115:L116" ca="1" si="151">K115-J115</f>
        <v>0</v>
      </c>
      <c r="M115" s="195">
        <f t="shared" ref="M115:M116" ca="1" si="152">IF(J115=0,IF(L115=0,0,-1),L115/ABS(J115))</f>
        <v>0</v>
      </c>
    </row>
    <row r="116" spans="1:13" s="174" customFormat="1" ht="16.149999999999999" customHeight="1" x14ac:dyDescent="0.25">
      <c r="A116" s="242" t="s">
        <v>176</v>
      </c>
      <c r="B116" s="193">
        <f ca="1">IF($L$2=0,0,OFFSET(BS!$C9,0,MATCH(Report!$L$1,Months,0),1,1))</f>
        <v>800000</v>
      </c>
      <c r="C116" s="194">
        <f ca="1">IF($L$2=0,0,OFFSET(BS!$C53,0,MATCH(Report!$L$1,Months,0),1,1))</f>
        <v>800000</v>
      </c>
      <c r="D116" s="174">
        <f t="shared" ca="1" si="143"/>
        <v>0</v>
      </c>
      <c r="E116" s="195">
        <f t="shared" ca="1" si="144"/>
        <v>0</v>
      </c>
      <c r="F116" s="193">
        <f t="shared" ca="1" si="145"/>
        <v>800000</v>
      </c>
      <c r="G116" s="194">
        <f t="shared" ca="1" si="146"/>
        <v>800000</v>
      </c>
      <c r="H116" s="174">
        <f t="shared" ca="1" si="147"/>
        <v>0</v>
      </c>
      <c r="I116" s="195">
        <f t="shared" ca="1" si="148"/>
        <v>0</v>
      </c>
      <c r="J116" s="193">
        <f t="shared" ca="1" si="149"/>
        <v>800000</v>
      </c>
      <c r="K116" s="194">
        <f t="shared" ca="1" si="150"/>
        <v>800000</v>
      </c>
      <c r="L116" s="174">
        <f t="shared" ca="1" si="151"/>
        <v>0</v>
      </c>
      <c r="M116" s="195">
        <f t="shared" ca="1" si="152"/>
        <v>0</v>
      </c>
    </row>
    <row r="117" spans="1:13" s="174" customFormat="1" ht="16.149999999999999" customHeight="1" thickBot="1" x14ac:dyDescent="0.3">
      <c r="A117" s="242"/>
      <c r="B117" s="261">
        <f ca="1">SUM(B114:B116)</f>
        <v>2010000</v>
      </c>
      <c r="C117" s="262">
        <f t="shared" ref="C117:D117" ca="1" si="153">SUM(C114:C116)</f>
        <v>2023000</v>
      </c>
      <c r="D117" s="262">
        <f t="shared" ca="1" si="153"/>
        <v>13000</v>
      </c>
      <c r="E117" s="263">
        <f ca="1">IF(B117=0,IF(D117=0,0,-1),D117/ABS(B117))</f>
        <v>6.4676616915422883E-3</v>
      </c>
      <c r="F117" s="261">
        <f t="shared" ref="F117:H117" ca="1" si="154">SUM(F114:F116)</f>
        <v>2010000</v>
      </c>
      <c r="G117" s="262">
        <f t="shared" ca="1" si="154"/>
        <v>2023000</v>
      </c>
      <c r="H117" s="262">
        <f t="shared" ca="1" si="154"/>
        <v>13000</v>
      </c>
      <c r="I117" s="263">
        <f ca="1">IF(F117=0,IF(H117=0,0,-1),H117/ABS(F117))</f>
        <v>6.4676616915422883E-3</v>
      </c>
      <c r="J117" s="261">
        <f t="shared" ref="J117:L117" ca="1" si="155">SUM(J114:J116)</f>
        <v>2010000</v>
      </c>
      <c r="K117" s="262">
        <f t="shared" ca="1" si="155"/>
        <v>2023000</v>
      </c>
      <c r="L117" s="262">
        <f t="shared" ca="1" si="155"/>
        <v>13000</v>
      </c>
      <c r="M117" s="263">
        <f ca="1">IF(J117=0,IF(L117=0,0,-1),L117/ABS(J117))</f>
        <v>6.4676616915422883E-3</v>
      </c>
    </row>
    <row r="118" spans="1:13" s="215" customFormat="1" ht="16.149999999999999" customHeight="1" x14ac:dyDescent="0.2">
      <c r="A118" s="264" t="s">
        <v>34</v>
      </c>
      <c r="B118" s="213"/>
      <c r="C118" s="214"/>
      <c r="E118" s="216"/>
      <c r="F118" s="213"/>
      <c r="G118" s="214"/>
      <c r="I118" s="216"/>
      <c r="J118" s="213"/>
      <c r="K118" s="214"/>
      <c r="M118" s="216"/>
    </row>
    <row r="119" spans="1:13" s="174" customFormat="1" ht="16.149999999999999" customHeight="1" x14ac:dyDescent="0.25">
      <c r="A119" s="242" t="s">
        <v>25</v>
      </c>
      <c r="B119" s="193">
        <f ca="1">IF($L$2=0,0,OFFSET(BS!$C12,0,MATCH(Report!$L$1,Months,0),1,1))</f>
        <v>201908.57142857142</v>
      </c>
      <c r="C119" s="194">
        <f ca="1">IF($L$2=0,0,OFFSET(BS!$C56,0,MATCH(Report!$L$1,Months,0),1,1))</f>
        <v>223700</v>
      </c>
      <c r="D119" s="174">
        <f t="shared" ref="D119:D123" ca="1" si="156">C119-B119</f>
        <v>21791.42857142858</v>
      </c>
      <c r="E119" s="195">
        <f t="shared" ref="E119:E123" ca="1" si="157">IF(B119=0,IF(D119=0,0,-1),D119/ABS(B119))</f>
        <v>0.10792720892058645</v>
      </c>
      <c r="F119" s="193">
        <f t="shared" ref="F119:F123" ca="1" si="158">B119</f>
        <v>201908.57142857142</v>
      </c>
      <c r="G119" s="194">
        <f t="shared" ref="G119:G123" ca="1" si="159">C119</f>
        <v>223700</v>
      </c>
      <c r="H119" s="174">
        <f t="shared" ref="H119:H123" ca="1" si="160">G119-F119</f>
        <v>21791.42857142858</v>
      </c>
      <c r="I119" s="195">
        <f t="shared" ref="I119:I123" ca="1" si="161">IF(F119=0,IF(H119=0,0,-1),H119/ABS(F119))</f>
        <v>0.10792720892058645</v>
      </c>
      <c r="J119" s="193">
        <f t="shared" ref="J119:J123" ca="1" si="162">B119</f>
        <v>201908.57142857142</v>
      </c>
      <c r="K119" s="194">
        <f t="shared" ref="K119:K123" ca="1" si="163">C119</f>
        <v>223700</v>
      </c>
      <c r="L119" s="174">
        <f t="shared" ref="L119:L123" ca="1" si="164">K119-J119</f>
        <v>21791.42857142858</v>
      </c>
      <c r="M119" s="195">
        <f t="shared" ref="M119:M123" ca="1" si="165">IF(J119=0,IF(L119=0,0,-1),L119/ABS(J119))</f>
        <v>0.10792720892058645</v>
      </c>
    </row>
    <row r="120" spans="1:13" s="174" customFormat="1" ht="16.149999999999999" customHeight="1" x14ac:dyDescent="0.25">
      <c r="A120" s="242" t="s">
        <v>179</v>
      </c>
      <c r="B120" s="193">
        <f ca="1">IF($L$2=0,0,OFFSET(BS!$C13,0,MATCH(Report!$L$1,Months,0),1,1))</f>
        <v>460198.8952380952</v>
      </c>
      <c r="C120" s="194">
        <f ca="1">IF($L$2=0,0,OFFSET(BS!$C57,0,MATCH(Report!$L$1,Months,0),1,1))</f>
        <v>453500</v>
      </c>
      <c r="D120" s="174">
        <f t="shared" ca="1" si="156"/>
        <v>-6698.895238095196</v>
      </c>
      <c r="E120" s="195">
        <f t="shared" ca="1" si="157"/>
        <v>-1.4556521772242322E-2</v>
      </c>
      <c r="F120" s="193">
        <f t="shared" ca="1" si="158"/>
        <v>460198.8952380952</v>
      </c>
      <c r="G120" s="194">
        <f t="shared" ca="1" si="159"/>
        <v>453500</v>
      </c>
      <c r="H120" s="174">
        <f t="shared" ca="1" si="160"/>
        <v>-6698.895238095196</v>
      </c>
      <c r="I120" s="195">
        <f t="shared" ca="1" si="161"/>
        <v>-1.4556521772242322E-2</v>
      </c>
      <c r="J120" s="193">
        <f t="shared" ca="1" si="162"/>
        <v>460198.8952380952</v>
      </c>
      <c r="K120" s="194">
        <f t="shared" ca="1" si="163"/>
        <v>453500</v>
      </c>
      <c r="L120" s="174">
        <f t="shared" ca="1" si="164"/>
        <v>-6698.895238095196</v>
      </c>
      <c r="M120" s="195">
        <f t="shared" ca="1" si="165"/>
        <v>-1.4556521772242322E-2</v>
      </c>
    </row>
    <row r="121" spans="1:13" s="174" customFormat="1" ht="16.149999999999999" customHeight="1" x14ac:dyDescent="0.25">
      <c r="A121" s="242" t="s">
        <v>130</v>
      </c>
      <c r="B121" s="193">
        <f ca="1">IF($L$2=0,0,OFFSET(BS!$C14,0,MATCH(Report!$L$1,Months,0),1,1))</f>
        <v>55000</v>
      </c>
      <c r="C121" s="194">
        <f ca="1">IF($L$2=0,0,OFFSET(BS!$C58,0,MATCH(Report!$L$1,Months,0),1,1))</f>
        <v>65000</v>
      </c>
      <c r="D121" s="174">
        <f t="shared" ca="1" si="156"/>
        <v>10000</v>
      </c>
      <c r="E121" s="195">
        <f t="shared" ca="1" si="157"/>
        <v>0.18181818181818182</v>
      </c>
      <c r="F121" s="193">
        <f t="shared" ca="1" si="158"/>
        <v>55000</v>
      </c>
      <c r="G121" s="194">
        <f t="shared" ca="1" si="159"/>
        <v>65000</v>
      </c>
      <c r="H121" s="174">
        <f t="shared" ca="1" si="160"/>
        <v>10000</v>
      </c>
      <c r="I121" s="195">
        <f t="shared" ca="1" si="161"/>
        <v>0.18181818181818182</v>
      </c>
      <c r="J121" s="193">
        <f t="shared" ca="1" si="162"/>
        <v>55000</v>
      </c>
      <c r="K121" s="194">
        <f t="shared" ca="1" si="163"/>
        <v>65000</v>
      </c>
      <c r="L121" s="174">
        <f t="shared" ca="1" si="164"/>
        <v>10000</v>
      </c>
      <c r="M121" s="195">
        <f t="shared" ca="1" si="165"/>
        <v>0.18181818181818182</v>
      </c>
    </row>
    <row r="122" spans="1:13" s="174" customFormat="1" ht="16.149999999999999" customHeight="1" x14ac:dyDescent="0.25">
      <c r="A122" s="242" t="s">
        <v>132</v>
      </c>
      <c r="B122" s="193">
        <f ca="1">IF($L$2=0,0,OFFSET(BS!$C15,0,MATCH(Report!$L$1,Months,0),1,1))</f>
        <v>53000</v>
      </c>
      <c r="C122" s="194">
        <f ca="1">IF($L$2=0,0,OFFSET(BS!$C59,0,MATCH(Report!$L$1,Months,0),1,1))</f>
        <v>50000</v>
      </c>
      <c r="D122" s="174">
        <f t="shared" ca="1" si="156"/>
        <v>-3000</v>
      </c>
      <c r="E122" s="195">
        <f t="shared" ca="1" si="157"/>
        <v>-5.6603773584905662E-2</v>
      </c>
      <c r="F122" s="193">
        <f t="shared" ca="1" si="158"/>
        <v>53000</v>
      </c>
      <c r="G122" s="194">
        <f t="shared" ca="1" si="159"/>
        <v>50000</v>
      </c>
      <c r="H122" s="174">
        <f t="shared" ca="1" si="160"/>
        <v>-3000</v>
      </c>
      <c r="I122" s="195">
        <f t="shared" ca="1" si="161"/>
        <v>-5.6603773584905662E-2</v>
      </c>
      <c r="J122" s="193">
        <f t="shared" ca="1" si="162"/>
        <v>53000</v>
      </c>
      <c r="K122" s="194">
        <f t="shared" ca="1" si="163"/>
        <v>50000</v>
      </c>
      <c r="L122" s="174">
        <f t="shared" ca="1" si="164"/>
        <v>-3000</v>
      </c>
      <c r="M122" s="195">
        <f t="shared" ca="1" si="165"/>
        <v>-5.6603773584905662E-2</v>
      </c>
    </row>
    <row r="123" spans="1:13" s="174" customFormat="1" ht="16.149999999999999" customHeight="1" x14ac:dyDescent="0.25">
      <c r="A123" s="242" t="s">
        <v>181</v>
      </c>
      <c r="B123" s="193">
        <f ca="1">IF($L$2=0,0,OFFSET(BS!$C16,0,MATCH(Report!$L$1,Months,0),1,1))</f>
        <v>678773.59862691129</v>
      </c>
      <c r="C123" s="194">
        <f ca="1">IF($L$2=0,0,OFFSET(BS!$C60,0,MATCH(Report!$L$1,Months,0),1,1))</f>
        <v>818506.46170747548</v>
      </c>
      <c r="D123" s="174">
        <f t="shared" ca="1" si="156"/>
        <v>139732.86308056419</v>
      </c>
      <c r="E123" s="195">
        <f t="shared" ca="1" si="157"/>
        <v>0.20586078091904178</v>
      </c>
      <c r="F123" s="193">
        <f t="shared" ca="1" si="158"/>
        <v>678773.59862691129</v>
      </c>
      <c r="G123" s="194">
        <f t="shared" ca="1" si="159"/>
        <v>818506.46170747548</v>
      </c>
      <c r="H123" s="174">
        <f t="shared" ca="1" si="160"/>
        <v>139732.86308056419</v>
      </c>
      <c r="I123" s="195">
        <f t="shared" ca="1" si="161"/>
        <v>0.20586078091904178</v>
      </c>
      <c r="J123" s="193">
        <f t="shared" ca="1" si="162"/>
        <v>678773.59862691129</v>
      </c>
      <c r="K123" s="194">
        <f t="shared" ca="1" si="163"/>
        <v>818506.46170747548</v>
      </c>
      <c r="L123" s="174">
        <f t="shared" ca="1" si="164"/>
        <v>139732.86308056419</v>
      </c>
      <c r="M123" s="195">
        <f t="shared" ca="1" si="165"/>
        <v>0.20586078091904178</v>
      </c>
    </row>
    <row r="124" spans="1:13" s="174" customFormat="1" ht="16.149999999999999" customHeight="1" thickBot="1" x14ac:dyDescent="0.3">
      <c r="A124" s="242"/>
      <c r="B124" s="261">
        <f ca="1">SUM(B119:B123)</f>
        <v>1448881.065293578</v>
      </c>
      <c r="C124" s="262">
        <f t="shared" ref="C124:D124" ca="1" si="166">SUM(C119:C123)</f>
        <v>1610706.4617074756</v>
      </c>
      <c r="D124" s="262">
        <f t="shared" ca="1" si="166"/>
        <v>161825.39641389757</v>
      </c>
      <c r="E124" s="263">
        <f ca="1">IF(B124=0,IF(D124=0,0,-1),D124/ABS(B124))</f>
        <v>0.11168991043520048</v>
      </c>
      <c r="F124" s="261">
        <f t="shared" ref="F124:H124" ca="1" si="167">SUM(F119:F123)</f>
        <v>1448881.065293578</v>
      </c>
      <c r="G124" s="262">
        <f t="shared" ca="1" si="167"/>
        <v>1610706.4617074756</v>
      </c>
      <c r="H124" s="262">
        <f t="shared" ca="1" si="167"/>
        <v>161825.39641389757</v>
      </c>
      <c r="I124" s="263">
        <f ca="1">IF(F124=0,IF(H124=0,0,-1),H124/ABS(F124))</f>
        <v>0.11168991043520048</v>
      </c>
      <c r="J124" s="261">
        <f t="shared" ref="J124:L124" ca="1" si="168">SUM(J119:J123)</f>
        <v>1448881.065293578</v>
      </c>
      <c r="K124" s="262">
        <f t="shared" ca="1" si="168"/>
        <v>1610706.4617074756</v>
      </c>
      <c r="L124" s="262">
        <f t="shared" ca="1" si="168"/>
        <v>161825.39641389757</v>
      </c>
      <c r="M124" s="263">
        <f ca="1">IF(J124=0,IF(L124=0,0,-1),L124/ABS(J124))</f>
        <v>0.11168991043520048</v>
      </c>
    </row>
    <row r="125" spans="1:13" s="215" customFormat="1" ht="16.149999999999999" customHeight="1" thickBot="1" x14ac:dyDescent="0.25">
      <c r="A125" s="264" t="s">
        <v>114</v>
      </c>
      <c r="B125" s="265">
        <f ca="1">SUM(B117,B124)</f>
        <v>3458881.065293578</v>
      </c>
      <c r="C125" s="266">
        <f t="shared" ref="C125:D125" ca="1" si="169">SUM(C117,C124)</f>
        <v>3633706.4617074756</v>
      </c>
      <c r="D125" s="266">
        <f t="shared" ca="1" si="169"/>
        <v>174825.39641389757</v>
      </c>
      <c r="E125" s="267">
        <f ca="1">IF(B125=0,IF(D125=0,0,-1),D125/ABS(B125))</f>
        <v>5.0543916692625278E-2</v>
      </c>
      <c r="F125" s="265">
        <f t="shared" ref="F125:H125" ca="1" si="170">SUM(F117,F124)</f>
        <v>3458881.065293578</v>
      </c>
      <c r="G125" s="266">
        <f t="shared" ca="1" si="170"/>
        <v>3633706.4617074756</v>
      </c>
      <c r="H125" s="266">
        <f t="shared" ca="1" si="170"/>
        <v>174825.39641389757</v>
      </c>
      <c r="I125" s="267">
        <f ca="1">IF(F125=0,IF(H125=0,0,-1),H125/ABS(F125))</f>
        <v>5.0543916692625278E-2</v>
      </c>
      <c r="J125" s="265">
        <f t="shared" ref="J125:L125" ca="1" si="171">SUM(J117,J124)</f>
        <v>3458881.065293578</v>
      </c>
      <c r="K125" s="266">
        <f t="shared" ca="1" si="171"/>
        <v>3633706.4617074756</v>
      </c>
      <c r="L125" s="266">
        <f t="shared" ca="1" si="171"/>
        <v>174825.39641389757</v>
      </c>
      <c r="M125" s="267">
        <f ca="1">IF(J125=0,IF(L125=0,0,-1),L125/ABS(J125))</f>
        <v>5.0543916692625278E-2</v>
      </c>
    </row>
    <row r="126" spans="1:13" s="200" customFormat="1" ht="16.149999999999999" customHeight="1" thickTop="1" x14ac:dyDescent="0.2">
      <c r="A126" s="167" t="s">
        <v>237</v>
      </c>
      <c r="B126" s="213"/>
      <c r="C126" s="215"/>
      <c r="D126" s="215"/>
      <c r="E126" s="216"/>
      <c r="F126" s="213"/>
      <c r="G126" s="215"/>
      <c r="H126" s="215"/>
      <c r="I126" s="216"/>
      <c r="J126" s="213"/>
      <c r="K126" s="215"/>
      <c r="L126" s="215"/>
      <c r="M126" s="216"/>
    </row>
    <row r="127" spans="1:13" s="200" customFormat="1" ht="16.149999999999999" customHeight="1" x14ac:dyDescent="0.2">
      <c r="A127" s="167" t="s">
        <v>238</v>
      </c>
      <c r="B127" s="213"/>
      <c r="C127" s="215"/>
      <c r="D127" s="215"/>
      <c r="E127" s="216"/>
      <c r="F127" s="213"/>
      <c r="G127" s="215"/>
      <c r="H127" s="215"/>
      <c r="I127" s="216"/>
      <c r="J127" s="213"/>
      <c r="K127" s="215"/>
      <c r="L127" s="215"/>
      <c r="M127" s="216"/>
    </row>
    <row r="128" spans="1:13" s="174" customFormat="1" ht="16.149999999999999" customHeight="1" x14ac:dyDescent="0.25">
      <c r="A128" s="242" t="s">
        <v>0</v>
      </c>
      <c r="B128" s="193">
        <f ca="1">IF($L$2=0,0,OFFSET(BS!$C21,0,MATCH(Report!$L$1,Months,0),1,1))</f>
        <v>1000</v>
      </c>
      <c r="C128" s="194">
        <f ca="1">IF($L$2=0,0,OFFSET(BS!$C65,0,MATCH(Report!$L$1,Months,0),1,1))</f>
        <v>1000</v>
      </c>
      <c r="D128" s="174">
        <f t="shared" ref="D128:D130" ca="1" si="172">C128-B128</f>
        <v>0</v>
      </c>
      <c r="E128" s="195">
        <f t="shared" ref="E128:E131" ca="1" si="173">IF(B128=0,IF(D128=0,0,-1),D128/ABS(B128))</f>
        <v>0</v>
      </c>
      <c r="F128" s="193">
        <f t="shared" ref="F128:F130" ca="1" si="174">B128</f>
        <v>1000</v>
      </c>
      <c r="G128" s="194">
        <f t="shared" ref="G128:G130" ca="1" si="175">C128</f>
        <v>1000</v>
      </c>
      <c r="H128" s="174">
        <f t="shared" ref="H128:H130" ca="1" si="176">G128-F128</f>
        <v>0</v>
      </c>
      <c r="I128" s="195">
        <f t="shared" ref="I128:I131" ca="1" si="177">IF(F128=0,IF(H128=0,0,-1),H128/ABS(F128))</f>
        <v>0</v>
      </c>
      <c r="J128" s="193">
        <f t="shared" ref="J128:J130" ca="1" si="178">B128</f>
        <v>1000</v>
      </c>
      <c r="K128" s="194">
        <f t="shared" ref="K128:K130" ca="1" si="179">C128</f>
        <v>1000</v>
      </c>
      <c r="L128" s="174">
        <f t="shared" ref="L128:L130" ca="1" si="180">K128-J128</f>
        <v>0</v>
      </c>
      <c r="M128" s="195">
        <f t="shared" ref="M128:M131" ca="1" si="181">IF(J128=0,IF(L128=0,0,-1),L128/ABS(J128))</f>
        <v>0</v>
      </c>
    </row>
    <row r="129" spans="1:13" s="174" customFormat="1" ht="16.149999999999999" customHeight="1" x14ac:dyDescent="0.25">
      <c r="A129" s="242" t="s">
        <v>128</v>
      </c>
      <c r="B129" s="193">
        <f ca="1">IF($L$2=0,0,OFFSET(BS!$C22,0,MATCH(Report!$L$1,Months,0),1,1))</f>
        <v>0</v>
      </c>
      <c r="C129" s="194">
        <f ca="1">IF($L$2=0,0,OFFSET(BS!$C66,0,MATCH(Report!$L$1,Months,0),1,1))</f>
        <v>0</v>
      </c>
      <c r="D129" s="174">
        <f t="shared" ca="1" si="172"/>
        <v>0</v>
      </c>
      <c r="E129" s="195">
        <f t="shared" ca="1" si="173"/>
        <v>0</v>
      </c>
      <c r="F129" s="193">
        <f t="shared" ca="1" si="174"/>
        <v>0</v>
      </c>
      <c r="G129" s="194">
        <f t="shared" ca="1" si="175"/>
        <v>0</v>
      </c>
      <c r="H129" s="174">
        <f t="shared" ca="1" si="176"/>
        <v>0</v>
      </c>
      <c r="I129" s="195">
        <f t="shared" ca="1" si="177"/>
        <v>0</v>
      </c>
      <c r="J129" s="193">
        <f t="shared" ca="1" si="178"/>
        <v>0</v>
      </c>
      <c r="K129" s="194">
        <f t="shared" ca="1" si="179"/>
        <v>0</v>
      </c>
      <c r="L129" s="174">
        <f t="shared" ca="1" si="180"/>
        <v>0</v>
      </c>
      <c r="M129" s="195">
        <f t="shared" ca="1" si="181"/>
        <v>0</v>
      </c>
    </row>
    <row r="130" spans="1:13" s="174" customFormat="1" ht="16.149999999999999" customHeight="1" x14ac:dyDescent="0.25">
      <c r="A130" s="242" t="s">
        <v>35</v>
      </c>
      <c r="B130" s="193">
        <f ca="1">IF($L$2=0,0,OFFSET(BS!$C23,0,MATCH(Report!$L$1,Months,0),1,1))</f>
        <v>827672.19290494511</v>
      </c>
      <c r="C130" s="194">
        <f ca="1">IF($L$2=0,0,OFFSET(BS!$C67,0,MATCH(Report!$L$1,Months,0),1,1))</f>
        <v>893816.98697869293</v>
      </c>
      <c r="D130" s="174">
        <f t="shared" ca="1" si="172"/>
        <v>66144.79407374782</v>
      </c>
      <c r="E130" s="195">
        <f t="shared" ca="1" si="173"/>
        <v>7.9916656184369703E-2</v>
      </c>
      <c r="F130" s="193">
        <f t="shared" ca="1" si="174"/>
        <v>827672.19290494511</v>
      </c>
      <c r="G130" s="194">
        <f t="shared" ca="1" si="175"/>
        <v>893816.98697869293</v>
      </c>
      <c r="H130" s="174">
        <f t="shared" ca="1" si="176"/>
        <v>66144.79407374782</v>
      </c>
      <c r="I130" s="195">
        <f t="shared" ca="1" si="177"/>
        <v>7.9916656184369703E-2</v>
      </c>
      <c r="J130" s="193">
        <f t="shared" ca="1" si="178"/>
        <v>827672.19290494511</v>
      </c>
      <c r="K130" s="194">
        <f t="shared" ca="1" si="179"/>
        <v>893816.98697869293</v>
      </c>
      <c r="L130" s="174">
        <f t="shared" ca="1" si="180"/>
        <v>66144.79407374782</v>
      </c>
      <c r="M130" s="195">
        <f t="shared" ca="1" si="181"/>
        <v>7.9916656184369703E-2</v>
      </c>
    </row>
    <row r="131" spans="1:13" s="174" customFormat="1" ht="16.149999999999999" customHeight="1" thickBot="1" x14ac:dyDescent="0.3">
      <c r="A131" s="242"/>
      <c r="B131" s="261">
        <f ca="1">SUM(B128:B130)</f>
        <v>828672.19290494511</v>
      </c>
      <c r="C131" s="262">
        <f t="shared" ref="C131:D131" ca="1" si="182">SUM(C128:C130)</f>
        <v>894816.98697869293</v>
      </c>
      <c r="D131" s="262">
        <f t="shared" ca="1" si="182"/>
        <v>66144.79407374782</v>
      </c>
      <c r="E131" s="263">
        <f t="shared" ca="1" si="173"/>
        <v>7.9820216775797037E-2</v>
      </c>
      <c r="F131" s="261">
        <f t="shared" ref="F131:H131" ca="1" si="183">SUM(F128:F130)</f>
        <v>828672.19290494511</v>
      </c>
      <c r="G131" s="262">
        <f t="shared" ca="1" si="183"/>
        <v>894816.98697869293</v>
      </c>
      <c r="H131" s="262">
        <f t="shared" ca="1" si="183"/>
        <v>66144.79407374782</v>
      </c>
      <c r="I131" s="263">
        <f t="shared" ca="1" si="177"/>
        <v>7.9820216775797037E-2</v>
      </c>
      <c r="J131" s="261">
        <f t="shared" ref="J131:L131" ca="1" si="184">SUM(J128:J130)</f>
        <v>828672.19290494511</v>
      </c>
      <c r="K131" s="262">
        <f t="shared" ca="1" si="184"/>
        <v>894816.98697869293</v>
      </c>
      <c r="L131" s="262">
        <f t="shared" ca="1" si="184"/>
        <v>66144.79407374782</v>
      </c>
      <c r="M131" s="263">
        <f t="shared" ca="1" si="181"/>
        <v>7.9820216775797037E-2</v>
      </c>
    </row>
    <row r="132" spans="1:13" s="215" customFormat="1" ht="16.149999999999999" customHeight="1" x14ac:dyDescent="0.2">
      <c r="A132" s="264" t="s">
        <v>239</v>
      </c>
      <c r="B132" s="213"/>
      <c r="C132" s="214"/>
      <c r="E132" s="216"/>
      <c r="F132" s="213"/>
      <c r="G132" s="214"/>
      <c r="I132" s="216"/>
      <c r="J132" s="213"/>
      <c r="K132" s="214"/>
      <c r="M132" s="216"/>
    </row>
    <row r="133" spans="1:13" s="174" customFormat="1" ht="16.149999999999999" customHeight="1" x14ac:dyDescent="0.25">
      <c r="A133" s="242" t="s">
        <v>183</v>
      </c>
      <c r="B133" s="193">
        <f ca="1">IF($L$2=0,0,OFFSET(BS!$C26,0,MATCH(Report!$L$1,Months,0),1,1))</f>
        <v>1127353.8646966992</v>
      </c>
      <c r="C133" s="194">
        <f ca="1">IF($L$2=0,0,OFFSET(BS!$C70,0,MATCH(Report!$L$1,Months,0),1,1))</f>
        <v>1130189.9649859522</v>
      </c>
      <c r="D133" s="174">
        <f t="shared" ref="D133:D136" ca="1" si="185">C133-B133</f>
        <v>2836.1002892530523</v>
      </c>
      <c r="E133" s="195">
        <f t="shared" ref="E133:E137" ca="1" si="186">IF(B133=0,IF(D133=0,0,-1),D133/ABS(B133))</f>
        <v>2.5157143449506605E-3</v>
      </c>
      <c r="F133" s="193">
        <f t="shared" ref="F133:F136" ca="1" si="187">B133</f>
        <v>1127353.8646966992</v>
      </c>
      <c r="G133" s="194">
        <f t="shared" ref="G133:G136" ca="1" si="188">C133</f>
        <v>1130189.9649859522</v>
      </c>
      <c r="H133" s="174">
        <f t="shared" ref="H133:H136" ca="1" si="189">G133-F133</f>
        <v>2836.1002892530523</v>
      </c>
      <c r="I133" s="195">
        <f t="shared" ref="I133:I137" ca="1" si="190">IF(F133=0,IF(H133=0,0,-1),H133/ABS(F133))</f>
        <v>2.5157143449506605E-3</v>
      </c>
      <c r="J133" s="193">
        <f t="shared" ref="J133:J136" ca="1" si="191">B133</f>
        <v>1127353.8646966992</v>
      </c>
      <c r="K133" s="194">
        <f t="shared" ref="K133:K136" ca="1" si="192">C133</f>
        <v>1130189.9649859522</v>
      </c>
      <c r="L133" s="174">
        <f t="shared" ref="L133:L136" ca="1" si="193">K133-J133</f>
        <v>2836.1002892530523</v>
      </c>
      <c r="M133" s="195">
        <f t="shared" ref="M133:M137" ca="1" si="194">IF(J133=0,IF(L133=0,0,-1),L133/ABS(J133))</f>
        <v>2.5157143449506605E-3</v>
      </c>
    </row>
    <row r="134" spans="1:13" s="174" customFormat="1" ht="16.149999999999999" customHeight="1" x14ac:dyDescent="0.25">
      <c r="A134" s="242" t="s">
        <v>184</v>
      </c>
      <c r="B134" s="193">
        <f ca="1">IF($L$2=0,0,OFFSET(BS!$C27,0,MATCH(Report!$L$1,Months,0),1,1))</f>
        <v>555244.57694039831</v>
      </c>
      <c r="C134" s="194">
        <f ca="1">IF($L$2=0,0,OFFSET(BS!$C71,0,MATCH(Report!$L$1,Months,0),1,1))</f>
        <v>552110.56490757584</v>
      </c>
      <c r="D134" s="174">
        <f t="shared" ca="1" si="185"/>
        <v>-3134.012032822473</v>
      </c>
      <c r="E134" s="195">
        <f t="shared" ca="1" si="186"/>
        <v>-5.6443811663898294E-3</v>
      </c>
      <c r="F134" s="193">
        <f t="shared" ca="1" si="187"/>
        <v>555244.57694039831</v>
      </c>
      <c r="G134" s="194">
        <f t="shared" ca="1" si="188"/>
        <v>552110.56490757584</v>
      </c>
      <c r="H134" s="174">
        <f t="shared" ca="1" si="189"/>
        <v>-3134.012032822473</v>
      </c>
      <c r="I134" s="195">
        <f t="shared" ca="1" si="190"/>
        <v>-5.6443811663898294E-3</v>
      </c>
      <c r="J134" s="193">
        <f t="shared" ca="1" si="191"/>
        <v>555244.57694039831</v>
      </c>
      <c r="K134" s="194">
        <f t="shared" ca="1" si="192"/>
        <v>552110.56490757584</v>
      </c>
      <c r="L134" s="174">
        <f t="shared" ca="1" si="193"/>
        <v>-3134.012032822473</v>
      </c>
      <c r="M134" s="195">
        <f t="shared" ca="1" si="194"/>
        <v>-5.6443811663898294E-3</v>
      </c>
    </row>
    <row r="135" spans="1:13" s="174" customFormat="1" ht="16.149999999999999" customHeight="1" x14ac:dyDescent="0.25">
      <c r="A135" s="242" t="s">
        <v>185</v>
      </c>
      <c r="B135" s="193">
        <f ca="1">IF($L$2=0,0,OFFSET(BS!$C28,0,MATCH(Report!$L$1,Months,0),1,1))</f>
        <v>237100.49482590021</v>
      </c>
      <c r="C135" s="194">
        <f ca="1">IF($L$2=0,0,OFFSET(BS!$C72,0,MATCH(Report!$L$1,Months,0),1,1))</f>
        <v>246897.68148961573</v>
      </c>
      <c r="D135" s="174">
        <f t="shared" ca="1" si="185"/>
        <v>9797.1866637155181</v>
      </c>
      <c r="E135" s="195">
        <f t="shared" ca="1" si="186"/>
        <v>4.1320819135824513E-2</v>
      </c>
      <c r="F135" s="193">
        <f t="shared" ca="1" si="187"/>
        <v>237100.49482590021</v>
      </c>
      <c r="G135" s="194">
        <f t="shared" ca="1" si="188"/>
        <v>246897.68148961573</v>
      </c>
      <c r="H135" s="174">
        <f t="shared" ca="1" si="189"/>
        <v>9797.1866637155181</v>
      </c>
      <c r="I135" s="195">
        <f t="shared" ca="1" si="190"/>
        <v>4.1320819135824513E-2</v>
      </c>
      <c r="J135" s="193">
        <f t="shared" ca="1" si="191"/>
        <v>237100.49482590021</v>
      </c>
      <c r="K135" s="194">
        <f t="shared" ca="1" si="192"/>
        <v>246897.68148961573</v>
      </c>
      <c r="L135" s="174">
        <f t="shared" ca="1" si="193"/>
        <v>9797.1866637155181</v>
      </c>
      <c r="M135" s="195">
        <f t="shared" ca="1" si="194"/>
        <v>4.1320819135824513E-2</v>
      </c>
    </row>
    <row r="136" spans="1:13" s="174" customFormat="1" ht="16.149999999999999" customHeight="1" x14ac:dyDescent="0.25">
      <c r="A136" s="242" t="s">
        <v>186</v>
      </c>
      <c r="B136" s="193">
        <f ca="1">IF($L$2=0,0,OFFSET(BS!$C29,0,MATCH(Report!$L$1,Months,0),1,1))</f>
        <v>336239.28378277802</v>
      </c>
      <c r="C136" s="194">
        <f ca="1">IF($L$2=0,0,OFFSET(BS!$C73,0,MATCH(Report!$L$1,Months,0),1,1))</f>
        <v>335515.50204644375</v>
      </c>
      <c r="D136" s="174">
        <f t="shared" ca="1" si="185"/>
        <v>-723.78173633426195</v>
      </c>
      <c r="E136" s="195">
        <f t="shared" ca="1" si="186"/>
        <v>-2.1525793422812831E-3</v>
      </c>
      <c r="F136" s="193">
        <f t="shared" ca="1" si="187"/>
        <v>336239.28378277802</v>
      </c>
      <c r="G136" s="194">
        <f t="shared" ca="1" si="188"/>
        <v>335515.50204644375</v>
      </c>
      <c r="H136" s="174">
        <f t="shared" ca="1" si="189"/>
        <v>-723.78173633426195</v>
      </c>
      <c r="I136" s="195">
        <f t="shared" ca="1" si="190"/>
        <v>-2.1525793422812831E-3</v>
      </c>
      <c r="J136" s="193">
        <f t="shared" ca="1" si="191"/>
        <v>336239.28378277802</v>
      </c>
      <c r="K136" s="194">
        <f t="shared" ca="1" si="192"/>
        <v>335515.50204644375</v>
      </c>
      <c r="L136" s="174">
        <f t="shared" ca="1" si="193"/>
        <v>-723.78173633426195</v>
      </c>
      <c r="M136" s="195">
        <f t="shared" ca="1" si="194"/>
        <v>-2.1525793422812831E-3</v>
      </c>
    </row>
    <row r="137" spans="1:13" s="174" customFormat="1" ht="16.149999999999999" customHeight="1" thickBot="1" x14ac:dyDescent="0.3">
      <c r="A137" s="242"/>
      <c r="B137" s="261">
        <f ca="1">SUM(B133:B136)</f>
        <v>2255938.2202457758</v>
      </c>
      <c r="C137" s="262">
        <f t="shared" ref="C137:D137" ca="1" si="195">SUM(C133:C136)</f>
        <v>2264713.7134295879</v>
      </c>
      <c r="D137" s="262">
        <f t="shared" ca="1" si="195"/>
        <v>8775.4931838118355</v>
      </c>
      <c r="E137" s="263">
        <f t="shared" ca="1" si="186"/>
        <v>3.8899527943880392E-3</v>
      </c>
      <c r="F137" s="261">
        <f t="shared" ref="F137:H137" ca="1" si="196">SUM(F133:F136)</f>
        <v>2255938.2202457758</v>
      </c>
      <c r="G137" s="262">
        <f t="shared" ca="1" si="196"/>
        <v>2264713.7134295879</v>
      </c>
      <c r="H137" s="262">
        <f t="shared" ca="1" si="196"/>
        <v>8775.4931838118355</v>
      </c>
      <c r="I137" s="263">
        <f t="shared" ca="1" si="190"/>
        <v>3.8899527943880392E-3</v>
      </c>
      <c r="J137" s="261">
        <f t="shared" ref="J137:L137" ca="1" si="197">SUM(J133:J136)</f>
        <v>2255938.2202457758</v>
      </c>
      <c r="K137" s="262">
        <f t="shared" ca="1" si="197"/>
        <v>2264713.7134295879</v>
      </c>
      <c r="L137" s="262">
        <f t="shared" ca="1" si="197"/>
        <v>8775.4931838118355</v>
      </c>
      <c r="M137" s="263">
        <f t="shared" ca="1" si="194"/>
        <v>3.8899527943880392E-3</v>
      </c>
    </row>
    <row r="138" spans="1:13" s="215" customFormat="1" ht="16.149999999999999" customHeight="1" x14ac:dyDescent="0.2">
      <c r="A138" s="264" t="s">
        <v>36</v>
      </c>
      <c r="B138" s="213"/>
      <c r="C138" s="214"/>
      <c r="E138" s="216"/>
      <c r="F138" s="213"/>
      <c r="G138" s="214"/>
      <c r="I138" s="216"/>
      <c r="J138" s="213"/>
      <c r="K138" s="214"/>
      <c r="M138" s="216"/>
    </row>
    <row r="139" spans="1:13" s="174" customFormat="1" ht="16.149999999999999" customHeight="1" x14ac:dyDescent="0.25">
      <c r="A139" s="242" t="s">
        <v>188</v>
      </c>
      <c r="B139" s="193">
        <f ca="1">IF($L$2=0,0,OFFSET(BS!$C32,0,MATCH(Report!$L$1,Months,0),1,1))</f>
        <v>0</v>
      </c>
      <c r="C139" s="194">
        <f ca="1">IF($L$2=0,0,OFFSET(BS!$C76,0,MATCH(Report!$L$1,Months,0),1,1))</f>
        <v>0</v>
      </c>
      <c r="D139" s="174">
        <f t="shared" ref="D139:D146" ca="1" si="198">C139-B139</f>
        <v>0</v>
      </c>
      <c r="E139" s="195">
        <f t="shared" ref="E139:E147" ca="1" si="199">IF(B139=0,IF(D139=0,0,-1),D139/ABS(B139))</f>
        <v>0</v>
      </c>
      <c r="F139" s="193">
        <f t="shared" ref="F139:F146" ca="1" si="200">B139</f>
        <v>0</v>
      </c>
      <c r="G139" s="194">
        <f t="shared" ref="G139:G146" ca="1" si="201">C139</f>
        <v>0</v>
      </c>
      <c r="H139" s="174">
        <f t="shared" ref="H139:H146" ca="1" si="202">G139-F139</f>
        <v>0</v>
      </c>
      <c r="I139" s="195">
        <f t="shared" ref="I139:I147" ca="1" si="203">IF(F139=0,IF(H139=0,0,-1),H139/ABS(F139))</f>
        <v>0</v>
      </c>
      <c r="J139" s="193">
        <f t="shared" ref="J139:J146" ca="1" si="204">B139</f>
        <v>0</v>
      </c>
      <c r="K139" s="194">
        <f t="shared" ref="K139:K146" ca="1" si="205">C139</f>
        <v>0</v>
      </c>
      <c r="L139" s="174">
        <f t="shared" ref="L139:L146" ca="1" si="206">K139-J139</f>
        <v>0</v>
      </c>
      <c r="M139" s="195">
        <f t="shared" ref="M139:M147" ca="1" si="207">IF(J139=0,IF(L139=0,0,-1),L139/ABS(J139))</f>
        <v>0</v>
      </c>
    </row>
    <row r="140" spans="1:13" s="174" customFormat="1" ht="16.149999999999999" customHeight="1" x14ac:dyDescent="0.25">
      <c r="A140" s="242" t="s">
        <v>190</v>
      </c>
      <c r="B140" s="193">
        <f ca="1">IF($L$2=0,0,OFFSET(BS!$C33,0,MATCH(Report!$L$1,Months,0),1,1))</f>
        <v>212662.10714285716</v>
      </c>
      <c r="C140" s="194">
        <f ca="1">IF($L$2=0,0,OFFSET(BS!$C77,0,MATCH(Report!$L$1,Months,0),1,1))</f>
        <v>214788.72821428574</v>
      </c>
      <c r="D140" s="174">
        <f t="shared" ca="1" si="198"/>
        <v>2126.6210714285844</v>
      </c>
      <c r="E140" s="195">
        <f t="shared" ca="1" si="199"/>
        <v>1.0000000000000061E-2</v>
      </c>
      <c r="F140" s="193">
        <f t="shared" ca="1" si="200"/>
        <v>212662.10714285716</v>
      </c>
      <c r="G140" s="194">
        <f t="shared" ca="1" si="201"/>
        <v>214788.72821428574</v>
      </c>
      <c r="H140" s="174">
        <f t="shared" ca="1" si="202"/>
        <v>2126.6210714285844</v>
      </c>
      <c r="I140" s="195">
        <f t="shared" ca="1" si="203"/>
        <v>1.0000000000000061E-2</v>
      </c>
      <c r="J140" s="193">
        <f t="shared" ca="1" si="204"/>
        <v>212662.10714285716</v>
      </c>
      <c r="K140" s="194">
        <f t="shared" ca="1" si="205"/>
        <v>214788.72821428574</v>
      </c>
      <c r="L140" s="174">
        <f t="shared" ca="1" si="206"/>
        <v>2126.6210714285844</v>
      </c>
      <c r="M140" s="195">
        <f t="shared" ca="1" si="207"/>
        <v>1.0000000000000061E-2</v>
      </c>
    </row>
    <row r="141" spans="1:13" s="174" customFormat="1" ht="16.149999999999999" customHeight="1" x14ac:dyDescent="0.25">
      <c r="A141" s="242" t="s">
        <v>159</v>
      </c>
      <c r="B141" s="193">
        <f ca="1">IF($L$2=0,0,OFFSET(BS!$C34,0,MATCH(Report!$L$1,Months,0),1,1))</f>
        <v>52168.544999999998</v>
      </c>
      <c r="C141" s="194">
        <f ca="1">IF($L$2=0,0,OFFSET(BS!$C78,0,MATCH(Report!$L$1,Months,0),1,1))</f>
        <v>51125.174099999997</v>
      </c>
      <c r="D141" s="174">
        <f t="shared" ca="1" si="198"/>
        <v>-1043.3709000000017</v>
      </c>
      <c r="E141" s="195">
        <f t="shared" ca="1" si="199"/>
        <v>-2.0000000000000035E-2</v>
      </c>
      <c r="F141" s="193">
        <f t="shared" ca="1" si="200"/>
        <v>52168.544999999998</v>
      </c>
      <c r="G141" s="194">
        <f t="shared" ca="1" si="201"/>
        <v>51125.174099999997</v>
      </c>
      <c r="H141" s="174">
        <f t="shared" ca="1" si="202"/>
        <v>-1043.3709000000017</v>
      </c>
      <c r="I141" s="195">
        <f t="shared" ca="1" si="203"/>
        <v>-2.0000000000000035E-2</v>
      </c>
      <c r="J141" s="193">
        <f t="shared" ca="1" si="204"/>
        <v>52168.544999999998</v>
      </c>
      <c r="K141" s="194">
        <f t="shared" ca="1" si="205"/>
        <v>51125.174099999997</v>
      </c>
      <c r="L141" s="174">
        <f t="shared" ca="1" si="206"/>
        <v>-1043.3709000000017</v>
      </c>
      <c r="M141" s="195">
        <f t="shared" ca="1" si="207"/>
        <v>-2.0000000000000035E-2</v>
      </c>
    </row>
    <row r="142" spans="1:13" s="174" customFormat="1" ht="16.149999999999999" customHeight="1" x14ac:dyDescent="0.25">
      <c r="A142" s="242" t="s">
        <v>193</v>
      </c>
      <c r="B142" s="193">
        <f ca="1">IF($L$2=0,0,OFFSET(BS!$C35,0,MATCH(Report!$L$1,Months,0),1,1))</f>
        <v>19440</v>
      </c>
      <c r="C142" s="194">
        <f ca="1">IF($L$2=0,0,OFFSET(BS!$C79,0,MATCH(Report!$L$1,Months,0),1,1))</f>
        <v>18495.84</v>
      </c>
      <c r="D142" s="174">
        <f t="shared" ca="1" si="198"/>
        <v>-944.15999999999985</v>
      </c>
      <c r="E142" s="195">
        <f t="shared" ca="1" si="199"/>
        <v>-4.8567901234567896E-2</v>
      </c>
      <c r="F142" s="193">
        <f t="shared" ca="1" si="200"/>
        <v>19440</v>
      </c>
      <c r="G142" s="194">
        <f t="shared" ca="1" si="201"/>
        <v>18495.84</v>
      </c>
      <c r="H142" s="174">
        <f t="shared" ca="1" si="202"/>
        <v>-944.15999999999985</v>
      </c>
      <c r="I142" s="195">
        <f t="shared" ca="1" si="203"/>
        <v>-4.8567901234567896E-2</v>
      </c>
      <c r="J142" s="193">
        <f t="shared" ca="1" si="204"/>
        <v>19440</v>
      </c>
      <c r="K142" s="194">
        <f t="shared" ca="1" si="205"/>
        <v>18495.84</v>
      </c>
      <c r="L142" s="174">
        <f t="shared" ca="1" si="206"/>
        <v>-944.15999999999985</v>
      </c>
      <c r="M142" s="195">
        <f t="shared" ca="1" si="207"/>
        <v>-4.8567901234567896E-2</v>
      </c>
    </row>
    <row r="143" spans="1:13" s="174" customFormat="1" ht="16.149999999999999" customHeight="1" x14ac:dyDescent="0.25">
      <c r="A143" s="242" t="s">
        <v>134</v>
      </c>
      <c r="B143" s="193">
        <f ca="1">IF($L$2=0,0,OFFSET(BS!$C36,0,MATCH(Report!$L$1,Months,0),1,1))</f>
        <v>60000</v>
      </c>
      <c r="C143" s="194">
        <f ca="1">IF($L$2=0,0,OFFSET(BS!$C80,0,MATCH(Report!$L$1,Months,0),1,1))</f>
        <v>50000</v>
      </c>
      <c r="D143" s="174">
        <f t="shared" ca="1" si="198"/>
        <v>-10000</v>
      </c>
      <c r="E143" s="195">
        <f t="shared" ca="1" si="199"/>
        <v>-0.16666666666666666</v>
      </c>
      <c r="F143" s="193">
        <f t="shared" ca="1" si="200"/>
        <v>60000</v>
      </c>
      <c r="G143" s="194">
        <f t="shared" ca="1" si="201"/>
        <v>50000</v>
      </c>
      <c r="H143" s="174">
        <f t="shared" ca="1" si="202"/>
        <v>-10000</v>
      </c>
      <c r="I143" s="195">
        <f t="shared" ca="1" si="203"/>
        <v>-0.16666666666666666</v>
      </c>
      <c r="J143" s="193">
        <f t="shared" ca="1" si="204"/>
        <v>60000</v>
      </c>
      <c r="K143" s="194">
        <f t="shared" ca="1" si="205"/>
        <v>50000</v>
      </c>
      <c r="L143" s="174">
        <f t="shared" ca="1" si="206"/>
        <v>-10000</v>
      </c>
      <c r="M143" s="195">
        <f t="shared" ca="1" si="207"/>
        <v>-0.16666666666666666</v>
      </c>
    </row>
    <row r="144" spans="1:13" s="174" customFormat="1" ht="16.149999999999999" customHeight="1" x14ac:dyDescent="0.25">
      <c r="A144" s="242" t="s">
        <v>196</v>
      </c>
      <c r="B144" s="193">
        <f ca="1">IF($L$2=0,0,OFFSET(BS!$C37,0,MATCH(Report!$L$1,Months,0),1,1))</f>
        <v>0</v>
      </c>
      <c r="C144" s="194">
        <f ca="1">IF($L$2=0,0,OFFSET(BS!$C81,0,MATCH(Report!$L$1,Months,0),1,1))</f>
        <v>107766.01898490975</v>
      </c>
      <c r="D144" s="174">
        <f t="shared" ca="1" si="198"/>
        <v>107766.01898490975</v>
      </c>
      <c r="E144" s="195">
        <f t="shared" ca="1" si="199"/>
        <v>-1</v>
      </c>
      <c r="F144" s="193">
        <f t="shared" ca="1" si="200"/>
        <v>0</v>
      </c>
      <c r="G144" s="194">
        <f t="shared" ca="1" si="201"/>
        <v>107766.01898490975</v>
      </c>
      <c r="H144" s="174">
        <f t="shared" ca="1" si="202"/>
        <v>107766.01898490975</v>
      </c>
      <c r="I144" s="195">
        <f t="shared" ca="1" si="203"/>
        <v>-1</v>
      </c>
      <c r="J144" s="193">
        <f t="shared" ca="1" si="204"/>
        <v>0</v>
      </c>
      <c r="K144" s="194">
        <f t="shared" ca="1" si="205"/>
        <v>107766.01898490975</v>
      </c>
      <c r="L144" s="174">
        <f t="shared" ca="1" si="206"/>
        <v>107766.01898490975</v>
      </c>
      <c r="M144" s="195">
        <f t="shared" ca="1" si="207"/>
        <v>-1</v>
      </c>
    </row>
    <row r="145" spans="1:13" s="174" customFormat="1" ht="16.149999999999999" customHeight="1" x14ac:dyDescent="0.25">
      <c r="A145" s="242" t="s">
        <v>278</v>
      </c>
      <c r="B145" s="193">
        <f ca="1">IF($L$2=0,0,OFFSET(BS!$C38,0,MATCH(Report!$L$1,Months,0),1,1))</f>
        <v>0</v>
      </c>
      <c r="C145" s="194">
        <f ca="1">IF($L$2=0,0,OFFSET(BS!$C82,0,MATCH(Report!$L$1,Months,0),1,1))</f>
        <v>0</v>
      </c>
      <c r="D145" s="174">
        <f t="shared" ref="D145" ca="1" si="208">C145-B145</f>
        <v>0</v>
      </c>
      <c r="E145" s="195">
        <f t="shared" ref="E145" ca="1" si="209">IF(B145=0,IF(D145=0,0,-1),D145/ABS(B145))</f>
        <v>0</v>
      </c>
      <c r="F145" s="193">
        <f t="shared" ref="F145" ca="1" si="210">B145</f>
        <v>0</v>
      </c>
      <c r="G145" s="194">
        <f t="shared" ref="G145" ca="1" si="211">C145</f>
        <v>0</v>
      </c>
      <c r="H145" s="174">
        <f t="shared" ref="H145" ca="1" si="212">G145-F145</f>
        <v>0</v>
      </c>
      <c r="I145" s="195">
        <f t="shared" ref="I145" ca="1" si="213">IF(F145=0,IF(H145=0,0,-1),H145/ABS(F145))</f>
        <v>0</v>
      </c>
      <c r="J145" s="193">
        <f t="shared" ref="J145" ca="1" si="214">B145</f>
        <v>0</v>
      </c>
      <c r="K145" s="194">
        <f t="shared" ref="K145" ca="1" si="215">C145</f>
        <v>0</v>
      </c>
      <c r="L145" s="174">
        <f t="shared" ref="L145" ca="1" si="216">K145-J145</f>
        <v>0</v>
      </c>
      <c r="M145" s="195">
        <f t="shared" ref="M145" ca="1" si="217">IF(J145=0,IF(L145=0,0,-1),L145/ABS(J145))</f>
        <v>0</v>
      </c>
    </row>
    <row r="146" spans="1:13" s="174" customFormat="1" ht="16.149999999999999" customHeight="1" x14ac:dyDescent="0.25">
      <c r="A146" s="242" t="s">
        <v>136</v>
      </c>
      <c r="B146" s="193">
        <f ca="1">IF($L$2=0,0,OFFSET(BS!$C39,0,MATCH(Report!$L$1,Months,0),1,1))</f>
        <v>30000</v>
      </c>
      <c r="C146" s="194">
        <f ca="1">IF($L$2=0,0,OFFSET(BS!$C83,0,MATCH(Report!$L$1,Months,0),1,1))</f>
        <v>32000</v>
      </c>
      <c r="D146" s="174">
        <f t="shared" ca="1" si="198"/>
        <v>2000</v>
      </c>
      <c r="E146" s="195">
        <f t="shared" ca="1" si="199"/>
        <v>6.6666666666666666E-2</v>
      </c>
      <c r="F146" s="193">
        <f t="shared" ca="1" si="200"/>
        <v>30000</v>
      </c>
      <c r="G146" s="194">
        <f t="shared" ca="1" si="201"/>
        <v>32000</v>
      </c>
      <c r="H146" s="174">
        <f t="shared" ca="1" si="202"/>
        <v>2000</v>
      </c>
      <c r="I146" s="195">
        <f t="shared" ca="1" si="203"/>
        <v>6.6666666666666666E-2</v>
      </c>
      <c r="J146" s="193">
        <f t="shared" ca="1" si="204"/>
        <v>30000</v>
      </c>
      <c r="K146" s="194">
        <f t="shared" ca="1" si="205"/>
        <v>32000</v>
      </c>
      <c r="L146" s="174">
        <f t="shared" ca="1" si="206"/>
        <v>2000</v>
      </c>
      <c r="M146" s="195">
        <f t="shared" ca="1" si="207"/>
        <v>6.6666666666666666E-2</v>
      </c>
    </row>
    <row r="147" spans="1:13" s="174" customFormat="1" ht="16.149999999999999" customHeight="1" thickBot="1" x14ac:dyDescent="0.3">
      <c r="A147" s="242"/>
      <c r="B147" s="261">
        <f ca="1">SUM(B139:B146)</f>
        <v>374270.65214285714</v>
      </c>
      <c r="C147" s="262">
        <f t="shared" ref="C147:D147" ca="1" si="218">SUM(C139:C146)</f>
        <v>474175.76129919552</v>
      </c>
      <c r="D147" s="262">
        <f t="shared" ca="1" si="218"/>
        <v>99905.109156338338</v>
      </c>
      <c r="E147" s="263">
        <f t="shared" ca="1" si="199"/>
        <v>0.26693278937138004</v>
      </c>
      <c r="F147" s="261">
        <f t="shared" ref="F147:H147" ca="1" si="219">SUM(F139:F146)</f>
        <v>374270.65214285714</v>
      </c>
      <c r="G147" s="262">
        <f t="shared" ca="1" si="219"/>
        <v>474175.76129919552</v>
      </c>
      <c r="H147" s="262">
        <f t="shared" ca="1" si="219"/>
        <v>99905.109156338338</v>
      </c>
      <c r="I147" s="263">
        <f t="shared" ca="1" si="203"/>
        <v>0.26693278937138004</v>
      </c>
      <c r="J147" s="261">
        <f t="shared" ref="J147:L147" ca="1" si="220">SUM(J139:J146)</f>
        <v>374270.65214285714</v>
      </c>
      <c r="K147" s="262">
        <f t="shared" ca="1" si="220"/>
        <v>474175.76129919552</v>
      </c>
      <c r="L147" s="262">
        <f t="shared" ca="1" si="220"/>
        <v>99905.109156338338</v>
      </c>
      <c r="M147" s="263">
        <f t="shared" ca="1" si="207"/>
        <v>0.26693278937138004</v>
      </c>
    </row>
    <row r="148" spans="1:13" s="215" customFormat="1" ht="16.149999999999999" customHeight="1" thickBot="1" x14ac:dyDescent="0.25">
      <c r="A148" s="264" t="s">
        <v>115</v>
      </c>
      <c r="B148" s="265">
        <f ca="1">SUM(B131,B137,B147)</f>
        <v>3458881.065293578</v>
      </c>
      <c r="C148" s="266">
        <f t="shared" ref="C148:D148" ca="1" si="221">SUM(C131,C137,C147)</f>
        <v>3633706.4617074765</v>
      </c>
      <c r="D148" s="266">
        <f t="shared" ca="1" si="221"/>
        <v>174825.39641389798</v>
      </c>
      <c r="E148" s="267">
        <f ca="1">IF(B148=0,IF(D148=0,0,-1),D148/ABS(B148))</f>
        <v>5.0543916692625396E-2</v>
      </c>
      <c r="F148" s="265">
        <f t="shared" ref="F148:H148" ca="1" si="222">SUM(F131,F137,F147)</f>
        <v>3458881.065293578</v>
      </c>
      <c r="G148" s="266">
        <f t="shared" ca="1" si="222"/>
        <v>3633706.4617074765</v>
      </c>
      <c r="H148" s="266">
        <f t="shared" ca="1" si="222"/>
        <v>174825.39641389798</v>
      </c>
      <c r="I148" s="267">
        <f ca="1">IF(F148=0,IF(H148=0,0,-1),H148/ABS(F148))</f>
        <v>5.0543916692625396E-2</v>
      </c>
      <c r="J148" s="265">
        <f t="shared" ref="J148:L148" ca="1" si="223">SUM(J131,J137,J147)</f>
        <v>3458881.065293578</v>
      </c>
      <c r="K148" s="266">
        <f t="shared" ca="1" si="223"/>
        <v>3633706.4617074765</v>
      </c>
      <c r="L148" s="266">
        <f t="shared" ca="1" si="223"/>
        <v>174825.39641389798</v>
      </c>
      <c r="M148" s="267">
        <f ca="1">IF(J148=0,IF(L148=0,0,-1),L148/ABS(J148))</f>
        <v>5.0543916692625396E-2</v>
      </c>
    </row>
    <row r="149" spans="1:13" ht="16.149999999999999" customHeight="1" thickTop="1" x14ac:dyDescent="0.25">
      <c r="A149" s="268"/>
      <c r="B149" s="237"/>
      <c r="C149" s="238"/>
      <c r="D149" s="238"/>
      <c r="E149" s="239"/>
      <c r="F149" s="237"/>
      <c r="G149" s="238"/>
      <c r="H149" s="238"/>
      <c r="I149" s="239"/>
      <c r="J149" s="237"/>
      <c r="K149" s="238"/>
      <c r="L149" s="238"/>
      <c r="M149" s="239"/>
    </row>
    <row r="150" spans="1:13" s="272" customFormat="1" ht="16.149999999999999" customHeight="1" x14ac:dyDescent="0.25">
      <c r="A150" s="269"/>
      <c r="B150" s="270" t="str">
        <f ca="1">IF(ROUND(B125-B148,0)&lt;&gt;0,ROUND(B125-B148,0),"")</f>
        <v/>
      </c>
      <c r="C150" s="270" t="str">
        <f t="shared" ref="C150:D150" ca="1" si="224">IF(ROUND(C125-C148,0)&lt;&gt;0,ROUND(C125-C148,0),"")</f>
        <v/>
      </c>
      <c r="D150" s="270" t="str">
        <f t="shared" ca="1" si="224"/>
        <v/>
      </c>
      <c r="E150" s="271"/>
      <c r="F150" s="270" t="str">
        <f t="shared" ref="F150:H150" ca="1" si="225">IF(ROUND(F125-F148,0)&lt;&gt;0,ROUND(F125-F148,0),"")</f>
        <v/>
      </c>
      <c r="G150" s="270" t="str">
        <f t="shared" ca="1" si="225"/>
        <v/>
      </c>
      <c r="H150" s="270" t="str">
        <f t="shared" ca="1" si="225"/>
        <v/>
      </c>
      <c r="I150" s="271"/>
      <c r="J150" s="270" t="str">
        <f t="shared" ref="J150:L150" ca="1" si="226">IF(ROUND(J125-J148,0)&lt;&gt;0,ROUND(J125-J148,0),"")</f>
        <v/>
      </c>
      <c r="K150" s="270" t="str">
        <f t="shared" ca="1" si="226"/>
        <v/>
      </c>
      <c r="L150" s="270" t="str">
        <f t="shared" ca="1" si="226"/>
        <v/>
      </c>
      <c r="M150" s="271"/>
    </row>
    <row r="151" spans="1:13" s="276" customFormat="1" ht="16.149999999999999" customHeight="1" x14ac:dyDescent="0.25">
      <c r="A151" s="273" t="s">
        <v>272</v>
      </c>
      <c r="B151" s="274" t="str">
        <f ca="1">IF(ROUND(B125-B148,2)&lt;&gt;0,"error!","ok")</f>
        <v>ok</v>
      </c>
      <c r="C151" s="274" t="str">
        <f t="shared" ref="C151:D151" ca="1" si="227">IF(ROUND(C125-C148,2)&lt;&gt;0,"error!","ok")</f>
        <v>ok</v>
      </c>
      <c r="D151" s="274" t="str">
        <f t="shared" ca="1" si="227"/>
        <v>ok</v>
      </c>
      <c r="E151" s="275"/>
      <c r="F151" s="274" t="str">
        <f t="shared" ref="F151:H151" ca="1" si="228">IF(ROUND(F125-F148,2)&lt;&gt;0,"error!","ok")</f>
        <v>ok</v>
      </c>
      <c r="G151" s="274" t="str">
        <f t="shared" ca="1" si="228"/>
        <v>ok</v>
      </c>
      <c r="H151" s="274" t="str">
        <f t="shared" ca="1" si="228"/>
        <v>ok</v>
      </c>
      <c r="I151" s="275"/>
      <c r="J151" s="274" t="str">
        <f t="shared" ref="J151:L151" ca="1" si="229">IF(ROUND(J125-J148,2)&lt;&gt;0,"error!","ok")</f>
        <v>ok</v>
      </c>
      <c r="K151" s="274" t="str">
        <f t="shared" ca="1" si="229"/>
        <v>ok</v>
      </c>
      <c r="L151" s="274" t="str">
        <f t="shared" ca="1" si="229"/>
        <v>ok</v>
      </c>
      <c r="M151" s="275"/>
    </row>
    <row r="152" spans="1:13" s="280" customFormat="1" ht="16.149999999999999" customHeight="1" x14ac:dyDescent="0.25">
      <c r="A152" s="277"/>
      <c r="B152" s="278"/>
      <c r="C152" s="278"/>
      <c r="D152" s="278"/>
      <c r="E152" s="279"/>
      <c r="F152" s="278"/>
      <c r="G152" s="278"/>
      <c r="H152" s="278"/>
      <c r="I152" s="279"/>
      <c r="J152" s="278"/>
      <c r="K152" s="278"/>
      <c r="L152" s="278"/>
      <c r="M152" s="279"/>
    </row>
  </sheetData>
  <sheetProtection insertRows="0" deleteRows="0"/>
  <mergeCells count="9">
    <mergeCell ref="F3:I3"/>
    <mergeCell ref="F65:I65"/>
    <mergeCell ref="F110:I110"/>
    <mergeCell ref="B3:E3"/>
    <mergeCell ref="J3:M3"/>
    <mergeCell ref="B65:E65"/>
    <mergeCell ref="J65:M65"/>
    <mergeCell ref="B110:E110"/>
    <mergeCell ref="J110:M110"/>
  </mergeCells>
  <conditionalFormatting sqref="L1:M1">
    <cfRule type="expression" dxfId="1" priority="2">
      <formula>$M$1="Period Error!"</formula>
    </cfRule>
  </conditionalFormatting>
  <conditionalFormatting sqref="B151:M151">
    <cfRule type="cellIs" dxfId="0" priority="1" operator="equal">
      <formula>"error!"</formula>
    </cfRule>
  </conditionalFormatting>
  <dataValidations count="1">
    <dataValidation type="list" allowBlank="1" showInputMessage="1" showErrorMessage="1" errorTitle="Invalid Data" error="Select a valid week from the list box." sqref="L1" xr:uid="{00000000-0002-0000-0C00-000000000000}">
      <formula1>Months</formula1>
    </dataValidation>
  </dataValidations>
  <pageMargins left="0.59055118110236227" right="0.59055118110236227" top="0.39370078740157483" bottom="0.59055118110236227" header="0" footer="0.39370078740157483"/>
  <pageSetup paperSize="9" scale="54" fitToHeight="3" orientation="landscape"/>
  <headerFooter alignWithMargins="0">
    <oddFooter>&amp;C&amp;9Page &amp;P of &amp;N</oddFooter>
  </headerFooter>
  <rowBreaks count="2" manualBreakCount="2">
    <brk id="64" max="12" man="1"/>
    <brk id="109" max="12" man="1"/>
  </rowBreaks>
  <ignoredErrors>
    <ignoredError sqref="E41 D85:E85 E88 L85 E93 E105 E106 E108 E125 E147:E148 I41 H85:I85 I88 I93 I105 I106 I108 I124:I125 I147:I148 E7 E10 D13 I13 I10 I7 L13 E45 I45 E49 I49 E56 I56 B60:C60 F60:G60 J60:L60 L59 D59 H59 I117 I131 I137 E131 E137" formula="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Q26"/>
  <sheetViews>
    <sheetView zoomScale="95" zoomScaleNormal="95" workbookViewId="0">
      <pane ySplit="2" topLeftCell="A3" activePane="bottomLeft" state="frozen"/>
      <selection pane="bottomLeft"/>
    </sheetView>
  </sheetViews>
  <sheetFormatPr defaultColWidth="9.140625" defaultRowHeight="16.149999999999999" customHeight="1" x14ac:dyDescent="0.25"/>
  <cols>
    <col min="1" max="1" width="15.7109375" style="284" customWidth="1"/>
    <col min="2" max="2" width="15.7109375" style="285" customWidth="1"/>
    <col min="3" max="3" width="15.7109375" style="287" customWidth="1"/>
    <col min="4" max="4" width="15.7109375" style="285" customWidth="1"/>
    <col min="5" max="5" width="5.7109375" style="284" customWidth="1"/>
    <col min="6" max="8" width="15.7109375" style="284" customWidth="1"/>
    <col min="9" max="9" width="5.7109375" style="284" customWidth="1"/>
    <col min="10" max="12" width="15.7109375" style="284" customWidth="1"/>
    <col min="13" max="13" width="5.7109375" style="284" customWidth="1"/>
    <col min="14" max="16" width="15.7109375" style="284" customWidth="1"/>
    <col min="17" max="17" width="15.7109375" style="285" customWidth="1"/>
    <col min="18" max="19" width="15.7109375" style="284" customWidth="1"/>
    <col min="20" max="16384" width="9.140625" style="284"/>
  </cols>
  <sheetData>
    <row r="1" spans="1:17" s="281" customFormat="1" ht="16.149999999999999" customHeight="1" x14ac:dyDescent="0.2">
      <c r="B1" s="340" t="s">
        <v>159</v>
      </c>
      <c r="C1" s="341"/>
      <c r="D1" s="342"/>
      <c r="F1" s="340" t="s">
        <v>165</v>
      </c>
      <c r="G1" s="341"/>
      <c r="H1" s="342"/>
      <c r="J1" s="340" t="s">
        <v>240</v>
      </c>
      <c r="K1" s="341"/>
      <c r="L1" s="342"/>
      <c r="N1" s="340" t="s">
        <v>240</v>
      </c>
      <c r="O1" s="341"/>
      <c r="P1" s="341"/>
      <c r="Q1" s="342"/>
    </row>
    <row r="2" spans="1:17" s="281" customFormat="1" ht="16.149999999999999" customHeight="1" x14ac:dyDescent="0.2">
      <c r="A2" s="281" t="s">
        <v>40</v>
      </c>
      <c r="B2" s="282" t="s">
        <v>241</v>
      </c>
      <c r="C2" s="283" t="s">
        <v>242</v>
      </c>
      <c r="D2" s="282" t="s">
        <v>243</v>
      </c>
      <c r="F2" s="282" t="s">
        <v>241</v>
      </c>
      <c r="G2" s="283" t="s">
        <v>242</v>
      </c>
      <c r="H2" s="282" t="s">
        <v>243</v>
      </c>
      <c r="J2" s="282" t="s">
        <v>241</v>
      </c>
      <c r="K2" s="283" t="s">
        <v>242</v>
      </c>
      <c r="L2" s="282" t="s">
        <v>243</v>
      </c>
      <c r="N2" s="282" t="s">
        <v>241</v>
      </c>
      <c r="O2" s="283" t="s">
        <v>242</v>
      </c>
      <c r="P2" s="282" t="s">
        <v>288</v>
      </c>
      <c r="Q2" s="282" t="s">
        <v>243</v>
      </c>
    </row>
    <row r="3" spans="1:17" ht="16.149999999999999" customHeight="1" x14ac:dyDescent="0.25">
      <c r="A3" s="284" t="s">
        <v>244</v>
      </c>
      <c r="B3" s="285">
        <f ca="1">DATE(YEAR(Assumptions!$C$5),OFFSET($C$2,MATCH(MONTH(Assumptions!$C$5)-1,Pay!$C$3:$C$18,-1),0,1,1)+1-Assumptions!$C$63,0)</f>
        <v>43861</v>
      </c>
      <c r="C3" s="286">
        <f>C4+Assumptions!$C$63</f>
        <v>31</v>
      </c>
      <c r="D3" s="285">
        <f ca="1">IF(Assumptions!$C$66&gt;DAY(B3),B3,DATE(YEAR(B3),MONTH(B3),Assumptions!$C$66))</f>
        <v>43855</v>
      </c>
      <c r="F3" s="285">
        <f ca="1">DATE(YEAR(Assumptions!$C$5),OFFSET($G$2,MATCH(MONTH(Assumptions!$C$5)-1,Pay!$G$3:$G$18,-1),0,1,1)+1-Assumptions!$C$70,0)</f>
        <v>43708</v>
      </c>
      <c r="G3" s="286">
        <f>G4+Assumptions!$C$70</f>
        <v>92</v>
      </c>
      <c r="H3" s="285">
        <f ca="1">IF(Assumptions!$C$73&gt;DAY(F3),F3,DATE(YEAR(F3),MONTH(F3),Assumptions!$C$73))</f>
        <v>43702</v>
      </c>
      <c r="J3" s="285">
        <f ca="1">DATE(YEAR(Assumptions!$C$5),OFFSET($K$2,MATCH(MONTH(Assumptions!$C$5)-1,Pay!$K$3:$K$18,-1),0,1,1)+1-Assumptions!$C$53,0)</f>
        <v>43861</v>
      </c>
      <c r="K3" s="286">
        <f>K4+Assumptions!$C$53</f>
        <v>16</v>
      </c>
      <c r="L3" s="285">
        <f ca="1">IF(Assumptions!$C$56&gt;DAY(J3),J3,DATE(YEAR(J3),MONTH(J3),Assumptions!$C$56))</f>
        <v>43836</v>
      </c>
      <c r="N3" s="285">
        <f ca="1">DATE(YEAR(Assumptions!$C$5),OFFSET($O$2,MATCH(MONTH(Assumptions!$C$5)-1,Pay!$O$3:$O$18,-1),0,1,1)+1-Assumptions!$C$107,0)</f>
        <v>43524</v>
      </c>
      <c r="O3" s="286">
        <f>O4+Assumptions!$C$107</f>
        <v>182</v>
      </c>
      <c r="P3" s="285">
        <f ca="1">IF(Assumptions!$C$110&gt;DAY(N3),N3,DATE(YEAR(N3),MONTH(N3),Assumptions!$C$110))</f>
        <v>43516</v>
      </c>
      <c r="Q3" s="285">
        <f ca="1">IF(Assumptions!$C$110&gt;DAY(DATE(YEAR(N3),MONTH(N3)+2,0)),DATE(YEAR(N3),MONTH(N3)+2,0),DATE(YEAR(N3),MONTH(N3)+1,Assumptions!$C$110))</f>
        <v>43544</v>
      </c>
    </row>
    <row r="4" spans="1:17" ht="16.149999999999999" customHeight="1" x14ac:dyDescent="0.25">
      <c r="A4" s="284" t="s">
        <v>245</v>
      </c>
      <c r="B4" s="285">
        <f ca="1">DATE(YEAR(B3),MONTH(B3)+1+Assumptions!$C$63,0)</f>
        <v>43921</v>
      </c>
      <c r="C4" s="286">
        <f>C5+Assumptions!$C$63</f>
        <v>29</v>
      </c>
      <c r="D4" s="285">
        <f ca="1">IF(Assumptions!$C$66&gt;DAY(B4),B4,DATE(YEAR(B4),MONTH(B4),Assumptions!$C$66))</f>
        <v>43915</v>
      </c>
      <c r="F4" s="285">
        <f ca="1">DATE(YEAR(F3),MONTH(F3)+1+Assumptions!$C$70,0)</f>
        <v>43890</v>
      </c>
      <c r="G4" s="286">
        <f>G5+Assumptions!$C$70</f>
        <v>86</v>
      </c>
      <c r="H4" s="285">
        <f ca="1">IF(Assumptions!$C$73&gt;DAY(F4),F4,DATE(YEAR(F4),MONTH(F4),Assumptions!$C$73))</f>
        <v>43886</v>
      </c>
      <c r="J4" s="285">
        <f ca="1">DATE(YEAR(J3),MONTH(J3)+1+Assumptions!$C$53,0)</f>
        <v>43890</v>
      </c>
      <c r="K4" s="286">
        <f>K5+Assumptions!$C$53</f>
        <v>15</v>
      </c>
      <c r="L4" s="285">
        <f ca="1">IF(Assumptions!$C$56&gt;DAY(J4),J4,DATE(YEAR(J4),MONTH(J4),Assumptions!$C$56))</f>
        <v>43867</v>
      </c>
      <c r="N4" s="285">
        <f ca="1">DATE(YEAR(N3),MONTH(N3)+1+Assumptions!$C$107,0)</f>
        <v>43890</v>
      </c>
      <c r="O4" s="286">
        <f>O5+Assumptions!$C$107</f>
        <v>170</v>
      </c>
      <c r="P4" s="285">
        <f ca="1">IF(Assumptions!$C$110&gt;DAY(N4),N4,DATE(YEAR(N4),MONTH(N4),Assumptions!$C$110))</f>
        <v>43881</v>
      </c>
      <c r="Q4" s="285">
        <f ca="1">IF(Assumptions!$C$110&gt;DAY(DATE(YEAR(N4),MONTH(N4)+2,0)),DATE(YEAR(N4),MONTH(N4)+2,0),DATE(YEAR(N4),MONTH(N4)+1,Assumptions!$C$110))</f>
        <v>43910</v>
      </c>
    </row>
    <row r="5" spans="1:17" ht="16.149999999999999" customHeight="1" x14ac:dyDescent="0.25">
      <c r="A5" s="284" t="s">
        <v>246</v>
      </c>
      <c r="B5" s="285">
        <f ca="1">DATE(YEAR(B4),MONTH(B4)+1+Assumptions!$C$63,0)</f>
        <v>43982</v>
      </c>
      <c r="C5" s="286">
        <f>C6+Assumptions!$C$63</f>
        <v>27</v>
      </c>
      <c r="D5" s="285">
        <f ca="1">IF(Assumptions!$C$66&gt;DAY(B5),B5,DATE(YEAR(B5),MONTH(B5),Assumptions!$C$66))</f>
        <v>43976</v>
      </c>
      <c r="F5" s="285">
        <f ca="1">DATE(YEAR(F4),MONTH(F4)+1+Assumptions!$C$70,0)</f>
        <v>44074</v>
      </c>
      <c r="G5" s="286">
        <f>G6+Assumptions!$C$70</f>
        <v>80</v>
      </c>
      <c r="H5" s="285">
        <f ca="1">IF(Assumptions!$C$73&gt;DAY(F5),F5,DATE(YEAR(F5),MONTH(F5),Assumptions!$C$73))</f>
        <v>44068</v>
      </c>
      <c r="J5" s="285">
        <f ca="1">DATE(YEAR(J4),MONTH(J4)+1+Assumptions!$C$53,0)</f>
        <v>43921</v>
      </c>
      <c r="K5" s="286">
        <f>K6+Assumptions!$C$53</f>
        <v>14</v>
      </c>
      <c r="L5" s="285">
        <f ca="1">IF(Assumptions!$C$56&gt;DAY(J5),J5,DATE(YEAR(J5),MONTH(J5),Assumptions!$C$56))</f>
        <v>43896</v>
      </c>
      <c r="N5" s="285">
        <f ca="1">DATE(YEAR(N4),MONTH(N4)+1+Assumptions!$C$107,0)</f>
        <v>44255</v>
      </c>
      <c r="O5" s="286">
        <f>O6+Assumptions!$C$107</f>
        <v>158</v>
      </c>
      <c r="P5" s="285">
        <f ca="1">IF(Assumptions!$C$110&gt;DAY(N5),N5,DATE(YEAR(N5),MONTH(N5),Assumptions!$C$110))</f>
        <v>44247</v>
      </c>
      <c r="Q5" s="285">
        <f ca="1">IF(Assumptions!$C$110&gt;DAY(DATE(YEAR(N5),MONTH(N5)+2,0)),DATE(YEAR(N5),MONTH(N5)+2,0),DATE(YEAR(N5),MONTH(N5)+1,Assumptions!$C$110))</f>
        <v>44275</v>
      </c>
    </row>
    <row r="6" spans="1:17" ht="16.149999999999999" customHeight="1" x14ac:dyDescent="0.25">
      <c r="A6" s="284" t="s">
        <v>247</v>
      </c>
      <c r="B6" s="285">
        <f ca="1">DATE(YEAR(B5),MONTH(B5)+1+Assumptions!$C$63,0)</f>
        <v>44043</v>
      </c>
      <c r="C6" s="286">
        <f>C7+Assumptions!$C$63</f>
        <v>25</v>
      </c>
      <c r="D6" s="285">
        <f ca="1">IF(Assumptions!$C$66&gt;DAY(B6),B6,DATE(YEAR(B6),MONTH(B6),Assumptions!$C$66))</f>
        <v>44037</v>
      </c>
      <c r="F6" s="285">
        <f ca="1">DATE(YEAR(F5),MONTH(F5)+1+Assumptions!$C$70,0)</f>
        <v>44255</v>
      </c>
      <c r="G6" s="286">
        <f>G7+Assumptions!$C$70</f>
        <v>74</v>
      </c>
      <c r="H6" s="285">
        <f ca="1">IF(Assumptions!$C$73&gt;DAY(F6),F6,DATE(YEAR(F6),MONTH(F6),Assumptions!$C$73))</f>
        <v>44252</v>
      </c>
      <c r="J6" s="285">
        <f ca="1">DATE(YEAR(J5),MONTH(J5)+1+Assumptions!$C$53,0)</f>
        <v>43951</v>
      </c>
      <c r="K6" s="286">
        <f>K7+Assumptions!$C$53</f>
        <v>13</v>
      </c>
      <c r="L6" s="285">
        <f ca="1">IF(Assumptions!$C$56&gt;DAY(J6),J6,DATE(YEAR(J6),MONTH(J6),Assumptions!$C$56))</f>
        <v>43927</v>
      </c>
      <c r="N6" s="285">
        <f ca="1">DATE(YEAR(N5),MONTH(N5)+1+Assumptions!$C$107,0)</f>
        <v>44620</v>
      </c>
      <c r="O6" s="286">
        <f>O7+Assumptions!$C$107</f>
        <v>146</v>
      </c>
      <c r="P6" s="285">
        <f ca="1">IF(Assumptions!$C$110&gt;DAY(N6),N6,DATE(YEAR(N6),MONTH(N6),Assumptions!$C$110))</f>
        <v>44612</v>
      </c>
      <c r="Q6" s="285">
        <f ca="1">IF(Assumptions!$C$110&gt;DAY(DATE(YEAR(N6),MONTH(N6)+2,0)),DATE(YEAR(N6),MONTH(N6)+2,0),DATE(YEAR(N6),MONTH(N6)+1,Assumptions!$C$110))</f>
        <v>44640</v>
      </c>
    </row>
    <row r="7" spans="1:17" ht="16.149999999999999" customHeight="1" x14ac:dyDescent="0.25">
      <c r="A7" s="284" t="s">
        <v>248</v>
      </c>
      <c r="B7" s="285">
        <f ca="1">DATE(YEAR(B6),MONTH(B6)+1+Assumptions!$C$63,0)</f>
        <v>44104</v>
      </c>
      <c r="C7" s="286">
        <f>C8+Assumptions!$C$63</f>
        <v>23</v>
      </c>
      <c r="D7" s="285">
        <f ca="1">IF(Assumptions!$C$66&gt;DAY(B7),B7,DATE(YEAR(B7),MONTH(B7),Assumptions!$C$66))</f>
        <v>44099</v>
      </c>
      <c r="F7" s="285">
        <f ca="1">DATE(YEAR(F6),MONTH(F6)+1+Assumptions!$C$70,0)</f>
        <v>44439</v>
      </c>
      <c r="G7" s="286">
        <f>G8+Assumptions!$C$70</f>
        <v>68</v>
      </c>
      <c r="H7" s="285">
        <f ca="1">IF(Assumptions!$C$73&gt;DAY(F7),F7,DATE(YEAR(F7),MONTH(F7),Assumptions!$C$73))</f>
        <v>44433</v>
      </c>
      <c r="J7" s="285">
        <f ca="1">DATE(YEAR(J6),MONTH(J6)+1+Assumptions!$C$53,0)</f>
        <v>43982</v>
      </c>
      <c r="K7" s="286">
        <f>K8+Assumptions!$C$53</f>
        <v>12</v>
      </c>
      <c r="L7" s="285">
        <f ca="1">IF(Assumptions!$C$56&gt;DAY(J7),J7,DATE(YEAR(J7),MONTH(J7),Assumptions!$C$56))</f>
        <v>43957</v>
      </c>
      <c r="N7" s="285">
        <f ca="1">DATE(YEAR(N6),MONTH(N6)+1+Assumptions!$C$107,0)</f>
        <v>44985</v>
      </c>
      <c r="O7" s="286">
        <f>O8+Assumptions!$C$107</f>
        <v>134</v>
      </c>
      <c r="P7" s="285">
        <f ca="1">IF(Assumptions!$C$110&gt;DAY(N7),N7,DATE(YEAR(N7),MONTH(N7),Assumptions!$C$110))</f>
        <v>44977</v>
      </c>
      <c r="Q7" s="285">
        <f ca="1">IF(Assumptions!$C$110&gt;DAY(DATE(YEAR(N7),MONTH(N7)+2,0)),DATE(YEAR(N7),MONTH(N7)+2,0),DATE(YEAR(N7),MONTH(N7)+1,Assumptions!$C$110))</f>
        <v>45005</v>
      </c>
    </row>
    <row r="8" spans="1:17" ht="16.149999999999999" customHeight="1" x14ac:dyDescent="0.25">
      <c r="A8" s="284" t="s">
        <v>249</v>
      </c>
      <c r="B8" s="285">
        <f ca="1">DATE(YEAR(B7),MONTH(B7)+1+Assumptions!$C$63,0)</f>
        <v>44165</v>
      </c>
      <c r="C8" s="286">
        <f>C9+Assumptions!$C$63</f>
        <v>21</v>
      </c>
      <c r="D8" s="285">
        <f ca="1">IF(Assumptions!$C$66&gt;DAY(B8),B8,DATE(YEAR(B8),MONTH(B8),Assumptions!$C$66))</f>
        <v>44160</v>
      </c>
      <c r="F8" s="285">
        <f ca="1">DATE(YEAR(F7),MONTH(F7)+1+Assumptions!$C$70,0)</f>
        <v>44620</v>
      </c>
      <c r="G8" s="286">
        <f>G9+Assumptions!$C$70</f>
        <v>62</v>
      </c>
      <c r="H8" s="285">
        <f ca="1">IF(Assumptions!$C$73&gt;DAY(F8),F8,DATE(YEAR(F8),MONTH(F8),Assumptions!$C$73))</f>
        <v>44617</v>
      </c>
      <c r="J8" s="285">
        <f ca="1">DATE(YEAR(J7),MONTH(J7)+1+Assumptions!$C$53,0)</f>
        <v>44012</v>
      </c>
      <c r="K8" s="286">
        <f>K9+Assumptions!$C$53</f>
        <v>11</v>
      </c>
      <c r="L8" s="285">
        <f ca="1">IF(Assumptions!$C$56&gt;DAY(J8),J8,DATE(YEAR(J8),MONTH(J8),Assumptions!$C$56))</f>
        <v>43988</v>
      </c>
      <c r="N8" s="285">
        <f ca="1">DATE(YEAR(N7),MONTH(N7)+1+Assumptions!$C$107,0)</f>
        <v>45351</v>
      </c>
      <c r="O8" s="286">
        <f>O9+Assumptions!$C$107</f>
        <v>122</v>
      </c>
      <c r="P8" s="285">
        <f ca="1">IF(Assumptions!$C$110&gt;DAY(N8),N8,DATE(YEAR(N8),MONTH(N8),Assumptions!$C$110))</f>
        <v>45342</v>
      </c>
      <c r="Q8" s="285">
        <f ca="1">IF(Assumptions!$C$110&gt;DAY(DATE(YEAR(N8),MONTH(N8)+2,0)),DATE(YEAR(N8),MONTH(N8)+2,0),DATE(YEAR(N8),MONTH(N8)+1,Assumptions!$C$110))</f>
        <v>45371</v>
      </c>
    </row>
    <row r="9" spans="1:17" ht="16.149999999999999" customHeight="1" x14ac:dyDescent="0.25">
      <c r="A9" s="284" t="s">
        <v>250</v>
      </c>
      <c r="B9" s="285">
        <f ca="1">DATE(YEAR(B8),MONTH(B8)+1+Assumptions!$C$63,0)</f>
        <v>44227</v>
      </c>
      <c r="C9" s="286">
        <f>C10+Assumptions!$C$63</f>
        <v>19</v>
      </c>
      <c r="D9" s="285">
        <f ca="1">IF(Assumptions!$C$66&gt;DAY(B9),B9,DATE(YEAR(B9),MONTH(B9),Assumptions!$C$66))</f>
        <v>44221</v>
      </c>
      <c r="F9" s="285">
        <f ca="1">DATE(YEAR(F8),MONTH(F8)+1+Assumptions!$C$70,0)</f>
        <v>44804</v>
      </c>
      <c r="G9" s="286">
        <f>G10+Assumptions!$C$70</f>
        <v>56</v>
      </c>
      <c r="H9" s="285">
        <f ca="1">IF(Assumptions!$C$73&gt;DAY(F9),F9,DATE(YEAR(F9),MONTH(F9),Assumptions!$C$73))</f>
        <v>44798</v>
      </c>
      <c r="J9" s="285">
        <f ca="1">DATE(YEAR(J8),MONTH(J8)+1+Assumptions!$C$53,0)</f>
        <v>44043</v>
      </c>
      <c r="K9" s="286">
        <f>K10+Assumptions!$C$53</f>
        <v>10</v>
      </c>
      <c r="L9" s="285">
        <f ca="1">IF(Assumptions!$C$56&gt;DAY(J9),J9,DATE(YEAR(J9),MONTH(J9),Assumptions!$C$56))</f>
        <v>44018</v>
      </c>
      <c r="N9" s="285">
        <f ca="1">DATE(YEAR(N8),MONTH(N8)+1+Assumptions!$C$107,0)</f>
        <v>45716</v>
      </c>
      <c r="O9" s="286">
        <f>O10+Assumptions!$C$107</f>
        <v>110</v>
      </c>
      <c r="P9" s="285">
        <f ca="1">IF(Assumptions!$C$110&gt;DAY(N9),N9,DATE(YEAR(N9),MONTH(N9),Assumptions!$C$110))</f>
        <v>45708</v>
      </c>
      <c r="Q9" s="285">
        <f ca="1">IF(Assumptions!$C$110&gt;DAY(DATE(YEAR(N9),MONTH(N9)+2,0)),DATE(YEAR(N9),MONTH(N9)+2,0),DATE(YEAR(N9),MONTH(N9)+1,Assumptions!$C$110))</f>
        <v>45736</v>
      </c>
    </row>
    <row r="10" spans="1:17" ht="16.149999999999999" customHeight="1" x14ac:dyDescent="0.25">
      <c r="A10" s="284" t="s">
        <v>251</v>
      </c>
      <c r="B10" s="285">
        <f ca="1">DATE(YEAR(B9),MONTH(B9)+1+Assumptions!$C$63,0)</f>
        <v>44286</v>
      </c>
      <c r="C10" s="286">
        <f>C11+Assumptions!$C$63</f>
        <v>17</v>
      </c>
      <c r="D10" s="285">
        <f ca="1">IF(Assumptions!$C$66&gt;DAY(B10),B10,DATE(YEAR(B10),MONTH(B10),Assumptions!$C$66))</f>
        <v>44280</v>
      </c>
      <c r="F10" s="285">
        <f ca="1">DATE(YEAR(F9),MONTH(F9)+1+Assumptions!$C$70,0)</f>
        <v>44985</v>
      </c>
      <c r="G10" s="286">
        <f>G11+Assumptions!$C$70</f>
        <v>50</v>
      </c>
      <c r="H10" s="285">
        <f ca="1">IF(Assumptions!$C$73&gt;DAY(F10),F10,DATE(YEAR(F10),MONTH(F10),Assumptions!$C$73))</f>
        <v>44982</v>
      </c>
      <c r="J10" s="285">
        <f ca="1">DATE(YEAR(J9),MONTH(J9)+1+Assumptions!$C$53,0)</f>
        <v>44074</v>
      </c>
      <c r="K10" s="286">
        <f>K11+Assumptions!$C$53</f>
        <v>9</v>
      </c>
      <c r="L10" s="285">
        <f ca="1">IF(Assumptions!$C$56&gt;DAY(J10),J10,DATE(YEAR(J10),MONTH(J10),Assumptions!$C$56))</f>
        <v>44049</v>
      </c>
      <c r="N10" s="285">
        <f ca="1">DATE(YEAR(N9),MONTH(N9)+1+Assumptions!$C$107,0)</f>
        <v>46081</v>
      </c>
      <c r="O10" s="286">
        <f>O11+Assumptions!$C$107</f>
        <v>98</v>
      </c>
      <c r="P10" s="285">
        <f ca="1">IF(Assumptions!$C$110&gt;DAY(N10),N10,DATE(YEAR(N10),MONTH(N10),Assumptions!$C$110))</f>
        <v>46073</v>
      </c>
      <c r="Q10" s="285">
        <f ca="1">IF(Assumptions!$C$110&gt;DAY(DATE(YEAR(N10),MONTH(N10)+2,0)),DATE(YEAR(N10),MONTH(N10)+2,0),DATE(YEAR(N10),MONTH(N10)+1,Assumptions!$C$110))</f>
        <v>46101</v>
      </c>
    </row>
    <row r="11" spans="1:17" ht="16.149999999999999" customHeight="1" x14ac:dyDescent="0.25">
      <c r="A11" s="284" t="s">
        <v>252</v>
      </c>
      <c r="B11" s="285">
        <f ca="1">DATE(YEAR(B10),MONTH(B10)+1+Assumptions!$C$63,0)</f>
        <v>44347</v>
      </c>
      <c r="C11" s="286">
        <f>C12+Assumptions!$C$63</f>
        <v>15</v>
      </c>
      <c r="D11" s="285">
        <f ca="1">IF(Assumptions!$C$66&gt;DAY(B11),B11,DATE(YEAR(B11),MONTH(B11),Assumptions!$C$66))</f>
        <v>44341</v>
      </c>
      <c r="F11" s="285">
        <f ca="1">DATE(YEAR(F10),MONTH(F10)+1+Assumptions!$C$70,0)</f>
        <v>45169</v>
      </c>
      <c r="G11" s="286">
        <f>G12+Assumptions!$C$70</f>
        <v>44</v>
      </c>
      <c r="H11" s="285">
        <f ca="1">IF(Assumptions!$C$73&gt;DAY(F11),F11,DATE(YEAR(F11),MONTH(F11),Assumptions!$C$73))</f>
        <v>45163</v>
      </c>
      <c r="J11" s="285">
        <f ca="1">DATE(YEAR(J10),MONTH(J10)+1+Assumptions!$C$53,0)</f>
        <v>44104</v>
      </c>
      <c r="K11" s="286">
        <f>K12+Assumptions!$C$53</f>
        <v>8</v>
      </c>
      <c r="L11" s="285">
        <f ca="1">IF(Assumptions!$C$56&gt;DAY(J11),J11,DATE(YEAR(J11),MONTH(J11),Assumptions!$C$56))</f>
        <v>44080</v>
      </c>
      <c r="N11" s="285">
        <f ca="1">DATE(YEAR(N10),MONTH(N10)+1+Assumptions!$C$107,0)</f>
        <v>46446</v>
      </c>
      <c r="O11" s="286">
        <f>O12+Assumptions!$C$107</f>
        <v>86</v>
      </c>
      <c r="P11" s="285">
        <f ca="1">IF(Assumptions!$C$110&gt;DAY(N11),N11,DATE(YEAR(N11),MONTH(N11),Assumptions!$C$110))</f>
        <v>46438</v>
      </c>
      <c r="Q11" s="285">
        <f ca="1">IF(Assumptions!$C$110&gt;DAY(DATE(YEAR(N11),MONTH(N11)+2,0)),DATE(YEAR(N11),MONTH(N11)+2,0),DATE(YEAR(N11),MONTH(N11)+1,Assumptions!$C$110))</f>
        <v>46466</v>
      </c>
    </row>
    <row r="12" spans="1:17" ht="16.149999999999999" customHeight="1" x14ac:dyDescent="0.25">
      <c r="A12" s="284" t="s">
        <v>253</v>
      </c>
      <c r="B12" s="285">
        <f ca="1">DATE(YEAR(B11),MONTH(B11)+1+Assumptions!$C$63,0)</f>
        <v>44408</v>
      </c>
      <c r="C12" s="286">
        <f>C13+Assumptions!$C$63</f>
        <v>13</v>
      </c>
      <c r="D12" s="285">
        <f ca="1">IF(Assumptions!$C$66&gt;DAY(B12),B12,DATE(YEAR(B12),MONTH(B12),Assumptions!$C$66))</f>
        <v>44402</v>
      </c>
      <c r="F12" s="285">
        <f ca="1">DATE(YEAR(F11),MONTH(F11)+1+Assumptions!$C$70,0)</f>
        <v>45351</v>
      </c>
      <c r="G12" s="286">
        <f>G13+Assumptions!$C$70</f>
        <v>38</v>
      </c>
      <c r="H12" s="285">
        <f ca="1">IF(Assumptions!$C$73&gt;DAY(F12),F12,DATE(YEAR(F12),MONTH(F12),Assumptions!$C$73))</f>
        <v>45347</v>
      </c>
      <c r="J12" s="285">
        <f ca="1">DATE(YEAR(J11),MONTH(J11)+1+Assumptions!$C$53,0)</f>
        <v>44135</v>
      </c>
      <c r="K12" s="286">
        <f>K13+Assumptions!$C$53</f>
        <v>7</v>
      </c>
      <c r="L12" s="285">
        <f ca="1">IF(Assumptions!$C$56&gt;DAY(J12),J12,DATE(YEAR(J12),MONTH(J12),Assumptions!$C$56))</f>
        <v>44110</v>
      </c>
      <c r="N12" s="285">
        <f ca="1">DATE(YEAR(N11),MONTH(N11)+1+Assumptions!$C$107,0)</f>
        <v>46812</v>
      </c>
      <c r="O12" s="286">
        <f>O13+Assumptions!$C$107</f>
        <v>74</v>
      </c>
      <c r="P12" s="285">
        <f ca="1">IF(Assumptions!$C$110&gt;DAY(N12),N12,DATE(YEAR(N12),MONTH(N12),Assumptions!$C$110))</f>
        <v>46803</v>
      </c>
      <c r="Q12" s="285">
        <f ca="1">IF(Assumptions!$C$110&gt;DAY(DATE(YEAR(N12),MONTH(N12)+2,0)),DATE(YEAR(N12),MONTH(N12)+2,0),DATE(YEAR(N12),MONTH(N12)+1,Assumptions!$C$110))</f>
        <v>46832</v>
      </c>
    </row>
    <row r="13" spans="1:17" ht="16.149999999999999" customHeight="1" x14ac:dyDescent="0.25">
      <c r="A13" s="284" t="s">
        <v>254</v>
      </c>
      <c r="B13" s="285">
        <f ca="1">DATE(YEAR(B12),MONTH(B12)+1+Assumptions!$C$63,0)</f>
        <v>44469</v>
      </c>
      <c r="C13" s="286">
        <f>C14+Assumptions!$C$63</f>
        <v>11</v>
      </c>
      <c r="D13" s="285">
        <f ca="1">IF(Assumptions!$C$66&gt;DAY(B13),B13,DATE(YEAR(B13),MONTH(B13),Assumptions!$C$66))</f>
        <v>44464</v>
      </c>
      <c r="F13" s="285">
        <f ca="1">DATE(YEAR(F12),MONTH(F12)+1+Assumptions!$C$70,0)</f>
        <v>45535</v>
      </c>
      <c r="G13" s="286">
        <f>G14+Assumptions!$C$70</f>
        <v>32</v>
      </c>
      <c r="H13" s="285">
        <f ca="1">IF(Assumptions!$C$73&gt;DAY(F13),F13,DATE(YEAR(F13),MONTH(F13),Assumptions!$C$73))</f>
        <v>45529</v>
      </c>
      <c r="J13" s="285">
        <f ca="1">DATE(YEAR(J12),MONTH(J12)+1+Assumptions!$C$53,0)</f>
        <v>44165</v>
      </c>
      <c r="K13" s="286">
        <f>K14+Assumptions!$C$53</f>
        <v>6</v>
      </c>
      <c r="L13" s="285">
        <f ca="1">IF(Assumptions!$C$56&gt;DAY(J13),J13,DATE(YEAR(J13),MONTH(J13),Assumptions!$C$56))</f>
        <v>44141</v>
      </c>
      <c r="N13" s="285">
        <f ca="1">DATE(YEAR(N12),MONTH(N12)+1+Assumptions!$C$107,0)</f>
        <v>47177</v>
      </c>
      <c r="O13" s="286">
        <f>O14+Assumptions!$C$107</f>
        <v>62</v>
      </c>
      <c r="P13" s="285">
        <f ca="1">IF(Assumptions!$C$110&gt;DAY(N13),N13,DATE(YEAR(N13),MONTH(N13),Assumptions!$C$110))</f>
        <v>47169</v>
      </c>
      <c r="Q13" s="285">
        <f ca="1">IF(Assumptions!$C$110&gt;DAY(DATE(YEAR(N13),MONTH(N13)+2,0)),DATE(YEAR(N13),MONTH(N13)+2,0),DATE(YEAR(N13),MONTH(N13)+1,Assumptions!$C$110))</f>
        <v>47197</v>
      </c>
    </row>
    <row r="14" spans="1:17" ht="16.149999999999999" customHeight="1" x14ac:dyDescent="0.25">
      <c r="A14" s="284" t="s">
        <v>255</v>
      </c>
      <c r="B14" s="285">
        <f ca="1">DATE(YEAR(B13),MONTH(B13)+1+Assumptions!$C$63,0)</f>
        <v>44530</v>
      </c>
      <c r="C14" s="286">
        <f>C15+Assumptions!$C$63</f>
        <v>9</v>
      </c>
      <c r="D14" s="285">
        <f ca="1">IF(Assumptions!$C$66&gt;DAY(B14),B14,DATE(YEAR(B14),MONTH(B14),Assumptions!$C$66))</f>
        <v>44525</v>
      </c>
      <c r="F14" s="285">
        <f ca="1">DATE(YEAR(F13),MONTH(F13)+1+Assumptions!$C$70,0)</f>
        <v>45716</v>
      </c>
      <c r="G14" s="286">
        <f>G15+Assumptions!$C$70</f>
        <v>26</v>
      </c>
      <c r="H14" s="285">
        <f ca="1">IF(Assumptions!$C$73&gt;DAY(F14),F14,DATE(YEAR(F14),MONTH(F14),Assumptions!$C$73))</f>
        <v>45713</v>
      </c>
      <c r="J14" s="285">
        <f ca="1">DATE(YEAR(J13),MONTH(J13)+1+Assumptions!$C$53,0)</f>
        <v>44196</v>
      </c>
      <c r="K14" s="286">
        <f>K15+Assumptions!$C$53</f>
        <v>5</v>
      </c>
      <c r="L14" s="285">
        <f ca="1">IF(Assumptions!$C$56&gt;DAY(J14),J14,DATE(YEAR(J14),MONTH(J14),Assumptions!$C$56))</f>
        <v>44171</v>
      </c>
      <c r="N14" s="285">
        <f ca="1">DATE(YEAR(N13),MONTH(N13)+1+Assumptions!$C$107,0)</f>
        <v>47542</v>
      </c>
      <c r="O14" s="286">
        <f>O15+Assumptions!$C$107</f>
        <v>50</v>
      </c>
      <c r="P14" s="285">
        <f ca="1">IF(Assumptions!$C$110&gt;DAY(N14),N14,DATE(YEAR(N14),MONTH(N14),Assumptions!$C$110))</f>
        <v>47534</v>
      </c>
      <c r="Q14" s="285">
        <f ca="1">IF(Assumptions!$C$110&gt;DAY(DATE(YEAR(N14),MONTH(N14)+2,0)),DATE(YEAR(N14),MONTH(N14)+2,0),DATE(YEAR(N14),MONTH(N14)+1,Assumptions!$C$110))</f>
        <v>47562</v>
      </c>
    </row>
    <row r="15" spans="1:17" ht="16.149999999999999" customHeight="1" x14ac:dyDescent="0.25">
      <c r="A15" s="284" t="s">
        <v>256</v>
      </c>
      <c r="B15" s="285">
        <f ca="1">DATE(YEAR(B14),MONTH(B14)+1+Assumptions!$C$63,0)</f>
        <v>44592</v>
      </c>
      <c r="C15" s="286">
        <f>C16+Assumptions!$C$63</f>
        <v>7</v>
      </c>
      <c r="D15" s="285">
        <f ca="1">IF(Assumptions!$C$66&gt;DAY(B15),B15,DATE(YEAR(B15),MONTH(B15),Assumptions!$C$66))</f>
        <v>44586</v>
      </c>
      <c r="F15" s="285">
        <f ca="1">DATE(YEAR(F14),MONTH(F14)+1+Assumptions!$C$70,0)</f>
        <v>45900</v>
      </c>
      <c r="G15" s="286">
        <f>G16+Assumptions!$C$70</f>
        <v>20</v>
      </c>
      <c r="H15" s="285">
        <f ca="1">IF(Assumptions!$C$73&gt;DAY(F15),F15,DATE(YEAR(F15),MONTH(F15),Assumptions!$C$73))</f>
        <v>45894</v>
      </c>
      <c r="J15" s="285">
        <f ca="1">DATE(YEAR(J14),MONTH(J14)+1+Assumptions!$C$53,0)</f>
        <v>44227</v>
      </c>
      <c r="K15" s="286">
        <f>K16+Assumptions!$C$53</f>
        <v>4</v>
      </c>
      <c r="L15" s="285">
        <f ca="1">IF(Assumptions!$C$56&gt;DAY(J15),J15,DATE(YEAR(J15),MONTH(J15),Assumptions!$C$56))</f>
        <v>44202</v>
      </c>
      <c r="N15" s="285">
        <f ca="1">DATE(YEAR(N14),MONTH(N14)+1+Assumptions!$C$107,0)</f>
        <v>47907</v>
      </c>
      <c r="O15" s="286">
        <f>O16+Assumptions!$C$107</f>
        <v>38</v>
      </c>
      <c r="P15" s="285">
        <f ca="1">IF(Assumptions!$C$110&gt;DAY(N15),N15,DATE(YEAR(N15),MONTH(N15),Assumptions!$C$110))</f>
        <v>47899</v>
      </c>
      <c r="Q15" s="285">
        <f ca="1">IF(Assumptions!$C$110&gt;DAY(DATE(YEAR(N15),MONTH(N15)+2,0)),DATE(YEAR(N15),MONTH(N15)+2,0),DATE(YEAR(N15),MONTH(N15)+1,Assumptions!$C$110))</f>
        <v>47927</v>
      </c>
    </row>
    <row r="16" spans="1:17" ht="16.149999999999999" customHeight="1" x14ac:dyDescent="0.25">
      <c r="A16" s="284" t="s">
        <v>257</v>
      </c>
      <c r="B16" s="285">
        <f ca="1">DATE(YEAR(B15),MONTH(B15)+1+Assumptions!$C$63,0)</f>
        <v>44651</v>
      </c>
      <c r="C16" s="286">
        <f>C17+Assumptions!$C$63</f>
        <v>5</v>
      </c>
      <c r="D16" s="285">
        <f ca="1">IF(Assumptions!$C$66&gt;DAY(B16),B16,DATE(YEAR(B16),MONTH(B16),Assumptions!$C$66))</f>
        <v>44645</v>
      </c>
      <c r="F16" s="285">
        <f ca="1">DATE(YEAR(F15),MONTH(F15)+1+Assumptions!$C$70,0)</f>
        <v>46081</v>
      </c>
      <c r="G16" s="286">
        <f>G17+Assumptions!$C$70</f>
        <v>14</v>
      </c>
      <c r="H16" s="285">
        <f ca="1">IF(Assumptions!$C$73&gt;DAY(F16),F16,DATE(YEAR(F16),MONTH(F16),Assumptions!$C$73))</f>
        <v>46078</v>
      </c>
      <c r="J16" s="285">
        <f ca="1">DATE(YEAR(J15),MONTH(J15)+1+Assumptions!$C$53,0)</f>
        <v>44255</v>
      </c>
      <c r="K16" s="286">
        <f>K17+Assumptions!$C$53</f>
        <v>3</v>
      </c>
      <c r="L16" s="285">
        <f ca="1">IF(Assumptions!$C$56&gt;DAY(J16),J16,DATE(YEAR(J16),MONTH(J16),Assumptions!$C$56))</f>
        <v>44233</v>
      </c>
      <c r="N16" s="285">
        <f ca="1">DATE(YEAR(N15),MONTH(N15)+1+Assumptions!$C$107,0)</f>
        <v>48273</v>
      </c>
      <c r="O16" s="286">
        <f>O17+Assumptions!$C$107</f>
        <v>26</v>
      </c>
      <c r="P16" s="285">
        <f ca="1">IF(Assumptions!$C$110&gt;DAY(N16),N16,DATE(YEAR(N16),MONTH(N16),Assumptions!$C$110))</f>
        <v>48264</v>
      </c>
      <c r="Q16" s="285">
        <f ca="1">IF(Assumptions!$C$110&gt;DAY(DATE(YEAR(N16),MONTH(N16)+2,0)),DATE(YEAR(N16),MONTH(N16)+2,0),DATE(YEAR(N16),MONTH(N16)+1,Assumptions!$C$110))</f>
        <v>48293</v>
      </c>
    </row>
    <row r="17" spans="1:17" ht="16.149999999999999" customHeight="1" x14ac:dyDescent="0.25">
      <c r="A17" s="284" t="s">
        <v>258</v>
      </c>
      <c r="B17" s="285">
        <f ca="1">DATE(YEAR(B16),MONTH(B16)+1+Assumptions!$C$63,0)</f>
        <v>44712</v>
      </c>
      <c r="C17" s="286">
        <f>C18+Assumptions!$C$63</f>
        <v>3</v>
      </c>
      <c r="D17" s="285">
        <f ca="1">IF(Assumptions!$C$66&gt;DAY(B17),B17,DATE(YEAR(B17),MONTH(B17),Assumptions!$C$66))</f>
        <v>44706</v>
      </c>
      <c r="F17" s="285">
        <f ca="1">DATE(YEAR(F16),MONTH(F16)+1+Assumptions!$C$70,0)</f>
        <v>46265</v>
      </c>
      <c r="G17" s="286">
        <f>G18+Assumptions!$C$70</f>
        <v>8</v>
      </c>
      <c r="H17" s="285">
        <f ca="1">IF(Assumptions!$C$73&gt;DAY(F17),F17,DATE(YEAR(F17),MONTH(F17),Assumptions!$C$73))</f>
        <v>46259</v>
      </c>
      <c r="J17" s="285">
        <f ca="1">DATE(YEAR(J16),MONTH(J16)+1+Assumptions!$C$53,0)</f>
        <v>44286</v>
      </c>
      <c r="K17" s="286">
        <f>K18+Assumptions!$C$53</f>
        <v>2</v>
      </c>
      <c r="L17" s="285">
        <f ca="1">IF(Assumptions!$C$56&gt;DAY(J17),J17,DATE(YEAR(J17),MONTH(J17),Assumptions!$C$56))</f>
        <v>44261</v>
      </c>
      <c r="N17" s="285">
        <f ca="1">DATE(YEAR(N16),MONTH(N16)+1+Assumptions!$C$107,0)</f>
        <v>48638</v>
      </c>
      <c r="O17" s="286">
        <f>O18+Assumptions!$C$107</f>
        <v>14</v>
      </c>
      <c r="P17" s="285">
        <f ca="1">IF(Assumptions!$C$110&gt;DAY(N17),N17,DATE(YEAR(N17),MONTH(N17),Assumptions!$C$110))</f>
        <v>48630</v>
      </c>
      <c r="Q17" s="285">
        <f ca="1">IF(Assumptions!$C$110&gt;DAY(DATE(YEAR(N17),MONTH(N17)+2,0)),DATE(YEAR(N17),MONTH(N17)+2,0),DATE(YEAR(N17),MONTH(N17)+1,Assumptions!$C$110))</f>
        <v>48658</v>
      </c>
    </row>
    <row r="18" spans="1:17" ht="16.149999999999999" customHeight="1" x14ac:dyDescent="0.25">
      <c r="A18" s="284" t="s">
        <v>259</v>
      </c>
      <c r="B18" s="285">
        <f ca="1">DATE(YEAR(B17),MONTH(B17)+1+Assumptions!$C$63,0)</f>
        <v>44773</v>
      </c>
      <c r="C18" s="286">
        <f>Assumptions!$C$64</f>
        <v>1</v>
      </c>
      <c r="D18" s="285">
        <f ca="1">IF(Assumptions!$C$66&gt;DAY(B18),B18,DATE(YEAR(B18),MONTH(B18),Assumptions!$C$66))</f>
        <v>44767</v>
      </c>
      <c r="F18" s="285">
        <f ca="1">DATE(YEAR(F17),MONTH(F17)+1+Assumptions!$C$70,0)</f>
        <v>46446</v>
      </c>
      <c r="G18" s="286">
        <f>Assumptions!$C$71</f>
        <v>2</v>
      </c>
      <c r="H18" s="285">
        <f ca="1">IF(Assumptions!$C$73&gt;DAY(F18),F18,DATE(YEAR(F18),MONTH(F18),Assumptions!$C$73))</f>
        <v>46443</v>
      </c>
      <c r="J18" s="285">
        <f ca="1">DATE(YEAR(J17),MONTH(J17)+1+Assumptions!$C$53,0)</f>
        <v>44316</v>
      </c>
      <c r="K18" s="286">
        <f>Assumptions!$C$54</f>
        <v>1</v>
      </c>
      <c r="L18" s="285">
        <f ca="1">IF(Assumptions!$C$56&gt;DAY(J18),J18,DATE(YEAR(J18),MONTH(J18),Assumptions!$C$56))</f>
        <v>44292</v>
      </c>
      <c r="N18" s="285">
        <f ca="1">DATE(YEAR(N17),MONTH(N17)+1+Assumptions!$C$107,0)</f>
        <v>49003</v>
      </c>
      <c r="O18" s="286">
        <f>Assumptions!D108</f>
        <v>2</v>
      </c>
      <c r="P18" s="285">
        <f ca="1">IF(Assumptions!$C$110&gt;DAY(N18),N18,DATE(YEAR(N18),MONTH(N18),Assumptions!$C$110))</f>
        <v>48995</v>
      </c>
      <c r="Q18" s="285">
        <f ca="1">IF(Assumptions!$C$110&gt;DAY(DATE(YEAR(N18),MONTH(N18)+2,0)),DATE(YEAR(N18),MONTH(N18)+2,0),DATE(YEAR(N18),MONTH(N18)+1,Assumptions!$C$110))</f>
        <v>49023</v>
      </c>
    </row>
    <row r="19" spans="1:17" ht="16.149999999999999" customHeight="1" x14ac:dyDescent="0.25">
      <c r="C19" s="286"/>
    </row>
    <row r="20" spans="1:17" ht="16.149999999999999" customHeight="1" x14ac:dyDescent="0.25">
      <c r="C20" s="286"/>
    </row>
    <row r="21" spans="1:17" ht="16.149999999999999" customHeight="1" x14ac:dyDescent="0.25">
      <c r="C21" s="286"/>
    </row>
    <row r="22" spans="1:17" ht="16.149999999999999" customHeight="1" x14ac:dyDescent="0.25">
      <c r="C22" s="286"/>
    </row>
    <row r="23" spans="1:17" ht="16.149999999999999" customHeight="1" x14ac:dyDescent="0.25">
      <c r="C23" s="286"/>
    </row>
    <row r="24" spans="1:17" ht="16.149999999999999" customHeight="1" x14ac:dyDescent="0.25">
      <c r="C24" s="286"/>
    </row>
    <row r="25" spans="1:17" ht="16.149999999999999" customHeight="1" x14ac:dyDescent="0.25">
      <c r="C25" s="286"/>
    </row>
    <row r="26" spans="1:17" ht="16.149999999999999" customHeight="1" x14ac:dyDescent="0.25">
      <c r="C26" s="286"/>
    </row>
  </sheetData>
  <mergeCells count="4">
    <mergeCell ref="B1:D1"/>
    <mergeCell ref="F1:H1"/>
    <mergeCell ref="J1:L1"/>
    <mergeCell ref="N1:Q1"/>
  </mergeCells>
  <pageMargins left="0.59055118110236227" right="0.59055118110236227" top="0.59055118110236227" bottom="0.59055118110236227" header="0.39370078740157483" footer="0.39370078740157483"/>
  <pageSetup paperSize="9" scale="5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427"/>
  <sheetViews>
    <sheetView zoomScaleNormal="100" workbookViewId="0">
      <pane ySplit="3" topLeftCell="A4" activePane="bottomLeft" state="frozen"/>
      <selection pane="bottomLeft"/>
    </sheetView>
  </sheetViews>
  <sheetFormatPr defaultColWidth="9.140625" defaultRowHeight="12.75" x14ac:dyDescent="0.2"/>
  <cols>
    <col min="1" max="1" width="109.7109375" style="324" customWidth="1"/>
    <col min="2" max="2" width="50.7109375" style="319" customWidth="1"/>
    <col min="3" max="19" width="20.7109375" style="319" customWidth="1"/>
    <col min="20" max="16384" width="9.140625" style="319"/>
  </cols>
  <sheetData>
    <row r="1" spans="1:1" ht="15.75" x14ac:dyDescent="0.25">
      <c r="A1" s="329" t="s">
        <v>104</v>
      </c>
    </row>
    <row r="2" spans="1:1" ht="15" customHeight="1" x14ac:dyDescent="0.2">
      <c r="A2" s="320" t="s">
        <v>46</v>
      </c>
    </row>
    <row r="3" spans="1:1" ht="15" customHeight="1" x14ac:dyDescent="0.2">
      <c r="A3" s="330" t="s">
        <v>27</v>
      </c>
    </row>
    <row r="4" spans="1:1" x14ac:dyDescent="0.2">
      <c r="A4" s="321"/>
    </row>
    <row r="5" spans="1:1" ht="89.25" x14ac:dyDescent="0.2">
      <c r="A5" s="322" t="s">
        <v>307</v>
      </c>
    </row>
    <row r="6" spans="1:1" x14ac:dyDescent="0.2">
      <c r="A6" s="322"/>
    </row>
    <row r="7" spans="1:1" ht="38.25" x14ac:dyDescent="0.2">
      <c r="A7" s="323" t="s">
        <v>96</v>
      </c>
    </row>
    <row r="9" spans="1:1" x14ac:dyDescent="0.2">
      <c r="A9" s="324" t="s">
        <v>308</v>
      </c>
    </row>
    <row r="10" spans="1:1" ht="25.5" x14ac:dyDescent="0.2">
      <c r="A10" s="325" t="s">
        <v>474</v>
      </c>
    </row>
    <row r="11" spans="1:1" ht="51" x14ac:dyDescent="0.2">
      <c r="A11" s="325" t="s">
        <v>478</v>
      </c>
    </row>
    <row r="12" spans="1:1" ht="38.25" x14ac:dyDescent="0.2">
      <c r="A12" s="325" t="s">
        <v>475</v>
      </c>
    </row>
    <row r="13" spans="1:1" ht="38.25" x14ac:dyDescent="0.2">
      <c r="A13" s="325" t="s">
        <v>476</v>
      </c>
    </row>
    <row r="14" spans="1:1" ht="38.25" x14ac:dyDescent="0.2">
      <c r="A14" s="325" t="s">
        <v>477</v>
      </c>
    </row>
    <row r="15" spans="1:1" ht="51" x14ac:dyDescent="0.2">
      <c r="A15" s="325" t="s">
        <v>479</v>
      </c>
    </row>
    <row r="17" spans="1:1" ht="38.25" x14ac:dyDescent="0.2">
      <c r="A17" s="326" t="s">
        <v>309</v>
      </c>
    </row>
    <row r="18" spans="1:1" x14ac:dyDescent="0.2">
      <c r="A18" s="326"/>
    </row>
    <row r="19" spans="1:1" ht="51" x14ac:dyDescent="0.2">
      <c r="A19" s="326" t="s">
        <v>310</v>
      </c>
    </row>
    <row r="21" spans="1:1" x14ac:dyDescent="0.2">
      <c r="A21" s="325" t="s">
        <v>311</v>
      </c>
    </row>
    <row r="23" spans="1:1" x14ac:dyDescent="0.2">
      <c r="A23" s="326" t="s">
        <v>312</v>
      </c>
    </row>
    <row r="25" spans="1:1" ht="51" x14ac:dyDescent="0.2">
      <c r="A25" s="324" t="s">
        <v>313</v>
      </c>
    </row>
    <row r="27" spans="1:1" x14ac:dyDescent="0.2">
      <c r="A27" s="326" t="s">
        <v>85</v>
      </c>
    </row>
    <row r="29" spans="1:1" ht="38.25" x14ac:dyDescent="0.2">
      <c r="A29" s="324" t="s">
        <v>314</v>
      </c>
    </row>
    <row r="31" spans="1:1" ht="25.5" x14ac:dyDescent="0.2">
      <c r="A31" s="324" t="s">
        <v>315</v>
      </c>
    </row>
    <row r="33" spans="1:1" x14ac:dyDescent="0.2">
      <c r="A33" s="326" t="s">
        <v>316</v>
      </c>
    </row>
    <row r="34" spans="1:1" x14ac:dyDescent="0.2">
      <c r="A34" s="326"/>
    </row>
    <row r="35" spans="1:1" ht="51" x14ac:dyDescent="0.2">
      <c r="A35" s="324" t="s">
        <v>458</v>
      </c>
    </row>
    <row r="37" spans="1:1" x14ac:dyDescent="0.2">
      <c r="A37" s="325" t="s">
        <v>459</v>
      </c>
    </row>
    <row r="39" spans="1:1" x14ac:dyDescent="0.2">
      <c r="A39" s="325" t="s">
        <v>107</v>
      </c>
    </row>
    <row r="41" spans="1:1" x14ac:dyDescent="0.2">
      <c r="A41" s="324" t="s">
        <v>317</v>
      </c>
    </row>
    <row r="43" spans="1:1" ht="51" x14ac:dyDescent="0.2">
      <c r="A43" s="324" t="s">
        <v>318</v>
      </c>
    </row>
    <row r="45" spans="1:1" ht="25.5" x14ac:dyDescent="0.2">
      <c r="A45" s="324" t="s">
        <v>319</v>
      </c>
    </row>
    <row r="47" spans="1:1" x14ac:dyDescent="0.2">
      <c r="A47" s="326" t="s">
        <v>320</v>
      </c>
    </row>
    <row r="49" spans="1:1" ht="51" x14ac:dyDescent="0.2">
      <c r="A49" s="324" t="s">
        <v>321</v>
      </c>
    </row>
    <row r="51" spans="1:1" ht="51" x14ac:dyDescent="0.2">
      <c r="A51" s="324" t="s">
        <v>322</v>
      </c>
    </row>
    <row r="53" spans="1:1" ht="38.25" x14ac:dyDescent="0.2">
      <c r="A53" s="326" t="s">
        <v>323</v>
      </c>
    </row>
    <row r="54" spans="1:1" x14ac:dyDescent="0.2">
      <c r="A54" s="326"/>
    </row>
    <row r="55" spans="1:1" ht="38.25" x14ac:dyDescent="0.2">
      <c r="A55" s="326" t="s">
        <v>324</v>
      </c>
    </row>
    <row r="57" spans="1:1" x14ac:dyDescent="0.2">
      <c r="A57" s="326" t="s">
        <v>279</v>
      </c>
    </row>
    <row r="59" spans="1:1" ht="38.25" x14ac:dyDescent="0.2">
      <c r="A59" s="324" t="s">
        <v>480</v>
      </c>
    </row>
    <row r="61" spans="1:1" x14ac:dyDescent="0.2">
      <c r="A61" s="326" t="s">
        <v>121</v>
      </c>
    </row>
    <row r="63" spans="1:1" ht="51" x14ac:dyDescent="0.2">
      <c r="A63" s="324" t="s">
        <v>325</v>
      </c>
    </row>
    <row r="65" spans="1:1" ht="38.25" x14ac:dyDescent="0.2">
      <c r="A65" s="326" t="s">
        <v>326</v>
      </c>
    </row>
    <row r="67" spans="1:1" x14ac:dyDescent="0.2">
      <c r="A67" s="326" t="s">
        <v>122</v>
      </c>
    </row>
    <row r="69" spans="1:1" ht="51" x14ac:dyDescent="0.2">
      <c r="A69" s="324" t="s">
        <v>327</v>
      </c>
    </row>
    <row r="71" spans="1:1" ht="38.25" x14ac:dyDescent="0.2">
      <c r="A71" s="326" t="s">
        <v>326</v>
      </c>
    </row>
    <row r="73" spans="1:1" ht="51" x14ac:dyDescent="0.2">
      <c r="A73" s="326" t="s">
        <v>328</v>
      </c>
    </row>
    <row r="75" spans="1:1" x14ac:dyDescent="0.2">
      <c r="A75" s="326" t="s">
        <v>123</v>
      </c>
    </row>
    <row r="77" spans="1:1" ht="51" x14ac:dyDescent="0.2">
      <c r="A77" s="324" t="s">
        <v>329</v>
      </c>
    </row>
    <row r="79" spans="1:1" ht="38.25" x14ac:dyDescent="0.2">
      <c r="A79" s="324" t="s">
        <v>481</v>
      </c>
    </row>
    <row r="81" spans="1:1" ht="76.5" x14ac:dyDescent="0.2">
      <c r="A81" s="324" t="s">
        <v>330</v>
      </c>
    </row>
    <row r="83" spans="1:1" x14ac:dyDescent="0.2">
      <c r="A83" s="326" t="s">
        <v>215</v>
      </c>
    </row>
    <row r="85" spans="1:1" ht="38.25" x14ac:dyDescent="0.2">
      <c r="A85" s="324" t="s">
        <v>331</v>
      </c>
    </row>
    <row r="87" spans="1:1" ht="38.25" x14ac:dyDescent="0.2">
      <c r="A87" s="326" t="s">
        <v>332</v>
      </c>
    </row>
    <row r="89" spans="1:1" ht="38.25" x14ac:dyDescent="0.2">
      <c r="A89" s="324" t="s">
        <v>333</v>
      </c>
    </row>
    <row r="91" spans="1:1" ht="51" x14ac:dyDescent="0.2">
      <c r="A91" s="324" t="s">
        <v>334</v>
      </c>
    </row>
    <row r="93" spans="1:1" ht="38.25" x14ac:dyDescent="0.2">
      <c r="A93" s="324" t="s">
        <v>335</v>
      </c>
    </row>
    <row r="95" spans="1:1" ht="51" x14ac:dyDescent="0.2">
      <c r="A95" s="324" t="s">
        <v>336</v>
      </c>
    </row>
    <row r="97" spans="1:1" ht="76.5" x14ac:dyDescent="0.2">
      <c r="A97" s="324" t="s">
        <v>337</v>
      </c>
    </row>
    <row r="99" spans="1:1" x14ac:dyDescent="0.2">
      <c r="A99" s="326" t="s">
        <v>37</v>
      </c>
    </row>
    <row r="101" spans="1:1" ht="38.25" x14ac:dyDescent="0.2">
      <c r="A101" s="324" t="s">
        <v>338</v>
      </c>
    </row>
    <row r="103" spans="1:1" ht="51" x14ac:dyDescent="0.2">
      <c r="A103" s="324" t="s">
        <v>482</v>
      </c>
    </row>
    <row r="105" spans="1:1" ht="63.75" x14ac:dyDescent="0.2">
      <c r="A105" s="324" t="s">
        <v>339</v>
      </c>
    </row>
    <row r="107" spans="1:1" ht="51" x14ac:dyDescent="0.2">
      <c r="A107" s="324" t="s">
        <v>340</v>
      </c>
    </row>
    <row r="109" spans="1:1" ht="38.25" x14ac:dyDescent="0.2">
      <c r="A109" s="326" t="s">
        <v>341</v>
      </c>
    </row>
    <row r="111" spans="1:1" ht="38.25" x14ac:dyDescent="0.2">
      <c r="A111" s="326" t="s">
        <v>342</v>
      </c>
    </row>
    <row r="112" spans="1:1" x14ac:dyDescent="0.2">
      <c r="A112" s="326"/>
    </row>
    <row r="113" spans="1:1" ht="25.5" x14ac:dyDescent="0.2">
      <c r="A113" s="326" t="s">
        <v>343</v>
      </c>
    </row>
    <row r="115" spans="1:1" x14ac:dyDescent="0.2">
      <c r="A115" s="326" t="s">
        <v>274</v>
      </c>
    </row>
    <row r="117" spans="1:1" ht="25.5" x14ac:dyDescent="0.2">
      <c r="A117" s="324" t="s">
        <v>344</v>
      </c>
    </row>
    <row r="119" spans="1:1" ht="63.75" x14ac:dyDescent="0.2">
      <c r="A119" s="324" t="s">
        <v>345</v>
      </c>
    </row>
    <row r="121" spans="1:1" ht="51" x14ac:dyDescent="0.2">
      <c r="A121" s="324" t="s">
        <v>346</v>
      </c>
    </row>
    <row r="123" spans="1:1" ht="38.25" x14ac:dyDescent="0.2">
      <c r="A123" s="326" t="s">
        <v>347</v>
      </c>
    </row>
    <row r="125" spans="1:1" ht="63.75" x14ac:dyDescent="0.2">
      <c r="A125" s="326" t="s">
        <v>483</v>
      </c>
    </row>
    <row r="126" spans="1:1" x14ac:dyDescent="0.2">
      <c r="A126" s="326"/>
    </row>
    <row r="127" spans="1:1" ht="25.5" x14ac:dyDescent="0.2">
      <c r="A127" s="326" t="s">
        <v>343</v>
      </c>
    </row>
    <row r="129" spans="1:1" x14ac:dyDescent="0.2">
      <c r="A129" s="325" t="s">
        <v>113</v>
      </c>
    </row>
    <row r="131" spans="1:1" x14ac:dyDescent="0.2">
      <c r="A131" s="324" t="s">
        <v>460</v>
      </c>
    </row>
    <row r="133" spans="1:1" x14ac:dyDescent="0.2">
      <c r="A133" s="326" t="s">
        <v>348</v>
      </c>
    </row>
    <row r="134" spans="1:1" x14ac:dyDescent="0.2">
      <c r="A134" s="326"/>
    </row>
    <row r="135" spans="1:1" ht="38.25" x14ac:dyDescent="0.2">
      <c r="A135" s="324" t="s">
        <v>349</v>
      </c>
    </row>
    <row r="136" spans="1:1" x14ac:dyDescent="0.2">
      <c r="A136" s="326"/>
    </row>
    <row r="137" spans="1:1" ht="51" x14ac:dyDescent="0.2">
      <c r="A137" s="324" t="s">
        <v>350</v>
      </c>
    </row>
    <row r="139" spans="1:1" ht="38.25" x14ac:dyDescent="0.2">
      <c r="A139" s="324" t="s">
        <v>351</v>
      </c>
    </row>
    <row r="141" spans="1:1" ht="25.5" x14ac:dyDescent="0.2">
      <c r="A141" s="326" t="s">
        <v>352</v>
      </c>
    </row>
    <row r="143" spans="1:1" x14ac:dyDescent="0.2">
      <c r="A143" s="326" t="s">
        <v>236</v>
      </c>
    </row>
    <row r="145" spans="1:1" ht="25.5" x14ac:dyDescent="0.2">
      <c r="A145" s="324" t="s">
        <v>484</v>
      </c>
    </row>
    <row r="147" spans="1:1" ht="51" x14ac:dyDescent="0.2">
      <c r="A147" s="324" t="s">
        <v>353</v>
      </c>
    </row>
    <row r="149" spans="1:1" ht="25.5" x14ac:dyDescent="0.2">
      <c r="A149" s="326" t="s">
        <v>354</v>
      </c>
    </row>
    <row r="151" spans="1:1" x14ac:dyDescent="0.2">
      <c r="A151" s="326" t="s">
        <v>355</v>
      </c>
    </row>
    <row r="153" spans="1:1" ht="51" x14ac:dyDescent="0.2">
      <c r="A153" s="324" t="s">
        <v>356</v>
      </c>
    </row>
    <row r="155" spans="1:1" ht="51" x14ac:dyDescent="0.2">
      <c r="A155" s="326" t="s">
        <v>357</v>
      </c>
    </row>
    <row r="157" spans="1:1" ht="51" x14ac:dyDescent="0.2">
      <c r="A157" s="326" t="s">
        <v>358</v>
      </c>
    </row>
    <row r="159" spans="1:1" ht="25.5" x14ac:dyDescent="0.2">
      <c r="A159" s="326" t="s">
        <v>359</v>
      </c>
    </row>
    <row r="161" spans="1:1" ht="51" x14ac:dyDescent="0.2">
      <c r="A161" s="324" t="s">
        <v>360</v>
      </c>
    </row>
    <row r="163" spans="1:1" x14ac:dyDescent="0.2">
      <c r="A163" s="326" t="s">
        <v>361</v>
      </c>
    </row>
    <row r="165" spans="1:1" ht="63.75" x14ac:dyDescent="0.2">
      <c r="A165" s="324" t="s">
        <v>485</v>
      </c>
    </row>
    <row r="167" spans="1:1" ht="38.25" x14ac:dyDescent="0.2">
      <c r="A167" s="326" t="s">
        <v>486</v>
      </c>
    </row>
    <row r="169" spans="1:1" ht="51" x14ac:dyDescent="0.2">
      <c r="A169" s="326" t="s">
        <v>362</v>
      </c>
    </row>
    <row r="171" spans="1:1" ht="38.25" x14ac:dyDescent="0.2">
      <c r="A171" s="324" t="s">
        <v>363</v>
      </c>
    </row>
    <row r="173" spans="1:1" ht="51" x14ac:dyDescent="0.2">
      <c r="A173" s="324" t="s">
        <v>364</v>
      </c>
    </row>
    <row r="175" spans="1:1" ht="51" x14ac:dyDescent="0.2">
      <c r="A175" s="326" t="s">
        <v>365</v>
      </c>
    </row>
    <row r="177" spans="1:1" ht="38.25" x14ac:dyDescent="0.2">
      <c r="A177" s="326" t="s">
        <v>366</v>
      </c>
    </row>
    <row r="179" spans="1:1" ht="25.5" x14ac:dyDescent="0.2">
      <c r="A179" s="326" t="s">
        <v>367</v>
      </c>
    </row>
    <row r="181" spans="1:1" ht="38.25" x14ac:dyDescent="0.2">
      <c r="A181" s="324" t="s">
        <v>368</v>
      </c>
    </row>
    <row r="183" spans="1:1" x14ac:dyDescent="0.2">
      <c r="A183" s="326" t="s">
        <v>369</v>
      </c>
    </row>
    <row r="185" spans="1:1" ht="51" x14ac:dyDescent="0.2">
      <c r="A185" s="324" t="s">
        <v>370</v>
      </c>
    </row>
    <row r="187" spans="1:1" s="327" customFormat="1" x14ac:dyDescent="0.2">
      <c r="A187" s="326" t="s">
        <v>371</v>
      </c>
    </row>
    <row r="188" spans="1:1" s="327" customFormat="1" x14ac:dyDescent="0.2">
      <c r="A188" s="324"/>
    </row>
    <row r="189" spans="1:1" s="327" customFormat="1" ht="38.25" x14ac:dyDescent="0.2">
      <c r="A189" s="324" t="s">
        <v>372</v>
      </c>
    </row>
    <row r="191" spans="1:1" x14ac:dyDescent="0.2">
      <c r="A191" s="326" t="s">
        <v>373</v>
      </c>
    </row>
    <row r="193" spans="1:1" ht="51" x14ac:dyDescent="0.2">
      <c r="A193" s="324" t="s">
        <v>374</v>
      </c>
    </row>
    <row r="195" spans="1:1" ht="25.5" x14ac:dyDescent="0.2">
      <c r="A195" s="326" t="s">
        <v>375</v>
      </c>
    </row>
    <row r="197" spans="1:1" x14ac:dyDescent="0.2">
      <c r="A197" s="326" t="s">
        <v>376</v>
      </c>
    </row>
    <row r="199" spans="1:1" ht="25.5" x14ac:dyDescent="0.2">
      <c r="A199" s="324" t="s">
        <v>377</v>
      </c>
    </row>
    <row r="201" spans="1:1" x14ac:dyDescent="0.2">
      <c r="A201" s="326" t="s">
        <v>378</v>
      </c>
    </row>
    <row r="203" spans="1:1" ht="51" x14ac:dyDescent="0.2">
      <c r="A203" s="324" t="s">
        <v>379</v>
      </c>
    </row>
    <row r="205" spans="1:1" ht="51" x14ac:dyDescent="0.2">
      <c r="A205" s="326" t="s">
        <v>380</v>
      </c>
    </row>
    <row r="207" spans="1:1" ht="51" x14ac:dyDescent="0.2">
      <c r="A207" s="324" t="s">
        <v>487</v>
      </c>
    </row>
    <row r="209" spans="1:1" ht="38.25" x14ac:dyDescent="0.2">
      <c r="A209" s="326" t="s">
        <v>381</v>
      </c>
    </row>
    <row r="210" spans="1:1" x14ac:dyDescent="0.2">
      <c r="A210" s="326"/>
    </row>
    <row r="211" spans="1:1" ht="38.25" x14ac:dyDescent="0.2">
      <c r="A211" s="326" t="s">
        <v>332</v>
      </c>
    </row>
    <row r="213" spans="1:1" ht="38.25" x14ac:dyDescent="0.2">
      <c r="A213" s="324" t="s">
        <v>382</v>
      </c>
    </row>
    <row r="215" spans="1:1" ht="38.25" x14ac:dyDescent="0.2">
      <c r="A215" s="324" t="s">
        <v>383</v>
      </c>
    </row>
    <row r="216" spans="1:1" x14ac:dyDescent="0.2">
      <c r="A216" s="325"/>
    </row>
    <row r="217" spans="1:1" ht="25.5" x14ac:dyDescent="0.2">
      <c r="A217" s="324" t="s">
        <v>384</v>
      </c>
    </row>
    <row r="219" spans="1:1" x14ac:dyDescent="0.2">
      <c r="A219" s="326" t="s">
        <v>385</v>
      </c>
    </row>
    <row r="220" spans="1:1" x14ac:dyDescent="0.2">
      <c r="A220" s="326"/>
    </row>
    <row r="221" spans="1:1" ht="38.25" x14ac:dyDescent="0.2">
      <c r="A221" s="324" t="s">
        <v>386</v>
      </c>
    </row>
    <row r="222" spans="1:1" x14ac:dyDescent="0.2">
      <c r="A222" s="326"/>
    </row>
    <row r="223" spans="1:1" x14ac:dyDescent="0.2">
      <c r="A223" s="326" t="s">
        <v>387</v>
      </c>
    </row>
    <row r="224" spans="1:1" x14ac:dyDescent="0.2">
      <c r="A224" s="326"/>
    </row>
    <row r="225" spans="1:1" ht="38.25" x14ac:dyDescent="0.2">
      <c r="A225" s="324" t="s">
        <v>388</v>
      </c>
    </row>
    <row r="227" spans="1:1" ht="63.75" x14ac:dyDescent="0.2">
      <c r="A227" s="324" t="s">
        <v>389</v>
      </c>
    </row>
    <row r="229" spans="1:1" ht="51" x14ac:dyDescent="0.2">
      <c r="A229" s="326" t="s">
        <v>390</v>
      </c>
    </row>
    <row r="230" spans="1:1" x14ac:dyDescent="0.2">
      <c r="A230" s="326"/>
    </row>
    <row r="231" spans="1:1" ht="38.25" x14ac:dyDescent="0.2">
      <c r="A231" s="324" t="s">
        <v>391</v>
      </c>
    </row>
    <row r="233" spans="1:1" ht="25.5" x14ac:dyDescent="0.2">
      <c r="A233" s="324" t="s">
        <v>392</v>
      </c>
    </row>
    <row r="235" spans="1:1" ht="51" x14ac:dyDescent="0.2">
      <c r="A235" s="326" t="s">
        <v>393</v>
      </c>
    </row>
    <row r="237" spans="1:1" ht="51" x14ac:dyDescent="0.2">
      <c r="A237" s="326" t="s">
        <v>394</v>
      </c>
    </row>
    <row r="239" spans="1:1" ht="38.25" x14ac:dyDescent="0.2">
      <c r="A239" s="324" t="s">
        <v>395</v>
      </c>
    </row>
    <row r="241" spans="1:1" ht="51" x14ac:dyDescent="0.2">
      <c r="A241" s="324" t="s">
        <v>396</v>
      </c>
    </row>
    <row r="243" spans="1:1" ht="63.75" x14ac:dyDescent="0.2">
      <c r="A243" s="326" t="s">
        <v>397</v>
      </c>
    </row>
    <row r="245" spans="1:1" ht="51" x14ac:dyDescent="0.2">
      <c r="A245" s="326" t="s">
        <v>398</v>
      </c>
    </row>
    <row r="247" spans="1:1" ht="25.5" x14ac:dyDescent="0.2">
      <c r="A247" s="326" t="s">
        <v>399</v>
      </c>
    </row>
    <row r="249" spans="1:1" ht="38.25" x14ac:dyDescent="0.2">
      <c r="A249" s="324" t="s">
        <v>400</v>
      </c>
    </row>
    <row r="251" spans="1:1" x14ac:dyDescent="0.2">
      <c r="A251" s="326" t="s">
        <v>401</v>
      </c>
    </row>
    <row r="253" spans="1:1" ht="51" x14ac:dyDescent="0.2">
      <c r="A253" s="324" t="s">
        <v>402</v>
      </c>
    </row>
    <row r="255" spans="1:1" ht="51" x14ac:dyDescent="0.2">
      <c r="A255" s="324" t="s">
        <v>403</v>
      </c>
    </row>
    <row r="257" spans="1:1" ht="38.25" x14ac:dyDescent="0.2">
      <c r="A257" s="324" t="s">
        <v>404</v>
      </c>
    </row>
    <row r="259" spans="1:1" ht="51" x14ac:dyDescent="0.2">
      <c r="A259" s="324" t="s">
        <v>405</v>
      </c>
    </row>
    <row r="261" spans="1:1" ht="38.25" x14ac:dyDescent="0.2">
      <c r="A261" s="326" t="s">
        <v>406</v>
      </c>
    </row>
    <row r="263" spans="1:1" ht="25.5" x14ac:dyDescent="0.2">
      <c r="A263" s="326" t="s">
        <v>407</v>
      </c>
    </row>
    <row r="265" spans="1:1" ht="38.25" x14ac:dyDescent="0.2">
      <c r="A265" s="324" t="s">
        <v>408</v>
      </c>
    </row>
    <row r="267" spans="1:1" ht="63.75" x14ac:dyDescent="0.2">
      <c r="A267" s="326" t="s">
        <v>409</v>
      </c>
    </row>
    <row r="269" spans="1:1" ht="51" x14ac:dyDescent="0.2">
      <c r="A269" s="324" t="s">
        <v>410</v>
      </c>
    </row>
    <row r="271" spans="1:1" ht="25.5" x14ac:dyDescent="0.2">
      <c r="A271" s="324" t="s">
        <v>411</v>
      </c>
    </row>
    <row r="273" spans="1:1" ht="25.5" x14ac:dyDescent="0.2">
      <c r="A273" s="326" t="s">
        <v>412</v>
      </c>
    </row>
    <row r="275" spans="1:1" ht="51" x14ac:dyDescent="0.2">
      <c r="A275" s="326" t="s">
        <v>413</v>
      </c>
    </row>
    <row r="277" spans="1:1" ht="38.25" x14ac:dyDescent="0.2">
      <c r="A277" s="326" t="s">
        <v>414</v>
      </c>
    </row>
    <row r="278" spans="1:1" x14ac:dyDescent="0.2">
      <c r="A278" s="326"/>
    </row>
    <row r="279" spans="1:1" ht="25.5" x14ac:dyDescent="0.2">
      <c r="A279" s="326" t="s">
        <v>415</v>
      </c>
    </row>
    <row r="281" spans="1:1" x14ac:dyDescent="0.2">
      <c r="A281" s="326" t="s">
        <v>416</v>
      </c>
    </row>
    <row r="283" spans="1:1" ht="51" x14ac:dyDescent="0.2">
      <c r="A283" s="324" t="s">
        <v>417</v>
      </c>
    </row>
    <row r="285" spans="1:1" ht="38.25" x14ac:dyDescent="0.2">
      <c r="A285" s="324" t="s">
        <v>418</v>
      </c>
    </row>
    <row r="287" spans="1:1" ht="63.75" x14ac:dyDescent="0.2">
      <c r="A287" s="324" t="s">
        <v>419</v>
      </c>
    </row>
    <row r="289" spans="1:1" ht="51" x14ac:dyDescent="0.2">
      <c r="A289" s="324" t="s">
        <v>420</v>
      </c>
    </row>
    <row r="291" spans="1:1" ht="51" x14ac:dyDescent="0.2">
      <c r="A291" s="326" t="s">
        <v>421</v>
      </c>
    </row>
    <row r="293" spans="1:1" ht="51" x14ac:dyDescent="0.2">
      <c r="A293" s="324" t="s">
        <v>422</v>
      </c>
    </row>
    <row r="295" spans="1:1" ht="38.25" x14ac:dyDescent="0.2">
      <c r="A295" s="324" t="s">
        <v>423</v>
      </c>
    </row>
    <row r="297" spans="1:1" ht="38.25" x14ac:dyDescent="0.2">
      <c r="A297" s="326" t="s">
        <v>424</v>
      </c>
    </row>
    <row r="299" spans="1:1" ht="51" x14ac:dyDescent="0.2">
      <c r="A299" s="326" t="s">
        <v>488</v>
      </c>
    </row>
    <row r="301" spans="1:1" ht="38.25" x14ac:dyDescent="0.2">
      <c r="A301" s="326" t="s">
        <v>425</v>
      </c>
    </row>
    <row r="303" spans="1:1" ht="51" x14ac:dyDescent="0.2">
      <c r="A303" s="324" t="s">
        <v>426</v>
      </c>
    </row>
    <row r="305" spans="1:1" ht="25.5" x14ac:dyDescent="0.2">
      <c r="A305" s="326" t="s">
        <v>427</v>
      </c>
    </row>
    <row r="307" spans="1:1" x14ac:dyDescent="0.2">
      <c r="A307" s="326" t="s">
        <v>428</v>
      </c>
    </row>
    <row r="309" spans="1:1" ht="51" x14ac:dyDescent="0.2">
      <c r="A309" s="324" t="s">
        <v>429</v>
      </c>
    </row>
    <row r="311" spans="1:1" x14ac:dyDescent="0.2">
      <c r="A311" s="326" t="s">
        <v>430</v>
      </c>
    </row>
    <row r="313" spans="1:1" ht="25.5" x14ac:dyDescent="0.2">
      <c r="A313" s="324" t="s">
        <v>431</v>
      </c>
    </row>
    <row r="315" spans="1:1" ht="51" x14ac:dyDescent="0.2">
      <c r="A315" s="324" t="s">
        <v>432</v>
      </c>
    </row>
    <row r="317" spans="1:1" ht="38.25" x14ac:dyDescent="0.2">
      <c r="A317" s="324" t="s">
        <v>433</v>
      </c>
    </row>
    <row r="319" spans="1:1" ht="51" x14ac:dyDescent="0.2">
      <c r="A319" s="324" t="s">
        <v>434</v>
      </c>
    </row>
    <row r="321" spans="1:1" ht="76.5" x14ac:dyDescent="0.2">
      <c r="A321" s="326" t="s">
        <v>435</v>
      </c>
    </row>
    <row r="323" spans="1:1" ht="51" x14ac:dyDescent="0.2">
      <c r="A323" s="324" t="s">
        <v>436</v>
      </c>
    </row>
    <row r="325" spans="1:1" ht="38.25" x14ac:dyDescent="0.2">
      <c r="A325" s="324" t="s">
        <v>437</v>
      </c>
    </row>
    <row r="327" spans="1:1" ht="38.25" x14ac:dyDescent="0.2">
      <c r="A327" s="326" t="s">
        <v>438</v>
      </c>
    </row>
    <row r="328" spans="1:1" x14ac:dyDescent="0.2">
      <c r="A328" s="326"/>
    </row>
    <row r="329" spans="1:1" ht="25.5" x14ac:dyDescent="0.2">
      <c r="A329" s="326" t="s">
        <v>343</v>
      </c>
    </row>
    <row r="331" spans="1:1" x14ac:dyDescent="0.2">
      <c r="A331" s="326" t="s">
        <v>439</v>
      </c>
    </row>
    <row r="333" spans="1:1" ht="51" x14ac:dyDescent="0.2">
      <c r="A333" s="324" t="s">
        <v>440</v>
      </c>
    </row>
    <row r="335" spans="1:1" ht="25.5" x14ac:dyDescent="0.2">
      <c r="A335" s="324" t="s">
        <v>489</v>
      </c>
    </row>
    <row r="337" spans="1:1" ht="51" x14ac:dyDescent="0.2">
      <c r="A337" s="324" t="s">
        <v>441</v>
      </c>
    </row>
    <row r="339" spans="1:1" ht="76.5" x14ac:dyDescent="0.2">
      <c r="A339" s="326" t="s">
        <v>442</v>
      </c>
    </row>
    <row r="341" spans="1:1" ht="38.25" x14ac:dyDescent="0.2">
      <c r="A341" s="324" t="s">
        <v>443</v>
      </c>
    </row>
    <row r="343" spans="1:1" ht="38.25" x14ac:dyDescent="0.2">
      <c r="A343" s="324" t="s">
        <v>444</v>
      </c>
    </row>
    <row r="345" spans="1:1" ht="38.25" x14ac:dyDescent="0.2">
      <c r="A345" s="324" t="s">
        <v>445</v>
      </c>
    </row>
    <row r="347" spans="1:1" ht="38.25" x14ac:dyDescent="0.2">
      <c r="A347" s="324" t="s">
        <v>490</v>
      </c>
    </row>
    <row r="349" spans="1:1" ht="38.25" x14ac:dyDescent="0.2">
      <c r="A349" s="326" t="s">
        <v>446</v>
      </c>
    </row>
    <row r="351" spans="1:1" ht="51" x14ac:dyDescent="0.2">
      <c r="A351" s="326" t="s">
        <v>447</v>
      </c>
    </row>
    <row r="353" spans="1:1" ht="63.75" x14ac:dyDescent="0.2">
      <c r="A353" s="326" t="s">
        <v>448</v>
      </c>
    </row>
    <row r="355" spans="1:1" ht="63.75" x14ac:dyDescent="0.2">
      <c r="A355" s="326" t="s">
        <v>449</v>
      </c>
    </row>
    <row r="356" spans="1:1" x14ac:dyDescent="0.2">
      <c r="A356" s="326"/>
    </row>
    <row r="357" spans="1:1" ht="25.5" x14ac:dyDescent="0.2">
      <c r="A357" s="326" t="s">
        <v>450</v>
      </c>
    </row>
    <row r="358" spans="1:1" x14ac:dyDescent="0.2">
      <c r="A358" s="326"/>
    </row>
    <row r="359" spans="1:1" x14ac:dyDescent="0.2">
      <c r="A359" s="326" t="s">
        <v>461</v>
      </c>
    </row>
    <row r="360" spans="1:1" x14ac:dyDescent="0.2">
      <c r="A360" s="326"/>
    </row>
    <row r="361" spans="1:1" ht="51" x14ac:dyDescent="0.2">
      <c r="A361" s="324" t="s">
        <v>451</v>
      </c>
    </row>
    <row r="362" spans="1:1" x14ac:dyDescent="0.2">
      <c r="A362" s="326"/>
    </row>
    <row r="363" spans="1:1" ht="25.5" x14ac:dyDescent="0.2">
      <c r="A363" s="324" t="s">
        <v>452</v>
      </c>
    </row>
    <row r="364" spans="1:1" x14ac:dyDescent="0.2">
      <c r="A364" s="326"/>
    </row>
    <row r="365" spans="1:1" ht="38.25" x14ac:dyDescent="0.2">
      <c r="A365" s="324" t="s">
        <v>453</v>
      </c>
    </row>
    <row r="366" spans="1:1" x14ac:dyDescent="0.2">
      <c r="A366" s="326"/>
    </row>
    <row r="367" spans="1:1" x14ac:dyDescent="0.2">
      <c r="A367" s="326" t="s">
        <v>454</v>
      </c>
    </row>
    <row r="369" spans="1:1" ht="51" x14ac:dyDescent="0.2">
      <c r="A369" s="324" t="s">
        <v>491</v>
      </c>
    </row>
    <row r="371" spans="1:1" x14ac:dyDescent="0.2">
      <c r="A371" s="325" t="s">
        <v>112</v>
      </c>
    </row>
    <row r="373" spans="1:1" ht="38.25" x14ac:dyDescent="0.2">
      <c r="A373" s="324" t="s">
        <v>492</v>
      </c>
    </row>
    <row r="375" spans="1:1" ht="51" x14ac:dyDescent="0.2">
      <c r="A375" s="324" t="s">
        <v>462</v>
      </c>
    </row>
    <row r="377" spans="1:1" ht="51" x14ac:dyDescent="0.2">
      <c r="A377" s="326" t="s">
        <v>493</v>
      </c>
    </row>
    <row r="379" spans="1:1" x14ac:dyDescent="0.2">
      <c r="A379" s="325" t="s">
        <v>455</v>
      </c>
    </row>
    <row r="381" spans="1:1" ht="51" x14ac:dyDescent="0.2">
      <c r="A381" s="324" t="s">
        <v>456</v>
      </c>
    </row>
    <row r="383" spans="1:1" ht="38.25" x14ac:dyDescent="0.2">
      <c r="A383" s="326" t="s">
        <v>457</v>
      </c>
    </row>
    <row r="385" spans="1:1" x14ac:dyDescent="0.2">
      <c r="A385" s="325" t="s">
        <v>463</v>
      </c>
    </row>
    <row r="387" spans="1:1" x14ac:dyDescent="0.2">
      <c r="A387" s="325" t="s">
        <v>107</v>
      </c>
    </row>
    <row r="389" spans="1:1" ht="38.25" x14ac:dyDescent="0.2">
      <c r="A389" s="324" t="s">
        <v>470</v>
      </c>
    </row>
    <row r="391" spans="1:1" ht="25.5" x14ac:dyDescent="0.2">
      <c r="A391" s="326" t="s">
        <v>464</v>
      </c>
    </row>
    <row r="393" spans="1:1" x14ac:dyDescent="0.2">
      <c r="A393" s="325" t="s">
        <v>113</v>
      </c>
    </row>
    <row r="394" spans="1:1" x14ac:dyDescent="0.2">
      <c r="A394" s="325"/>
    </row>
    <row r="395" spans="1:1" ht="51" x14ac:dyDescent="0.2">
      <c r="A395" s="324" t="s">
        <v>471</v>
      </c>
    </row>
    <row r="397" spans="1:1" ht="25.5" x14ac:dyDescent="0.2">
      <c r="A397" s="326" t="s">
        <v>494</v>
      </c>
    </row>
    <row r="399" spans="1:1" ht="38.25" x14ac:dyDescent="0.2">
      <c r="A399" s="326" t="s">
        <v>465</v>
      </c>
    </row>
    <row r="401" spans="1:1" x14ac:dyDescent="0.2">
      <c r="A401" s="325" t="s">
        <v>112</v>
      </c>
    </row>
    <row r="403" spans="1:1" ht="51" x14ac:dyDescent="0.2">
      <c r="A403" s="324" t="s">
        <v>466</v>
      </c>
    </row>
    <row r="405" spans="1:1" ht="38.25" x14ac:dyDescent="0.2">
      <c r="A405" s="326" t="s">
        <v>495</v>
      </c>
    </row>
    <row r="407" spans="1:1" x14ac:dyDescent="0.2">
      <c r="A407" s="325" t="s">
        <v>118</v>
      </c>
    </row>
    <row r="409" spans="1:1" ht="38.25" x14ac:dyDescent="0.2">
      <c r="A409" s="324" t="s">
        <v>472</v>
      </c>
    </row>
    <row r="411" spans="1:1" ht="38.25" x14ac:dyDescent="0.2">
      <c r="A411" s="326" t="s">
        <v>119</v>
      </c>
    </row>
    <row r="412" spans="1:1" x14ac:dyDescent="0.2">
      <c r="A412" s="326"/>
    </row>
    <row r="413" spans="1:1" ht="25.5" x14ac:dyDescent="0.2">
      <c r="A413" s="326" t="s">
        <v>467</v>
      </c>
    </row>
    <row r="414" spans="1:1" x14ac:dyDescent="0.2">
      <c r="A414" s="326"/>
    </row>
    <row r="415" spans="1:1" ht="63.75" x14ac:dyDescent="0.2">
      <c r="A415" s="326" t="s">
        <v>468</v>
      </c>
    </row>
    <row r="416" spans="1:1" x14ac:dyDescent="0.2">
      <c r="A416" s="326"/>
    </row>
    <row r="417" spans="1:1" ht="38.25" x14ac:dyDescent="0.2">
      <c r="A417" s="324" t="s">
        <v>473</v>
      </c>
    </row>
    <row r="419" spans="1:1" ht="25.5" x14ac:dyDescent="0.2">
      <c r="A419" s="326" t="s">
        <v>469</v>
      </c>
    </row>
    <row r="420" spans="1:1" x14ac:dyDescent="0.2">
      <c r="A420" s="326"/>
    </row>
    <row r="421" spans="1:1" x14ac:dyDescent="0.2">
      <c r="A421" s="328" t="s">
        <v>28</v>
      </c>
    </row>
    <row r="423" spans="1:1" ht="63.75" x14ac:dyDescent="0.2">
      <c r="A423" s="324" t="s">
        <v>52</v>
      </c>
    </row>
    <row r="424" spans="1:1" x14ac:dyDescent="0.2">
      <c r="A424" s="327"/>
    </row>
    <row r="425" spans="1:1" x14ac:dyDescent="0.2">
      <c r="A425" s="325" t="s">
        <v>74</v>
      </c>
    </row>
    <row r="426" spans="1:1" x14ac:dyDescent="0.2">
      <c r="A426" s="325"/>
    </row>
    <row r="427" spans="1:1" ht="76.5" x14ac:dyDescent="0.2">
      <c r="A427" s="324" t="s">
        <v>75</v>
      </c>
    </row>
  </sheetData>
  <sheetProtection selectLockedCells="1"/>
  <phoneticPr fontId="3" type="noConversion"/>
  <hyperlinks>
    <hyperlink ref="A3" r:id="rId1" xr:uid="{00000000-0004-0000-0300-000000000000}"/>
  </hyperlinks>
  <pageMargins left="0.59055118110236227" right="0.59055118110236227"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10"/>
  <sheetViews>
    <sheetView zoomScale="95" zoomScaleNormal="95" workbookViewId="0">
      <pane ySplit="3" topLeftCell="A4" activePane="bottomLeft" state="frozen"/>
      <selection pane="bottomLeft" activeCell="C4" sqref="C4:E4"/>
    </sheetView>
  </sheetViews>
  <sheetFormatPr defaultColWidth="9.140625" defaultRowHeight="16.149999999999999" customHeight="1" x14ac:dyDescent="0.3"/>
  <cols>
    <col min="1" max="1" width="5.7109375" style="291" customWidth="1"/>
    <col min="2" max="2" width="35.7109375" style="12" customWidth="1"/>
    <col min="3" max="3" width="15.7109375" style="17" customWidth="1"/>
    <col min="4" max="7" width="15.7109375" style="5" customWidth="1"/>
    <col min="8" max="8" width="8.7109375" style="5" customWidth="1"/>
    <col min="9" max="9" width="15.7109375" style="5" customWidth="1"/>
    <col min="10" max="15" width="15.7109375" style="2" customWidth="1"/>
    <col min="16" max="16384" width="9.140625" style="2"/>
  </cols>
  <sheetData>
    <row r="1" spans="1:9" ht="16.149999999999999" customHeight="1" x14ac:dyDescent="0.3">
      <c r="B1" s="290" t="str">
        <f>IF(ISBLANK($C$4),"Example Limited",$C$4)</f>
        <v>Example (Pty) Limited</v>
      </c>
      <c r="C1" s="4"/>
    </row>
    <row r="2" spans="1:9" ht="16.149999999999999" customHeight="1" x14ac:dyDescent="0.3">
      <c r="B2" s="6" t="s">
        <v>97</v>
      </c>
      <c r="C2" s="4"/>
    </row>
    <row r="4" spans="1:9" ht="16.149999999999999" customHeight="1" x14ac:dyDescent="0.3">
      <c r="B4" s="3" t="s">
        <v>53</v>
      </c>
      <c r="C4" s="331" t="s">
        <v>291</v>
      </c>
      <c r="D4" s="332"/>
      <c r="E4" s="333"/>
    </row>
    <row r="5" spans="1:9" s="10" customFormat="1" ht="16.149999999999999" customHeight="1" x14ac:dyDescent="0.25">
      <c r="A5" s="294"/>
      <c r="B5" s="3" t="s">
        <v>45</v>
      </c>
      <c r="C5" s="7">
        <v>43891</v>
      </c>
      <c r="D5" s="8"/>
      <c r="E5" s="8"/>
      <c r="F5" s="8"/>
      <c r="G5" s="9"/>
      <c r="H5" s="9"/>
      <c r="I5" s="9"/>
    </row>
    <row r="6" spans="1:9" s="10" customFormat="1" ht="16.149999999999999" customHeight="1" x14ac:dyDescent="0.25">
      <c r="A6" s="294"/>
      <c r="B6" s="3"/>
      <c r="C6" s="11"/>
      <c r="D6" s="8"/>
      <c r="E6" s="8"/>
      <c r="F6" s="8"/>
      <c r="G6" s="9"/>
      <c r="H6" s="9"/>
      <c r="I6" s="9"/>
    </row>
    <row r="7" spans="1:9" s="10" customFormat="1" ht="16.149999999999999" customHeight="1" x14ac:dyDescent="0.25">
      <c r="A7" s="294"/>
      <c r="B7" s="3" t="s">
        <v>85</v>
      </c>
      <c r="C7" s="5"/>
      <c r="D7" s="8"/>
      <c r="E7" s="8"/>
      <c r="F7" s="8"/>
      <c r="G7" s="9"/>
      <c r="H7" s="9"/>
      <c r="I7" s="9"/>
    </row>
    <row r="8" spans="1:9" s="10" customFormat="1" ht="16.149999999999999" customHeight="1" x14ac:dyDescent="0.25">
      <c r="A8" s="294"/>
      <c r="B8" s="12" t="s">
        <v>86</v>
      </c>
      <c r="C8" s="13">
        <v>13</v>
      </c>
      <c r="D8" s="14">
        <v>1</v>
      </c>
      <c r="E8" s="14">
        <v>0</v>
      </c>
      <c r="F8" s="8"/>
      <c r="G8" s="9"/>
      <c r="H8" s="9"/>
      <c r="I8" s="9"/>
    </row>
    <row r="9" spans="1:9" s="10" customFormat="1" ht="16.149999999999999" customHeight="1" x14ac:dyDescent="0.25">
      <c r="A9" s="294"/>
      <c r="B9" s="12" t="s">
        <v>87</v>
      </c>
      <c r="C9" s="13">
        <v>13</v>
      </c>
      <c r="D9" s="14">
        <f>D8+C8</f>
        <v>14</v>
      </c>
      <c r="E9" s="14">
        <f>SUM(C$8:C8)</f>
        <v>13</v>
      </c>
      <c r="F9" s="8"/>
      <c r="G9" s="9"/>
      <c r="H9" s="9"/>
      <c r="I9" s="9"/>
    </row>
    <row r="10" spans="1:9" s="10" customFormat="1" ht="16.149999999999999" customHeight="1" x14ac:dyDescent="0.25">
      <c r="A10" s="294"/>
      <c r="B10" s="12" t="s">
        <v>88</v>
      </c>
      <c r="C10" s="13">
        <v>13</v>
      </c>
      <c r="D10" s="14">
        <f>D9+C9</f>
        <v>27</v>
      </c>
      <c r="E10" s="14">
        <f>SUM(C$8:C9)</f>
        <v>26</v>
      </c>
      <c r="F10" s="8"/>
      <c r="G10" s="9"/>
      <c r="H10" s="9"/>
      <c r="I10" s="9"/>
    </row>
    <row r="11" spans="1:9" s="10" customFormat="1" ht="16.149999999999999" customHeight="1" x14ac:dyDescent="0.25">
      <c r="A11" s="294"/>
      <c r="B11" s="12" t="s">
        <v>89</v>
      </c>
      <c r="C11" s="15">
        <f>52-SUM($C$8:$C$10)</f>
        <v>13</v>
      </c>
      <c r="D11" s="14">
        <f>D10+C10</f>
        <v>40</v>
      </c>
      <c r="E11" s="14">
        <f>SUM(C$8:C10)</f>
        <v>39</v>
      </c>
      <c r="F11" s="8"/>
      <c r="G11" s="9"/>
      <c r="H11" s="9"/>
      <c r="I11" s="9"/>
    </row>
    <row r="12" spans="1:9" s="10" customFormat="1" ht="16.149999999999999" customHeight="1" x14ac:dyDescent="0.25">
      <c r="A12" s="294"/>
      <c r="B12" s="12"/>
      <c r="C12" s="16"/>
      <c r="D12" s="14"/>
      <c r="E12" s="14"/>
      <c r="F12" s="8"/>
      <c r="G12" s="9"/>
      <c r="H12" s="9"/>
      <c r="I12" s="9"/>
    </row>
    <row r="13" spans="1:9" s="10" customFormat="1" ht="16.149999999999999" customHeight="1" x14ac:dyDescent="0.25">
      <c r="A13" s="294"/>
      <c r="B13" s="3" t="s">
        <v>120</v>
      </c>
      <c r="C13" s="16"/>
      <c r="D13" s="8"/>
      <c r="E13" s="8"/>
      <c r="F13" s="8"/>
      <c r="G13" s="9"/>
      <c r="H13" s="9"/>
      <c r="I13" s="9"/>
    </row>
    <row r="14" spans="1:9" s="10" customFormat="1" ht="16.149999999999999" customHeight="1" x14ac:dyDescent="0.25">
      <c r="A14" s="294"/>
      <c r="B14" s="3" t="s">
        <v>1</v>
      </c>
      <c r="C14" s="4"/>
      <c r="D14" s="8"/>
      <c r="E14" s="8"/>
      <c r="F14" s="8"/>
      <c r="G14" s="9"/>
      <c r="H14" s="9"/>
      <c r="I14" s="9"/>
    </row>
    <row r="15" spans="1:9" ht="16.149999999999999" customHeight="1" x14ac:dyDescent="0.3">
      <c r="B15" s="6" t="s">
        <v>298</v>
      </c>
      <c r="D15" s="16"/>
    </row>
    <row r="16" spans="1:9" ht="16.149999999999999" customHeight="1" x14ac:dyDescent="0.3">
      <c r="B16" s="3" t="s">
        <v>2</v>
      </c>
      <c r="C16" s="4"/>
    </row>
    <row r="17" spans="1:6" ht="16.149999999999999" customHeight="1" x14ac:dyDescent="0.3">
      <c r="B17" s="6" t="s">
        <v>299</v>
      </c>
      <c r="D17" s="18"/>
      <c r="E17" s="18"/>
      <c r="F17" s="18"/>
    </row>
    <row r="18" spans="1:6" ht="16.149999999999999" customHeight="1" x14ac:dyDescent="0.3">
      <c r="B18" s="3" t="s">
        <v>279</v>
      </c>
      <c r="D18" s="18"/>
      <c r="E18" s="18"/>
      <c r="F18" s="18"/>
    </row>
    <row r="19" spans="1:6" ht="16.149999999999999" customHeight="1" x14ac:dyDescent="0.3">
      <c r="B19" s="6" t="s">
        <v>301</v>
      </c>
      <c r="D19" s="18"/>
      <c r="E19" s="18"/>
      <c r="F19" s="18"/>
    </row>
    <row r="20" spans="1:6" ht="16.149999999999999" customHeight="1" x14ac:dyDescent="0.3">
      <c r="B20" s="3" t="s">
        <v>121</v>
      </c>
      <c r="C20" s="4"/>
    </row>
    <row r="21" spans="1:6" ht="16.149999999999999" customHeight="1" x14ac:dyDescent="0.3">
      <c r="B21" s="6" t="s">
        <v>300</v>
      </c>
      <c r="D21" s="16"/>
    </row>
    <row r="22" spans="1:6" ht="16.149999999999999" customHeight="1" x14ac:dyDescent="0.3">
      <c r="B22" s="3" t="s">
        <v>122</v>
      </c>
      <c r="D22" s="16"/>
    </row>
    <row r="23" spans="1:6" ht="16.149999999999999" customHeight="1" x14ac:dyDescent="0.3">
      <c r="B23" s="6" t="s">
        <v>302</v>
      </c>
      <c r="D23" s="16"/>
    </row>
    <row r="24" spans="1:6" ht="16.149999999999999" customHeight="1" x14ac:dyDescent="0.3">
      <c r="B24" s="3" t="s">
        <v>123</v>
      </c>
      <c r="D24" s="16"/>
    </row>
    <row r="25" spans="1:6" ht="16.149999999999999" customHeight="1" x14ac:dyDescent="0.3">
      <c r="B25" s="6" t="s">
        <v>303</v>
      </c>
      <c r="D25" s="16"/>
    </row>
    <row r="26" spans="1:6" ht="16.149999999999999" customHeight="1" x14ac:dyDescent="0.3">
      <c r="B26" s="3" t="s">
        <v>305</v>
      </c>
      <c r="D26" s="16"/>
    </row>
    <row r="27" spans="1:6" ht="16.149999999999999" customHeight="1" x14ac:dyDescent="0.3">
      <c r="B27" s="6" t="s">
        <v>304</v>
      </c>
      <c r="D27" s="16"/>
    </row>
    <row r="28" spans="1:6" ht="16.149999999999999" customHeight="1" x14ac:dyDescent="0.3">
      <c r="B28" s="6"/>
      <c r="D28" s="16"/>
    </row>
    <row r="29" spans="1:6" ht="16.149999999999999" customHeight="1" x14ac:dyDescent="0.3">
      <c r="B29" s="3" t="s">
        <v>124</v>
      </c>
      <c r="D29" s="16"/>
    </row>
    <row r="30" spans="1:6" ht="16.149999999999999" customHeight="1" x14ac:dyDescent="0.3">
      <c r="B30" s="6" t="s">
        <v>125</v>
      </c>
      <c r="D30" s="16"/>
    </row>
    <row r="31" spans="1:6" ht="16.149999999999999" customHeight="1" x14ac:dyDescent="0.3">
      <c r="B31" s="6" t="s">
        <v>126</v>
      </c>
      <c r="D31" s="16"/>
    </row>
    <row r="32" spans="1:6" ht="16.149999999999999" customHeight="1" x14ac:dyDescent="0.3">
      <c r="A32" s="291" t="s">
        <v>127</v>
      </c>
      <c r="B32" s="12" t="s">
        <v>128</v>
      </c>
      <c r="D32" s="16"/>
    </row>
    <row r="33" spans="1:6" ht="16.149999999999999" customHeight="1" x14ac:dyDescent="0.3">
      <c r="A33" s="296" t="s">
        <v>129</v>
      </c>
      <c r="B33" s="12" t="s">
        <v>130</v>
      </c>
      <c r="D33" s="16"/>
    </row>
    <row r="34" spans="1:6" ht="16.149999999999999" customHeight="1" x14ac:dyDescent="0.3">
      <c r="A34" s="296" t="s">
        <v>131</v>
      </c>
      <c r="B34" s="12" t="s">
        <v>132</v>
      </c>
      <c r="D34" s="16"/>
    </row>
    <row r="35" spans="1:6" ht="16.149999999999999" customHeight="1" x14ac:dyDescent="0.3">
      <c r="A35" s="291" t="s">
        <v>133</v>
      </c>
      <c r="B35" s="12" t="s">
        <v>134</v>
      </c>
      <c r="D35" s="16"/>
    </row>
    <row r="36" spans="1:6" ht="16.149999999999999" customHeight="1" x14ac:dyDescent="0.3">
      <c r="A36" s="291" t="s">
        <v>135</v>
      </c>
      <c r="B36" s="12" t="s">
        <v>136</v>
      </c>
      <c r="D36" s="16"/>
    </row>
    <row r="37" spans="1:6" ht="16.149999999999999" customHeight="1" x14ac:dyDescent="0.3">
      <c r="A37" s="296" t="s">
        <v>137</v>
      </c>
      <c r="B37" s="12" t="s">
        <v>66</v>
      </c>
      <c r="D37" s="16"/>
    </row>
    <row r="38" spans="1:6" ht="16.149999999999999" customHeight="1" x14ac:dyDescent="0.3">
      <c r="A38" s="296" t="s">
        <v>138</v>
      </c>
      <c r="B38" s="12" t="s">
        <v>139</v>
      </c>
      <c r="D38" s="16"/>
    </row>
    <row r="39" spans="1:6" ht="16.149999999999999" customHeight="1" x14ac:dyDescent="0.3">
      <c r="A39" s="296" t="s">
        <v>140</v>
      </c>
      <c r="B39" s="12" t="s">
        <v>141</v>
      </c>
      <c r="D39" s="16"/>
    </row>
    <row r="40" spans="1:6" ht="16.149999999999999" customHeight="1" x14ac:dyDescent="0.3">
      <c r="A40" s="291" t="s">
        <v>142</v>
      </c>
      <c r="B40" s="12" t="s">
        <v>69</v>
      </c>
      <c r="D40" s="16"/>
    </row>
    <row r="41" spans="1:6" ht="16.149999999999999" customHeight="1" x14ac:dyDescent="0.3">
      <c r="A41" s="291" t="s">
        <v>143</v>
      </c>
      <c r="B41" s="12" t="s">
        <v>144</v>
      </c>
      <c r="D41" s="16"/>
    </row>
    <row r="42" spans="1:6" ht="16.149999999999999" customHeight="1" x14ac:dyDescent="0.3">
      <c r="A42" s="291" t="s">
        <v>145</v>
      </c>
      <c r="B42" s="12" t="s">
        <v>146</v>
      </c>
      <c r="D42" s="16"/>
    </row>
    <row r="43" spans="1:6" ht="16.149999999999999" customHeight="1" x14ac:dyDescent="0.3">
      <c r="A43" s="291" t="s">
        <v>147</v>
      </c>
      <c r="B43" s="12" t="s">
        <v>148</v>
      </c>
      <c r="D43" s="16"/>
    </row>
    <row r="44" spans="1:6" ht="16.149999999999999" customHeight="1" x14ac:dyDescent="0.3">
      <c r="A44" s="291" t="s">
        <v>149</v>
      </c>
      <c r="B44" s="12" t="s">
        <v>150</v>
      </c>
      <c r="D44" s="16"/>
    </row>
    <row r="45" spans="1:6" ht="16.149999999999999" customHeight="1" x14ac:dyDescent="0.3">
      <c r="D45" s="16"/>
    </row>
    <row r="46" spans="1:6" ht="16.149999999999999" customHeight="1" x14ac:dyDescent="0.3">
      <c r="B46" s="20" t="s">
        <v>151</v>
      </c>
      <c r="D46" s="16"/>
    </row>
    <row r="47" spans="1:6" ht="16.149999999999999" customHeight="1" x14ac:dyDescent="0.3">
      <c r="B47" s="3" t="s">
        <v>26</v>
      </c>
      <c r="C47" s="4"/>
    </row>
    <row r="48" spans="1:6" ht="16.149999999999999" customHeight="1" x14ac:dyDescent="0.3">
      <c r="B48" s="12" t="s">
        <v>31</v>
      </c>
      <c r="C48" s="21">
        <v>30</v>
      </c>
      <c r="E48" s="16"/>
      <c r="F48" s="16"/>
    </row>
    <row r="49" spans="1:7" ht="16.149999999999999" customHeight="1" x14ac:dyDescent="0.3">
      <c r="B49" s="12" t="s">
        <v>29</v>
      </c>
      <c r="C49" s="21">
        <v>25</v>
      </c>
      <c r="E49" s="16"/>
      <c r="F49" s="16"/>
    </row>
    <row r="50" spans="1:7" ht="16.149999999999999" customHeight="1" x14ac:dyDescent="0.3">
      <c r="B50" s="12" t="s">
        <v>30</v>
      </c>
      <c r="C50" s="21">
        <v>20</v>
      </c>
      <c r="E50" s="16"/>
      <c r="F50" s="16"/>
    </row>
    <row r="51" spans="1:7" ht="16.149999999999999" customHeight="1" x14ac:dyDescent="0.3">
      <c r="B51" s="12" t="s">
        <v>152</v>
      </c>
      <c r="C51" s="2"/>
      <c r="E51" s="16"/>
      <c r="F51" s="16"/>
    </row>
    <row r="52" spans="1:7" ht="16.149999999999999" customHeight="1" x14ac:dyDescent="0.3">
      <c r="B52" s="12" t="s">
        <v>153</v>
      </c>
      <c r="C52" s="22">
        <v>0.2</v>
      </c>
      <c r="E52" s="16"/>
      <c r="F52" s="16"/>
    </row>
    <row r="53" spans="1:7" ht="16.149999999999999" customHeight="1" x14ac:dyDescent="0.3">
      <c r="B53" s="12" t="s">
        <v>154</v>
      </c>
      <c r="C53" s="23">
        <v>1</v>
      </c>
      <c r="E53" s="16"/>
      <c r="F53" s="16"/>
    </row>
    <row r="54" spans="1:7" ht="16.149999999999999" customHeight="1" x14ac:dyDescent="0.3">
      <c r="B54" s="12" t="s">
        <v>155</v>
      </c>
      <c r="C54" s="23">
        <v>1</v>
      </c>
      <c r="E54" s="16"/>
      <c r="F54" s="16"/>
    </row>
    <row r="55" spans="1:7" ht="16.149999999999999" customHeight="1" x14ac:dyDescent="0.3">
      <c r="B55" s="12" t="s">
        <v>156</v>
      </c>
      <c r="C55" s="23" t="s">
        <v>157</v>
      </c>
      <c r="D55" s="14">
        <f>IF(C55="Current",1,0)</f>
        <v>0</v>
      </c>
      <c r="E55" s="16"/>
      <c r="F55" s="16"/>
    </row>
    <row r="56" spans="1:7" ht="16.149999999999999" customHeight="1" x14ac:dyDescent="0.3">
      <c r="B56" s="12" t="s">
        <v>158</v>
      </c>
      <c r="C56" s="21">
        <v>6</v>
      </c>
      <c r="D56" s="24"/>
    </row>
    <row r="57" spans="1:7" ht="16.149999999999999" customHeight="1" x14ac:dyDescent="0.3">
      <c r="B57" s="3" t="s">
        <v>159</v>
      </c>
      <c r="C57" s="25"/>
      <c r="D57" s="26"/>
    </row>
    <row r="58" spans="1:7" ht="16.149999999999999" customHeight="1" x14ac:dyDescent="0.3">
      <c r="B58" s="6" t="s">
        <v>160</v>
      </c>
      <c r="C58" s="25"/>
      <c r="D58" s="2"/>
      <c r="E58" s="27"/>
      <c r="F58" s="27"/>
      <c r="G58" s="27"/>
    </row>
    <row r="59" spans="1:7" ht="16.149999999999999" customHeight="1" x14ac:dyDescent="0.3">
      <c r="A59" s="291" t="s">
        <v>294</v>
      </c>
      <c r="B59" s="28" t="s">
        <v>161</v>
      </c>
      <c r="C59" s="29">
        <v>0.15</v>
      </c>
      <c r="D59" s="2"/>
    </row>
    <row r="60" spans="1:7" ht="16.149999999999999" customHeight="1" x14ac:dyDescent="0.3">
      <c r="A60" s="291" t="s">
        <v>295</v>
      </c>
      <c r="B60" s="28" t="s">
        <v>162</v>
      </c>
      <c r="C60" s="29">
        <v>0</v>
      </c>
      <c r="D60" s="2"/>
    </row>
    <row r="61" spans="1:7" ht="16.149999999999999" customHeight="1" x14ac:dyDescent="0.3">
      <c r="A61" s="291" t="s">
        <v>296</v>
      </c>
      <c r="B61" s="28" t="s">
        <v>163</v>
      </c>
      <c r="C61" s="29">
        <v>0</v>
      </c>
      <c r="D61" s="2"/>
    </row>
    <row r="62" spans="1:7" ht="16.149999999999999" customHeight="1" x14ac:dyDescent="0.3">
      <c r="A62" s="291" t="s">
        <v>297</v>
      </c>
      <c r="B62" s="28" t="s">
        <v>164</v>
      </c>
      <c r="C62" s="29">
        <v>0</v>
      </c>
      <c r="D62" s="2"/>
    </row>
    <row r="63" spans="1:7" ht="16.149999999999999" customHeight="1" x14ac:dyDescent="0.3">
      <c r="B63" s="12" t="s">
        <v>154</v>
      </c>
      <c r="C63" s="23">
        <v>2</v>
      </c>
    </row>
    <row r="64" spans="1:7" ht="16.149999999999999" customHeight="1" x14ac:dyDescent="0.3">
      <c r="B64" s="12" t="s">
        <v>155</v>
      </c>
      <c r="C64" s="23">
        <v>1</v>
      </c>
    </row>
    <row r="65" spans="2:7" ht="16.149999999999999" customHeight="1" x14ac:dyDescent="0.3">
      <c r="B65" s="12" t="s">
        <v>156</v>
      </c>
      <c r="C65" s="23" t="s">
        <v>157</v>
      </c>
      <c r="D65" s="14">
        <f>IF(C65="Current",1,0)</f>
        <v>0</v>
      </c>
    </row>
    <row r="66" spans="2:7" ht="16.149999999999999" customHeight="1" x14ac:dyDescent="0.3">
      <c r="B66" s="12" t="s">
        <v>158</v>
      </c>
      <c r="C66" s="21">
        <v>25</v>
      </c>
      <c r="D66" s="24"/>
    </row>
    <row r="67" spans="2:7" ht="16.149999999999999" customHeight="1" x14ac:dyDescent="0.3">
      <c r="B67" s="3" t="s">
        <v>165</v>
      </c>
      <c r="C67" s="2"/>
      <c r="D67" s="2"/>
      <c r="E67" s="2"/>
      <c r="F67" s="2"/>
      <c r="G67" s="2"/>
    </row>
    <row r="68" spans="2:7" ht="16.149999999999999" customHeight="1" x14ac:dyDescent="0.3">
      <c r="B68" s="12" t="s">
        <v>32</v>
      </c>
      <c r="C68" s="22">
        <v>0.28000000000000003</v>
      </c>
    </row>
    <row r="69" spans="2:7" ht="16.149999999999999" customHeight="1" x14ac:dyDescent="0.3">
      <c r="B69" s="12" t="s">
        <v>166</v>
      </c>
      <c r="C69" s="23">
        <v>0</v>
      </c>
    </row>
    <row r="70" spans="2:7" ht="16.149999999999999" customHeight="1" x14ac:dyDescent="0.3">
      <c r="B70" s="12" t="s">
        <v>154</v>
      </c>
      <c r="C70" s="23">
        <v>6</v>
      </c>
    </row>
    <row r="71" spans="2:7" ht="16.149999999999999" customHeight="1" x14ac:dyDescent="0.3">
      <c r="B71" s="12" t="s">
        <v>155</v>
      </c>
      <c r="C71" s="23">
        <v>2</v>
      </c>
    </row>
    <row r="72" spans="2:7" ht="16.149999999999999" customHeight="1" x14ac:dyDescent="0.3">
      <c r="B72" s="12" t="s">
        <v>156</v>
      </c>
      <c r="C72" s="23" t="s">
        <v>167</v>
      </c>
      <c r="D72" s="14">
        <f>IF(C72="Subsequent",0,1)</f>
        <v>1</v>
      </c>
    </row>
    <row r="73" spans="2:7" ht="16.149999999999999" customHeight="1" x14ac:dyDescent="0.3">
      <c r="B73" s="12" t="s">
        <v>158</v>
      </c>
      <c r="C73" s="21">
        <v>25</v>
      </c>
      <c r="D73" s="24"/>
    </row>
    <row r="74" spans="2:7" ht="16.149999999999999" customHeight="1" x14ac:dyDescent="0.3">
      <c r="B74" s="6" t="s">
        <v>168</v>
      </c>
      <c r="C74" s="16"/>
      <c r="E74" s="16"/>
      <c r="F74" s="16"/>
    </row>
    <row r="75" spans="2:7" ht="16.149999999999999" customHeight="1" x14ac:dyDescent="0.3">
      <c r="B75" s="3" t="s">
        <v>47</v>
      </c>
      <c r="C75" s="30" t="s">
        <v>169</v>
      </c>
      <c r="D75" s="30" t="s">
        <v>170</v>
      </c>
      <c r="E75" s="30" t="s">
        <v>171</v>
      </c>
      <c r="F75" s="30" t="s">
        <v>172</v>
      </c>
    </row>
    <row r="76" spans="2:7" ht="16.149999999999999" customHeight="1" x14ac:dyDescent="0.3">
      <c r="B76" s="31" t="s">
        <v>33</v>
      </c>
      <c r="C76" s="32">
        <v>0.10249999999999999</v>
      </c>
      <c r="D76" s="32">
        <v>9.2499999999999999E-2</v>
      </c>
      <c r="E76" s="32">
        <v>0.125</v>
      </c>
      <c r="F76" s="32">
        <v>0.115</v>
      </c>
    </row>
    <row r="77" spans="2:7" ht="16.149999999999999" customHeight="1" x14ac:dyDescent="0.3">
      <c r="B77" s="31" t="s">
        <v>51</v>
      </c>
      <c r="C77" s="33">
        <v>10</v>
      </c>
      <c r="D77" s="33">
        <v>8</v>
      </c>
      <c r="E77" s="33">
        <v>5</v>
      </c>
      <c r="F77" s="33">
        <v>4</v>
      </c>
    </row>
    <row r="78" spans="2:7" ht="16.149999999999999" customHeight="1" x14ac:dyDescent="0.3">
      <c r="B78" s="31" t="s">
        <v>39</v>
      </c>
      <c r="C78" s="34" t="s">
        <v>40</v>
      </c>
      <c r="D78" s="34" t="s">
        <v>40</v>
      </c>
      <c r="E78" s="34" t="s">
        <v>40</v>
      </c>
      <c r="F78" s="34" t="s">
        <v>40</v>
      </c>
    </row>
    <row r="79" spans="2:7" ht="16.149999999999999" customHeight="1" x14ac:dyDescent="0.3">
      <c r="B79" s="31" t="s">
        <v>83</v>
      </c>
      <c r="C79" s="33">
        <v>5</v>
      </c>
      <c r="D79" s="33">
        <v>30</v>
      </c>
      <c r="E79" s="33">
        <v>1</v>
      </c>
      <c r="F79" s="33">
        <v>10</v>
      </c>
    </row>
    <row r="80" spans="2:7" ht="16.149999999999999" customHeight="1" x14ac:dyDescent="0.3">
      <c r="B80" s="35" t="s">
        <v>173</v>
      </c>
      <c r="C80" s="16"/>
      <c r="E80" s="16"/>
      <c r="F80" s="16"/>
    </row>
    <row r="81" spans="1:6" ht="16.149999999999999" customHeight="1" x14ac:dyDescent="0.3">
      <c r="B81" s="3" t="s">
        <v>174</v>
      </c>
      <c r="D81" s="16"/>
      <c r="E81" s="16"/>
      <c r="F81" s="16"/>
    </row>
    <row r="82" spans="1:6" ht="16.149999999999999" customHeight="1" x14ac:dyDescent="0.3">
      <c r="A82" s="291" t="s">
        <v>137</v>
      </c>
      <c r="B82" s="12" t="s">
        <v>48</v>
      </c>
      <c r="C82" s="13">
        <v>1050000</v>
      </c>
      <c r="D82" s="36" t="str">
        <f>IF(ROUND(SUM(C81:C105),0)&lt;&gt;0,"The total of all the start-up balances should be nil!","")</f>
        <v/>
      </c>
      <c r="E82" s="16"/>
      <c r="F82" s="16"/>
    </row>
    <row r="83" spans="1:6" ht="16.149999999999999" customHeight="1" x14ac:dyDescent="0.3">
      <c r="A83" s="291" t="s">
        <v>138</v>
      </c>
      <c r="B83" s="12" t="s">
        <v>175</v>
      </c>
      <c r="C83" s="13">
        <v>120000</v>
      </c>
      <c r="D83" s="16"/>
      <c r="E83" s="16"/>
      <c r="F83" s="16"/>
    </row>
    <row r="84" spans="1:6" ht="16.149999999999999" customHeight="1" x14ac:dyDescent="0.3">
      <c r="A84" s="291" t="s">
        <v>140</v>
      </c>
      <c r="B84" s="12" t="s">
        <v>176</v>
      </c>
      <c r="C84" s="13">
        <v>800000</v>
      </c>
      <c r="D84" s="16"/>
      <c r="E84" s="16"/>
      <c r="F84" s="16"/>
    </row>
    <row r="85" spans="1:6" ht="16.149999999999999" customHeight="1" x14ac:dyDescent="0.3">
      <c r="A85" s="291" t="s">
        <v>129</v>
      </c>
      <c r="B85" s="12" t="s">
        <v>130</v>
      </c>
      <c r="C85" s="13">
        <v>55000</v>
      </c>
      <c r="D85" s="16"/>
      <c r="E85" s="16"/>
      <c r="F85" s="16"/>
    </row>
    <row r="86" spans="1:6" ht="16.149999999999999" customHeight="1" x14ac:dyDescent="0.3">
      <c r="A86" s="291" t="s">
        <v>177</v>
      </c>
      <c r="B86" s="12" t="s">
        <v>25</v>
      </c>
      <c r="C86" s="13">
        <v>170000</v>
      </c>
      <c r="D86" s="16"/>
      <c r="E86" s="16"/>
      <c r="F86" s="16"/>
    </row>
    <row r="87" spans="1:6" ht="16.149999999999999" customHeight="1" x14ac:dyDescent="0.3">
      <c r="A87" s="291" t="s">
        <v>178</v>
      </c>
      <c r="B87" s="12" t="s">
        <v>179</v>
      </c>
      <c r="C87" s="13">
        <v>370000</v>
      </c>
      <c r="D87" s="16"/>
      <c r="E87" s="16"/>
      <c r="F87" s="16"/>
    </row>
    <row r="88" spans="1:6" ht="16.149999999999999" customHeight="1" x14ac:dyDescent="0.3">
      <c r="A88" s="291" t="s">
        <v>131</v>
      </c>
      <c r="B88" s="12" t="s">
        <v>132</v>
      </c>
      <c r="C88" s="13">
        <v>53000</v>
      </c>
      <c r="D88" s="16"/>
      <c r="E88" s="16"/>
      <c r="F88" s="16"/>
    </row>
    <row r="89" spans="1:6" ht="16.149999999999999" customHeight="1" x14ac:dyDescent="0.3">
      <c r="A89" s="291" t="s">
        <v>180</v>
      </c>
      <c r="B89" s="12" t="s">
        <v>181</v>
      </c>
      <c r="C89" s="13">
        <v>171000</v>
      </c>
      <c r="D89" s="16"/>
      <c r="E89" s="16"/>
      <c r="F89" s="16"/>
    </row>
    <row r="90" spans="1:6" ht="16.149999999999999" customHeight="1" x14ac:dyDescent="0.3">
      <c r="A90" s="291" t="s">
        <v>142</v>
      </c>
      <c r="B90" s="31" t="s">
        <v>0</v>
      </c>
      <c r="C90" s="13">
        <v>-1000</v>
      </c>
      <c r="D90" s="16"/>
      <c r="E90" s="16"/>
      <c r="F90" s="16"/>
    </row>
    <row r="91" spans="1:6" ht="16.149999999999999" customHeight="1" x14ac:dyDescent="0.3">
      <c r="A91" s="291" t="s">
        <v>127</v>
      </c>
      <c r="B91" s="31" t="s">
        <v>128</v>
      </c>
      <c r="C91" s="13">
        <v>0</v>
      </c>
      <c r="D91" s="16"/>
      <c r="E91" s="16"/>
      <c r="F91" s="16"/>
    </row>
    <row r="92" spans="1:6" ht="16.149999999999999" customHeight="1" x14ac:dyDescent="0.3">
      <c r="A92" s="291" t="s">
        <v>182</v>
      </c>
      <c r="B92" s="31" t="s">
        <v>35</v>
      </c>
      <c r="C92" s="13">
        <v>-400000</v>
      </c>
      <c r="D92" s="16"/>
      <c r="E92" s="16"/>
      <c r="F92" s="16"/>
    </row>
    <row r="93" spans="1:6" ht="16.149999999999999" customHeight="1" x14ac:dyDescent="0.3">
      <c r="A93" s="291" t="s">
        <v>143</v>
      </c>
      <c r="B93" s="12" t="s">
        <v>183</v>
      </c>
      <c r="C93" s="13">
        <v>-1200000</v>
      </c>
      <c r="D93" s="36" t="str">
        <f>IF($C93&gt;0,"Long term loans balances should be entered as negative values!","")</f>
        <v/>
      </c>
      <c r="E93" s="16"/>
      <c r="F93" s="16"/>
    </row>
    <row r="94" spans="1:6" ht="16.149999999999999" customHeight="1" x14ac:dyDescent="0.3">
      <c r="A94" s="291" t="s">
        <v>145</v>
      </c>
      <c r="B94" s="12" t="s">
        <v>184</v>
      </c>
      <c r="C94" s="13">
        <v>-500000</v>
      </c>
      <c r="D94" s="36" t="str">
        <f t="shared" ref="D94:D95" si="0">IF($C94&gt;0,"Long term loans balances should be entered as negative values!","")</f>
        <v/>
      </c>
      <c r="E94" s="16"/>
      <c r="F94" s="16"/>
    </row>
    <row r="95" spans="1:6" ht="16.149999999999999" customHeight="1" x14ac:dyDescent="0.3">
      <c r="A95" s="291" t="s">
        <v>147</v>
      </c>
      <c r="B95" s="12" t="s">
        <v>185</v>
      </c>
      <c r="C95" s="13">
        <v>0</v>
      </c>
      <c r="D95" s="36" t="str">
        <f t="shared" si="0"/>
        <v/>
      </c>
      <c r="E95" s="16"/>
      <c r="F95" s="16"/>
    </row>
    <row r="96" spans="1:6" ht="16.149999999999999" customHeight="1" x14ac:dyDescent="0.3">
      <c r="A96" s="291" t="s">
        <v>149</v>
      </c>
      <c r="B96" s="12" t="s">
        <v>186</v>
      </c>
      <c r="C96" s="13">
        <v>-425000</v>
      </c>
      <c r="D96" s="36" t="str">
        <f>IF($C96&gt;0,"Finance lease balances should be entered as negative values!","")</f>
        <v/>
      </c>
      <c r="E96" s="16"/>
      <c r="F96" s="16"/>
    </row>
    <row r="97" spans="1:7" ht="16.149999999999999" customHeight="1" x14ac:dyDescent="0.3">
      <c r="A97" s="291" t="s">
        <v>187</v>
      </c>
      <c r="B97" s="12" t="s">
        <v>188</v>
      </c>
      <c r="C97" s="13">
        <v>0</v>
      </c>
      <c r="D97" s="16"/>
      <c r="E97" s="16"/>
      <c r="F97" s="16"/>
    </row>
    <row r="98" spans="1:7" ht="16.149999999999999" customHeight="1" x14ac:dyDescent="0.3">
      <c r="A98" s="291" t="s">
        <v>189</v>
      </c>
      <c r="B98" s="12" t="s">
        <v>190</v>
      </c>
      <c r="C98" s="13">
        <v>-130000</v>
      </c>
      <c r="D98" s="16"/>
      <c r="E98" s="16"/>
      <c r="F98" s="16"/>
    </row>
    <row r="99" spans="1:7" ht="16.149999999999999" customHeight="1" x14ac:dyDescent="0.3">
      <c r="A99" s="291" t="s">
        <v>191</v>
      </c>
      <c r="B99" s="12" t="s">
        <v>159</v>
      </c>
      <c r="C99" s="13">
        <v>-16000</v>
      </c>
      <c r="D99" s="16"/>
      <c r="E99" s="16"/>
      <c r="F99" s="16"/>
    </row>
    <row r="100" spans="1:7" ht="16.149999999999999" customHeight="1" x14ac:dyDescent="0.3">
      <c r="A100" s="291" t="s">
        <v>192</v>
      </c>
      <c r="B100" s="12" t="s">
        <v>193</v>
      </c>
      <c r="C100" s="13">
        <v>-20000</v>
      </c>
      <c r="D100" s="16"/>
      <c r="E100" s="16"/>
      <c r="F100" s="16"/>
    </row>
    <row r="101" spans="1:7" ht="16.149999999999999" customHeight="1" x14ac:dyDescent="0.3">
      <c r="A101" s="291" t="s">
        <v>133</v>
      </c>
      <c r="B101" s="12" t="s">
        <v>194</v>
      </c>
      <c r="C101" s="13">
        <v>-55000</v>
      </c>
      <c r="D101" s="16"/>
      <c r="E101" s="16"/>
      <c r="F101" s="16"/>
    </row>
    <row r="102" spans="1:7" ht="16.149999999999999" customHeight="1" x14ac:dyDescent="0.3">
      <c r="A102" s="291" t="s">
        <v>195</v>
      </c>
      <c r="B102" s="12" t="s">
        <v>196</v>
      </c>
      <c r="C102" s="13">
        <v>0</v>
      </c>
      <c r="D102" s="16"/>
      <c r="E102" s="16"/>
      <c r="F102" s="16"/>
    </row>
    <row r="103" spans="1:7" ht="16.149999999999999" customHeight="1" x14ac:dyDescent="0.3">
      <c r="A103" s="291" t="s">
        <v>276</v>
      </c>
      <c r="B103" s="12" t="s">
        <v>278</v>
      </c>
      <c r="C103" s="13">
        <v>0</v>
      </c>
      <c r="D103" s="16"/>
      <c r="E103" s="16"/>
      <c r="F103" s="16"/>
    </row>
    <row r="104" spans="1:7" ht="16.149999999999999" customHeight="1" x14ac:dyDescent="0.3">
      <c r="A104" s="291" t="s">
        <v>135</v>
      </c>
      <c r="B104" s="12" t="s">
        <v>136</v>
      </c>
      <c r="C104" s="13">
        <v>-42000</v>
      </c>
      <c r="D104" s="16"/>
      <c r="E104" s="16"/>
      <c r="F104" s="16"/>
    </row>
    <row r="105" spans="1:7" ht="16.149999999999999" customHeight="1" x14ac:dyDescent="0.25">
      <c r="A105" s="294"/>
      <c r="B105" s="3" t="s">
        <v>274</v>
      </c>
      <c r="C105" s="2"/>
      <c r="D105" s="2"/>
      <c r="E105" s="2"/>
      <c r="F105" s="2"/>
      <c r="G105" s="2"/>
    </row>
    <row r="106" spans="1:7" ht="16.149999999999999" customHeight="1" x14ac:dyDescent="0.3">
      <c r="B106" s="12" t="s">
        <v>281</v>
      </c>
      <c r="C106" s="22">
        <v>0</v>
      </c>
    </row>
    <row r="107" spans="1:7" ht="16.149999999999999" customHeight="1" x14ac:dyDescent="0.3">
      <c r="B107" s="12" t="s">
        <v>154</v>
      </c>
      <c r="C107" s="23">
        <v>12</v>
      </c>
    </row>
    <row r="108" spans="1:7" ht="16.149999999999999" customHeight="1" x14ac:dyDescent="0.3">
      <c r="B108" s="12" t="s">
        <v>155</v>
      </c>
      <c r="C108" s="23">
        <v>2</v>
      </c>
      <c r="D108" s="14">
        <f>IF(C107=0,1,C108-((ROUNDUP(C108/C107,0))-1)*C107)</f>
        <v>2</v>
      </c>
      <c r="E108" s="37"/>
    </row>
    <row r="109" spans="1:7" ht="16.149999999999999" customHeight="1" x14ac:dyDescent="0.3">
      <c r="B109" s="12" t="s">
        <v>289</v>
      </c>
      <c r="C109" s="23" t="s">
        <v>290</v>
      </c>
      <c r="D109" s="14">
        <f>IF(C109="Next",1,0)</f>
        <v>1</v>
      </c>
      <c r="E109" s="37"/>
    </row>
    <row r="110" spans="1:7" ht="16.149999999999999" customHeight="1" x14ac:dyDescent="0.3">
      <c r="A110" s="304"/>
      <c r="B110" s="12" t="s">
        <v>158</v>
      </c>
      <c r="C110" s="21">
        <v>20</v>
      </c>
      <c r="D110" s="24"/>
      <c r="G110" s="2"/>
    </row>
  </sheetData>
  <mergeCells count="1">
    <mergeCell ref="C4:E4"/>
  </mergeCells>
  <phoneticPr fontId="3" type="noConversion"/>
  <conditionalFormatting sqref="C93:C96">
    <cfRule type="cellIs" dxfId="3" priority="2" stopIfTrue="1" operator="greaterThan">
      <formula>0</formula>
    </cfRule>
  </conditionalFormatting>
  <conditionalFormatting sqref="C82:C104">
    <cfRule type="expression" dxfId="2" priority="1" stopIfTrue="1">
      <formula>ROUND(SUM($C$82:$C$104),0)&lt;&gt;0</formula>
    </cfRule>
  </conditionalFormatting>
  <dataValidations count="13">
    <dataValidation type="list" allowBlank="1" showInputMessage="1" showErrorMessage="1" errorTitle="Invalid Data" error="Select a valid item from the list box." sqref="C78:F78" xr:uid="{00000000-0002-0000-0400-000000000000}">
      <formula1>"Yes,No"</formula1>
    </dataValidation>
    <dataValidation operator="lessThan" allowBlank="1" showInputMessage="1" showErrorMessage="1" errorTitle="Invalid Input" error="The estimated Creditors balances should be entered as a negative value." sqref="C50 E50:F78 C67:C71 C74:C78 C80 E80:F80 E106:F110" xr:uid="{00000000-0002-0000-0400-000001000000}"/>
    <dataValidation type="decimal" allowBlank="1" showInputMessage="1" showErrorMessage="1" errorTitle="Invalid Input" error="Please enter the value as a percentage - should therefore be a value between 0 and 1." sqref="D17:F19" xr:uid="{00000000-0002-0000-0400-000002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C6" xr:uid="{00000000-0002-0000-0400-000003000000}">
      <formula1>36526</formula1>
    </dataValidation>
    <dataValidation type="decimal" allowBlank="1" showInputMessage="1" showErrorMessage="1" errorTitle="Invalid Data" error="Enter an interest rate percentage that is between 0% and 100%." sqref="C76:F76" xr:uid="{00000000-0002-0000-0400-000004000000}">
      <formula1>0</formula1>
      <formula2>1</formula2>
    </dataValidation>
    <dataValidation type="decimal" allowBlank="1" showInputMessage="1" showErrorMessage="1" errorTitle="Invalid Data" error="Enter an income tax percentage that is between 0% and 100%." sqref="C52 C68 C106" xr:uid="{00000000-0002-0000-0400-000005000000}">
      <formula1>0</formula1>
      <formula2>1</formula2>
    </dataValidation>
    <dataValidation type="whole" allowBlank="1" showInputMessage="1" showErrorMessage="1" errorTitle="Invalid Day" error="Enter a value between 1 and 30." sqref="C73 C56 C66 C79:F79 C110" xr:uid="{00000000-0002-0000-0400-000006000000}">
      <formula1>1</formula1>
      <formula2>30</formula2>
    </dataValidation>
    <dataValidation type="list" allowBlank="1" showInputMessage="1" showErrorMessage="1" errorTitle="Invalid Data" error="Select a valid item from the list box." sqref="C55 C65 C72" xr:uid="{00000000-0002-0000-0400-000007000000}">
      <formula1>"Current,Subsequent"</formula1>
    </dataValidation>
    <dataValidation type="whole" allowBlank="1" showInputMessage="1" showErrorMessage="1" errorTitle="Invalid Data" error="Enter a valid integer value between 1 and 12." sqref="C53:C54 C63:C64 C70:C71 C107:C108" xr:uid="{00000000-0002-0000-0400-000008000000}">
      <formula1>1</formula1>
      <formula2>12</formula2>
    </dataValidation>
    <dataValidation type="decimal" allowBlank="1" showInputMessage="1" showErrorMessage="1" errorTitle="Invalid Data" error="Enter a percentage that is between 0% and 100%." sqref="C59:C62" xr:uid="{00000000-0002-0000-0400-000009000000}">
      <formula1>0</formula1>
      <formula2>1</formula2>
    </dataValidation>
    <dataValidation type="decimal" operator="greaterThanOrEqual" allowBlank="1" showInputMessage="1" showErrorMessage="1" errorTitle="Invalid Data" error="The assessed loss needs to be entered as a positive value." sqref="C69" xr:uid="{00000000-0002-0000-0400-00000A000000}">
      <formula1>0</formula1>
    </dataValidation>
    <dataValidation type="decimal" allowBlank="1" showInputMessage="1" showErrorMessage="1" errorTitle="Invalid Repayment Term" error="The repayment term must be between 0 and 30 years." sqref="C77:F77" xr:uid="{00000000-0002-0000-0400-00000B000000}">
      <formula1>0</formula1>
      <formula2>30</formula2>
    </dataValidation>
    <dataValidation type="list" allowBlank="1" showInputMessage="1" showErrorMessage="1" errorTitle="Invalid Data" error="Select a valid item from the list box." sqref="C109" xr:uid="{00000000-0002-0000-0400-00000C000000}">
      <formula1>"Cash,Next"</formula1>
    </dataValidation>
  </dataValidations>
  <pageMargins left="0.59055118110236227" right="0.59055118110236227" top="0.59055118110236227" bottom="0.59055118110236227" header="0.39370078740157483" footer="0.39370078740157483"/>
  <pageSetup paperSize="9" scale="76" fitToHeight="2" orientation="portrait"/>
  <headerFooter alignWithMargins="0">
    <oddFooter>&amp;C&amp;9Page &amp;P of &amp;N</oddFooter>
  </headerFooter>
  <rowBreaks count="1" manualBreakCount="1">
    <brk id="66" max="16383" man="1"/>
  </rowBreaks>
  <ignoredErrors>
    <ignoredError sqref="E10 D82"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G113"/>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40625" defaultRowHeight="16.149999999999999" customHeight="1" x14ac:dyDescent="0.3"/>
  <cols>
    <col min="1" max="1" width="5.7109375" style="291" customWidth="1"/>
    <col min="2" max="2" width="44.140625" style="12" customWidth="1"/>
    <col min="3" max="7" width="12.7109375" style="17" customWidth="1"/>
    <col min="8" max="54" width="12.7109375" style="2" customWidth="1"/>
    <col min="55" max="59" width="14.7109375" style="10" customWidth="1"/>
    <col min="60" max="16384" width="9.140625" style="2"/>
  </cols>
  <sheetData>
    <row r="1" spans="1:59" ht="16.149999999999999" customHeight="1" x14ac:dyDescent="0.3">
      <c r="B1" s="290" t="str">
        <f>IF(ISBLANK(Assumptions!$C$4),"Example Limited",Assumptions!$C$4)</f>
        <v>Example (Pty) Limited</v>
      </c>
    </row>
    <row r="2" spans="1:59" ht="16.149999999999999" customHeight="1" x14ac:dyDescent="0.3">
      <c r="B2" s="6" t="s">
        <v>98</v>
      </c>
    </row>
    <row r="3" spans="1:59" s="41" customFormat="1" ht="16.149999999999999" customHeight="1" x14ac:dyDescent="0.25">
      <c r="A3" s="301"/>
      <c r="B3" s="38" t="s">
        <v>50</v>
      </c>
      <c r="C3" s="25" t="str">
        <f>IF(COLUMN(C4)-2&lt;=Assumptions!$C$8,"Q1",IF(COLUMN(C4)-2&lt;=SUM(Assumptions!$C$8:$C$9),"Q2",IF(COLUMN(C4)-2&lt;=SUM(Assumptions!$C$8:$C$10),"Q3","Q4")))</f>
        <v>Q1</v>
      </c>
      <c r="D3" s="25" t="str">
        <f>IF(COLUMN(D4)-2&lt;=Assumptions!$C$8,"Q1",IF(COLUMN(D4)-2&lt;=SUM(Assumptions!$C$8:$C$9),"Q2",IF(COLUMN(D4)-2&lt;=SUM(Assumptions!$C$8:$C$10),"Q3","Q4")))</f>
        <v>Q1</v>
      </c>
      <c r="E3" s="25" t="str">
        <f>IF(COLUMN(E4)-2&lt;=Assumptions!$C$8,"Q1",IF(COLUMN(E4)-2&lt;=SUM(Assumptions!$C$8:$C$9),"Q2",IF(COLUMN(E4)-2&lt;=SUM(Assumptions!$C$8:$C$10),"Q3","Q4")))</f>
        <v>Q1</v>
      </c>
      <c r="F3" s="25" t="str">
        <f>IF(COLUMN(F4)-2&lt;=Assumptions!$C$8,"Q1",IF(COLUMN(F4)-2&lt;=SUM(Assumptions!$C$8:$C$9),"Q2",IF(COLUMN(F4)-2&lt;=SUM(Assumptions!$C$8:$C$10),"Q3","Q4")))</f>
        <v>Q1</v>
      </c>
      <c r="G3" s="25" t="str">
        <f>IF(COLUMN(G4)-2&lt;=Assumptions!$C$8,"Q1",IF(COLUMN(G4)-2&lt;=SUM(Assumptions!$C$8:$C$9),"Q2",IF(COLUMN(G4)-2&lt;=SUM(Assumptions!$C$8:$C$10),"Q3","Q4")))</f>
        <v>Q1</v>
      </c>
      <c r="H3" s="25" t="str">
        <f>IF(COLUMN(H4)-2&lt;=Assumptions!$C$8,"Q1",IF(COLUMN(H4)-2&lt;=SUM(Assumptions!$C$8:$C$9),"Q2",IF(COLUMN(H4)-2&lt;=SUM(Assumptions!$C$8:$C$10),"Q3","Q4")))</f>
        <v>Q1</v>
      </c>
      <c r="I3" s="25" t="str">
        <f>IF(COLUMN(I4)-2&lt;=Assumptions!$C$8,"Q1",IF(COLUMN(I4)-2&lt;=SUM(Assumptions!$C$8:$C$9),"Q2",IF(COLUMN(I4)-2&lt;=SUM(Assumptions!$C$8:$C$10),"Q3","Q4")))</f>
        <v>Q1</v>
      </c>
      <c r="J3" s="25" t="str">
        <f>IF(COLUMN(J4)-2&lt;=Assumptions!$C$8,"Q1",IF(COLUMN(J4)-2&lt;=SUM(Assumptions!$C$8:$C$9),"Q2",IF(COLUMN(J4)-2&lt;=SUM(Assumptions!$C$8:$C$10),"Q3","Q4")))</f>
        <v>Q1</v>
      </c>
      <c r="K3" s="25" t="str">
        <f>IF(COLUMN(K4)-2&lt;=Assumptions!$C$8,"Q1",IF(COLUMN(K4)-2&lt;=SUM(Assumptions!$C$8:$C$9),"Q2",IF(COLUMN(K4)-2&lt;=SUM(Assumptions!$C$8:$C$10),"Q3","Q4")))</f>
        <v>Q1</v>
      </c>
      <c r="L3" s="25" t="str">
        <f>IF(COLUMN(L4)-2&lt;=Assumptions!$C$8,"Q1",IF(COLUMN(L4)-2&lt;=SUM(Assumptions!$C$8:$C$9),"Q2",IF(COLUMN(L4)-2&lt;=SUM(Assumptions!$C$8:$C$10),"Q3","Q4")))</f>
        <v>Q1</v>
      </c>
      <c r="M3" s="25" t="str">
        <f>IF(COLUMN(M4)-2&lt;=Assumptions!$C$8,"Q1",IF(COLUMN(M4)-2&lt;=SUM(Assumptions!$C$8:$C$9),"Q2",IF(COLUMN(M4)-2&lt;=SUM(Assumptions!$C$8:$C$10),"Q3","Q4")))</f>
        <v>Q1</v>
      </c>
      <c r="N3" s="25" t="str">
        <f>IF(COLUMN(N4)-2&lt;=Assumptions!$C$8,"Q1",IF(COLUMN(N4)-2&lt;=SUM(Assumptions!$C$8:$C$9),"Q2",IF(COLUMN(N4)-2&lt;=SUM(Assumptions!$C$8:$C$10),"Q3","Q4")))</f>
        <v>Q1</v>
      </c>
      <c r="O3" s="25" t="str">
        <f>IF(COLUMN(O4)-2&lt;=Assumptions!$C$8,"Q1",IF(COLUMN(O4)-2&lt;=SUM(Assumptions!$C$8:$C$9),"Q2",IF(COLUMN(O4)-2&lt;=SUM(Assumptions!$C$8:$C$10),"Q3","Q4")))</f>
        <v>Q1</v>
      </c>
      <c r="P3" s="25" t="str">
        <f>IF(COLUMN(P4)-2&lt;=Assumptions!$C$8,"Q1",IF(COLUMN(P4)-2&lt;=SUM(Assumptions!$C$8:$C$9),"Q2",IF(COLUMN(P4)-2&lt;=SUM(Assumptions!$C$8:$C$10),"Q3","Q4")))</f>
        <v>Q2</v>
      </c>
      <c r="Q3" s="25" t="str">
        <f>IF(COLUMN(Q4)-2&lt;=Assumptions!$C$8,"Q1",IF(COLUMN(Q4)-2&lt;=SUM(Assumptions!$C$8:$C$9),"Q2",IF(COLUMN(Q4)-2&lt;=SUM(Assumptions!$C$8:$C$10),"Q3","Q4")))</f>
        <v>Q2</v>
      </c>
      <c r="R3" s="25" t="str">
        <f>IF(COLUMN(R4)-2&lt;=Assumptions!$C$8,"Q1",IF(COLUMN(R4)-2&lt;=SUM(Assumptions!$C$8:$C$9),"Q2",IF(COLUMN(R4)-2&lt;=SUM(Assumptions!$C$8:$C$10),"Q3","Q4")))</f>
        <v>Q2</v>
      </c>
      <c r="S3" s="25" t="str">
        <f>IF(COLUMN(S4)-2&lt;=Assumptions!$C$8,"Q1",IF(COLUMN(S4)-2&lt;=SUM(Assumptions!$C$8:$C$9),"Q2",IF(COLUMN(S4)-2&lt;=SUM(Assumptions!$C$8:$C$10),"Q3","Q4")))</f>
        <v>Q2</v>
      </c>
      <c r="T3" s="25" t="str">
        <f>IF(COLUMN(T4)-2&lt;=Assumptions!$C$8,"Q1",IF(COLUMN(T4)-2&lt;=SUM(Assumptions!$C$8:$C$9),"Q2",IF(COLUMN(T4)-2&lt;=SUM(Assumptions!$C$8:$C$10),"Q3","Q4")))</f>
        <v>Q2</v>
      </c>
      <c r="U3" s="25" t="str">
        <f>IF(COLUMN(U4)-2&lt;=Assumptions!$C$8,"Q1",IF(COLUMN(U4)-2&lt;=SUM(Assumptions!$C$8:$C$9),"Q2",IF(COLUMN(U4)-2&lt;=SUM(Assumptions!$C$8:$C$10),"Q3","Q4")))</f>
        <v>Q2</v>
      </c>
      <c r="V3" s="25" t="str">
        <f>IF(COLUMN(V4)-2&lt;=Assumptions!$C$8,"Q1",IF(COLUMN(V4)-2&lt;=SUM(Assumptions!$C$8:$C$9),"Q2",IF(COLUMN(V4)-2&lt;=SUM(Assumptions!$C$8:$C$10),"Q3","Q4")))</f>
        <v>Q2</v>
      </c>
      <c r="W3" s="25" t="str">
        <f>IF(COLUMN(W4)-2&lt;=Assumptions!$C$8,"Q1",IF(COLUMN(W4)-2&lt;=SUM(Assumptions!$C$8:$C$9),"Q2",IF(COLUMN(W4)-2&lt;=SUM(Assumptions!$C$8:$C$10),"Q3","Q4")))</f>
        <v>Q2</v>
      </c>
      <c r="X3" s="25" t="str">
        <f>IF(COLUMN(X4)-2&lt;=Assumptions!$C$8,"Q1",IF(COLUMN(X4)-2&lt;=SUM(Assumptions!$C$8:$C$9),"Q2",IF(COLUMN(X4)-2&lt;=SUM(Assumptions!$C$8:$C$10),"Q3","Q4")))</f>
        <v>Q2</v>
      </c>
      <c r="Y3" s="25" t="str">
        <f>IF(COLUMN(Y4)-2&lt;=Assumptions!$C$8,"Q1",IF(COLUMN(Y4)-2&lt;=SUM(Assumptions!$C$8:$C$9),"Q2",IF(COLUMN(Y4)-2&lt;=SUM(Assumptions!$C$8:$C$10),"Q3","Q4")))</f>
        <v>Q2</v>
      </c>
      <c r="Z3" s="25" t="str">
        <f>IF(COLUMN(Z4)-2&lt;=Assumptions!$C$8,"Q1",IF(COLUMN(Z4)-2&lt;=SUM(Assumptions!$C$8:$C$9),"Q2",IF(COLUMN(Z4)-2&lt;=SUM(Assumptions!$C$8:$C$10),"Q3","Q4")))</f>
        <v>Q2</v>
      </c>
      <c r="AA3" s="25" t="str">
        <f>IF(COLUMN(AA4)-2&lt;=Assumptions!$C$8,"Q1",IF(COLUMN(AA4)-2&lt;=SUM(Assumptions!$C$8:$C$9),"Q2",IF(COLUMN(AA4)-2&lt;=SUM(Assumptions!$C$8:$C$10),"Q3","Q4")))</f>
        <v>Q2</v>
      </c>
      <c r="AB3" s="25" t="str">
        <f>IF(COLUMN(AB4)-2&lt;=Assumptions!$C$8,"Q1",IF(COLUMN(AB4)-2&lt;=SUM(Assumptions!$C$8:$C$9),"Q2",IF(COLUMN(AB4)-2&lt;=SUM(Assumptions!$C$8:$C$10),"Q3","Q4")))</f>
        <v>Q2</v>
      </c>
      <c r="AC3" s="25" t="str">
        <f>IF(COLUMN(AC4)-2&lt;=Assumptions!$C$8,"Q1",IF(COLUMN(AC4)-2&lt;=SUM(Assumptions!$C$8:$C$9),"Q2",IF(COLUMN(AC4)-2&lt;=SUM(Assumptions!$C$8:$C$10),"Q3","Q4")))</f>
        <v>Q3</v>
      </c>
      <c r="AD3" s="25" t="str">
        <f>IF(COLUMN(AD4)-2&lt;=Assumptions!$C$8,"Q1",IF(COLUMN(AD4)-2&lt;=SUM(Assumptions!$C$8:$C$9),"Q2",IF(COLUMN(AD4)-2&lt;=SUM(Assumptions!$C$8:$C$10),"Q3","Q4")))</f>
        <v>Q3</v>
      </c>
      <c r="AE3" s="25" t="str">
        <f>IF(COLUMN(AE4)-2&lt;=Assumptions!$C$8,"Q1",IF(COLUMN(AE4)-2&lt;=SUM(Assumptions!$C$8:$C$9),"Q2",IF(COLUMN(AE4)-2&lt;=SUM(Assumptions!$C$8:$C$10),"Q3","Q4")))</f>
        <v>Q3</v>
      </c>
      <c r="AF3" s="25" t="str">
        <f>IF(COLUMN(AF4)-2&lt;=Assumptions!$C$8,"Q1",IF(COLUMN(AF4)-2&lt;=SUM(Assumptions!$C$8:$C$9),"Q2",IF(COLUMN(AF4)-2&lt;=SUM(Assumptions!$C$8:$C$10),"Q3","Q4")))</f>
        <v>Q3</v>
      </c>
      <c r="AG3" s="25" t="str">
        <f>IF(COLUMN(AG4)-2&lt;=Assumptions!$C$8,"Q1",IF(COLUMN(AG4)-2&lt;=SUM(Assumptions!$C$8:$C$9),"Q2",IF(COLUMN(AG4)-2&lt;=SUM(Assumptions!$C$8:$C$10),"Q3","Q4")))</f>
        <v>Q3</v>
      </c>
      <c r="AH3" s="25" t="str">
        <f>IF(COLUMN(AH4)-2&lt;=Assumptions!$C$8,"Q1",IF(COLUMN(AH4)-2&lt;=SUM(Assumptions!$C$8:$C$9),"Q2",IF(COLUMN(AH4)-2&lt;=SUM(Assumptions!$C$8:$C$10),"Q3","Q4")))</f>
        <v>Q3</v>
      </c>
      <c r="AI3" s="25" t="str">
        <f>IF(COLUMN(AI4)-2&lt;=Assumptions!$C$8,"Q1",IF(COLUMN(AI4)-2&lt;=SUM(Assumptions!$C$8:$C$9),"Q2",IF(COLUMN(AI4)-2&lt;=SUM(Assumptions!$C$8:$C$10),"Q3","Q4")))</f>
        <v>Q3</v>
      </c>
      <c r="AJ3" s="25" t="str">
        <f>IF(COLUMN(AJ4)-2&lt;=Assumptions!$C$8,"Q1",IF(COLUMN(AJ4)-2&lt;=SUM(Assumptions!$C$8:$C$9),"Q2",IF(COLUMN(AJ4)-2&lt;=SUM(Assumptions!$C$8:$C$10),"Q3","Q4")))</f>
        <v>Q3</v>
      </c>
      <c r="AK3" s="25" t="str">
        <f>IF(COLUMN(AK4)-2&lt;=Assumptions!$C$8,"Q1",IF(COLUMN(AK4)-2&lt;=SUM(Assumptions!$C$8:$C$9),"Q2",IF(COLUMN(AK4)-2&lt;=SUM(Assumptions!$C$8:$C$10),"Q3","Q4")))</f>
        <v>Q3</v>
      </c>
      <c r="AL3" s="25" t="str">
        <f>IF(COLUMN(AL4)-2&lt;=Assumptions!$C$8,"Q1",IF(COLUMN(AL4)-2&lt;=SUM(Assumptions!$C$8:$C$9),"Q2",IF(COLUMN(AL4)-2&lt;=SUM(Assumptions!$C$8:$C$10),"Q3","Q4")))</f>
        <v>Q3</v>
      </c>
      <c r="AM3" s="25" t="str">
        <f>IF(COLUMN(AM4)-2&lt;=Assumptions!$C$8,"Q1",IF(COLUMN(AM4)-2&lt;=SUM(Assumptions!$C$8:$C$9),"Q2",IF(COLUMN(AM4)-2&lt;=SUM(Assumptions!$C$8:$C$10),"Q3","Q4")))</f>
        <v>Q3</v>
      </c>
      <c r="AN3" s="25" t="str">
        <f>IF(COLUMN(AN4)-2&lt;=Assumptions!$C$8,"Q1",IF(COLUMN(AN4)-2&lt;=SUM(Assumptions!$C$8:$C$9),"Q2",IF(COLUMN(AN4)-2&lt;=SUM(Assumptions!$C$8:$C$10),"Q3","Q4")))</f>
        <v>Q3</v>
      </c>
      <c r="AO3" s="25" t="str">
        <f>IF(COLUMN(AO4)-2&lt;=Assumptions!$C$8,"Q1",IF(COLUMN(AO4)-2&lt;=SUM(Assumptions!$C$8:$C$9),"Q2",IF(COLUMN(AO4)-2&lt;=SUM(Assumptions!$C$8:$C$10),"Q3","Q4")))</f>
        <v>Q3</v>
      </c>
      <c r="AP3" s="25" t="str">
        <f>IF(COLUMN(AP4)-2&lt;=Assumptions!$C$8,"Q1",IF(COLUMN(AP4)-2&lt;=SUM(Assumptions!$C$8:$C$9),"Q2",IF(COLUMN(AP4)-2&lt;=SUM(Assumptions!$C$8:$C$10),"Q3","Q4")))</f>
        <v>Q4</v>
      </c>
      <c r="AQ3" s="25" t="str">
        <f>IF(COLUMN(AQ4)-2&lt;=Assumptions!$C$8,"Q1",IF(COLUMN(AQ4)-2&lt;=SUM(Assumptions!$C$8:$C$9),"Q2",IF(COLUMN(AQ4)-2&lt;=SUM(Assumptions!$C$8:$C$10),"Q3","Q4")))</f>
        <v>Q4</v>
      </c>
      <c r="AR3" s="25" t="str">
        <f>IF(COLUMN(AR4)-2&lt;=Assumptions!$C$8,"Q1",IF(COLUMN(AR4)-2&lt;=SUM(Assumptions!$C$8:$C$9),"Q2",IF(COLUMN(AR4)-2&lt;=SUM(Assumptions!$C$8:$C$10),"Q3","Q4")))</f>
        <v>Q4</v>
      </c>
      <c r="AS3" s="25" t="str">
        <f>IF(COLUMN(AS4)-2&lt;=Assumptions!$C$8,"Q1",IF(COLUMN(AS4)-2&lt;=SUM(Assumptions!$C$8:$C$9),"Q2",IF(COLUMN(AS4)-2&lt;=SUM(Assumptions!$C$8:$C$10),"Q3","Q4")))</f>
        <v>Q4</v>
      </c>
      <c r="AT3" s="25" t="str">
        <f>IF(COLUMN(AT4)-2&lt;=Assumptions!$C$8,"Q1",IF(COLUMN(AT4)-2&lt;=SUM(Assumptions!$C$8:$C$9),"Q2",IF(COLUMN(AT4)-2&lt;=SUM(Assumptions!$C$8:$C$10),"Q3","Q4")))</f>
        <v>Q4</v>
      </c>
      <c r="AU3" s="25" t="str">
        <f>IF(COLUMN(AU4)-2&lt;=Assumptions!$C$8,"Q1",IF(COLUMN(AU4)-2&lt;=SUM(Assumptions!$C$8:$C$9),"Q2",IF(COLUMN(AU4)-2&lt;=SUM(Assumptions!$C$8:$C$10),"Q3","Q4")))</f>
        <v>Q4</v>
      </c>
      <c r="AV3" s="25" t="str">
        <f>IF(COLUMN(AV4)-2&lt;=Assumptions!$C$8,"Q1",IF(COLUMN(AV4)-2&lt;=SUM(Assumptions!$C$8:$C$9),"Q2",IF(COLUMN(AV4)-2&lt;=SUM(Assumptions!$C$8:$C$10),"Q3","Q4")))</f>
        <v>Q4</v>
      </c>
      <c r="AW3" s="25" t="str">
        <f>IF(COLUMN(AW4)-2&lt;=Assumptions!$C$8,"Q1",IF(COLUMN(AW4)-2&lt;=SUM(Assumptions!$C$8:$C$9),"Q2",IF(COLUMN(AW4)-2&lt;=SUM(Assumptions!$C$8:$C$10),"Q3","Q4")))</f>
        <v>Q4</v>
      </c>
      <c r="AX3" s="25" t="str">
        <f>IF(COLUMN(AX4)-2&lt;=Assumptions!$C$8,"Q1",IF(COLUMN(AX4)-2&lt;=SUM(Assumptions!$C$8:$C$9),"Q2",IF(COLUMN(AX4)-2&lt;=SUM(Assumptions!$C$8:$C$10),"Q3","Q4")))</f>
        <v>Q4</v>
      </c>
      <c r="AY3" s="25" t="str">
        <f>IF(COLUMN(AY4)-2&lt;=Assumptions!$C$8,"Q1",IF(COLUMN(AY4)-2&lt;=SUM(Assumptions!$C$8:$C$9),"Q2",IF(COLUMN(AY4)-2&lt;=SUM(Assumptions!$C$8:$C$10),"Q3","Q4")))</f>
        <v>Q4</v>
      </c>
      <c r="AZ3" s="25" t="str">
        <f>IF(COLUMN(AZ4)-2&lt;=Assumptions!$C$8,"Q1",IF(COLUMN(AZ4)-2&lt;=SUM(Assumptions!$C$8:$C$9),"Q2",IF(COLUMN(AZ4)-2&lt;=SUM(Assumptions!$C$8:$C$10),"Q3","Q4")))</f>
        <v>Q4</v>
      </c>
      <c r="BA3" s="25" t="str">
        <f>IF(COLUMN(BA4)-2&lt;=Assumptions!$C$8,"Q1",IF(COLUMN(BA4)-2&lt;=SUM(Assumptions!$C$8:$C$9),"Q2",IF(COLUMN(BA4)-2&lt;=SUM(Assumptions!$C$8:$C$10),"Q3","Q4")))</f>
        <v>Q4</v>
      </c>
      <c r="BB3" s="25" t="str">
        <f>IF(COLUMN(BB4)-2&lt;=Assumptions!$C$8,"Q1",IF(COLUMN(BB4)-2&lt;=SUM(Assumptions!$C$8:$C$9),"Q2",IF(COLUMN(BB4)-2&lt;=SUM(Assumptions!$C$8:$C$10),"Q3","Q4")))</f>
        <v>Q4</v>
      </c>
      <c r="BC3" s="39" t="s">
        <v>90</v>
      </c>
      <c r="BD3" s="39" t="s">
        <v>91</v>
      </c>
      <c r="BE3" s="39" t="s">
        <v>92</v>
      </c>
      <c r="BF3" s="39" t="s">
        <v>93</v>
      </c>
      <c r="BG3" s="40"/>
    </row>
    <row r="4" spans="1:59" s="45" customFormat="1" ht="18" customHeight="1" x14ac:dyDescent="0.25">
      <c r="A4" s="293"/>
      <c r="B4" s="42"/>
      <c r="C4" s="43">
        <f ca="1">IF(ISBLANK(Assumptions!$C$5)=TRUE,DATE(YEAR(TODAY()),MONTH(TODAY()),7),DATE(YEAR(Assumptions!$C$5),MONTH(Assumptions!$C$5),DAY(Assumptions!$C$5)+6))</f>
        <v>43897</v>
      </c>
      <c r="D4" s="43">
        <f ca="1">DATE(YEAR(OFFSET(D3,1,-1,1,1)),MONTH(OFFSET(D3,1,-1,1,1)),DAY(OFFSET(D3,1,-1,1,1))+7)</f>
        <v>43904</v>
      </c>
      <c r="E4" s="43">
        <f t="shared" ref="E4:BB4" ca="1" si="0">DATE(YEAR(OFFSET(E3,1,-1,1,1)),MONTH(OFFSET(E3,1,-1,1,1)),DAY(OFFSET(E3,1,-1,1,1))+7)</f>
        <v>43911</v>
      </c>
      <c r="F4" s="43">
        <f t="shared" ca="1" si="0"/>
        <v>43918</v>
      </c>
      <c r="G4" s="43">
        <f t="shared" ca="1" si="0"/>
        <v>43925</v>
      </c>
      <c r="H4" s="43">
        <f t="shared" ca="1" si="0"/>
        <v>43932</v>
      </c>
      <c r="I4" s="43">
        <f t="shared" ca="1" si="0"/>
        <v>43939</v>
      </c>
      <c r="J4" s="43">
        <f t="shared" ca="1" si="0"/>
        <v>43946</v>
      </c>
      <c r="K4" s="43">
        <f t="shared" ca="1" si="0"/>
        <v>43953</v>
      </c>
      <c r="L4" s="43">
        <f t="shared" ca="1" si="0"/>
        <v>43960</v>
      </c>
      <c r="M4" s="43">
        <f t="shared" ca="1" si="0"/>
        <v>43967</v>
      </c>
      <c r="N4" s="43">
        <f t="shared" ca="1" si="0"/>
        <v>43974</v>
      </c>
      <c r="O4" s="43">
        <f t="shared" ca="1" si="0"/>
        <v>43981</v>
      </c>
      <c r="P4" s="43">
        <f t="shared" ca="1" si="0"/>
        <v>43988</v>
      </c>
      <c r="Q4" s="43">
        <f t="shared" ca="1" si="0"/>
        <v>43995</v>
      </c>
      <c r="R4" s="43">
        <f t="shared" ca="1" si="0"/>
        <v>44002</v>
      </c>
      <c r="S4" s="43">
        <f t="shared" ca="1" si="0"/>
        <v>44009</v>
      </c>
      <c r="T4" s="43">
        <f t="shared" ca="1" si="0"/>
        <v>44016</v>
      </c>
      <c r="U4" s="43">
        <f t="shared" ca="1" si="0"/>
        <v>44023</v>
      </c>
      <c r="V4" s="43">
        <f t="shared" ca="1" si="0"/>
        <v>44030</v>
      </c>
      <c r="W4" s="43">
        <f t="shared" ca="1" si="0"/>
        <v>44037</v>
      </c>
      <c r="X4" s="43">
        <f t="shared" ca="1" si="0"/>
        <v>44044</v>
      </c>
      <c r="Y4" s="43">
        <f t="shared" ca="1" si="0"/>
        <v>44051</v>
      </c>
      <c r="Z4" s="43">
        <f t="shared" ca="1" si="0"/>
        <v>44058</v>
      </c>
      <c r="AA4" s="43">
        <f t="shared" ca="1" si="0"/>
        <v>44065</v>
      </c>
      <c r="AB4" s="43">
        <f t="shared" ca="1" si="0"/>
        <v>44072</v>
      </c>
      <c r="AC4" s="43">
        <f t="shared" ca="1" si="0"/>
        <v>44079</v>
      </c>
      <c r="AD4" s="43">
        <f t="shared" ca="1" si="0"/>
        <v>44086</v>
      </c>
      <c r="AE4" s="43">
        <f t="shared" ca="1" si="0"/>
        <v>44093</v>
      </c>
      <c r="AF4" s="43">
        <f t="shared" ca="1" si="0"/>
        <v>44100</v>
      </c>
      <c r="AG4" s="43">
        <f t="shared" ca="1" si="0"/>
        <v>44107</v>
      </c>
      <c r="AH4" s="43">
        <f t="shared" ca="1" si="0"/>
        <v>44114</v>
      </c>
      <c r="AI4" s="43">
        <f t="shared" ca="1" si="0"/>
        <v>44121</v>
      </c>
      <c r="AJ4" s="43">
        <f t="shared" ca="1" si="0"/>
        <v>44128</v>
      </c>
      <c r="AK4" s="43">
        <f t="shared" ca="1" si="0"/>
        <v>44135</v>
      </c>
      <c r="AL4" s="43">
        <f t="shared" ca="1" si="0"/>
        <v>44142</v>
      </c>
      <c r="AM4" s="43">
        <f t="shared" ca="1" si="0"/>
        <v>44149</v>
      </c>
      <c r="AN4" s="43">
        <f t="shared" ca="1" si="0"/>
        <v>44156</v>
      </c>
      <c r="AO4" s="43">
        <f t="shared" ca="1" si="0"/>
        <v>44163</v>
      </c>
      <c r="AP4" s="43">
        <f t="shared" ca="1" si="0"/>
        <v>44170</v>
      </c>
      <c r="AQ4" s="43">
        <f t="shared" ca="1" si="0"/>
        <v>44177</v>
      </c>
      <c r="AR4" s="43">
        <f t="shared" ca="1" si="0"/>
        <v>44184</v>
      </c>
      <c r="AS4" s="43">
        <f t="shared" ca="1" si="0"/>
        <v>44191</v>
      </c>
      <c r="AT4" s="43">
        <f t="shared" ca="1" si="0"/>
        <v>44198</v>
      </c>
      <c r="AU4" s="43">
        <f t="shared" ca="1" si="0"/>
        <v>44205</v>
      </c>
      <c r="AV4" s="43">
        <f t="shared" ca="1" si="0"/>
        <v>44212</v>
      </c>
      <c r="AW4" s="43">
        <f t="shared" ca="1" si="0"/>
        <v>44219</v>
      </c>
      <c r="AX4" s="43">
        <f t="shared" ca="1" si="0"/>
        <v>44226</v>
      </c>
      <c r="AY4" s="43">
        <f t="shared" ca="1" si="0"/>
        <v>44233</v>
      </c>
      <c r="AZ4" s="43">
        <f t="shared" ca="1" si="0"/>
        <v>44240</v>
      </c>
      <c r="BA4" s="43">
        <f t="shared" ca="1" si="0"/>
        <v>44247</v>
      </c>
      <c r="BB4" s="43">
        <f t="shared" ca="1" si="0"/>
        <v>44254</v>
      </c>
      <c r="BC4" s="44" t="s">
        <v>76</v>
      </c>
      <c r="BD4" s="44" t="s">
        <v>77</v>
      </c>
      <c r="BE4" s="44" t="s">
        <v>78</v>
      </c>
      <c r="BF4" s="44" t="s">
        <v>79</v>
      </c>
      <c r="BG4" s="44" t="str">
        <f ca="1">"Total "&amp;YEAR(OFFSET($BC$4,0,-1,1,1))</f>
        <v>Total 2021</v>
      </c>
    </row>
    <row r="5" spans="1:59" s="50" customFormat="1" ht="16.149999999999999" customHeight="1" x14ac:dyDescent="0.3">
      <c r="A5" s="312" t="s">
        <v>197</v>
      </c>
      <c r="B5" s="46" t="s">
        <v>198</v>
      </c>
      <c r="C5" s="47">
        <v>60000</v>
      </c>
      <c r="D5" s="48">
        <v>51440</v>
      </c>
      <c r="E5" s="48">
        <v>64000</v>
      </c>
      <c r="F5" s="48">
        <v>65600</v>
      </c>
      <c r="G5" s="48">
        <v>64200</v>
      </c>
      <c r="H5" s="48">
        <v>61000</v>
      </c>
      <c r="I5" s="48">
        <v>54600</v>
      </c>
      <c r="J5" s="48">
        <v>63000</v>
      </c>
      <c r="K5" s="48">
        <v>60000</v>
      </c>
      <c r="L5" s="48">
        <v>64000</v>
      </c>
      <c r="M5" s="48">
        <v>66000</v>
      </c>
      <c r="N5" s="48">
        <v>65600</v>
      </c>
      <c r="O5" s="48">
        <v>62000</v>
      </c>
      <c r="P5" s="48">
        <v>70000</v>
      </c>
      <c r="Q5" s="48">
        <v>64000</v>
      </c>
      <c r="R5" s="48">
        <v>64600</v>
      </c>
      <c r="S5" s="48">
        <v>69000</v>
      </c>
      <c r="T5" s="48">
        <v>70800</v>
      </c>
      <c r="U5" s="48">
        <v>69400</v>
      </c>
      <c r="V5" s="48">
        <v>62000</v>
      </c>
      <c r="W5" s="48">
        <v>63000</v>
      </c>
      <c r="X5" s="48">
        <v>70000</v>
      </c>
      <c r="Y5" s="48">
        <v>67600</v>
      </c>
      <c r="Z5" s="48">
        <v>72400</v>
      </c>
      <c r="AA5" s="48">
        <v>71400</v>
      </c>
      <c r="AB5" s="48">
        <v>70600</v>
      </c>
      <c r="AC5" s="48">
        <v>72400</v>
      </c>
      <c r="AD5" s="48">
        <v>73600</v>
      </c>
      <c r="AE5" s="48">
        <v>74400</v>
      </c>
      <c r="AF5" s="48">
        <v>69800</v>
      </c>
      <c r="AG5" s="48">
        <v>74000</v>
      </c>
      <c r="AH5" s="48">
        <v>72800</v>
      </c>
      <c r="AI5" s="48">
        <v>76200</v>
      </c>
      <c r="AJ5" s="48">
        <v>77800</v>
      </c>
      <c r="AK5" s="48">
        <v>74400</v>
      </c>
      <c r="AL5" s="48">
        <v>76000</v>
      </c>
      <c r="AM5" s="48">
        <v>77000</v>
      </c>
      <c r="AN5" s="48">
        <v>74800</v>
      </c>
      <c r="AO5" s="48">
        <v>78000</v>
      </c>
      <c r="AP5" s="48">
        <v>70560</v>
      </c>
      <c r="AQ5" s="48">
        <v>60240</v>
      </c>
      <c r="AR5" s="48">
        <v>63360</v>
      </c>
      <c r="AS5" s="48">
        <v>48560</v>
      </c>
      <c r="AT5" s="48">
        <v>40816</v>
      </c>
      <c r="AU5" s="48">
        <v>44256</v>
      </c>
      <c r="AV5" s="48">
        <v>54600</v>
      </c>
      <c r="AW5" s="48">
        <v>76496</v>
      </c>
      <c r="AX5" s="48">
        <v>76000</v>
      </c>
      <c r="AY5" s="48">
        <v>77600</v>
      </c>
      <c r="AZ5" s="48">
        <v>81200</v>
      </c>
      <c r="BA5" s="48">
        <v>78880</v>
      </c>
      <c r="BB5" s="48">
        <v>77120</v>
      </c>
      <c r="BC5" s="49">
        <f ca="1">SUM(OFFSET($B5,0,1,1,Assumptions!$C$8))</f>
        <v>801440</v>
      </c>
      <c r="BD5" s="49">
        <f ca="1">SUM(OFFSET($B5,0,1+Assumptions!$C$8,1,SUM(Assumptions!$C$9)))</f>
        <v>884800</v>
      </c>
      <c r="BE5" s="49">
        <f ca="1">SUM(OFFSET($B5,0,1+SUM(Assumptions!$C$8:$C$9),1,SUM(Assumptions!$C$10)))</f>
        <v>971200</v>
      </c>
      <c r="BF5" s="49">
        <f ca="1">SUM(OFFSET($B5,0,1+SUM(Assumptions!$C$8:$C$10),1,SUM(Assumptions!$C$11)))</f>
        <v>849688</v>
      </c>
      <c r="BG5" s="49">
        <f t="shared" ref="BG5" ca="1" si="1">SUM(BC5:BF5)</f>
        <v>3507128</v>
      </c>
    </row>
    <row r="6" spans="1:59" s="50" customFormat="1" ht="16.149999999999999" customHeight="1" x14ac:dyDescent="0.3">
      <c r="A6" s="313" t="s">
        <v>197</v>
      </c>
      <c r="B6" s="46" t="s">
        <v>199</v>
      </c>
      <c r="C6" s="51">
        <v>25000</v>
      </c>
      <c r="D6" s="52">
        <v>21004.666666666664</v>
      </c>
      <c r="E6" s="52">
        <v>25066.666666666668</v>
      </c>
      <c r="F6" s="52">
        <v>26513.333333333332</v>
      </c>
      <c r="G6" s="52">
        <v>28355</v>
      </c>
      <c r="H6" s="52">
        <v>27704.166666666672</v>
      </c>
      <c r="I6" s="52">
        <v>22522.5</v>
      </c>
      <c r="J6" s="52">
        <v>27825</v>
      </c>
      <c r="K6" s="52">
        <v>23750</v>
      </c>
      <c r="L6" s="52">
        <v>24266.666666666668</v>
      </c>
      <c r="M6" s="52">
        <v>29425</v>
      </c>
      <c r="N6" s="52">
        <v>29246.666666666668</v>
      </c>
      <c r="O6" s="52">
        <v>28158.333333333336</v>
      </c>
      <c r="P6" s="52">
        <v>32083.333333333336</v>
      </c>
      <c r="Q6" s="52">
        <v>28000.000000000004</v>
      </c>
      <c r="R6" s="52">
        <v>24763.333333333336</v>
      </c>
      <c r="S6" s="52">
        <v>28462.5</v>
      </c>
      <c r="T6" s="52">
        <v>29500</v>
      </c>
      <c r="U6" s="52">
        <v>31519.166666666672</v>
      </c>
      <c r="V6" s="52">
        <v>28158.333333333336</v>
      </c>
      <c r="W6" s="52">
        <v>27825</v>
      </c>
      <c r="X6" s="52">
        <v>31791.666666666672</v>
      </c>
      <c r="Y6" s="52">
        <v>29856.666666666668</v>
      </c>
      <c r="Z6" s="52">
        <v>29865</v>
      </c>
      <c r="AA6" s="52">
        <v>27965</v>
      </c>
      <c r="AB6" s="52">
        <v>28240</v>
      </c>
      <c r="AC6" s="52">
        <v>29563.333333333336</v>
      </c>
      <c r="AD6" s="52">
        <v>28520</v>
      </c>
      <c r="AE6" s="52">
        <v>29450</v>
      </c>
      <c r="AF6" s="52">
        <v>30537.5</v>
      </c>
      <c r="AG6" s="52">
        <v>32991.666666666664</v>
      </c>
      <c r="AH6" s="52">
        <v>33366.666666666672</v>
      </c>
      <c r="AI6" s="52">
        <v>29845</v>
      </c>
      <c r="AJ6" s="52">
        <v>33713.333333333336</v>
      </c>
      <c r="AK6" s="52">
        <v>31620</v>
      </c>
      <c r="AL6" s="52">
        <v>30400</v>
      </c>
      <c r="AM6" s="52">
        <v>32725</v>
      </c>
      <c r="AN6" s="52">
        <v>28985</v>
      </c>
      <c r="AO6" s="52">
        <v>33150</v>
      </c>
      <c r="AP6" s="52">
        <v>26754</v>
      </c>
      <c r="AQ6" s="52">
        <v>27359.000000000004</v>
      </c>
      <c r="AR6" s="52">
        <v>27456</v>
      </c>
      <c r="AS6" s="52">
        <v>18614.666666666668</v>
      </c>
      <c r="AT6" s="52">
        <v>15476.066666666668</v>
      </c>
      <c r="AU6" s="52">
        <v>16780.400000000001</v>
      </c>
      <c r="AV6" s="52">
        <v>24342.5</v>
      </c>
      <c r="AW6" s="52">
        <v>33148.26666666667</v>
      </c>
      <c r="AX6" s="52">
        <v>34516.666666666672</v>
      </c>
      <c r="AY6" s="52">
        <v>34273.333333333336</v>
      </c>
      <c r="AZ6" s="52">
        <v>31803.333333333332</v>
      </c>
      <c r="BA6" s="52">
        <v>32537.999999999996</v>
      </c>
      <c r="BB6" s="52">
        <v>34704</v>
      </c>
      <c r="BC6" s="53">
        <f ca="1">SUM(OFFSET($B6,0,1,1,Assumptions!$C$8))</f>
        <v>338838</v>
      </c>
      <c r="BD6" s="53">
        <f ca="1">SUM(OFFSET($B6,0,1+Assumptions!$C$8,1,SUM(Assumptions!$C$9)))</f>
        <v>378030.00000000006</v>
      </c>
      <c r="BE6" s="53">
        <f ca="1">SUM(OFFSET($B6,0,1+SUM(Assumptions!$C$8:$C$9),1,SUM(Assumptions!$C$10)))</f>
        <v>404867.5</v>
      </c>
      <c r="BF6" s="53">
        <f ca="1">SUM(OFFSET($B6,0,1+SUM(Assumptions!$C$8:$C$10),1,SUM(Assumptions!$C$11)))</f>
        <v>357766.23333333334</v>
      </c>
      <c r="BG6" s="53">
        <f t="shared" ref="BG6" ca="1" si="2">SUM(BC6:BF6)</f>
        <v>1479501.7333333334</v>
      </c>
    </row>
    <row r="7" spans="1:59" s="4" customFormat="1" ht="16.149999999999999" customHeight="1" thickBot="1" x14ac:dyDescent="0.35">
      <c r="A7" s="304"/>
      <c r="B7" s="54" t="s">
        <v>200</v>
      </c>
      <c r="C7" s="55">
        <f ca="1">SUM(OFFSET(C4,1,0,ROW($B7)-ROW($B4)-1,1))</f>
        <v>85000</v>
      </c>
      <c r="D7" s="55">
        <f t="shared" ref="D7:BG7" ca="1" si="3">SUM(OFFSET(D4,1,0,ROW($B7)-ROW($B4)-1,1))</f>
        <v>72444.666666666657</v>
      </c>
      <c r="E7" s="55">
        <f t="shared" ca="1" si="3"/>
        <v>89066.666666666672</v>
      </c>
      <c r="F7" s="55">
        <f t="shared" ca="1" si="3"/>
        <v>92113.333333333328</v>
      </c>
      <c r="G7" s="55">
        <f t="shared" ca="1" si="3"/>
        <v>92555</v>
      </c>
      <c r="H7" s="55">
        <f t="shared" ca="1" si="3"/>
        <v>88704.166666666672</v>
      </c>
      <c r="I7" s="55">
        <f t="shared" ca="1" si="3"/>
        <v>77122.5</v>
      </c>
      <c r="J7" s="55">
        <f t="shared" ca="1" si="3"/>
        <v>90825</v>
      </c>
      <c r="K7" s="55">
        <f t="shared" ca="1" si="3"/>
        <v>83750</v>
      </c>
      <c r="L7" s="55">
        <f t="shared" ca="1" si="3"/>
        <v>88266.666666666672</v>
      </c>
      <c r="M7" s="55">
        <f t="shared" ca="1" si="3"/>
        <v>95425</v>
      </c>
      <c r="N7" s="55">
        <f t="shared" ca="1" si="3"/>
        <v>94846.666666666672</v>
      </c>
      <c r="O7" s="55">
        <f t="shared" ca="1" si="3"/>
        <v>90158.333333333343</v>
      </c>
      <c r="P7" s="55">
        <f t="shared" ca="1" si="3"/>
        <v>102083.33333333334</v>
      </c>
      <c r="Q7" s="55">
        <f t="shared" ca="1" si="3"/>
        <v>92000</v>
      </c>
      <c r="R7" s="55">
        <f t="shared" ca="1" si="3"/>
        <v>89363.333333333343</v>
      </c>
      <c r="S7" s="55">
        <f t="shared" ca="1" si="3"/>
        <v>97462.5</v>
      </c>
      <c r="T7" s="55">
        <f t="shared" ca="1" si="3"/>
        <v>100300</v>
      </c>
      <c r="U7" s="55">
        <f t="shared" ca="1" si="3"/>
        <v>100919.16666666667</v>
      </c>
      <c r="V7" s="55">
        <f t="shared" ca="1" si="3"/>
        <v>90158.333333333343</v>
      </c>
      <c r="W7" s="55">
        <f t="shared" ca="1" si="3"/>
        <v>90825</v>
      </c>
      <c r="X7" s="55">
        <f t="shared" ca="1" si="3"/>
        <v>101791.66666666667</v>
      </c>
      <c r="Y7" s="55">
        <f t="shared" ca="1" si="3"/>
        <v>97456.666666666672</v>
      </c>
      <c r="Z7" s="55">
        <f t="shared" ca="1" si="3"/>
        <v>102265</v>
      </c>
      <c r="AA7" s="55">
        <f t="shared" ca="1" si="3"/>
        <v>99365</v>
      </c>
      <c r="AB7" s="55">
        <f t="shared" ca="1" si="3"/>
        <v>98840</v>
      </c>
      <c r="AC7" s="55">
        <f t="shared" ca="1" si="3"/>
        <v>101963.33333333334</v>
      </c>
      <c r="AD7" s="55">
        <f t="shared" ca="1" si="3"/>
        <v>102120</v>
      </c>
      <c r="AE7" s="55">
        <f t="shared" ca="1" si="3"/>
        <v>103850</v>
      </c>
      <c r="AF7" s="55">
        <f t="shared" ca="1" si="3"/>
        <v>100337.5</v>
      </c>
      <c r="AG7" s="55">
        <f t="shared" ca="1" si="3"/>
        <v>106991.66666666666</v>
      </c>
      <c r="AH7" s="55">
        <f t="shared" ca="1" si="3"/>
        <v>106166.66666666667</v>
      </c>
      <c r="AI7" s="55">
        <f t="shared" ca="1" si="3"/>
        <v>106045</v>
      </c>
      <c r="AJ7" s="55">
        <f t="shared" ca="1" si="3"/>
        <v>111513.33333333334</v>
      </c>
      <c r="AK7" s="55">
        <f t="shared" ca="1" si="3"/>
        <v>106020</v>
      </c>
      <c r="AL7" s="55">
        <f t="shared" ca="1" si="3"/>
        <v>106400</v>
      </c>
      <c r="AM7" s="55">
        <f t="shared" ca="1" si="3"/>
        <v>109725</v>
      </c>
      <c r="AN7" s="55">
        <f t="shared" ca="1" si="3"/>
        <v>103785</v>
      </c>
      <c r="AO7" s="55">
        <f t="shared" ca="1" si="3"/>
        <v>111150</v>
      </c>
      <c r="AP7" s="55">
        <f t="shared" ca="1" si="3"/>
        <v>97314</v>
      </c>
      <c r="AQ7" s="55">
        <f t="shared" ca="1" si="3"/>
        <v>87599</v>
      </c>
      <c r="AR7" s="55">
        <f t="shared" ca="1" si="3"/>
        <v>90816</v>
      </c>
      <c r="AS7" s="55">
        <f t="shared" ca="1" si="3"/>
        <v>67174.666666666672</v>
      </c>
      <c r="AT7" s="55">
        <f t="shared" ca="1" si="3"/>
        <v>56292.066666666666</v>
      </c>
      <c r="AU7" s="55">
        <f t="shared" ca="1" si="3"/>
        <v>61036.4</v>
      </c>
      <c r="AV7" s="55">
        <f t="shared" ca="1" si="3"/>
        <v>78942.5</v>
      </c>
      <c r="AW7" s="55">
        <f t="shared" ca="1" si="3"/>
        <v>109644.26666666666</v>
      </c>
      <c r="AX7" s="55">
        <f t="shared" ca="1" si="3"/>
        <v>110516.66666666667</v>
      </c>
      <c r="AY7" s="55">
        <f t="shared" ca="1" si="3"/>
        <v>111873.33333333334</v>
      </c>
      <c r="AZ7" s="55">
        <f t="shared" ca="1" si="3"/>
        <v>113003.33333333333</v>
      </c>
      <c r="BA7" s="55">
        <f t="shared" ca="1" si="3"/>
        <v>111418</v>
      </c>
      <c r="BB7" s="55">
        <f t="shared" ca="1" si="3"/>
        <v>111824</v>
      </c>
      <c r="BC7" s="55">
        <f t="shared" ca="1" si="3"/>
        <v>1140278</v>
      </c>
      <c r="BD7" s="55">
        <f t="shared" ca="1" si="3"/>
        <v>1262830</v>
      </c>
      <c r="BE7" s="55">
        <f t="shared" ca="1" si="3"/>
        <v>1376067.5</v>
      </c>
      <c r="BF7" s="55">
        <f t="shared" ca="1" si="3"/>
        <v>1207454.2333333334</v>
      </c>
      <c r="BG7" s="55">
        <f t="shared" ca="1" si="3"/>
        <v>4986629.7333333334</v>
      </c>
    </row>
    <row r="8" spans="1:59" s="17" customFormat="1" ht="16.149999999999999" customHeight="1" x14ac:dyDescent="0.3">
      <c r="A8" s="303" t="s">
        <v>197</v>
      </c>
      <c r="B8" s="56" t="s">
        <v>201</v>
      </c>
      <c r="C8" s="52">
        <f t="shared" ref="C8:BB9" si="4">C5-C11</f>
        <v>39000</v>
      </c>
      <c r="D8" s="52">
        <f t="shared" si="4"/>
        <v>32921.600000000006</v>
      </c>
      <c r="E8" s="52">
        <f t="shared" si="4"/>
        <v>41600</v>
      </c>
      <c r="F8" s="52">
        <f t="shared" si="4"/>
        <v>42640</v>
      </c>
      <c r="G8" s="52">
        <f t="shared" si="4"/>
        <v>41088</v>
      </c>
      <c r="H8" s="52">
        <f t="shared" si="4"/>
        <v>38430</v>
      </c>
      <c r="I8" s="52">
        <f t="shared" si="4"/>
        <v>34398</v>
      </c>
      <c r="J8" s="52">
        <f t="shared" si="4"/>
        <v>39690</v>
      </c>
      <c r="K8" s="52">
        <f t="shared" si="4"/>
        <v>37800</v>
      </c>
      <c r="L8" s="52">
        <f t="shared" si="4"/>
        <v>40320</v>
      </c>
      <c r="M8" s="52">
        <f t="shared" si="4"/>
        <v>41580</v>
      </c>
      <c r="N8" s="52">
        <f t="shared" si="4"/>
        <v>41328</v>
      </c>
      <c r="O8" s="52">
        <f t="shared" si="4"/>
        <v>39060</v>
      </c>
      <c r="P8" s="52">
        <f t="shared" si="4"/>
        <v>44100</v>
      </c>
      <c r="Q8" s="52">
        <f t="shared" si="4"/>
        <v>40320</v>
      </c>
      <c r="R8" s="52">
        <f t="shared" si="4"/>
        <v>40698</v>
      </c>
      <c r="S8" s="52">
        <f t="shared" si="4"/>
        <v>43470</v>
      </c>
      <c r="T8" s="52">
        <f t="shared" si="4"/>
        <v>44604</v>
      </c>
      <c r="U8" s="52">
        <f t="shared" si="4"/>
        <v>43722</v>
      </c>
      <c r="V8" s="52">
        <f t="shared" si="4"/>
        <v>38440</v>
      </c>
      <c r="W8" s="52">
        <f t="shared" si="4"/>
        <v>39060</v>
      </c>
      <c r="X8" s="52">
        <f t="shared" si="4"/>
        <v>43400</v>
      </c>
      <c r="Y8" s="52">
        <f t="shared" si="4"/>
        <v>41912</v>
      </c>
      <c r="Z8" s="52">
        <f t="shared" si="4"/>
        <v>44888</v>
      </c>
      <c r="AA8" s="52">
        <f t="shared" si="4"/>
        <v>44268</v>
      </c>
      <c r="AB8" s="52">
        <f t="shared" si="4"/>
        <v>43066</v>
      </c>
      <c r="AC8" s="52">
        <f t="shared" si="4"/>
        <v>43440</v>
      </c>
      <c r="AD8" s="52">
        <f t="shared" si="4"/>
        <v>44160</v>
      </c>
      <c r="AE8" s="52">
        <f t="shared" si="4"/>
        <v>44640</v>
      </c>
      <c r="AF8" s="52">
        <f t="shared" si="4"/>
        <v>41880</v>
      </c>
      <c r="AG8" s="52">
        <f t="shared" si="4"/>
        <v>44400</v>
      </c>
      <c r="AH8" s="52">
        <f t="shared" si="4"/>
        <v>43680</v>
      </c>
      <c r="AI8" s="52">
        <f t="shared" si="4"/>
        <v>45720</v>
      </c>
      <c r="AJ8" s="52">
        <f t="shared" si="4"/>
        <v>46680</v>
      </c>
      <c r="AK8" s="52">
        <f t="shared" si="4"/>
        <v>44640</v>
      </c>
      <c r="AL8" s="52">
        <f t="shared" si="4"/>
        <v>45600</v>
      </c>
      <c r="AM8" s="52">
        <f t="shared" si="4"/>
        <v>46200</v>
      </c>
      <c r="AN8" s="52">
        <f t="shared" si="4"/>
        <v>44880</v>
      </c>
      <c r="AO8" s="52">
        <f t="shared" si="4"/>
        <v>46800</v>
      </c>
      <c r="AP8" s="52">
        <f t="shared" si="4"/>
        <v>42336</v>
      </c>
      <c r="AQ8" s="52">
        <f t="shared" si="4"/>
        <v>36144</v>
      </c>
      <c r="AR8" s="52">
        <f t="shared" si="4"/>
        <v>38016</v>
      </c>
      <c r="AS8" s="52">
        <f t="shared" si="4"/>
        <v>29136</v>
      </c>
      <c r="AT8" s="52">
        <f t="shared" si="4"/>
        <v>24489.599999999999</v>
      </c>
      <c r="AU8" s="52">
        <f t="shared" si="4"/>
        <v>26553.599999999999</v>
      </c>
      <c r="AV8" s="52">
        <f t="shared" si="4"/>
        <v>32760</v>
      </c>
      <c r="AW8" s="52">
        <f t="shared" si="4"/>
        <v>45897.599999999999</v>
      </c>
      <c r="AX8" s="52">
        <f t="shared" si="4"/>
        <v>45600</v>
      </c>
      <c r="AY8" s="52">
        <f t="shared" si="4"/>
        <v>46560</v>
      </c>
      <c r="AZ8" s="52">
        <f t="shared" si="4"/>
        <v>48720</v>
      </c>
      <c r="BA8" s="52">
        <f t="shared" si="4"/>
        <v>47328</v>
      </c>
      <c r="BB8" s="52">
        <f t="shared" si="4"/>
        <v>46272</v>
      </c>
      <c r="BC8" s="53">
        <f ca="1">SUM(OFFSET($B8,0,1,1,Assumptions!$C$8))</f>
        <v>509855.6</v>
      </c>
      <c r="BD8" s="53">
        <f ca="1">SUM(OFFSET($B8,0,1+Assumptions!$C$8,1,SUM(Assumptions!$C$9)))</f>
        <v>551948</v>
      </c>
      <c r="BE8" s="53">
        <f ca="1">SUM(OFFSET($B8,0,1+SUM(Assumptions!$C$8:$C$9),1,SUM(Assumptions!$C$10)))</f>
        <v>582720</v>
      </c>
      <c r="BF8" s="53">
        <f ca="1">SUM(OFFSET($B8,0,1+SUM(Assumptions!$C$8:$C$10),1,SUM(Assumptions!$C$11)))</f>
        <v>509812.8</v>
      </c>
      <c r="BG8" s="53">
        <f t="shared" ref="BG8:BG9" ca="1" si="5">SUM(BC8:BF8)</f>
        <v>2154336.4</v>
      </c>
    </row>
    <row r="9" spans="1:59" s="17" customFormat="1" ht="16.149999999999999" customHeight="1" x14ac:dyDescent="0.3">
      <c r="A9" s="303" t="s">
        <v>202</v>
      </c>
      <c r="B9" s="56" t="s">
        <v>203</v>
      </c>
      <c r="C9" s="52">
        <f t="shared" si="4"/>
        <v>0</v>
      </c>
      <c r="D9" s="52">
        <f t="shared" si="4"/>
        <v>0</v>
      </c>
      <c r="E9" s="52">
        <f t="shared" si="4"/>
        <v>0</v>
      </c>
      <c r="F9" s="52">
        <f t="shared" si="4"/>
        <v>0</v>
      </c>
      <c r="G9" s="52">
        <f t="shared" si="4"/>
        <v>0</v>
      </c>
      <c r="H9" s="52">
        <f t="shared" si="4"/>
        <v>0</v>
      </c>
      <c r="I9" s="52">
        <f t="shared" si="4"/>
        <v>0</v>
      </c>
      <c r="J9" s="52">
        <f t="shared" si="4"/>
        <v>0</v>
      </c>
      <c r="K9" s="52">
        <f t="shared" si="4"/>
        <v>0</v>
      </c>
      <c r="L9" s="52">
        <f t="shared" si="4"/>
        <v>0</v>
      </c>
      <c r="M9" s="52">
        <f t="shared" si="4"/>
        <v>0</v>
      </c>
      <c r="N9" s="52">
        <f t="shared" si="4"/>
        <v>0</v>
      </c>
      <c r="O9" s="52">
        <f t="shared" si="4"/>
        <v>0</v>
      </c>
      <c r="P9" s="52">
        <f t="shared" si="4"/>
        <v>0</v>
      </c>
      <c r="Q9" s="52">
        <f t="shared" si="4"/>
        <v>0</v>
      </c>
      <c r="R9" s="52">
        <f t="shared" si="4"/>
        <v>0</v>
      </c>
      <c r="S9" s="52">
        <f t="shared" si="4"/>
        <v>0</v>
      </c>
      <c r="T9" s="52">
        <f t="shared" si="4"/>
        <v>0</v>
      </c>
      <c r="U9" s="52">
        <f t="shared" si="4"/>
        <v>0</v>
      </c>
      <c r="V9" s="52">
        <f t="shared" si="4"/>
        <v>0</v>
      </c>
      <c r="W9" s="52">
        <f t="shared" si="4"/>
        <v>0</v>
      </c>
      <c r="X9" s="52">
        <f t="shared" si="4"/>
        <v>0</v>
      </c>
      <c r="Y9" s="52">
        <f t="shared" si="4"/>
        <v>0</v>
      </c>
      <c r="Z9" s="52">
        <f t="shared" si="4"/>
        <v>0</v>
      </c>
      <c r="AA9" s="52">
        <f t="shared" si="4"/>
        <v>0</v>
      </c>
      <c r="AB9" s="52">
        <f t="shared" si="4"/>
        <v>0</v>
      </c>
      <c r="AC9" s="52">
        <f t="shared" si="4"/>
        <v>0</v>
      </c>
      <c r="AD9" s="52">
        <f t="shared" si="4"/>
        <v>0</v>
      </c>
      <c r="AE9" s="52">
        <f t="shared" si="4"/>
        <v>0</v>
      </c>
      <c r="AF9" s="52">
        <f t="shared" si="4"/>
        <v>0</v>
      </c>
      <c r="AG9" s="52">
        <f t="shared" si="4"/>
        <v>0</v>
      </c>
      <c r="AH9" s="52">
        <f t="shared" si="4"/>
        <v>0</v>
      </c>
      <c r="AI9" s="52">
        <f t="shared" si="4"/>
        <v>0</v>
      </c>
      <c r="AJ9" s="52">
        <f t="shared" si="4"/>
        <v>0</v>
      </c>
      <c r="AK9" s="52">
        <f t="shared" si="4"/>
        <v>0</v>
      </c>
      <c r="AL9" s="52">
        <f t="shared" si="4"/>
        <v>0</v>
      </c>
      <c r="AM9" s="52">
        <f t="shared" si="4"/>
        <v>0</v>
      </c>
      <c r="AN9" s="52">
        <f t="shared" si="4"/>
        <v>0</v>
      </c>
      <c r="AO9" s="52">
        <f t="shared" si="4"/>
        <v>0</v>
      </c>
      <c r="AP9" s="52">
        <f t="shared" si="4"/>
        <v>0</v>
      </c>
      <c r="AQ9" s="52">
        <f t="shared" si="4"/>
        <v>0</v>
      </c>
      <c r="AR9" s="52">
        <f t="shared" si="4"/>
        <v>0</v>
      </c>
      <c r="AS9" s="52">
        <f t="shared" si="4"/>
        <v>0</v>
      </c>
      <c r="AT9" s="52">
        <f t="shared" si="4"/>
        <v>0</v>
      </c>
      <c r="AU9" s="52">
        <f t="shared" si="4"/>
        <v>0</v>
      </c>
      <c r="AV9" s="52">
        <f t="shared" si="4"/>
        <v>0</v>
      </c>
      <c r="AW9" s="52">
        <f t="shared" si="4"/>
        <v>0</v>
      </c>
      <c r="AX9" s="52">
        <f t="shared" si="4"/>
        <v>0</v>
      </c>
      <c r="AY9" s="52">
        <f t="shared" si="4"/>
        <v>0</v>
      </c>
      <c r="AZ9" s="52">
        <f t="shared" si="4"/>
        <v>0</v>
      </c>
      <c r="BA9" s="52">
        <f t="shared" si="4"/>
        <v>0</v>
      </c>
      <c r="BB9" s="52">
        <f t="shared" si="4"/>
        <v>0</v>
      </c>
      <c r="BC9" s="53">
        <f ca="1">SUM(OFFSET($B9,0,1,1,Assumptions!$C$8))</f>
        <v>0</v>
      </c>
      <c r="BD9" s="53">
        <f ca="1">SUM(OFFSET($B9,0,1+Assumptions!$C$8,1,SUM(Assumptions!$C$9)))</f>
        <v>0</v>
      </c>
      <c r="BE9" s="53">
        <f ca="1">SUM(OFFSET($B9,0,1+SUM(Assumptions!$C$8:$C$9),1,SUM(Assumptions!$C$10)))</f>
        <v>0</v>
      </c>
      <c r="BF9" s="53">
        <f ca="1">SUM(OFFSET($B9,0,1+SUM(Assumptions!$C$8:$C$10),1,SUM(Assumptions!$C$11)))</f>
        <v>0</v>
      </c>
      <c r="BG9" s="53">
        <f t="shared" ca="1" si="5"/>
        <v>0</v>
      </c>
    </row>
    <row r="10" spans="1:59" s="4" customFormat="1" ht="16.149999999999999" customHeight="1" thickBot="1" x14ac:dyDescent="0.35">
      <c r="A10" s="303"/>
      <c r="B10" s="54" t="s">
        <v>204</v>
      </c>
      <c r="C10" s="57">
        <f ca="1">SUM(OFFSET(C7,1,0,ROW($B10)-ROW($B7)-1,1))</f>
        <v>39000</v>
      </c>
      <c r="D10" s="57">
        <f t="shared" ref="D10:BG10" ca="1" si="6">SUM(OFFSET(D7,1,0,ROW($B10)-ROW($B7)-1,1))</f>
        <v>32921.600000000006</v>
      </c>
      <c r="E10" s="57">
        <f t="shared" ca="1" si="6"/>
        <v>41600</v>
      </c>
      <c r="F10" s="57">
        <f t="shared" ca="1" si="6"/>
        <v>42640</v>
      </c>
      <c r="G10" s="57">
        <f t="shared" ca="1" si="6"/>
        <v>41088</v>
      </c>
      <c r="H10" s="57">
        <f t="shared" ca="1" si="6"/>
        <v>38430</v>
      </c>
      <c r="I10" s="57">
        <f t="shared" ca="1" si="6"/>
        <v>34398</v>
      </c>
      <c r="J10" s="57">
        <f t="shared" ca="1" si="6"/>
        <v>39690</v>
      </c>
      <c r="K10" s="57">
        <f t="shared" ca="1" si="6"/>
        <v>37800</v>
      </c>
      <c r="L10" s="57">
        <f t="shared" ca="1" si="6"/>
        <v>40320</v>
      </c>
      <c r="M10" s="57">
        <f t="shared" ca="1" si="6"/>
        <v>41580</v>
      </c>
      <c r="N10" s="57">
        <f t="shared" ca="1" si="6"/>
        <v>41328</v>
      </c>
      <c r="O10" s="57">
        <f t="shared" ca="1" si="6"/>
        <v>39060</v>
      </c>
      <c r="P10" s="57">
        <f t="shared" ca="1" si="6"/>
        <v>44100</v>
      </c>
      <c r="Q10" s="57">
        <f t="shared" ca="1" si="6"/>
        <v>40320</v>
      </c>
      <c r="R10" s="57">
        <f t="shared" ca="1" si="6"/>
        <v>40698</v>
      </c>
      <c r="S10" s="57">
        <f t="shared" ca="1" si="6"/>
        <v>43470</v>
      </c>
      <c r="T10" s="57">
        <f t="shared" ca="1" si="6"/>
        <v>44604</v>
      </c>
      <c r="U10" s="57">
        <f t="shared" ca="1" si="6"/>
        <v>43722</v>
      </c>
      <c r="V10" s="57">
        <f t="shared" ca="1" si="6"/>
        <v>38440</v>
      </c>
      <c r="W10" s="57">
        <f t="shared" ca="1" si="6"/>
        <v>39060</v>
      </c>
      <c r="X10" s="57">
        <f t="shared" ca="1" si="6"/>
        <v>43400</v>
      </c>
      <c r="Y10" s="57">
        <f t="shared" ca="1" si="6"/>
        <v>41912</v>
      </c>
      <c r="Z10" s="57">
        <f t="shared" ca="1" si="6"/>
        <v>44888</v>
      </c>
      <c r="AA10" s="57">
        <f t="shared" ca="1" si="6"/>
        <v>44268</v>
      </c>
      <c r="AB10" s="57">
        <f t="shared" ca="1" si="6"/>
        <v>43066</v>
      </c>
      <c r="AC10" s="57">
        <f t="shared" ca="1" si="6"/>
        <v>43440</v>
      </c>
      <c r="AD10" s="57">
        <f t="shared" ca="1" si="6"/>
        <v>44160</v>
      </c>
      <c r="AE10" s="57">
        <f t="shared" ca="1" si="6"/>
        <v>44640</v>
      </c>
      <c r="AF10" s="57">
        <f t="shared" ca="1" si="6"/>
        <v>41880</v>
      </c>
      <c r="AG10" s="57">
        <f t="shared" ca="1" si="6"/>
        <v>44400</v>
      </c>
      <c r="AH10" s="57">
        <f t="shared" ca="1" si="6"/>
        <v>43680</v>
      </c>
      <c r="AI10" s="57">
        <f t="shared" ca="1" si="6"/>
        <v>45720</v>
      </c>
      <c r="AJ10" s="57">
        <f t="shared" ca="1" si="6"/>
        <v>46680</v>
      </c>
      <c r="AK10" s="57">
        <f t="shared" ca="1" si="6"/>
        <v>44640</v>
      </c>
      <c r="AL10" s="57">
        <f t="shared" ca="1" si="6"/>
        <v>45600</v>
      </c>
      <c r="AM10" s="57">
        <f t="shared" ca="1" si="6"/>
        <v>46200</v>
      </c>
      <c r="AN10" s="57">
        <f t="shared" ca="1" si="6"/>
        <v>44880</v>
      </c>
      <c r="AO10" s="57">
        <f t="shared" ca="1" si="6"/>
        <v>46800</v>
      </c>
      <c r="AP10" s="57">
        <f t="shared" ca="1" si="6"/>
        <v>42336</v>
      </c>
      <c r="AQ10" s="57">
        <f t="shared" ca="1" si="6"/>
        <v>36144</v>
      </c>
      <c r="AR10" s="57">
        <f t="shared" ca="1" si="6"/>
        <v>38016</v>
      </c>
      <c r="AS10" s="57">
        <f t="shared" ca="1" si="6"/>
        <v>29136</v>
      </c>
      <c r="AT10" s="57">
        <f t="shared" ca="1" si="6"/>
        <v>24489.599999999999</v>
      </c>
      <c r="AU10" s="57">
        <f t="shared" ca="1" si="6"/>
        <v>26553.599999999999</v>
      </c>
      <c r="AV10" s="57">
        <f t="shared" ca="1" si="6"/>
        <v>32760</v>
      </c>
      <c r="AW10" s="57">
        <f t="shared" ca="1" si="6"/>
        <v>45897.599999999999</v>
      </c>
      <c r="AX10" s="57">
        <f t="shared" ca="1" si="6"/>
        <v>45600</v>
      </c>
      <c r="AY10" s="57">
        <f t="shared" ca="1" si="6"/>
        <v>46560</v>
      </c>
      <c r="AZ10" s="57">
        <f t="shared" ca="1" si="6"/>
        <v>48720</v>
      </c>
      <c r="BA10" s="57">
        <f t="shared" ca="1" si="6"/>
        <v>47328</v>
      </c>
      <c r="BB10" s="57">
        <f t="shared" ca="1" si="6"/>
        <v>46272</v>
      </c>
      <c r="BC10" s="57">
        <f t="shared" ca="1" si="6"/>
        <v>509855.6</v>
      </c>
      <c r="BD10" s="57">
        <f t="shared" ca="1" si="6"/>
        <v>551948</v>
      </c>
      <c r="BE10" s="57">
        <f t="shared" ca="1" si="6"/>
        <v>582720</v>
      </c>
      <c r="BF10" s="57">
        <f t="shared" ca="1" si="6"/>
        <v>509812.8</v>
      </c>
      <c r="BG10" s="57">
        <f t="shared" ca="1" si="6"/>
        <v>2154336.4</v>
      </c>
    </row>
    <row r="11" spans="1:59" s="17" customFormat="1" ht="16.149999999999999" customHeight="1" x14ac:dyDescent="0.3">
      <c r="A11" s="303"/>
      <c r="B11" s="56" t="s">
        <v>201</v>
      </c>
      <c r="C11" s="52">
        <f t="shared" ref="C11:BB12" si="7">C5*C14</f>
        <v>21000</v>
      </c>
      <c r="D11" s="52">
        <f t="shared" si="7"/>
        <v>18518.399999999998</v>
      </c>
      <c r="E11" s="52">
        <f t="shared" si="7"/>
        <v>22400</v>
      </c>
      <c r="F11" s="52">
        <f t="shared" si="7"/>
        <v>22960</v>
      </c>
      <c r="G11" s="52">
        <f t="shared" si="7"/>
        <v>23112</v>
      </c>
      <c r="H11" s="52">
        <f t="shared" si="7"/>
        <v>22570</v>
      </c>
      <c r="I11" s="52">
        <f t="shared" si="7"/>
        <v>20202</v>
      </c>
      <c r="J11" s="52">
        <f t="shared" si="7"/>
        <v>23310</v>
      </c>
      <c r="K11" s="52">
        <f t="shared" si="7"/>
        <v>22200</v>
      </c>
      <c r="L11" s="52">
        <f t="shared" si="7"/>
        <v>23680</v>
      </c>
      <c r="M11" s="52">
        <f t="shared" si="7"/>
        <v>24420</v>
      </c>
      <c r="N11" s="52">
        <f t="shared" si="7"/>
        <v>24272</v>
      </c>
      <c r="O11" s="52">
        <f t="shared" si="7"/>
        <v>22940</v>
      </c>
      <c r="P11" s="52">
        <f t="shared" si="7"/>
        <v>25900</v>
      </c>
      <c r="Q11" s="52">
        <f t="shared" si="7"/>
        <v>23680</v>
      </c>
      <c r="R11" s="52">
        <f t="shared" si="7"/>
        <v>23902</v>
      </c>
      <c r="S11" s="52">
        <f t="shared" si="7"/>
        <v>25530</v>
      </c>
      <c r="T11" s="52">
        <f t="shared" si="7"/>
        <v>26196</v>
      </c>
      <c r="U11" s="52">
        <f t="shared" si="7"/>
        <v>25678</v>
      </c>
      <c r="V11" s="52">
        <f t="shared" si="7"/>
        <v>23560</v>
      </c>
      <c r="W11" s="52">
        <f t="shared" si="7"/>
        <v>23940</v>
      </c>
      <c r="X11" s="52">
        <f t="shared" si="7"/>
        <v>26600</v>
      </c>
      <c r="Y11" s="52">
        <f t="shared" si="7"/>
        <v>25688</v>
      </c>
      <c r="Z11" s="52">
        <f t="shared" si="7"/>
        <v>27512</v>
      </c>
      <c r="AA11" s="52">
        <f t="shared" si="7"/>
        <v>27132</v>
      </c>
      <c r="AB11" s="52">
        <f t="shared" si="7"/>
        <v>27534</v>
      </c>
      <c r="AC11" s="52">
        <f t="shared" si="7"/>
        <v>28960</v>
      </c>
      <c r="AD11" s="52">
        <f t="shared" si="7"/>
        <v>29440</v>
      </c>
      <c r="AE11" s="52">
        <f t="shared" si="7"/>
        <v>29760</v>
      </c>
      <c r="AF11" s="52">
        <f t="shared" si="7"/>
        <v>27920</v>
      </c>
      <c r="AG11" s="52">
        <f t="shared" si="7"/>
        <v>29600</v>
      </c>
      <c r="AH11" s="52">
        <f t="shared" si="7"/>
        <v>29120</v>
      </c>
      <c r="AI11" s="52">
        <f t="shared" si="7"/>
        <v>30480</v>
      </c>
      <c r="AJ11" s="52">
        <f t="shared" si="7"/>
        <v>31120</v>
      </c>
      <c r="AK11" s="52">
        <f t="shared" si="7"/>
        <v>29760</v>
      </c>
      <c r="AL11" s="52">
        <f t="shared" si="7"/>
        <v>30400</v>
      </c>
      <c r="AM11" s="52">
        <f t="shared" si="7"/>
        <v>30800</v>
      </c>
      <c r="AN11" s="52">
        <f t="shared" si="7"/>
        <v>29920</v>
      </c>
      <c r="AO11" s="52">
        <f t="shared" si="7"/>
        <v>31200</v>
      </c>
      <c r="AP11" s="52">
        <f t="shared" si="7"/>
        <v>28224</v>
      </c>
      <c r="AQ11" s="52">
        <f t="shared" si="7"/>
        <v>24096</v>
      </c>
      <c r="AR11" s="52">
        <f t="shared" si="7"/>
        <v>25344</v>
      </c>
      <c r="AS11" s="52">
        <f t="shared" si="7"/>
        <v>19424</v>
      </c>
      <c r="AT11" s="52">
        <f t="shared" si="7"/>
        <v>16326.400000000001</v>
      </c>
      <c r="AU11" s="52">
        <f t="shared" si="7"/>
        <v>17702.400000000001</v>
      </c>
      <c r="AV11" s="52">
        <f t="shared" si="7"/>
        <v>21840</v>
      </c>
      <c r="AW11" s="52">
        <f t="shared" si="7"/>
        <v>30598.400000000001</v>
      </c>
      <c r="AX11" s="52">
        <f t="shared" si="7"/>
        <v>30400</v>
      </c>
      <c r="AY11" s="52">
        <f t="shared" si="7"/>
        <v>31040</v>
      </c>
      <c r="AZ11" s="52">
        <f t="shared" si="7"/>
        <v>32480</v>
      </c>
      <c r="BA11" s="52">
        <f t="shared" si="7"/>
        <v>31552</v>
      </c>
      <c r="BB11" s="52">
        <f t="shared" si="7"/>
        <v>30848</v>
      </c>
      <c r="BC11" s="53">
        <f ca="1">SUM(OFFSET($B11,0,1,1,Assumptions!$C$8))</f>
        <v>291584.40000000002</v>
      </c>
      <c r="BD11" s="53">
        <f ca="1">SUM(OFFSET($B11,0,1+Assumptions!$C$8,1,SUM(Assumptions!$C$9)))</f>
        <v>332852</v>
      </c>
      <c r="BE11" s="53">
        <f ca="1">SUM(OFFSET($B11,0,1+SUM(Assumptions!$C$8:$C$9),1,SUM(Assumptions!$C$10)))</f>
        <v>388480</v>
      </c>
      <c r="BF11" s="53">
        <f ca="1">SUM(OFFSET($B11,0,1+SUM(Assumptions!$C$8:$C$10),1,SUM(Assumptions!$C$11)))</f>
        <v>339875.19999999995</v>
      </c>
      <c r="BG11" s="53">
        <f t="shared" ref="BG11:BG12" ca="1" si="8">SUM(BC11:BF11)</f>
        <v>1352791.6</v>
      </c>
    </row>
    <row r="12" spans="1:59" s="17" customFormat="1" ht="16.149999999999999" customHeight="1" x14ac:dyDescent="0.3">
      <c r="A12" s="303"/>
      <c r="B12" s="56" t="s">
        <v>203</v>
      </c>
      <c r="C12" s="52">
        <f t="shared" si="7"/>
        <v>25000</v>
      </c>
      <c r="D12" s="52">
        <f t="shared" si="7"/>
        <v>21004.666666666664</v>
      </c>
      <c r="E12" s="52">
        <f t="shared" si="7"/>
        <v>25066.666666666668</v>
      </c>
      <c r="F12" s="52">
        <f t="shared" si="7"/>
        <v>26513.333333333332</v>
      </c>
      <c r="G12" s="52">
        <f t="shared" si="7"/>
        <v>28355</v>
      </c>
      <c r="H12" s="52">
        <f t="shared" si="7"/>
        <v>27704.166666666672</v>
      </c>
      <c r="I12" s="52">
        <f t="shared" si="7"/>
        <v>22522.5</v>
      </c>
      <c r="J12" s="52">
        <f t="shared" si="7"/>
        <v>27825</v>
      </c>
      <c r="K12" s="52">
        <f t="shared" si="7"/>
        <v>23750</v>
      </c>
      <c r="L12" s="52">
        <f t="shared" si="7"/>
        <v>24266.666666666668</v>
      </c>
      <c r="M12" s="52">
        <f t="shared" si="7"/>
        <v>29425</v>
      </c>
      <c r="N12" s="52">
        <f t="shared" si="7"/>
        <v>29246.666666666668</v>
      </c>
      <c r="O12" s="52">
        <f t="shared" si="7"/>
        <v>28158.333333333336</v>
      </c>
      <c r="P12" s="52">
        <f t="shared" si="7"/>
        <v>32083.333333333336</v>
      </c>
      <c r="Q12" s="52">
        <f t="shared" si="7"/>
        <v>28000.000000000004</v>
      </c>
      <c r="R12" s="52">
        <f t="shared" si="7"/>
        <v>24763.333333333336</v>
      </c>
      <c r="S12" s="52">
        <f t="shared" si="7"/>
        <v>28462.5</v>
      </c>
      <c r="T12" s="52">
        <f t="shared" si="7"/>
        <v>29500</v>
      </c>
      <c r="U12" s="52">
        <f t="shared" si="7"/>
        <v>31519.166666666672</v>
      </c>
      <c r="V12" s="52">
        <f t="shared" si="7"/>
        <v>28158.333333333336</v>
      </c>
      <c r="W12" s="52">
        <f t="shared" si="7"/>
        <v>27825</v>
      </c>
      <c r="X12" s="52">
        <f t="shared" si="7"/>
        <v>31791.666666666672</v>
      </c>
      <c r="Y12" s="52">
        <f t="shared" si="7"/>
        <v>29856.666666666668</v>
      </c>
      <c r="Z12" s="52">
        <f t="shared" si="7"/>
        <v>29865</v>
      </c>
      <c r="AA12" s="52">
        <f t="shared" si="7"/>
        <v>27965</v>
      </c>
      <c r="AB12" s="52">
        <f t="shared" si="7"/>
        <v>28240</v>
      </c>
      <c r="AC12" s="52">
        <f t="shared" si="7"/>
        <v>29563.333333333336</v>
      </c>
      <c r="AD12" s="52">
        <f t="shared" si="7"/>
        <v>28520</v>
      </c>
      <c r="AE12" s="52">
        <f t="shared" si="7"/>
        <v>29450</v>
      </c>
      <c r="AF12" s="52">
        <f t="shared" si="7"/>
        <v>30537.5</v>
      </c>
      <c r="AG12" s="52">
        <f t="shared" si="7"/>
        <v>32991.666666666664</v>
      </c>
      <c r="AH12" s="52">
        <f t="shared" si="7"/>
        <v>33366.666666666672</v>
      </c>
      <c r="AI12" s="52">
        <f t="shared" si="7"/>
        <v>29845</v>
      </c>
      <c r="AJ12" s="52">
        <f t="shared" si="7"/>
        <v>33713.333333333336</v>
      </c>
      <c r="AK12" s="52">
        <f t="shared" si="7"/>
        <v>31620</v>
      </c>
      <c r="AL12" s="52">
        <f t="shared" si="7"/>
        <v>30400</v>
      </c>
      <c r="AM12" s="52">
        <f t="shared" si="7"/>
        <v>32725</v>
      </c>
      <c r="AN12" s="52">
        <f t="shared" si="7"/>
        <v>28985</v>
      </c>
      <c r="AO12" s="52">
        <f t="shared" si="7"/>
        <v>33150</v>
      </c>
      <c r="AP12" s="52">
        <f t="shared" si="7"/>
        <v>26754</v>
      </c>
      <c r="AQ12" s="52">
        <f t="shared" si="7"/>
        <v>27359.000000000004</v>
      </c>
      <c r="AR12" s="52">
        <f t="shared" si="7"/>
        <v>27456</v>
      </c>
      <c r="AS12" s="52">
        <f t="shared" si="7"/>
        <v>18614.666666666668</v>
      </c>
      <c r="AT12" s="52">
        <f t="shared" si="7"/>
        <v>15476.066666666668</v>
      </c>
      <c r="AU12" s="52">
        <f t="shared" si="7"/>
        <v>16780.400000000001</v>
      </c>
      <c r="AV12" s="52">
        <f t="shared" si="7"/>
        <v>24342.5</v>
      </c>
      <c r="AW12" s="52">
        <f t="shared" si="7"/>
        <v>33148.26666666667</v>
      </c>
      <c r="AX12" s="52">
        <f t="shared" si="7"/>
        <v>34516.666666666672</v>
      </c>
      <c r="AY12" s="52">
        <f t="shared" si="7"/>
        <v>34273.333333333336</v>
      </c>
      <c r="AZ12" s="52">
        <f t="shared" si="7"/>
        <v>31803.333333333332</v>
      </c>
      <c r="BA12" s="52">
        <f t="shared" si="7"/>
        <v>32537.999999999996</v>
      </c>
      <c r="BB12" s="52">
        <f t="shared" si="7"/>
        <v>34704</v>
      </c>
      <c r="BC12" s="53">
        <f ca="1">SUM(OFFSET($B12,0,1,1,Assumptions!$C$8))</f>
        <v>338838</v>
      </c>
      <c r="BD12" s="53">
        <f ca="1">SUM(OFFSET($B12,0,1+Assumptions!$C$8,1,SUM(Assumptions!$C$9)))</f>
        <v>378030.00000000006</v>
      </c>
      <c r="BE12" s="53">
        <f ca="1">SUM(OFFSET($B12,0,1+SUM(Assumptions!$C$8:$C$9),1,SUM(Assumptions!$C$10)))</f>
        <v>404867.5</v>
      </c>
      <c r="BF12" s="53">
        <f ca="1">SUM(OFFSET($B12,0,1+SUM(Assumptions!$C$8:$C$10),1,SUM(Assumptions!$C$11)))</f>
        <v>357766.23333333334</v>
      </c>
      <c r="BG12" s="53">
        <f t="shared" ca="1" si="8"/>
        <v>1479501.7333333334</v>
      </c>
    </row>
    <row r="13" spans="1:59" s="4" customFormat="1" ht="16.149999999999999" customHeight="1" thickBot="1" x14ac:dyDescent="0.35">
      <c r="A13" s="303"/>
      <c r="B13" s="54" t="s">
        <v>205</v>
      </c>
      <c r="C13" s="57">
        <f ca="1">SUM(OFFSET(C10,1,0,ROW($B13)-ROW($B10)-1,1))</f>
        <v>46000</v>
      </c>
      <c r="D13" s="57">
        <f t="shared" ref="D13:BG13" ca="1" si="9">SUM(OFFSET(D10,1,0,ROW($B13)-ROW($B10)-1,1))</f>
        <v>39523.066666666666</v>
      </c>
      <c r="E13" s="57">
        <f t="shared" ca="1" si="9"/>
        <v>47466.666666666672</v>
      </c>
      <c r="F13" s="57">
        <f t="shared" ca="1" si="9"/>
        <v>49473.333333333328</v>
      </c>
      <c r="G13" s="57">
        <f t="shared" ca="1" si="9"/>
        <v>51467</v>
      </c>
      <c r="H13" s="57">
        <f t="shared" ca="1" si="9"/>
        <v>50274.166666666672</v>
      </c>
      <c r="I13" s="57">
        <f t="shared" ca="1" si="9"/>
        <v>42724.5</v>
      </c>
      <c r="J13" s="57">
        <f t="shared" ca="1" si="9"/>
        <v>51135</v>
      </c>
      <c r="K13" s="57">
        <f t="shared" ca="1" si="9"/>
        <v>45950</v>
      </c>
      <c r="L13" s="57">
        <f t="shared" ca="1" si="9"/>
        <v>47946.666666666672</v>
      </c>
      <c r="M13" s="57">
        <f t="shared" ca="1" si="9"/>
        <v>53845</v>
      </c>
      <c r="N13" s="57">
        <f t="shared" ca="1" si="9"/>
        <v>53518.666666666672</v>
      </c>
      <c r="O13" s="57">
        <f t="shared" ca="1" si="9"/>
        <v>51098.333333333336</v>
      </c>
      <c r="P13" s="57">
        <f t="shared" ca="1" si="9"/>
        <v>57983.333333333336</v>
      </c>
      <c r="Q13" s="57">
        <f t="shared" ca="1" si="9"/>
        <v>51680</v>
      </c>
      <c r="R13" s="57">
        <f t="shared" ca="1" si="9"/>
        <v>48665.333333333336</v>
      </c>
      <c r="S13" s="57">
        <f t="shared" ca="1" si="9"/>
        <v>53992.5</v>
      </c>
      <c r="T13" s="57">
        <f t="shared" ca="1" si="9"/>
        <v>55696</v>
      </c>
      <c r="U13" s="57">
        <f t="shared" ca="1" si="9"/>
        <v>57197.166666666672</v>
      </c>
      <c r="V13" s="57">
        <f t="shared" ca="1" si="9"/>
        <v>51718.333333333336</v>
      </c>
      <c r="W13" s="57">
        <f t="shared" ca="1" si="9"/>
        <v>51765</v>
      </c>
      <c r="X13" s="57">
        <f t="shared" ca="1" si="9"/>
        <v>58391.666666666672</v>
      </c>
      <c r="Y13" s="57">
        <f t="shared" ca="1" si="9"/>
        <v>55544.666666666672</v>
      </c>
      <c r="Z13" s="57">
        <f t="shared" ca="1" si="9"/>
        <v>57377</v>
      </c>
      <c r="AA13" s="57">
        <f t="shared" ca="1" si="9"/>
        <v>55097</v>
      </c>
      <c r="AB13" s="57">
        <f t="shared" ca="1" si="9"/>
        <v>55774</v>
      </c>
      <c r="AC13" s="57">
        <f t="shared" ca="1" si="9"/>
        <v>58523.333333333336</v>
      </c>
      <c r="AD13" s="57">
        <f t="shared" ca="1" si="9"/>
        <v>57960</v>
      </c>
      <c r="AE13" s="57">
        <f t="shared" ca="1" si="9"/>
        <v>59210</v>
      </c>
      <c r="AF13" s="57">
        <f t="shared" ca="1" si="9"/>
        <v>58457.5</v>
      </c>
      <c r="AG13" s="57">
        <f t="shared" ca="1" si="9"/>
        <v>62591.666666666664</v>
      </c>
      <c r="AH13" s="57">
        <f t="shared" ca="1" si="9"/>
        <v>62486.666666666672</v>
      </c>
      <c r="AI13" s="57">
        <f t="shared" ca="1" si="9"/>
        <v>60325</v>
      </c>
      <c r="AJ13" s="57">
        <f t="shared" ca="1" si="9"/>
        <v>64833.333333333336</v>
      </c>
      <c r="AK13" s="57">
        <f t="shared" ca="1" si="9"/>
        <v>61380</v>
      </c>
      <c r="AL13" s="57">
        <f t="shared" ca="1" si="9"/>
        <v>60800</v>
      </c>
      <c r="AM13" s="57">
        <f t="shared" ca="1" si="9"/>
        <v>63525</v>
      </c>
      <c r="AN13" s="57">
        <f t="shared" ca="1" si="9"/>
        <v>58905</v>
      </c>
      <c r="AO13" s="57">
        <f t="shared" ca="1" si="9"/>
        <v>64350</v>
      </c>
      <c r="AP13" s="57">
        <f t="shared" ca="1" si="9"/>
        <v>54978</v>
      </c>
      <c r="AQ13" s="57">
        <f t="shared" ca="1" si="9"/>
        <v>51455</v>
      </c>
      <c r="AR13" s="57">
        <f t="shared" ca="1" si="9"/>
        <v>52800</v>
      </c>
      <c r="AS13" s="57">
        <f t="shared" ca="1" si="9"/>
        <v>38038.666666666672</v>
      </c>
      <c r="AT13" s="57">
        <f t="shared" ca="1" si="9"/>
        <v>31802.466666666667</v>
      </c>
      <c r="AU13" s="57">
        <f t="shared" ca="1" si="9"/>
        <v>34482.800000000003</v>
      </c>
      <c r="AV13" s="57">
        <f t="shared" ca="1" si="9"/>
        <v>46182.5</v>
      </c>
      <c r="AW13" s="57">
        <f t="shared" ca="1" si="9"/>
        <v>63746.666666666672</v>
      </c>
      <c r="AX13" s="57">
        <f t="shared" ca="1" si="9"/>
        <v>64916.666666666672</v>
      </c>
      <c r="AY13" s="57">
        <f t="shared" ca="1" si="9"/>
        <v>65313.333333333336</v>
      </c>
      <c r="AZ13" s="57">
        <f t="shared" ca="1" si="9"/>
        <v>64283.333333333328</v>
      </c>
      <c r="BA13" s="57">
        <f t="shared" ca="1" si="9"/>
        <v>64090</v>
      </c>
      <c r="BB13" s="57">
        <f t="shared" ca="1" si="9"/>
        <v>65552</v>
      </c>
      <c r="BC13" s="57">
        <f t="shared" ca="1" si="9"/>
        <v>630422.4</v>
      </c>
      <c r="BD13" s="57">
        <f t="shared" ca="1" si="9"/>
        <v>710882</v>
      </c>
      <c r="BE13" s="57">
        <f t="shared" ca="1" si="9"/>
        <v>793347.5</v>
      </c>
      <c r="BF13" s="57">
        <f t="shared" ca="1" si="9"/>
        <v>697641.43333333335</v>
      </c>
      <c r="BG13" s="57">
        <f t="shared" ca="1" si="9"/>
        <v>2832293.3333333335</v>
      </c>
    </row>
    <row r="14" spans="1:59" s="58" customFormat="1" ht="16.149999999999999" customHeight="1" x14ac:dyDescent="0.25">
      <c r="A14" s="314"/>
      <c r="B14" s="58" t="s">
        <v>201</v>
      </c>
      <c r="C14" s="59">
        <v>0.35</v>
      </c>
      <c r="D14" s="59">
        <v>0.36</v>
      </c>
      <c r="E14" s="59">
        <v>0.35</v>
      </c>
      <c r="F14" s="59">
        <v>0.35</v>
      </c>
      <c r="G14" s="59">
        <v>0.36</v>
      </c>
      <c r="H14" s="59">
        <v>0.37</v>
      </c>
      <c r="I14" s="59">
        <v>0.37</v>
      </c>
      <c r="J14" s="59">
        <v>0.37</v>
      </c>
      <c r="K14" s="59">
        <v>0.37</v>
      </c>
      <c r="L14" s="59">
        <v>0.37</v>
      </c>
      <c r="M14" s="59">
        <v>0.37</v>
      </c>
      <c r="N14" s="59">
        <v>0.37</v>
      </c>
      <c r="O14" s="59">
        <v>0.37</v>
      </c>
      <c r="P14" s="59">
        <v>0.37</v>
      </c>
      <c r="Q14" s="59">
        <v>0.37</v>
      </c>
      <c r="R14" s="59">
        <v>0.37</v>
      </c>
      <c r="S14" s="59">
        <v>0.37</v>
      </c>
      <c r="T14" s="59">
        <v>0.37</v>
      </c>
      <c r="U14" s="59">
        <v>0.37</v>
      </c>
      <c r="V14" s="59">
        <v>0.38</v>
      </c>
      <c r="W14" s="59">
        <v>0.38</v>
      </c>
      <c r="X14" s="59">
        <v>0.38</v>
      </c>
      <c r="Y14" s="59">
        <v>0.38</v>
      </c>
      <c r="Z14" s="59">
        <v>0.38</v>
      </c>
      <c r="AA14" s="59">
        <v>0.38</v>
      </c>
      <c r="AB14" s="59">
        <v>0.39</v>
      </c>
      <c r="AC14" s="59">
        <v>0.4</v>
      </c>
      <c r="AD14" s="59">
        <v>0.4</v>
      </c>
      <c r="AE14" s="59">
        <v>0.4</v>
      </c>
      <c r="AF14" s="59">
        <v>0.4</v>
      </c>
      <c r="AG14" s="59">
        <v>0.4</v>
      </c>
      <c r="AH14" s="59">
        <v>0.4</v>
      </c>
      <c r="AI14" s="59">
        <v>0.4</v>
      </c>
      <c r="AJ14" s="59">
        <v>0.4</v>
      </c>
      <c r="AK14" s="59">
        <v>0.4</v>
      </c>
      <c r="AL14" s="59">
        <v>0.4</v>
      </c>
      <c r="AM14" s="59">
        <v>0.4</v>
      </c>
      <c r="AN14" s="59">
        <v>0.4</v>
      </c>
      <c r="AO14" s="59">
        <v>0.4</v>
      </c>
      <c r="AP14" s="59">
        <v>0.4</v>
      </c>
      <c r="AQ14" s="59">
        <v>0.4</v>
      </c>
      <c r="AR14" s="59">
        <v>0.4</v>
      </c>
      <c r="AS14" s="59">
        <v>0.4</v>
      </c>
      <c r="AT14" s="59">
        <v>0.4</v>
      </c>
      <c r="AU14" s="59">
        <v>0.4</v>
      </c>
      <c r="AV14" s="59">
        <v>0.4</v>
      </c>
      <c r="AW14" s="59">
        <v>0.4</v>
      </c>
      <c r="AX14" s="59">
        <v>0.4</v>
      </c>
      <c r="AY14" s="59">
        <v>0.4</v>
      </c>
      <c r="AZ14" s="59">
        <v>0.4</v>
      </c>
      <c r="BA14" s="59">
        <v>0.4</v>
      </c>
      <c r="BB14" s="59">
        <v>0.4</v>
      </c>
      <c r="BC14" s="60">
        <f t="shared" ref="BC14:BG14" ca="1" si="10">IF(BC5=0,0,BC11/BC5)</f>
        <v>0.36382561389498908</v>
      </c>
      <c r="BD14" s="60">
        <f t="shared" ca="1" si="10"/>
        <v>0.37618896925858952</v>
      </c>
      <c r="BE14" s="60">
        <f t="shared" ca="1" si="10"/>
        <v>0.4</v>
      </c>
      <c r="BF14" s="60">
        <f t="shared" ca="1" si="10"/>
        <v>0.39999999999999997</v>
      </c>
      <c r="BG14" s="60">
        <f t="shared" ca="1" si="10"/>
        <v>0.38572632649849109</v>
      </c>
    </row>
    <row r="15" spans="1:59" s="58" customFormat="1" ht="16.149999999999999" customHeight="1" x14ac:dyDescent="0.25">
      <c r="A15" s="314"/>
      <c r="B15" s="58" t="s">
        <v>203</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f t="shared" ref="BC15:BG15" ca="1" si="11">IF(BC6=0,0,BC12/BC6)</f>
        <v>1</v>
      </c>
      <c r="BD15" s="60">
        <f t="shared" ca="1" si="11"/>
        <v>1</v>
      </c>
      <c r="BE15" s="60">
        <f t="shared" ca="1" si="11"/>
        <v>1</v>
      </c>
      <c r="BF15" s="60">
        <f t="shared" ca="1" si="11"/>
        <v>1</v>
      </c>
      <c r="BG15" s="60">
        <f t="shared" ca="1" si="11"/>
        <v>1</v>
      </c>
    </row>
    <row r="16" spans="1:59" s="61" customFormat="1" ht="16.149999999999999" customHeight="1" thickBot="1" x14ac:dyDescent="0.35">
      <c r="A16" s="315"/>
      <c r="B16" s="61" t="s">
        <v>2</v>
      </c>
      <c r="C16" s="62">
        <f t="shared" ref="C16:BG16" ca="1" si="12">IF(C7=0,0,C13/C7)</f>
        <v>0.54117647058823526</v>
      </c>
      <c r="D16" s="62">
        <f t="shared" ca="1" si="12"/>
        <v>0.54556213017751487</v>
      </c>
      <c r="E16" s="62">
        <f t="shared" ca="1" si="12"/>
        <v>0.53293413173652693</v>
      </c>
      <c r="F16" s="62">
        <f t="shared" ca="1" si="12"/>
        <v>0.5370919881305638</v>
      </c>
      <c r="G16" s="62">
        <f t="shared" ca="1" si="12"/>
        <v>0.55606936416184971</v>
      </c>
      <c r="H16" s="62">
        <f t="shared" ca="1" si="12"/>
        <v>0.5667621776504298</v>
      </c>
      <c r="I16" s="62">
        <f t="shared" ca="1" si="12"/>
        <v>0.5539823008849557</v>
      </c>
      <c r="J16" s="62">
        <f t="shared" ca="1" si="12"/>
        <v>0.56300578034682081</v>
      </c>
      <c r="K16" s="62">
        <f t="shared" ca="1" si="12"/>
        <v>0.54865671641791047</v>
      </c>
      <c r="L16" s="62">
        <f t="shared" ca="1" si="12"/>
        <v>0.54320241691842908</v>
      </c>
      <c r="M16" s="62">
        <f t="shared" ca="1" si="12"/>
        <v>0.56426512968299714</v>
      </c>
      <c r="N16" s="62">
        <f t="shared" ca="1" si="12"/>
        <v>0.56426512968299714</v>
      </c>
      <c r="O16" s="62">
        <f t="shared" ca="1" si="12"/>
        <v>0.5667621776504298</v>
      </c>
      <c r="P16" s="62">
        <f t="shared" ca="1" si="12"/>
        <v>0.56799999999999995</v>
      </c>
      <c r="Q16" s="62">
        <f t="shared" ca="1" si="12"/>
        <v>0.56173913043478263</v>
      </c>
      <c r="R16" s="62">
        <f t="shared" ca="1" si="12"/>
        <v>0.54457831325301198</v>
      </c>
      <c r="S16" s="62">
        <f t="shared" ca="1" si="12"/>
        <v>0.5539823008849557</v>
      </c>
      <c r="T16" s="62">
        <f t="shared" ca="1" si="12"/>
        <v>0.55529411764705883</v>
      </c>
      <c r="U16" s="62">
        <f t="shared" ca="1" si="12"/>
        <v>0.5667621776504298</v>
      </c>
      <c r="V16" s="62">
        <f t="shared" ca="1" si="12"/>
        <v>0.5736389684813753</v>
      </c>
      <c r="W16" s="62">
        <f t="shared" ca="1" si="12"/>
        <v>0.5699421965317919</v>
      </c>
      <c r="X16" s="62">
        <f t="shared" ca="1" si="12"/>
        <v>0.57363896848137541</v>
      </c>
      <c r="Y16" s="62">
        <f t="shared" ca="1" si="12"/>
        <v>0.5699421965317919</v>
      </c>
      <c r="Z16" s="62">
        <f t="shared" ca="1" si="12"/>
        <v>0.56106194690265487</v>
      </c>
      <c r="AA16" s="62">
        <f t="shared" ca="1" si="12"/>
        <v>0.55449101796407185</v>
      </c>
      <c r="AB16" s="62">
        <f t="shared" ca="1" si="12"/>
        <v>0.56428571428571428</v>
      </c>
      <c r="AC16" s="62">
        <f t="shared" ca="1" si="12"/>
        <v>0.57396449704142005</v>
      </c>
      <c r="AD16" s="62">
        <f t="shared" ca="1" si="12"/>
        <v>0.56756756756756754</v>
      </c>
      <c r="AE16" s="62">
        <f t="shared" ca="1" si="12"/>
        <v>0.57014925373134329</v>
      </c>
      <c r="AF16" s="62">
        <f t="shared" ca="1" si="12"/>
        <v>0.58260869565217388</v>
      </c>
      <c r="AG16" s="62">
        <f t="shared" ca="1" si="12"/>
        <v>0.58501440922190207</v>
      </c>
      <c r="AH16" s="62">
        <f t="shared" ca="1" si="12"/>
        <v>0.58857142857142863</v>
      </c>
      <c r="AI16" s="62">
        <f t="shared" ca="1" si="12"/>
        <v>0.56886227544910184</v>
      </c>
      <c r="AJ16" s="62">
        <f t="shared" ca="1" si="12"/>
        <v>0.58139534883720922</v>
      </c>
      <c r="AK16" s="62">
        <f t="shared" ca="1" si="12"/>
        <v>0.57894736842105265</v>
      </c>
      <c r="AL16" s="62">
        <f t="shared" ca="1" si="12"/>
        <v>0.5714285714285714</v>
      </c>
      <c r="AM16" s="62">
        <f t="shared" ca="1" si="12"/>
        <v>0.57894736842105265</v>
      </c>
      <c r="AN16" s="62">
        <f t="shared" ca="1" si="12"/>
        <v>0.56756756756756754</v>
      </c>
      <c r="AO16" s="62">
        <f t="shared" ca="1" si="12"/>
        <v>0.57894736842105265</v>
      </c>
      <c r="AP16" s="62">
        <f t="shared" ca="1" si="12"/>
        <v>0.56495468277945615</v>
      </c>
      <c r="AQ16" s="62">
        <f t="shared" ca="1" si="12"/>
        <v>0.58739255014326652</v>
      </c>
      <c r="AR16" s="62">
        <f t="shared" ca="1" si="12"/>
        <v>0.58139534883720934</v>
      </c>
      <c r="AS16" s="62">
        <f t="shared" ca="1" si="12"/>
        <v>0.5662650602409639</v>
      </c>
      <c r="AT16" s="62">
        <f t="shared" ca="1" si="12"/>
        <v>0.56495468277945626</v>
      </c>
      <c r="AU16" s="62">
        <f t="shared" ca="1" si="12"/>
        <v>0.56495468277945626</v>
      </c>
      <c r="AV16" s="62">
        <f t="shared" ca="1" si="12"/>
        <v>0.58501440922190207</v>
      </c>
      <c r="AW16" s="62">
        <f t="shared" ca="1" si="12"/>
        <v>0.58139534883720934</v>
      </c>
      <c r="AX16" s="62">
        <f t="shared" ca="1" si="12"/>
        <v>0.58739255014326652</v>
      </c>
      <c r="AY16" s="62">
        <f t="shared" ca="1" si="12"/>
        <v>0.58381502890173409</v>
      </c>
      <c r="AZ16" s="62">
        <f t="shared" ca="1" si="12"/>
        <v>0.56886227544910173</v>
      </c>
      <c r="BA16" s="62">
        <f t="shared" ca="1" si="12"/>
        <v>0.5752212389380531</v>
      </c>
      <c r="BB16" s="62">
        <f t="shared" ca="1" si="12"/>
        <v>0.58620689655172409</v>
      </c>
      <c r="BC16" s="63">
        <f t="shared" ca="1" si="12"/>
        <v>0.55286728324145518</v>
      </c>
      <c r="BD16" s="63">
        <f t="shared" ca="1" si="12"/>
        <v>0.56292770998471686</v>
      </c>
      <c r="BE16" s="63">
        <f t="shared" ca="1" si="12"/>
        <v>0.57653240120851634</v>
      </c>
      <c r="BF16" s="63">
        <f t="shared" ca="1" si="12"/>
        <v>0.57777877957941648</v>
      </c>
      <c r="BG16" s="63">
        <f t="shared" ca="1" si="12"/>
        <v>0.56797746871012922</v>
      </c>
    </row>
    <row r="17" spans="1:59" s="17" customFormat="1" ht="16.149999999999999" customHeight="1" x14ac:dyDescent="0.3">
      <c r="A17" s="302"/>
      <c r="B17" s="56" t="s">
        <v>273</v>
      </c>
      <c r="C17" s="52">
        <v>0</v>
      </c>
      <c r="D17" s="52">
        <v>0</v>
      </c>
      <c r="E17" s="52">
        <v>0</v>
      </c>
      <c r="F17" s="52">
        <v>0</v>
      </c>
      <c r="G17" s="52">
        <v>500</v>
      </c>
      <c r="H17" s="52">
        <v>0</v>
      </c>
      <c r="I17" s="52">
        <v>0</v>
      </c>
      <c r="J17" s="52">
        <v>0</v>
      </c>
      <c r="K17" s="52">
        <v>500</v>
      </c>
      <c r="L17" s="52">
        <v>0</v>
      </c>
      <c r="M17" s="52">
        <v>0</v>
      </c>
      <c r="N17" s="52">
        <v>0</v>
      </c>
      <c r="O17" s="52">
        <v>500</v>
      </c>
      <c r="P17" s="52">
        <v>0</v>
      </c>
      <c r="Q17" s="52">
        <v>0</v>
      </c>
      <c r="R17" s="52">
        <v>0</v>
      </c>
      <c r="S17" s="52">
        <v>0</v>
      </c>
      <c r="T17" s="52">
        <v>500</v>
      </c>
      <c r="U17" s="52">
        <v>0</v>
      </c>
      <c r="V17" s="52">
        <v>0</v>
      </c>
      <c r="W17" s="52">
        <v>0</v>
      </c>
      <c r="X17" s="52">
        <v>500</v>
      </c>
      <c r="Y17" s="52">
        <v>0</v>
      </c>
      <c r="Z17" s="52">
        <v>0</v>
      </c>
      <c r="AA17" s="52">
        <v>0</v>
      </c>
      <c r="AB17" s="52">
        <v>500</v>
      </c>
      <c r="AC17" s="52">
        <v>0</v>
      </c>
      <c r="AD17" s="52">
        <v>0</v>
      </c>
      <c r="AE17" s="52">
        <v>0</v>
      </c>
      <c r="AF17" s="52">
        <v>0</v>
      </c>
      <c r="AG17" s="52">
        <v>500</v>
      </c>
      <c r="AH17" s="52">
        <v>0</v>
      </c>
      <c r="AI17" s="52">
        <v>0</v>
      </c>
      <c r="AJ17" s="52">
        <v>0</v>
      </c>
      <c r="AK17" s="52">
        <v>500</v>
      </c>
      <c r="AL17" s="52">
        <v>0</v>
      </c>
      <c r="AM17" s="52">
        <v>0</v>
      </c>
      <c r="AN17" s="52">
        <v>0</v>
      </c>
      <c r="AO17" s="52">
        <v>500</v>
      </c>
      <c r="AP17" s="52">
        <v>0</v>
      </c>
      <c r="AQ17" s="52">
        <v>0</v>
      </c>
      <c r="AR17" s="52">
        <v>0</v>
      </c>
      <c r="AS17" s="52">
        <v>0</v>
      </c>
      <c r="AT17" s="52">
        <v>500</v>
      </c>
      <c r="AU17" s="52">
        <v>0</v>
      </c>
      <c r="AV17" s="52">
        <v>0</v>
      </c>
      <c r="AW17" s="52">
        <v>0</v>
      </c>
      <c r="AX17" s="52">
        <v>500</v>
      </c>
      <c r="AY17" s="52">
        <v>0</v>
      </c>
      <c r="AZ17" s="52">
        <v>0</v>
      </c>
      <c r="BA17" s="52">
        <v>0</v>
      </c>
      <c r="BB17" s="52">
        <v>500</v>
      </c>
      <c r="BC17" s="53">
        <f ca="1">SUM(OFFSET($B17,0,1,1,Assumptions!$C$8))</f>
        <v>1500</v>
      </c>
      <c r="BD17" s="53">
        <f ca="1">SUM(OFFSET($B17,0,1+Assumptions!$C$8,1,SUM(Assumptions!$C$9)))</f>
        <v>1500</v>
      </c>
      <c r="BE17" s="53">
        <f ca="1">SUM(OFFSET($B17,0,1+SUM(Assumptions!$C$8:$C$9),1,SUM(Assumptions!$C$10)))</f>
        <v>1500</v>
      </c>
      <c r="BF17" s="53">
        <f ca="1">SUM(OFFSET($B17,0,1+SUM(Assumptions!$C$8:$C$10),1,SUM(Assumptions!$C$11)))</f>
        <v>1500</v>
      </c>
      <c r="BG17" s="53">
        <f t="shared" ref="BG17" ca="1" si="13">SUM(BC17:BF17)</f>
        <v>6000</v>
      </c>
    </row>
    <row r="18" spans="1:59" ht="16.149999999999999" customHeight="1" x14ac:dyDescent="0.3">
      <c r="B18" s="3" t="s">
        <v>121</v>
      </c>
      <c r="C18" s="52"/>
      <c r="D18" s="52"/>
      <c r="E18" s="52"/>
      <c r="F18" s="52"/>
      <c r="G18" s="5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5"/>
      <c r="BD18" s="65"/>
      <c r="BE18" s="65"/>
      <c r="BF18" s="65"/>
      <c r="BG18" s="65"/>
    </row>
    <row r="19" spans="1:59" s="17" customFormat="1" ht="16.149999999999999" customHeight="1" x14ac:dyDescent="0.3">
      <c r="A19" s="302" t="s">
        <v>197</v>
      </c>
      <c r="B19" s="56" t="s">
        <v>3</v>
      </c>
      <c r="C19" s="52">
        <v>0</v>
      </c>
      <c r="D19" s="52">
        <v>0</v>
      </c>
      <c r="E19" s="52">
        <v>0</v>
      </c>
      <c r="F19" s="52">
        <v>0</v>
      </c>
      <c r="G19" s="52">
        <v>2000</v>
      </c>
      <c r="H19" s="52">
        <v>0</v>
      </c>
      <c r="I19" s="52">
        <v>0</v>
      </c>
      <c r="J19" s="52">
        <v>0</v>
      </c>
      <c r="K19" s="52">
        <v>2000</v>
      </c>
      <c r="L19" s="52">
        <v>0</v>
      </c>
      <c r="M19" s="52">
        <v>0</v>
      </c>
      <c r="N19" s="52">
        <v>0</v>
      </c>
      <c r="O19" s="52">
        <v>2000</v>
      </c>
      <c r="P19" s="52">
        <v>0</v>
      </c>
      <c r="Q19" s="52">
        <v>0</v>
      </c>
      <c r="R19" s="52">
        <v>0</v>
      </c>
      <c r="S19" s="52">
        <v>0</v>
      </c>
      <c r="T19" s="52">
        <v>2000</v>
      </c>
      <c r="U19" s="52">
        <v>0</v>
      </c>
      <c r="V19" s="52">
        <v>0</v>
      </c>
      <c r="W19" s="52">
        <v>0</v>
      </c>
      <c r="X19" s="52">
        <v>2000</v>
      </c>
      <c r="Y19" s="52">
        <v>0</v>
      </c>
      <c r="Z19" s="52">
        <v>0</v>
      </c>
      <c r="AA19" s="52">
        <v>0</v>
      </c>
      <c r="AB19" s="52">
        <v>2000</v>
      </c>
      <c r="AC19" s="52">
        <v>0</v>
      </c>
      <c r="AD19" s="52">
        <v>0</v>
      </c>
      <c r="AE19" s="52">
        <v>0</v>
      </c>
      <c r="AF19" s="52">
        <v>0</v>
      </c>
      <c r="AG19" s="52">
        <v>2000</v>
      </c>
      <c r="AH19" s="52">
        <v>0</v>
      </c>
      <c r="AI19" s="52">
        <v>0</v>
      </c>
      <c r="AJ19" s="52">
        <v>0</v>
      </c>
      <c r="AK19" s="52">
        <v>2000</v>
      </c>
      <c r="AL19" s="52">
        <v>0</v>
      </c>
      <c r="AM19" s="52">
        <v>0</v>
      </c>
      <c r="AN19" s="52">
        <v>0</v>
      </c>
      <c r="AO19" s="52">
        <v>2000</v>
      </c>
      <c r="AP19" s="52">
        <v>0</v>
      </c>
      <c r="AQ19" s="52">
        <v>0</v>
      </c>
      <c r="AR19" s="52">
        <v>0</v>
      </c>
      <c r="AS19" s="52">
        <v>0</v>
      </c>
      <c r="AT19" s="52">
        <v>2000</v>
      </c>
      <c r="AU19" s="52">
        <v>0</v>
      </c>
      <c r="AV19" s="52">
        <v>0</v>
      </c>
      <c r="AW19" s="52">
        <v>0</v>
      </c>
      <c r="AX19" s="52">
        <v>2000</v>
      </c>
      <c r="AY19" s="52">
        <v>0</v>
      </c>
      <c r="AZ19" s="52">
        <v>0</v>
      </c>
      <c r="BA19" s="52">
        <v>0</v>
      </c>
      <c r="BB19" s="52">
        <v>2000</v>
      </c>
      <c r="BC19" s="53">
        <f ca="1">SUM(OFFSET($B19,0,1,1,Assumptions!$C$8))</f>
        <v>6000</v>
      </c>
      <c r="BD19" s="53">
        <f ca="1">SUM(OFFSET($B19,0,1+Assumptions!$C$8,1,SUM(Assumptions!$C$9)))</f>
        <v>6000</v>
      </c>
      <c r="BE19" s="53">
        <f ca="1">SUM(OFFSET($B19,0,1+SUM(Assumptions!$C$8:$C$9),1,SUM(Assumptions!$C$10)))</f>
        <v>6000</v>
      </c>
      <c r="BF19" s="53">
        <f ca="1">SUM(OFFSET($B19,0,1+SUM(Assumptions!$C$8:$C$10),1,SUM(Assumptions!$C$11)))</f>
        <v>6000</v>
      </c>
      <c r="BG19" s="53">
        <f t="shared" ref="BG19:BG40" ca="1" si="14">SUM(BC19:BF19)</f>
        <v>24000</v>
      </c>
    </row>
    <row r="20" spans="1:59" s="17" customFormat="1" ht="16.149999999999999" customHeight="1" x14ac:dyDescent="0.3">
      <c r="A20" s="302" t="s">
        <v>197</v>
      </c>
      <c r="B20" s="56" t="s">
        <v>15</v>
      </c>
      <c r="C20" s="52">
        <v>0</v>
      </c>
      <c r="D20" s="52">
        <v>0</v>
      </c>
      <c r="E20" s="52">
        <v>0</v>
      </c>
      <c r="F20" s="52">
        <v>0</v>
      </c>
      <c r="G20" s="52">
        <v>5000</v>
      </c>
      <c r="H20" s="52">
        <v>0</v>
      </c>
      <c r="I20" s="52">
        <v>0</v>
      </c>
      <c r="J20" s="52">
        <v>0</v>
      </c>
      <c r="K20" s="52">
        <v>5000</v>
      </c>
      <c r="L20" s="52">
        <v>0</v>
      </c>
      <c r="M20" s="52">
        <v>0</v>
      </c>
      <c r="N20" s="52">
        <v>0</v>
      </c>
      <c r="O20" s="52">
        <v>25000</v>
      </c>
      <c r="P20" s="52">
        <v>0</v>
      </c>
      <c r="Q20" s="52">
        <v>0</v>
      </c>
      <c r="R20" s="52">
        <v>0</v>
      </c>
      <c r="S20" s="52">
        <v>0</v>
      </c>
      <c r="T20" s="52">
        <v>5000</v>
      </c>
      <c r="U20" s="52">
        <v>0</v>
      </c>
      <c r="V20" s="52">
        <v>0</v>
      </c>
      <c r="W20" s="52">
        <v>0</v>
      </c>
      <c r="X20" s="52">
        <v>5000</v>
      </c>
      <c r="Y20" s="52">
        <v>0</v>
      </c>
      <c r="Z20" s="52">
        <v>0</v>
      </c>
      <c r="AA20" s="52">
        <v>0</v>
      </c>
      <c r="AB20" s="52">
        <v>15000</v>
      </c>
      <c r="AC20" s="52">
        <v>0</v>
      </c>
      <c r="AD20" s="52">
        <v>0</v>
      </c>
      <c r="AE20" s="52">
        <v>0</v>
      </c>
      <c r="AF20" s="52">
        <v>0</v>
      </c>
      <c r="AG20" s="52">
        <v>5000</v>
      </c>
      <c r="AH20" s="52">
        <v>0</v>
      </c>
      <c r="AI20" s="52">
        <v>0</v>
      </c>
      <c r="AJ20" s="52">
        <v>0</v>
      </c>
      <c r="AK20" s="52">
        <v>8000</v>
      </c>
      <c r="AL20" s="52">
        <v>0</v>
      </c>
      <c r="AM20" s="52">
        <v>0</v>
      </c>
      <c r="AN20" s="52">
        <v>0</v>
      </c>
      <c r="AO20" s="52">
        <v>18000</v>
      </c>
      <c r="AP20" s="52">
        <v>0</v>
      </c>
      <c r="AQ20" s="52">
        <v>0</v>
      </c>
      <c r="AR20" s="52">
        <v>0</v>
      </c>
      <c r="AS20" s="52">
        <v>0</v>
      </c>
      <c r="AT20" s="52">
        <v>5000</v>
      </c>
      <c r="AU20" s="52">
        <v>0</v>
      </c>
      <c r="AV20" s="52">
        <v>0</v>
      </c>
      <c r="AW20" s="52">
        <v>0</v>
      </c>
      <c r="AX20" s="52">
        <v>8000</v>
      </c>
      <c r="AY20" s="52">
        <v>0</v>
      </c>
      <c r="AZ20" s="52">
        <v>0</v>
      </c>
      <c r="BA20" s="52">
        <v>0</v>
      </c>
      <c r="BB20" s="52">
        <v>22000</v>
      </c>
      <c r="BC20" s="53">
        <f ca="1">SUM(OFFSET($B20,0,1,1,Assumptions!$C$8))</f>
        <v>35000</v>
      </c>
      <c r="BD20" s="53">
        <f ca="1">SUM(OFFSET($B20,0,1+Assumptions!$C$8,1,SUM(Assumptions!$C$9)))</f>
        <v>25000</v>
      </c>
      <c r="BE20" s="53">
        <f ca="1">SUM(OFFSET($B20,0,1+SUM(Assumptions!$C$8:$C$9),1,SUM(Assumptions!$C$10)))</f>
        <v>31000</v>
      </c>
      <c r="BF20" s="53">
        <f ca="1">SUM(OFFSET($B20,0,1+SUM(Assumptions!$C$8:$C$10),1,SUM(Assumptions!$C$11)))</f>
        <v>35000</v>
      </c>
      <c r="BG20" s="53">
        <f t="shared" ca="1" si="14"/>
        <v>126000</v>
      </c>
    </row>
    <row r="21" spans="1:59" s="17" customFormat="1" ht="16.149999999999999" customHeight="1" x14ac:dyDescent="0.3">
      <c r="A21" s="302" t="s">
        <v>202</v>
      </c>
      <c r="B21" s="56" t="s">
        <v>4</v>
      </c>
      <c r="C21" s="52">
        <v>0</v>
      </c>
      <c r="D21" s="52">
        <v>0</v>
      </c>
      <c r="E21" s="52">
        <v>0</v>
      </c>
      <c r="F21" s="52">
        <v>0</v>
      </c>
      <c r="G21" s="52">
        <v>250</v>
      </c>
      <c r="H21" s="52">
        <v>0</v>
      </c>
      <c r="I21" s="52">
        <v>0</v>
      </c>
      <c r="J21" s="52">
        <v>0</v>
      </c>
      <c r="K21" s="52">
        <v>250</v>
      </c>
      <c r="L21" s="52">
        <v>0</v>
      </c>
      <c r="M21" s="52">
        <v>0</v>
      </c>
      <c r="N21" s="52">
        <v>0</v>
      </c>
      <c r="O21" s="52">
        <v>250</v>
      </c>
      <c r="P21" s="52">
        <v>0</v>
      </c>
      <c r="Q21" s="52">
        <v>0</v>
      </c>
      <c r="R21" s="52">
        <v>0</v>
      </c>
      <c r="S21" s="52">
        <v>0</v>
      </c>
      <c r="T21" s="52">
        <v>500</v>
      </c>
      <c r="U21" s="52">
        <v>0</v>
      </c>
      <c r="V21" s="52">
        <v>0</v>
      </c>
      <c r="W21" s="52">
        <v>0</v>
      </c>
      <c r="X21" s="52">
        <v>500</v>
      </c>
      <c r="Y21" s="52">
        <v>0</v>
      </c>
      <c r="Z21" s="52">
        <v>0</v>
      </c>
      <c r="AA21" s="52">
        <v>0</v>
      </c>
      <c r="AB21" s="52">
        <v>500</v>
      </c>
      <c r="AC21" s="52">
        <v>0</v>
      </c>
      <c r="AD21" s="52">
        <v>0</v>
      </c>
      <c r="AE21" s="52">
        <v>0</v>
      </c>
      <c r="AF21" s="52">
        <v>0</v>
      </c>
      <c r="AG21" s="52">
        <v>500</v>
      </c>
      <c r="AH21" s="52">
        <v>0</v>
      </c>
      <c r="AI21" s="52">
        <v>0</v>
      </c>
      <c r="AJ21" s="52">
        <v>0</v>
      </c>
      <c r="AK21" s="52">
        <v>500</v>
      </c>
      <c r="AL21" s="52">
        <v>0</v>
      </c>
      <c r="AM21" s="52">
        <v>0</v>
      </c>
      <c r="AN21" s="52">
        <v>0</v>
      </c>
      <c r="AO21" s="52">
        <v>500</v>
      </c>
      <c r="AP21" s="52">
        <v>0</v>
      </c>
      <c r="AQ21" s="52">
        <v>0</v>
      </c>
      <c r="AR21" s="52">
        <v>0</v>
      </c>
      <c r="AS21" s="52">
        <v>0</v>
      </c>
      <c r="AT21" s="52">
        <v>500</v>
      </c>
      <c r="AU21" s="52">
        <v>0</v>
      </c>
      <c r="AV21" s="52">
        <v>0</v>
      </c>
      <c r="AW21" s="52">
        <v>0</v>
      </c>
      <c r="AX21" s="52">
        <v>500</v>
      </c>
      <c r="AY21" s="52">
        <v>0</v>
      </c>
      <c r="AZ21" s="52">
        <v>0</v>
      </c>
      <c r="BA21" s="52">
        <v>0</v>
      </c>
      <c r="BB21" s="52">
        <v>500</v>
      </c>
      <c r="BC21" s="53">
        <f ca="1">SUM(OFFSET($B21,0,1,1,Assumptions!$C$8))</f>
        <v>750</v>
      </c>
      <c r="BD21" s="53">
        <f ca="1">SUM(OFFSET($B21,0,1+Assumptions!$C$8,1,SUM(Assumptions!$C$9)))</f>
        <v>1500</v>
      </c>
      <c r="BE21" s="53">
        <f ca="1">SUM(OFFSET($B21,0,1+SUM(Assumptions!$C$8:$C$9),1,SUM(Assumptions!$C$10)))</f>
        <v>1500</v>
      </c>
      <c r="BF21" s="53">
        <f ca="1">SUM(OFFSET($B21,0,1+SUM(Assumptions!$C$8:$C$10),1,SUM(Assumptions!$C$11)))</f>
        <v>1500</v>
      </c>
      <c r="BG21" s="53">
        <f t="shared" ca="1" si="14"/>
        <v>5250</v>
      </c>
    </row>
    <row r="22" spans="1:59" s="17" customFormat="1" ht="16.149999999999999" customHeight="1" x14ac:dyDescent="0.3">
      <c r="A22" s="302" t="s">
        <v>202</v>
      </c>
      <c r="B22" s="56" t="s">
        <v>16</v>
      </c>
      <c r="C22" s="52">
        <v>0</v>
      </c>
      <c r="D22" s="52">
        <v>0</v>
      </c>
      <c r="E22" s="52">
        <v>800</v>
      </c>
      <c r="F22" s="52">
        <v>0</v>
      </c>
      <c r="G22" s="52">
        <v>0</v>
      </c>
      <c r="H22" s="52">
        <v>0</v>
      </c>
      <c r="I22" s="52">
        <v>0</v>
      </c>
      <c r="J22" s="52">
        <v>860</v>
      </c>
      <c r="K22" s="52">
        <v>0</v>
      </c>
      <c r="L22" s="52">
        <v>0</v>
      </c>
      <c r="M22" s="52">
        <v>860</v>
      </c>
      <c r="N22" s="52">
        <v>0</v>
      </c>
      <c r="O22" s="52">
        <v>0</v>
      </c>
      <c r="P22" s="52">
        <v>0</v>
      </c>
      <c r="Q22" s="52">
        <v>0</v>
      </c>
      <c r="R22" s="52">
        <v>920</v>
      </c>
      <c r="S22" s="52">
        <v>0</v>
      </c>
      <c r="T22" s="52">
        <v>0</v>
      </c>
      <c r="U22" s="52">
        <v>0</v>
      </c>
      <c r="V22" s="52">
        <v>920</v>
      </c>
      <c r="W22" s="52">
        <v>0</v>
      </c>
      <c r="X22" s="52">
        <v>0</v>
      </c>
      <c r="Y22" s="52">
        <v>0</v>
      </c>
      <c r="Z22" s="52">
        <v>945</v>
      </c>
      <c r="AA22" s="52">
        <v>0</v>
      </c>
      <c r="AB22" s="52">
        <v>0</v>
      </c>
      <c r="AC22" s="52">
        <v>0</v>
      </c>
      <c r="AD22" s="52">
        <v>0</v>
      </c>
      <c r="AE22" s="52">
        <v>950</v>
      </c>
      <c r="AF22" s="52">
        <v>0</v>
      </c>
      <c r="AG22" s="52">
        <v>0</v>
      </c>
      <c r="AH22" s="52">
        <v>0</v>
      </c>
      <c r="AI22" s="52">
        <v>950</v>
      </c>
      <c r="AJ22" s="52">
        <v>0</v>
      </c>
      <c r="AK22" s="52">
        <v>0</v>
      </c>
      <c r="AL22" s="52">
        <v>0</v>
      </c>
      <c r="AM22" s="52">
        <v>950</v>
      </c>
      <c r="AN22" s="52">
        <v>0</v>
      </c>
      <c r="AO22" s="52">
        <v>0</v>
      </c>
      <c r="AP22" s="52">
        <v>0</v>
      </c>
      <c r="AQ22" s="52">
        <v>0</v>
      </c>
      <c r="AR22" s="52">
        <v>950</v>
      </c>
      <c r="AS22" s="52">
        <v>0</v>
      </c>
      <c r="AT22" s="52">
        <v>0</v>
      </c>
      <c r="AU22" s="52">
        <v>0</v>
      </c>
      <c r="AV22" s="52">
        <v>950</v>
      </c>
      <c r="AW22" s="52">
        <v>0</v>
      </c>
      <c r="AX22" s="52">
        <v>0</v>
      </c>
      <c r="AY22" s="52">
        <v>0</v>
      </c>
      <c r="AZ22" s="52">
        <v>970</v>
      </c>
      <c r="BA22" s="52">
        <v>0</v>
      </c>
      <c r="BB22" s="52">
        <v>0</v>
      </c>
      <c r="BC22" s="53">
        <f ca="1">SUM(OFFSET($B22,0,1,1,Assumptions!$C$8))</f>
        <v>2520</v>
      </c>
      <c r="BD22" s="53">
        <f ca="1">SUM(OFFSET($B22,0,1+Assumptions!$C$8,1,SUM(Assumptions!$C$9)))</f>
        <v>2785</v>
      </c>
      <c r="BE22" s="53">
        <f ca="1">SUM(OFFSET($B22,0,1+SUM(Assumptions!$C$8:$C$9),1,SUM(Assumptions!$C$10)))</f>
        <v>2850</v>
      </c>
      <c r="BF22" s="53">
        <f ca="1">SUM(OFFSET($B22,0,1+SUM(Assumptions!$C$8:$C$10),1,SUM(Assumptions!$C$11)))</f>
        <v>2870</v>
      </c>
      <c r="BG22" s="53">
        <f t="shared" ca="1" si="14"/>
        <v>11025</v>
      </c>
    </row>
    <row r="23" spans="1:59" s="17" customFormat="1" ht="16.149999999999999" customHeight="1" x14ac:dyDescent="0.3">
      <c r="A23" s="302" t="s">
        <v>202</v>
      </c>
      <c r="B23" s="56" t="s">
        <v>5</v>
      </c>
      <c r="C23" s="52">
        <v>0</v>
      </c>
      <c r="D23" s="52">
        <v>0</v>
      </c>
      <c r="E23" s="52">
        <v>0</v>
      </c>
      <c r="F23" s="52">
        <v>0</v>
      </c>
      <c r="G23" s="52">
        <v>3800</v>
      </c>
      <c r="H23" s="52">
        <v>0</v>
      </c>
      <c r="I23" s="52">
        <v>0</v>
      </c>
      <c r="J23" s="52">
        <v>0</v>
      </c>
      <c r="K23" s="52">
        <v>0</v>
      </c>
      <c r="L23" s="52">
        <v>0</v>
      </c>
      <c r="M23" s="52">
        <v>0</v>
      </c>
      <c r="N23" s="52">
        <v>0</v>
      </c>
      <c r="O23" s="52">
        <v>0</v>
      </c>
      <c r="P23" s="52">
        <v>0</v>
      </c>
      <c r="Q23" s="52">
        <v>0</v>
      </c>
      <c r="R23" s="52">
        <v>0</v>
      </c>
      <c r="S23" s="52">
        <v>0</v>
      </c>
      <c r="T23" s="52">
        <v>0</v>
      </c>
      <c r="U23" s="52">
        <v>0</v>
      </c>
      <c r="V23" s="52">
        <v>1285</v>
      </c>
      <c r="W23" s="52">
        <v>0</v>
      </c>
      <c r="X23" s="52">
        <v>0</v>
      </c>
      <c r="Y23" s="52">
        <v>0</v>
      </c>
      <c r="Z23" s="52">
        <v>0</v>
      </c>
      <c r="AA23" s="52">
        <v>0</v>
      </c>
      <c r="AB23" s="52">
        <v>0</v>
      </c>
      <c r="AC23" s="52">
        <v>0</v>
      </c>
      <c r="AD23" s="52">
        <v>0</v>
      </c>
      <c r="AE23" s="52">
        <v>0</v>
      </c>
      <c r="AF23" s="52">
        <v>854</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4200</v>
      </c>
      <c r="AY23" s="52">
        <v>0</v>
      </c>
      <c r="AZ23" s="52">
        <v>0</v>
      </c>
      <c r="BA23" s="52">
        <v>0</v>
      </c>
      <c r="BB23" s="52">
        <v>0</v>
      </c>
      <c r="BC23" s="53">
        <f ca="1">SUM(OFFSET($B23,0,1,1,Assumptions!$C$8))</f>
        <v>3800</v>
      </c>
      <c r="BD23" s="53">
        <f ca="1">SUM(OFFSET($B23,0,1+Assumptions!$C$8,1,SUM(Assumptions!$C$9)))</f>
        <v>1285</v>
      </c>
      <c r="BE23" s="53">
        <f ca="1">SUM(OFFSET($B23,0,1+SUM(Assumptions!$C$8:$C$9),1,SUM(Assumptions!$C$10)))</f>
        <v>854</v>
      </c>
      <c r="BF23" s="53">
        <f ca="1">SUM(OFFSET($B23,0,1+SUM(Assumptions!$C$8:$C$10),1,SUM(Assumptions!$C$11)))</f>
        <v>4200</v>
      </c>
      <c r="BG23" s="53">
        <f t="shared" ca="1" si="14"/>
        <v>10139</v>
      </c>
    </row>
    <row r="24" spans="1:59" s="17" customFormat="1" ht="16.149999999999999" customHeight="1" x14ac:dyDescent="0.3">
      <c r="A24" s="302" t="s">
        <v>202</v>
      </c>
      <c r="B24" s="56" t="s">
        <v>22</v>
      </c>
      <c r="C24" s="52">
        <v>1250</v>
      </c>
      <c r="D24" s="52">
        <v>0</v>
      </c>
      <c r="E24" s="52">
        <v>0</v>
      </c>
      <c r="F24" s="52">
        <v>0</v>
      </c>
      <c r="G24" s="52">
        <v>0</v>
      </c>
      <c r="H24" s="52">
        <v>0</v>
      </c>
      <c r="I24" s="52">
        <v>0</v>
      </c>
      <c r="J24" s="52">
        <v>0</v>
      </c>
      <c r="K24" s="52">
        <v>0</v>
      </c>
      <c r="L24" s="52">
        <v>0</v>
      </c>
      <c r="M24" s="52">
        <v>759</v>
      </c>
      <c r="N24" s="52">
        <v>0</v>
      </c>
      <c r="O24" s="52">
        <v>0</v>
      </c>
      <c r="P24" s="52">
        <v>0</v>
      </c>
      <c r="Q24" s="52">
        <v>0</v>
      </c>
      <c r="R24" s="52">
        <v>0</v>
      </c>
      <c r="S24" s="52">
        <v>0</v>
      </c>
      <c r="T24" s="52">
        <v>0</v>
      </c>
      <c r="U24" s="52">
        <v>567</v>
      </c>
      <c r="V24" s="52">
        <v>0</v>
      </c>
      <c r="W24" s="52">
        <v>0</v>
      </c>
      <c r="X24" s="52">
        <v>0</v>
      </c>
      <c r="Y24" s="52">
        <v>0</v>
      </c>
      <c r="Z24" s="52">
        <v>0</v>
      </c>
      <c r="AA24" s="52">
        <v>0</v>
      </c>
      <c r="AB24" s="52">
        <v>0</v>
      </c>
      <c r="AC24" s="52">
        <v>0</v>
      </c>
      <c r="AD24" s="52">
        <v>0</v>
      </c>
      <c r="AE24" s="52">
        <v>0</v>
      </c>
      <c r="AF24" s="52">
        <v>0</v>
      </c>
      <c r="AG24" s="52">
        <v>0</v>
      </c>
      <c r="AH24" s="52">
        <v>0</v>
      </c>
      <c r="AI24" s="52">
        <v>764</v>
      </c>
      <c r="AJ24" s="52">
        <v>0</v>
      </c>
      <c r="AK24" s="52">
        <v>0</v>
      </c>
      <c r="AL24" s="52">
        <v>0</v>
      </c>
      <c r="AM24" s="52">
        <v>0</v>
      </c>
      <c r="AN24" s="52">
        <v>0</v>
      </c>
      <c r="AO24" s="52">
        <v>0</v>
      </c>
      <c r="AP24" s="52">
        <v>0</v>
      </c>
      <c r="AQ24" s="52">
        <v>0</v>
      </c>
      <c r="AR24" s="52">
        <v>0</v>
      </c>
      <c r="AS24" s="52">
        <v>3556</v>
      </c>
      <c r="AT24" s="52">
        <v>0</v>
      </c>
      <c r="AU24" s="52">
        <v>0</v>
      </c>
      <c r="AV24" s="52">
        <v>0</v>
      </c>
      <c r="AW24" s="52">
        <v>0</v>
      </c>
      <c r="AX24" s="52">
        <v>0</v>
      </c>
      <c r="AY24" s="52">
        <v>0</v>
      </c>
      <c r="AZ24" s="52">
        <v>0</v>
      </c>
      <c r="BA24" s="52">
        <v>0</v>
      </c>
      <c r="BB24" s="52">
        <v>987</v>
      </c>
      <c r="BC24" s="53">
        <f ca="1">SUM(OFFSET($B24,0,1,1,Assumptions!$C$8))</f>
        <v>2009</v>
      </c>
      <c r="BD24" s="53">
        <f ca="1">SUM(OFFSET($B24,0,1+Assumptions!$C$8,1,SUM(Assumptions!$C$9)))</f>
        <v>567</v>
      </c>
      <c r="BE24" s="53">
        <f ca="1">SUM(OFFSET($B24,0,1+SUM(Assumptions!$C$8:$C$9),1,SUM(Assumptions!$C$10)))</f>
        <v>764</v>
      </c>
      <c r="BF24" s="53">
        <f ca="1">SUM(OFFSET($B24,0,1+SUM(Assumptions!$C$8:$C$10),1,SUM(Assumptions!$C$11)))</f>
        <v>4543</v>
      </c>
      <c r="BG24" s="53">
        <f t="shared" ca="1" si="14"/>
        <v>7883</v>
      </c>
    </row>
    <row r="25" spans="1:59" s="17" customFormat="1" ht="16.149999999999999" customHeight="1" x14ac:dyDescent="0.3">
      <c r="A25" s="302" t="s">
        <v>202</v>
      </c>
      <c r="B25" s="56" t="s">
        <v>7</v>
      </c>
      <c r="C25" s="52">
        <v>0</v>
      </c>
      <c r="D25" s="52">
        <v>0</v>
      </c>
      <c r="E25" s="52">
        <v>0</v>
      </c>
      <c r="F25" s="52">
        <v>0</v>
      </c>
      <c r="G25" s="52">
        <v>1000</v>
      </c>
      <c r="H25" s="52">
        <v>0</v>
      </c>
      <c r="I25" s="52">
        <v>0</v>
      </c>
      <c r="J25" s="52">
        <v>0</v>
      </c>
      <c r="K25" s="52">
        <v>1000</v>
      </c>
      <c r="L25" s="52">
        <v>0</v>
      </c>
      <c r="M25" s="52">
        <v>0</v>
      </c>
      <c r="N25" s="52">
        <v>0</v>
      </c>
      <c r="O25" s="52">
        <v>1000</v>
      </c>
      <c r="P25" s="52">
        <v>0</v>
      </c>
      <c r="Q25" s="52">
        <v>0</v>
      </c>
      <c r="R25" s="52">
        <v>0</v>
      </c>
      <c r="S25" s="52">
        <v>0</v>
      </c>
      <c r="T25" s="52">
        <v>1000</v>
      </c>
      <c r="U25" s="52">
        <v>0</v>
      </c>
      <c r="V25" s="52">
        <v>0</v>
      </c>
      <c r="W25" s="52">
        <v>0</v>
      </c>
      <c r="X25" s="52">
        <v>1000</v>
      </c>
      <c r="Y25" s="52">
        <v>0</v>
      </c>
      <c r="Z25" s="52">
        <v>0</v>
      </c>
      <c r="AA25" s="52">
        <v>0</v>
      </c>
      <c r="AB25" s="52">
        <v>1000</v>
      </c>
      <c r="AC25" s="52">
        <v>0</v>
      </c>
      <c r="AD25" s="52">
        <v>0</v>
      </c>
      <c r="AE25" s="52">
        <v>0</v>
      </c>
      <c r="AF25" s="52">
        <v>0</v>
      </c>
      <c r="AG25" s="52">
        <v>1000</v>
      </c>
      <c r="AH25" s="52">
        <v>0</v>
      </c>
      <c r="AI25" s="52">
        <v>0</v>
      </c>
      <c r="AJ25" s="52">
        <v>0</v>
      </c>
      <c r="AK25" s="52">
        <v>1000</v>
      </c>
      <c r="AL25" s="52">
        <v>0</v>
      </c>
      <c r="AM25" s="52">
        <v>0</v>
      </c>
      <c r="AN25" s="52">
        <v>0</v>
      </c>
      <c r="AO25" s="52">
        <v>1000</v>
      </c>
      <c r="AP25" s="52">
        <v>0</v>
      </c>
      <c r="AQ25" s="52">
        <v>0</v>
      </c>
      <c r="AR25" s="52">
        <v>0</v>
      </c>
      <c r="AS25" s="52">
        <v>0</v>
      </c>
      <c r="AT25" s="52">
        <v>1000</v>
      </c>
      <c r="AU25" s="52">
        <v>0</v>
      </c>
      <c r="AV25" s="52">
        <v>0</v>
      </c>
      <c r="AW25" s="52">
        <v>0</v>
      </c>
      <c r="AX25" s="52">
        <v>1000</v>
      </c>
      <c r="AY25" s="52">
        <v>0</v>
      </c>
      <c r="AZ25" s="52">
        <v>0</v>
      </c>
      <c r="BA25" s="52">
        <v>0</v>
      </c>
      <c r="BB25" s="52">
        <v>1000</v>
      </c>
      <c r="BC25" s="53">
        <f ca="1">SUM(OFFSET($B25,0,1,1,Assumptions!$C$8))</f>
        <v>3000</v>
      </c>
      <c r="BD25" s="53">
        <f ca="1">SUM(OFFSET($B25,0,1+Assumptions!$C$8,1,SUM(Assumptions!$C$9)))</f>
        <v>3000</v>
      </c>
      <c r="BE25" s="53">
        <f ca="1">SUM(OFFSET($B25,0,1+SUM(Assumptions!$C$8:$C$9),1,SUM(Assumptions!$C$10)))</f>
        <v>3000</v>
      </c>
      <c r="BF25" s="53">
        <f ca="1">SUM(OFFSET($B25,0,1+SUM(Assumptions!$C$8:$C$10),1,SUM(Assumptions!$C$11)))</f>
        <v>3000</v>
      </c>
      <c r="BG25" s="53">
        <f t="shared" ca="1" si="14"/>
        <v>12000</v>
      </c>
    </row>
    <row r="26" spans="1:59" s="17" customFormat="1" ht="16.149999999999999" customHeight="1" x14ac:dyDescent="0.3">
      <c r="A26" s="302" t="s">
        <v>202</v>
      </c>
      <c r="B26" s="56" t="s">
        <v>8</v>
      </c>
      <c r="C26" s="52">
        <v>0</v>
      </c>
      <c r="D26" s="52">
        <v>0</v>
      </c>
      <c r="E26" s="52">
        <v>0</v>
      </c>
      <c r="F26" s="52">
        <v>0</v>
      </c>
      <c r="G26" s="52">
        <v>0</v>
      </c>
      <c r="H26" s="52">
        <v>0</v>
      </c>
      <c r="I26" s="52">
        <v>0</v>
      </c>
      <c r="J26" s="52">
        <v>0</v>
      </c>
      <c r="K26" s="52">
        <v>0</v>
      </c>
      <c r="L26" s="52">
        <v>0</v>
      </c>
      <c r="M26" s="52">
        <v>0</v>
      </c>
      <c r="N26" s="52">
        <v>0</v>
      </c>
      <c r="O26" s="52">
        <v>0</v>
      </c>
      <c r="P26" s="52">
        <v>0</v>
      </c>
      <c r="Q26" s="52">
        <v>0</v>
      </c>
      <c r="R26" s="52">
        <v>0</v>
      </c>
      <c r="S26" s="52">
        <v>12000</v>
      </c>
      <c r="T26" s="52"/>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22000</v>
      </c>
      <c r="AS26" s="52">
        <v>0</v>
      </c>
      <c r="AT26" s="52">
        <v>0</v>
      </c>
      <c r="AU26" s="52">
        <v>0</v>
      </c>
      <c r="AV26" s="52">
        <v>0</v>
      </c>
      <c r="AW26" s="52">
        <v>0</v>
      </c>
      <c r="AX26" s="52">
        <v>0</v>
      </c>
      <c r="AY26" s="52">
        <v>0</v>
      </c>
      <c r="AZ26" s="52">
        <v>0</v>
      </c>
      <c r="BA26" s="52">
        <v>0</v>
      </c>
      <c r="BB26" s="52">
        <v>0</v>
      </c>
      <c r="BC26" s="53">
        <f ca="1">SUM(OFFSET($B26,0,1,1,Assumptions!$C$8))</f>
        <v>0</v>
      </c>
      <c r="BD26" s="53">
        <f ca="1">SUM(OFFSET($B26,0,1+Assumptions!$C$8,1,SUM(Assumptions!$C$9)))</f>
        <v>12000</v>
      </c>
      <c r="BE26" s="53">
        <f ca="1">SUM(OFFSET($B26,0,1+SUM(Assumptions!$C$8:$C$9),1,SUM(Assumptions!$C$10)))</f>
        <v>0</v>
      </c>
      <c r="BF26" s="53">
        <f ca="1">SUM(OFFSET($B26,0,1+SUM(Assumptions!$C$8:$C$10),1,SUM(Assumptions!$C$11)))</f>
        <v>22000</v>
      </c>
      <c r="BG26" s="53">
        <f t="shared" ca="1" si="14"/>
        <v>34000</v>
      </c>
    </row>
    <row r="27" spans="1:59" s="17" customFormat="1" ht="16.149999999999999" customHeight="1" x14ac:dyDescent="0.3">
      <c r="A27" s="302" t="s">
        <v>197</v>
      </c>
      <c r="B27" s="56" t="s">
        <v>20</v>
      </c>
      <c r="C27" s="52">
        <v>0</v>
      </c>
      <c r="D27" s="52">
        <v>0</v>
      </c>
      <c r="E27" s="52">
        <v>0</v>
      </c>
      <c r="F27" s="52">
        <v>0</v>
      </c>
      <c r="G27" s="52">
        <v>0</v>
      </c>
      <c r="H27" s="52">
        <v>8000</v>
      </c>
      <c r="I27" s="52">
        <v>0</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52">
        <v>0</v>
      </c>
      <c r="AC27" s="52">
        <v>0</v>
      </c>
      <c r="AD27" s="52">
        <v>0</v>
      </c>
      <c r="AE27" s="52">
        <v>0</v>
      </c>
      <c r="AF27" s="52">
        <v>0</v>
      </c>
      <c r="AG27" s="52">
        <v>0</v>
      </c>
      <c r="AH27" s="52">
        <v>10000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v>0</v>
      </c>
      <c r="AY27" s="52">
        <v>0</v>
      </c>
      <c r="AZ27" s="52">
        <v>0</v>
      </c>
      <c r="BA27" s="52">
        <v>0</v>
      </c>
      <c r="BB27" s="52">
        <v>0</v>
      </c>
      <c r="BC27" s="53">
        <f ca="1">SUM(OFFSET($B27,0,1,1,Assumptions!$C$8))</f>
        <v>8000</v>
      </c>
      <c r="BD27" s="53">
        <f ca="1">SUM(OFFSET($B27,0,1+Assumptions!$C$8,1,SUM(Assumptions!$C$9)))</f>
        <v>0</v>
      </c>
      <c r="BE27" s="53">
        <f ca="1">SUM(OFFSET($B27,0,1+SUM(Assumptions!$C$8:$C$9),1,SUM(Assumptions!$C$10)))</f>
        <v>10000</v>
      </c>
      <c r="BF27" s="53">
        <f ca="1">SUM(OFFSET($B27,0,1+SUM(Assumptions!$C$8:$C$10),1,SUM(Assumptions!$C$11)))</f>
        <v>0</v>
      </c>
      <c r="BG27" s="53">
        <f t="shared" ca="1" si="14"/>
        <v>18000</v>
      </c>
    </row>
    <row r="28" spans="1:59" s="17" customFormat="1" ht="16.149999999999999" customHeight="1" x14ac:dyDescent="0.3">
      <c r="A28" s="302" t="s">
        <v>202</v>
      </c>
      <c r="B28" s="56" t="s">
        <v>9</v>
      </c>
      <c r="C28" s="52">
        <v>2000</v>
      </c>
      <c r="D28" s="52">
        <v>0</v>
      </c>
      <c r="E28" s="52">
        <v>0</v>
      </c>
      <c r="F28" s="52">
        <v>0</v>
      </c>
      <c r="G28" s="52">
        <v>0</v>
      </c>
      <c r="H28" s="52">
        <v>2000</v>
      </c>
      <c r="I28" s="52">
        <v>0</v>
      </c>
      <c r="J28" s="52">
        <v>0</v>
      </c>
      <c r="K28" s="52">
        <v>0</v>
      </c>
      <c r="L28" s="52">
        <v>2000</v>
      </c>
      <c r="M28" s="52">
        <v>0</v>
      </c>
      <c r="N28" s="52">
        <v>0</v>
      </c>
      <c r="O28" s="52">
        <v>0</v>
      </c>
      <c r="P28" s="52">
        <v>2000</v>
      </c>
      <c r="Q28" s="52">
        <v>0</v>
      </c>
      <c r="R28" s="52">
        <v>0</v>
      </c>
      <c r="S28" s="52">
        <v>0</v>
      </c>
      <c r="T28" s="52">
        <v>0</v>
      </c>
      <c r="U28" s="52">
        <v>2000</v>
      </c>
      <c r="V28" s="52">
        <v>0</v>
      </c>
      <c r="W28" s="52">
        <v>0</v>
      </c>
      <c r="X28" s="52">
        <v>0</v>
      </c>
      <c r="Y28" s="52">
        <v>2000</v>
      </c>
      <c r="Z28" s="52">
        <v>0</v>
      </c>
      <c r="AA28" s="52">
        <v>0</v>
      </c>
      <c r="AB28" s="52">
        <v>0</v>
      </c>
      <c r="AC28" s="52">
        <v>2000</v>
      </c>
      <c r="AD28" s="52">
        <v>0</v>
      </c>
      <c r="AE28" s="52">
        <v>0</v>
      </c>
      <c r="AF28" s="52">
        <v>0</v>
      </c>
      <c r="AG28" s="52">
        <v>0</v>
      </c>
      <c r="AH28" s="52">
        <v>2000</v>
      </c>
      <c r="AI28" s="52">
        <v>0</v>
      </c>
      <c r="AJ28" s="52">
        <v>0</v>
      </c>
      <c r="AK28" s="52">
        <v>0</v>
      </c>
      <c r="AL28" s="52">
        <v>2000</v>
      </c>
      <c r="AM28" s="52">
        <v>0</v>
      </c>
      <c r="AN28" s="52">
        <v>0</v>
      </c>
      <c r="AO28" s="52">
        <v>0</v>
      </c>
      <c r="AP28" s="52">
        <v>0</v>
      </c>
      <c r="AQ28" s="52">
        <v>2000</v>
      </c>
      <c r="AR28" s="52">
        <v>0</v>
      </c>
      <c r="AS28" s="52">
        <v>0</v>
      </c>
      <c r="AT28" s="52">
        <v>0</v>
      </c>
      <c r="AU28" s="52">
        <v>2000</v>
      </c>
      <c r="AV28" s="52">
        <v>0</v>
      </c>
      <c r="AW28" s="52">
        <v>0</v>
      </c>
      <c r="AX28" s="52">
        <v>0</v>
      </c>
      <c r="AY28" s="52">
        <v>2000</v>
      </c>
      <c r="AZ28" s="52">
        <v>0</v>
      </c>
      <c r="BA28" s="52">
        <v>0</v>
      </c>
      <c r="BB28" s="52">
        <v>0</v>
      </c>
      <c r="BC28" s="53">
        <f ca="1">SUM(OFFSET($B28,0,1,1,Assumptions!$C$8))</f>
        <v>6000</v>
      </c>
      <c r="BD28" s="53">
        <f ca="1">SUM(OFFSET($B28,0,1+Assumptions!$C$8,1,SUM(Assumptions!$C$9)))</f>
        <v>6000</v>
      </c>
      <c r="BE28" s="53">
        <f ca="1">SUM(OFFSET($B28,0,1+SUM(Assumptions!$C$8:$C$9),1,SUM(Assumptions!$C$10)))</f>
        <v>6000</v>
      </c>
      <c r="BF28" s="53">
        <f ca="1">SUM(OFFSET($B28,0,1+SUM(Assumptions!$C$8:$C$10),1,SUM(Assumptions!$C$11)))</f>
        <v>6000</v>
      </c>
      <c r="BG28" s="53">
        <f t="shared" ca="1" si="14"/>
        <v>24000</v>
      </c>
    </row>
    <row r="29" spans="1:59" s="17" customFormat="1" ht="16.149999999999999" customHeight="1" x14ac:dyDescent="0.3">
      <c r="A29" s="302" t="s">
        <v>197</v>
      </c>
      <c r="B29" s="56" t="s">
        <v>23</v>
      </c>
      <c r="C29" s="52">
        <v>0</v>
      </c>
      <c r="D29" s="52">
        <v>0</v>
      </c>
      <c r="E29" s="52">
        <v>0</v>
      </c>
      <c r="F29" s="52">
        <v>0</v>
      </c>
      <c r="G29" s="52">
        <v>0</v>
      </c>
      <c r="H29" s="52">
        <v>0</v>
      </c>
      <c r="I29" s="52">
        <v>0</v>
      </c>
      <c r="J29" s="52">
        <v>0</v>
      </c>
      <c r="K29" s="52">
        <v>0</v>
      </c>
      <c r="L29" s="52">
        <v>0</v>
      </c>
      <c r="M29" s="52">
        <v>0</v>
      </c>
      <c r="N29" s="52">
        <v>0</v>
      </c>
      <c r="O29" s="52">
        <v>0</v>
      </c>
      <c r="P29" s="52">
        <v>0</v>
      </c>
      <c r="Q29" s="52">
        <v>0</v>
      </c>
      <c r="R29" s="52">
        <v>0</v>
      </c>
      <c r="S29" s="52">
        <v>0</v>
      </c>
      <c r="T29" s="52">
        <v>0</v>
      </c>
      <c r="U29" s="52">
        <v>0</v>
      </c>
      <c r="V29" s="52">
        <v>0</v>
      </c>
      <c r="W29" s="52">
        <v>0</v>
      </c>
      <c r="X29" s="52">
        <v>0</v>
      </c>
      <c r="Y29" s="52">
        <v>0</v>
      </c>
      <c r="Z29" s="52">
        <v>12340</v>
      </c>
      <c r="AA29" s="52">
        <v>0</v>
      </c>
      <c r="AB29" s="52">
        <v>0</v>
      </c>
      <c r="AC29" s="52">
        <v>0</v>
      </c>
      <c r="AD29" s="52">
        <v>0</v>
      </c>
      <c r="AE29" s="52">
        <v>0</v>
      </c>
      <c r="AF29" s="52">
        <v>0</v>
      </c>
      <c r="AG29" s="52">
        <v>0</v>
      </c>
      <c r="AH29" s="52">
        <v>0</v>
      </c>
      <c r="AI29" s="52">
        <v>0</v>
      </c>
      <c r="AJ29" s="52">
        <v>22000</v>
      </c>
      <c r="AK29" s="52">
        <v>0</v>
      </c>
      <c r="AL29" s="52">
        <v>0</v>
      </c>
      <c r="AM29" s="52">
        <v>0</v>
      </c>
      <c r="AN29" s="52">
        <v>0</v>
      </c>
      <c r="AO29" s="52">
        <v>0</v>
      </c>
      <c r="AP29" s="52">
        <v>0</v>
      </c>
      <c r="AQ29" s="52">
        <v>0</v>
      </c>
      <c r="AR29" s="52">
        <v>0</v>
      </c>
      <c r="AS29" s="52">
        <v>0</v>
      </c>
      <c r="AT29" s="52">
        <v>0</v>
      </c>
      <c r="AU29" s="52">
        <v>0</v>
      </c>
      <c r="AV29" s="52">
        <v>0</v>
      </c>
      <c r="AW29" s="52">
        <v>0</v>
      </c>
      <c r="AX29" s="52">
        <v>0</v>
      </c>
      <c r="AY29" s="52">
        <v>0</v>
      </c>
      <c r="AZ29" s="52">
        <v>0</v>
      </c>
      <c r="BA29" s="52">
        <v>14000</v>
      </c>
      <c r="BB29" s="52">
        <v>0</v>
      </c>
      <c r="BC29" s="53">
        <f ca="1">SUM(OFFSET($B29,0,1,1,Assumptions!$C$8))</f>
        <v>0</v>
      </c>
      <c r="BD29" s="53">
        <f ca="1">SUM(OFFSET($B29,0,1+Assumptions!$C$8,1,SUM(Assumptions!$C$9)))</f>
        <v>12340</v>
      </c>
      <c r="BE29" s="53">
        <f ca="1">SUM(OFFSET($B29,0,1+SUM(Assumptions!$C$8:$C$9),1,SUM(Assumptions!$C$10)))</f>
        <v>22000</v>
      </c>
      <c r="BF29" s="53">
        <f ca="1">SUM(OFFSET($B29,0,1+SUM(Assumptions!$C$8:$C$10),1,SUM(Assumptions!$C$11)))</f>
        <v>14000</v>
      </c>
      <c r="BG29" s="53">
        <f t="shared" ca="1" si="14"/>
        <v>48340</v>
      </c>
    </row>
    <row r="30" spans="1:59" s="17" customFormat="1" ht="16.149999999999999" customHeight="1" x14ac:dyDescent="0.3">
      <c r="A30" s="302" t="s">
        <v>202</v>
      </c>
      <c r="B30" s="56" t="s">
        <v>19</v>
      </c>
      <c r="C30" s="52">
        <v>0</v>
      </c>
      <c r="D30" s="52">
        <v>0</v>
      </c>
      <c r="E30" s="52">
        <v>0</v>
      </c>
      <c r="F30" s="52">
        <v>0</v>
      </c>
      <c r="G30" s="52">
        <v>0</v>
      </c>
      <c r="H30" s="52">
        <v>0</v>
      </c>
      <c r="I30" s="52">
        <v>0</v>
      </c>
      <c r="J30" s="52">
        <v>1800</v>
      </c>
      <c r="K30" s="52">
        <v>0</v>
      </c>
      <c r="L30" s="52">
        <v>0</v>
      </c>
      <c r="M30" s="52">
        <v>0</v>
      </c>
      <c r="N30" s="52">
        <v>0</v>
      </c>
      <c r="O30" s="52">
        <v>0</v>
      </c>
      <c r="P30" s="52">
        <v>0</v>
      </c>
      <c r="Q30" s="52">
        <v>0</v>
      </c>
      <c r="R30" s="52">
        <v>0</v>
      </c>
      <c r="S30" s="52">
        <v>0</v>
      </c>
      <c r="T30" s="52">
        <v>0</v>
      </c>
      <c r="U30" s="52">
        <v>0</v>
      </c>
      <c r="V30" s="52">
        <v>0</v>
      </c>
      <c r="W30" s="52">
        <v>9000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c r="AS30" s="52">
        <v>0</v>
      </c>
      <c r="AT30" s="52">
        <v>0</v>
      </c>
      <c r="AU30" s="52">
        <v>0</v>
      </c>
      <c r="AV30" s="52">
        <v>0</v>
      </c>
      <c r="AW30" s="52">
        <v>3200</v>
      </c>
      <c r="AX30" s="52">
        <v>0</v>
      </c>
      <c r="AY30" s="52">
        <v>0</v>
      </c>
      <c r="AZ30" s="52">
        <v>0</v>
      </c>
      <c r="BA30" s="52">
        <v>0</v>
      </c>
      <c r="BB30" s="52">
        <v>0</v>
      </c>
      <c r="BC30" s="53">
        <f ca="1">SUM(OFFSET($B30,0,1,1,Assumptions!$C$8))</f>
        <v>1800</v>
      </c>
      <c r="BD30" s="53">
        <f ca="1">SUM(OFFSET($B30,0,1+Assumptions!$C$8,1,SUM(Assumptions!$C$9)))</f>
        <v>9000</v>
      </c>
      <c r="BE30" s="53">
        <f ca="1">SUM(OFFSET($B30,0,1+SUM(Assumptions!$C$8:$C$9),1,SUM(Assumptions!$C$10)))</f>
        <v>0</v>
      </c>
      <c r="BF30" s="53">
        <f ca="1">SUM(OFFSET($B30,0,1+SUM(Assumptions!$C$8:$C$10),1,SUM(Assumptions!$C$11)))</f>
        <v>3200</v>
      </c>
      <c r="BG30" s="53">
        <f t="shared" ca="1" si="14"/>
        <v>14000</v>
      </c>
    </row>
    <row r="31" spans="1:59" s="17" customFormat="1" ht="16.149999999999999" customHeight="1" x14ac:dyDescent="0.3">
      <c r="A31" s="302" t="s">
        <v>202</v>
      </c>
      <c r="B31" s="56" t="s">
        <v>18</v>
      </c>
      <c r="C31" s="52">
        <v>0</v>
      </c>
      <c r="D31" s="52">
        <v>0</v>
      </c>
      <c r="E31" s="52">
        <v>0</v>
      </c>
      <c r="F31" s="52">
        <v>0</v>
      </c>
      <c r="G31" s="52">
        <v>100</v>
      </c>
      <c r="H31" s="52">
        <v>0</v>
      </c>
      <c r="I31" s="52">
        <v>0</v>
      </c>
      <c r="J31" s="52">
        <v>0</v>
      </c>
      <c r="K31" s="52">
        <v>100</v>
      </c>
      <c r="L31" s="52">
        <v>0</v>
      </c>
      <c r="M31" s="52">
        <v>0</v>
      </c>
      <c r="N31" s="52">
        <v>0</v>
      </c>
      <c r="O31" s="52">
        <v>100</v>
      </c>
      <c r="P31" s="52">
        <v>0</v>
      </c>
      <c r="Q31" s="52">
        <v>0</v>
      </c>
      <c r="R31" s="52">
        <v>0</v>
      </c>
      <c r="S31" s="52">
        <v>0</v>
      </c>
      <c r="T31" s="52">
        <v>100</v>
      </c>
      <c r="U31" s="52">
        <v>0</v>
      </c>
      <c r="V31" s="52">
        <v>0</v>
      </c>
      <c r="W31" s="52">
        <v>0</v>
      </c>
      <c r="X31" s="52">
        <v>100</v>
      </c>
      <c r="Y31" s="52">
        <v>0</v>
      </c>
      <c r="Z31" s="52">
        <v>0</v>
      </c>
      <c r="AA31" s="52">
        <v>0</v>
      </c>
      <c r="AB31" s="52">
        <v>100</v>
      </c>
      <c r="AC31" s="52">
        <v>0</v>
      </c>
      <c r="AD31" s="52">
        <v>0</v>
      </c>
      <c r="AE31" s="52">
        <v>0</v>
      </c>
      <c r="AF31" s="52">
        <v>0</v>
      </c>
      <c r="AG31" s="52">
        <v>100</v>
      </c>
      <c r="AH31" s="52">
        <v>0</v>
      </c>
      <c r="AI31" s="52">
        <v>0</v>
      </c>
      <c r="AJ31" s="52">
        <v>0</v>
      </c>
      <c r="AK31" s="52">
        <v>100</v>
      </c>
      <c r="AL31" s="52">
        <v>0</v>
      </c>
      <c r="AM31" s="52">
        <v>0</v>
      </c>
      <c r="AN31" s="52">
        <v>0</v>
      </c>
      <c r="AO31" s="52">
        <v>100</v>
      </c>
      <c r="AP31" s="52">
        <v>0</v>
      </c>
      <c r="AQ31" s="52">
        <v>0</v>
      </c>
      <c r="AR31" s="52">
        <v>0</v>
      </c>
      <c r="AS31" s="52">
        <v>0</v>
      </c>
      <c r="AT31" s="52">
        <v>100</v>
      </c>
      <c r="AU31" s="52">
        <v>0</v>
      </c>
      <c r="AV31" s="52">
        <v>0</v>
      </c>
      <c r="AW31" s="52">
        <v>0</v>
      </c>
      <c r="AX31" s="52">
        <v>100</v>
      </c>
      <c r="AY31" s="52">
        <v>0</v>
      </c>
      <c r="AZ31" s="52">
        <v>0</v>
      </c>
      <c r="BA31" s="52">
        <v>0</v>
      </c>
      <c r="BB31" s="52">
        <v>100</v>
      </c>
      <c r="BC31" s="53">
        <f ca="1">SUM(OFFSET($B31,0,1,1,Assumptions!$C$8))</f>
        <v>300</v>
      </c>
      <c r="BD31" s="53">
        <f ca="1">SUM(OFFSET($B31,0,1+Assumptions!$C$8,1,SUM(Assumptions!$C$9)))</f>
        <v>300</v>
      </c>
      <c r="BE31" s="53">
        <f ca="1">SUM(OFFSET($B31,0,1+SUM(Assumptions!$C$8:$C$9),1,SUM(Assumptions!$C$10)))</f>
        <v>300</v>
      </c>
      <c r="BF31" s="53">
        <f ca="1">SUM(OFFSET($B31,0,1+SUM(Assumptions!$C$8:$C$10),1,SUM(Assumptions!$C$11)))</f>
        <v>300</v>
      </c>
      <c r="BG31" s="53">
        <f t="shared" ca="1" si="14"/>
        <v>1200</v>
      </c>
    </row>
    <row r="32" spans="1:59" s="17" customFormat="1" ht="16.149999999999999" customHeight="1" x14ac:dyDescent="0.3">
      <c r="A32" s="302" t="s">
        <v>197</v>
      </c>
      <c r="B32" s="56" t="s">
        <v>10</v>
      </c>
      <c r="C32" s="52">
        <v>0</v>
      </c>
      <c r="D32" s="52">
        <v>0</v>
      </c>
      <c r="E32" s="52">
        <v>0</v>
      </c>
      <c r="F32" s="52">
        <v>0</v>
      </c>
      <c r="G32" s="52">
        <v>300</v>
      </c>
      <c r="H32" s="52">
        <v>0</v>
      </c>
      <c r="I32" s="52">
        <v>0</v>
      </c>
      <c r="J32" s="52">
        <v>0</v>
      </c>
      <c r="K32" s="52">
        <v>300</v>
      </c>
      <c r="L32" s="52">
        <v>0</v>
      </c>
      <c r="M32" s="52">
        <v>0</v>
      </c>
      <c r="N32" s="52">
        <v>0</v>
      </c>
      <c r="O32" s="52">
        <v>300</v>
      </c>
      <c r="P32" s="52">
        <v>0</v>
      </c>
      <c r="Q32" s="52">
        <v>0</v>
      </c>
      <c r="R32" s="52">
        <v>0</v>
      </c>
      <c r="S32" s="52">
        <v>0</v>
      </c>
      <c r="T32" s="52">
        <v>300</v>
      </c>
      <c r="U32" s="52">
        <v>0</v>
      </c>
      <c r="V32" s="52">
        <v>0</v>
      </c>
      <c r="W32" s="52">
        <v>0</v>
      </c>
      <c r="X32" s="52">
        <v>300</v>
      </c>
      <c r="Y32" s="52">
        <v>0</v>
      </c>
      <c r="Z32" s="52">
        <v>0</v>
      </c>
      <c r="AA32" s="52">
        <v>0</v>
      </c>
      <c r="AB32" s="52">
        <v>300</v>
      </c>
      <c r="AC32" s="52">
        <v>0</v>
      </c>
      <c r="AD32" s="52">
        <v>0</v>
      </c>
      <c r="AE32" s="52">
        <v>0</v>
      </c>
      <c r="AF32" s="52">
        <v>0</v>
      </c>
      <c r="AG32" s="52">
        <v>300</v>
      </c>
      <c r="AH32" s="52">
        <v>0</v>
      </c>
      <c r="AI32" s="52">
        <v>0</v>
      </c>
      <c r="AJ32" s="52">
        <v>0</v>
      </c>
      <c r="AK32" s="52">
        <v>300</v>
      </c>
      <c r="AL32" s="52">
        <v>0</v>
      </c>
      <c r="AM32" s="52">
        <v>0</v>
      </c>
      <c r="AN32" s="52">
        <v>0</v>
      </c>
      <c r="AO32" s="52">
        <v>300</v>
      </c>
      <c r="AP32" s="52">
        <v>0</v>
      </c>
      <c r="AQ32" s="52">
        <v>0</v>
      </c>
      <c r="AR32" s="52">
        <v>0</v>
      </c>
      <c r="AS32" s="52">
        <v>0</v>
      </c>
      <c r="AT32" s="52">
        <v>300</v>
      </c>
      <c r="AU32" s="52">
        <v>0</v>
      </c>
      <c r="AV32" s="52">
        <v>0</v>
      </c>
      <c r="AW32" s="52">
        <v>0</v>
      </c>
      <c r="AX32" s="52">
        <v>300</v>
      </c>
      <c r="AY32" s="52">
        <v>0</v>
      </c>
      <c r="AZ32" s="52">
        <v>0</v>
      </c>
      <c r="BA32" s="52">
        <v>0</v>
      </c>
      <c r="BB32" s="52">
        <v>300</v>
      </c>
      <c r="BC32" s="53">
        <f ca="1">SUM(OFFSET($B32,0,1,1,Assumptions!$C$8))</f>
        <v>900</v>
      </c>
      <c r="BD32" s="53">
        <f ca="1">SUM(OFFSET($B32,0,1+Assumptions!$C$8,1,SUM(Assumptions!$C$9)))</f>
        <v>900</v>
      </c>
      <c r="BE32" s="53">
        <f ca="1">SUM(OFFSET($B32,0,1+SUM(Assumptions!$C$8:$C$9),1,SUM(Assumptions!$C$10)))</f>
        <v>900</v>
      </c>
      <c r="BF32" s="53">
        <f ca="1">SUM(OFFSET($B32,0,1+SUM(Assumptions!$C$8:$C$10),1,SUM(Assumptions!$C$11)))</f>
        <v>900</v>
      </c>
      <c r="BG32" s="53">
        <f t="shared" ca="1" si="14"/>
        <v>3600</v>
      </c>
    </row>
    <row r="33" spans="1:59" s="17" customFormat="1" ht="16.149999999999999" customHeight="1" x14ac:dyDescent="0.3">
      <c r="A33" s="302" t="s">
        <v>197</v>
      </c>
      <c r="B33" s="56" t="s">
        <v>17</v>
      </c>
      <c r="C33" s="52">
        <v>0</v>
      </c>
      <c r="D33" s="52">
        <v>0</v>
      </c>
      <c r="E33" s="52">
        <v>0</v>
      </c>
      <c r="F33" s="52">
        <v>0</v>
      </c>
      <c r="G33" s="52">
        <v>0</v>
      </c>
      <c r="H33" s="52">
        <v>0</v>
      </c>
      <c r="I33" s="52">
        <v>12000</v>
      </c>
      <c r="J33" s="52">
        <v>0</v>
      </c>
      <c r="K33" s="52">
        <v>0</v>
      </c>
      <c r="L33" s="52">
        <v>0</v>
      </c>
      <c r="M33" s="52">
        <v>0</v>
      </c>
      <c r="N33" s="52">
        <v>0</v>
      </c>
      <c r="O33" s="52">
        <v>0</v>
      </c>
      <c r="P33" s="52">
        <v>0</v>
      </c>
      <c r="Q33" s="52">
        <v>0</v>
      </c>
      <c r="R33" s="52">
        <v>0</v>
      </c>
      <c r="S33" s="52">
        <v>0</v>
      </c>
      <c r="T33" s="52">
        <v>0</v>
      </c>
      <c r="U33" s="52">
        <v>0</v>
      </c>
      <c r="V33" s="52">
        <v>0</v>
      </c>
      <c r="W33" s="52">
        <v>0</v>
      </c>
      <c r="X33" s="52">
        <v>0</v>
      </c>
      <c r="Y33" s="52">
        <v>0</v>
      </c>
      <c r="Z33" s="52">
        <v>0</v>
      </c>
      <c r="AA33" s="52">
        <v>0</v>
      </c>
      <c r="AB33" s="52">
        <v>0</v>
      </c>
      <c r="AC33" s="52">
        <v>0</v>
      </c>
      <c r="AD33" s="52">
        <v>0</v>
      </c>
      <c r="AE33" s="52">
        <v>0</v>
      </c>
      <c r="AF33" s="52">
        <v>0</v>
      </c>
      <c r="AG33" s="52">
        <v>0</v>
      </c>
      <c r="AH33" s="52">
        <v>0</v>
      </c>
      <c r="AI33" s="52">
        <v>0</v>
      </c>
      <c r="AJ33" s="52">
        <v>0</v>
      </c>
      <c r="AK33" s="52">
        <v>0</v>
      </c>
      <c r="AL33" s="52">
        <v>3900</v>
      </c>
      <c r="AM33" s="52">
        <v>0</v>
      </c>
      <c r="AN33" s="52">
        <v>0</v>
      </c>
      <c r="AO33" s="52">
        <v>0</v>
      </c>
      <c r="AP33" s="52">
        <v>0</v>
      </c>
      <c r="AQ33" s="52">
        <v>0</v>
      </c>
      <c r="AR33" s="52">
        <v>0</v>
      </c>
      <c r="AS33" s="52">
        <v>0</v>
      </c>
      <c r="AT33" s="52">
        <v>0</v>
      </c>
      <c r="AU33" s="52">
        <v>0</v>
      </c>
      <c r="AV33" s="52">
        <v>0</v>
      </c>
      <c r="AW33" s="52">
        <v>0</v>
      </c>
      <c r="AX33" s="52">
        <v>0</v>
      </c>
      <c r="AY33" s="52">
        <v>0</v>
      </c>
      <c r="AZ33" s="52">
        <v>0</v>
      </c>
      <c r="BA33" s="52">
        <v>5000</v>
      </c>
      <c r="BB33" s="52">
        <v>0</v>
      </c>
      <c r="BC33" s="53">
        <f ca="1">SUM(OFFSET($B33,0,1,1,Assumptions!$C$8))</f>
        <v>12000</v>
      </c>
      <c r="BD33" s="53">
        <f ca="1">SUM(OFFSET($B33,0,1+Assumptions!$C$8,1,SUM(Assumptions!$C$9)))</f>
        <v>0</v>
      </c>
      <c r="BE33" s="53">
        <f ca="1">SUM(OFFSET($B33,0,1+SUM(Assumptions!$C$8:$C$9),1,SUM(Assumptions!$C$10)))</f>
        <v>3900</v>
      </c>
      <c r="BF33" s="53">
        <f ca="1">SUM(OFFSET($B33,0,1+SUM(Assumptions!$C$8:$C$10),1,SUM(Assumptions!$C$11)))</f>
        <v>5000</v>
      </c>
      <c r="BG33" s="53">
        <f t="shared" ca="1" si="14"/>
        <v>20900</v>
      </c>
    </row>
    <row r="34" spans="1:59" s="17" customFormat="1" ht="16.149999999999999" customHeight="1" x14ac:dyDescent="0.3">
      <c r="A34" s="302" t="s">
        <v>202</v>
      </c>
      <c r="B34" s="56" t="s">
        <v>11</v>
      </c>
      <c r="C34" s="52">
        <v>20000</v>
      </c>
      <c r="D34" s="52">
        <v>0</v>
      </c>
      <c r="E34" s="52">
        <v>0</v>
      </c>
      <c r="F34" s="52">
        <v>0</v>
      </c>
      <c r="G34" s="52">
        <v>0</v>
      </c>
      <c r="H34" s="52">
        <v>20000</v>
      </c>
      <c r="I34" s="52">
        <v>0</v>
      </c>
      <c r="J34" s="52">
        <v>0</v>
      </c>
      <c r="K34" s="52">
        <v>0</v>
      </c>
      <c r="L34" s="52">
        <v>20000</v>
      </c>
      <c r="M34" s="52">
        <v>0</v>
      </c>
      <c r="N34" s="52">
        <v>0</v>
      </c>
      <c r="O34" s="52">
        <v>0</v>
      </c>
      <c r="P34" s="52">
        <v>20000</v>
      </c>
      <c r="Q34" s="52">
        <v>0</v>
      </c>
      <c r="R34" s="52">
        <v>0</v>
      </c>
      <c r="S34" s="52">
        <v>0</v>
      </c>
      <c r="T34" s="52">
        <v>0</v>
      </c>
      <c r="U34" s="52">
        <v>20000</v>
      </c>
      <c r="V34" s="52">
        <v>0</v>
      </c>
      <c r="W34" s="52">
        <v>0</v>
      </c>
      <c r="X34" s="52">
        <v>0</v>
      </c>
      <c r="Y34" s="52">
        <v>20000</v>
      </c>
      <c r="Z34" s="52">
        <v>0</v>
      </c>
      <c r="AA34" s="52">
        <v>0</v>
      </c>
      <c r="AB34" s="52">
        <v>0</v>
      </c>
      <c r="AC34" s="52">
        <v>20000</v>
      </c>
      <c r="AD34" s="52">
        <v>0</v>
      </c>
      <c r="AE34" s="52">
        <v>0</v>
      </c>
      <c r="AF34" s="52">
        <v>0</v>
      </c>
      <c r="AG34" s="52">
        <v>0</v>
      </c>
      <c r="AH34" s="52">
        <v>20000</v>
      </c>
      <c r="AI34" s="52">
        <v>0</v>
      </c>
      <c r="AJ34" s="52">
        <v>0</v>
      </c>
      <c r="AK34" s="52">
        <v>0</v>
      </c>
      <c r="AL34" s="52">
        <v>20000</v>
      </c>
      <c r="AM34" s="52">
        <v>0</v>
      </c>
      <c r="AN34" s="52">
        <v>0</v>
      </c>
      <c r="AO34" s="52">
        <v>0</v>
      </c>
      <c r="AP34" s="52">
        <v>0</v>
      </c>
      <c r="AQ34" s="52">
        <v>20000</v>
      </c>
      <c r="AR34" s="52">
        <v>0</v>
      </c>
      <c r="AS34" s="52">
        <v>0</v>
      </c>
      <c r="AT34" s="52">
        <v>0</v>
      </c>
      <c r="AU34" s="52">
        <v>20000</v>
      </c>
      <c r="AV34" s="52">
        <v>0</v>
      </c>
      <c r="AW34" s="52">
        <v>0</v>
      </c>
      <c r="AX34" s="52">
        <v>0</v>
      </c>
      <c r="AY34" s="52">
        <v>20000</v>
      </c>
      <c r="AZ34" s="52">
        <v>0</v>
      </c>
      <c r="BA34" s="52">
        <v>0</v>
      </c>
      <c r="BB34" s="52">
        <v>0</v>
      </c>
      <c r="BC34" s="53">
        <f ca="1">SUM(OFFSET($B34,0,1,1,Assumptions!$C$8))</f>
        <v>60000</v>
      </c>
      <c r="BD34" s="53">
        <f ca="1">SUM(OFFSET($B34,0,1+Assumptions!$C$8,1,SUM(Assumptions!$C$9)))</f>
        <v>60000</v>
      </c>
      <c r="BE34" s="53">
        <f ca="1">SUM(OFFSET($B34,0,1+SUM(Assumptions!$C$8:$C$9),1,SUM(Assumptions!$C$10)))</f>
        <v>60000</v>
      </c>
      <c r="BF34" s="53">
        <f ca="1">SUM(OFFSET($B34,0,1+SUM(Assumptions!$C$8:$C$10),1,SUM(Assumptions!$C$11)))</f>
        <v>60000</v>
      </c>
      <c r="BG34" s="53">
        <f t="shared" ca="1" si="14"/>
        <v>240000</v>
      </c>
    </row>
    <row r="35" spans="1:59" s="17" customFormat="1" ht="16.149999999999999" customHeight="1" x14ac:dyDescent="0.3">
      <c r="A35" s="302" t="s">
        <v>202</v>
      </c>
      <c r="B35" s="56" t="s">
        <v>21</v>
      </c>
      <c r="C35" s="52">
        <v>0</v>
      </c>
      <c r="D35" s="52">
        <v>0</v>
      </c>
      <c r="E35" s="52">
        <v>0</v>
      </c>
      <c r="F35" s="52">
        <v>0</v>
      </c>
      <c r="G35" s="52">
        <v>0</v>
      </c>
      <c r="H35" s="52">
        <v>0</v>
      </c>
      <c r="I35" s="52">
        <v>0</v>
      </c>
      <c r="J35" s="52">
        <v>0</v>
      </c>
      <c r="K35" s="52">
        <v>0</v>
      </c>
      <c r="L35" s="52">
        <v>4300</v>
      </c>
      <c r="M35" s="52">
        <v>0</v>
      </c>
      <c r="N35" s="52">
        <v>0</v>
      </c>
      <c r="O35" s="52">
        <v>0</v>
      </c>
      <c r="P35" s="52">
        <v>0</v>
      </c>
      <c r="Q35" s="52">
        <v>0</v>
      </c>
      <c r="R35" s="52">
        <v>0</v>
      </c>
      <c r="S35" s="52">
        <v>0</v>
      </c>
      <c r="T35" s="52">
        <v>2100</v>
      </c>
      <c r="U35" s="52">
        <v>0</v>
      </c>
      <c r="V35" s="52">
        <v>0</v>
      </c>
      <c r="W35" s="52">
        <v>0</v>
      </c>
      <c r="X35" s="52">
        <v>0</v>
      </c>
      <c r="Y35" s="52">
        <v>0</v>
      </c>
      <c r="Z35" s="52">
        <v>0</v>
      </c>
      <c r="AA35" s="52">
        <v>0</v>
      </c>
      <c r="AB35" s="52">
        <v>0</v>
      </c>
      <c r="AC35" s="52">
        <v>0</v>
      </c>
      <c r="AD35" s="52">
        <v>1900</v>
      </c>
      <c r="AE35" s="52">
        <v>0</v>
      </c>
      <c r="AF35" s="52">
        <v>0</v>
      </c>
      <c r="AG35" s="52">
        <v>0</v>
      </c>
      <c r="AH35" s="52">
        <v>0</v>
      </c>
      <c r="AI35" s="52">
        <v>0</v>
      </c>
      <c r="AJ35" s="52">
        <v>0</v>
      </c>
      <c r="AK35" s="52">
        <v>0</v>
      </c>
      <c r="AL35" s="52">
        <v>0</v>
      </c>
      <c r="AM35" s="52">
        <v>0</v>
      </c>
      <c r="AN35" s="52">
        <v>0</v>
      </c>
      <c r="AO35" s="52">
        <v>0</v>
      </c>
      <c r="AP35" s="52">
        <v>0</v>
      </c>
      <c r="AQ35" s="52">
        <v>0</v>
      </c>
      <c r="AR35" s="52">
        <v>0</v>
      </c>
      <c r="AS35" s="52">
        <v>3100</v>
      </c>
      <c r="AT35" s="52">
        <v>0</v>
      </c>
      <c r="AU35" s="52">
        <v>0</v>
      </c>
      <c r="AV35" s="52">
        <v>0</v>
      </c>
      <c r="AW35" s="52">
        <v>0</v>
      </c>
      <c r="AX35" s="52">
        <v>0</v>
      </c>
      <c r="AY35" s="52">
        <v>0</v>
      </c>
      <c r="AZ35" s="52">
        <v>0</v>
      </c>
      <c r="BA35" s="52">
        <v>0</v>
      </c>
      <c r="BB35" s="52">
        <v>0</v>
      </c>
      <c r="BC35" s="53">
        <f ca="1">SUM(OFFSET($B35,0,1,1,Assumptions!$C$8))</f>
        <v>4300</v>
      </c>
      <c r="BD35" s="53">
        <f ca="1">SUM(OFFSET($B35,0,1+Assumptions!$C$8,1,SUM(Assumptions!$C$9)))</f>
        <v>2100</v>
      </c>
      <c r="BE35" s="53">
        <f ca="1">SUM(OFFSET($B35,0,1+SUM(Assumptions!$C$8:$C$9),1,SUM(Assumptions!$C$10)))</f>
        <v>1900</v>
      </c>
      <c r="BF35" s="53">
        <f ca="1">SUM(OFFSET($B35,0,1+SUM(Assumptions!$C$8:$C$10),1,SUM(Assumptions!$C$11)))</f>
        <v>3100</v>
      </c>
      <c r="BG35" s="53">
        <f t="shared" ca="1" si="14"/>
        <v>11400</v>
      </c>
    </row>
    <row r="36" spans="1:59" s="17" customFormat="1" ht="16.149999999999999" customHeight="1" x14ac:dyDescent="0.3">
      <c r="A36" s="302" t="s">
        <v>197</v>
      </c>
      <c r="B36" s="56" t="s">
        <v>12</v>
      </c>
      <c r="C36" s="52">
        <v>0</v>
      </c>
      <c r="D36" s="52">
        <v>0</v>
      </c>
      <c r="E36" s="52">
        <v>0</v>
      </c>
      <c r="F36" s="52">
        <v>0</v>
      </c>
      <c r="G36" s="52">
        <v>325</v>
      </c>
      <c r="H36" s="52">
        <v>0</v>
      </c>
      <c r="I36" s="52">
        <v>0</v>
      </c>
      <c r="J36" s="52">
        <v>0</v>
      </c>
      <c r="K36" s="52">
        <v>325</v>
      </c>
      <c r="L36" s="52">
        <v>0</v>
      </c>
      <c r="M36" s="52">
        <v>0</v>
      </c>
      <c r="N36" s="52">
        <v>0</v>
      </c>
      <c r="O36" s="52">
        <v>325</v>
      </c>
      <c r="P36" s="52">
        <v>0</v>
      </c>
      <c r="Q36" s="52">
        <v>0</v>
      </c>
      <c r="R36" s="52">
        <v>0</v>
      </c>
      <c r="S36" s="52">
        <v>0</v>
      </c>
      <c r="T36" s="52">
        <v>325</v>
      </c>
      <c r="U36" s="52">
        <v>0</v>
      </c>
      <c r="V36" s="52">
        <v>0</v>
      </c>
      <c r="W36" s="52">
        <v>0</v>
      </c>
      <c r="X36" s="52">
        <v>325</v>
      </c>
      <c r="Y36" s="52">
        <v>0</v>
      </c>
      <c r="Z36" s="52">
        <v>0</v>
      </c>
      <c r="AA36" s="52">
        <v>0</v>
      </c>
      <c r="AB36" s="52">
        <v>325</v>
      </c>
      <c r="AC36" s="52">
        <v>0</v>
      </c>
      <c r="AD36" s="52">
        <v>0</v>
      </c>
      <c r="AE36" s="52">
        <v>0</v>
      </c>
      <c r="AF36" s="52">
        <v>0</v>
      </c>
      <c r="AG36" s="52">
        <v>325</v>
      </c>
      <c r="AH36" s="52">
        <v>0</v>
      </c>
      <c r="AI36" s="52">
        <v>0</v>
      </c>
      <c r="AJ36" s="52">
        <v>0</v>
      </c>
      <c r="AK36" s="52">
        <v>325</v>
      </c>
      <c r="AL36" s="52">
        <v>0</v>
      </c>
      <c r="AM36" s="52">
        <v>0</v>
      </c>
      <c r="AN36" s="52">
        <v>0</v>
      </c>
      <c r="AO36" s="52">
        <v>325</v>
      </c>
      <c r="AP36" s="52">
        <v>0</v>
      </c>
      <c r="AQ36" s="52">
        <v>0</v>
      </c>
      <c r="AR36" s="52">
        <v>0</v>
      </c>
      <c r="AS36" s="52">
        <v>0</v>
      </c>
      <c r="AT36" s="52">
        <v>325</v>
      </c>
      <c r="AU36" s="52">
        <v>0</v>
      </c>
      <c r="AV36" s="52">
        <v>0</v>
      </c>
      <c r="AW36" s="52">
        <v>0</v>
      </c>
      <c r="AX36" s="52">
        <v>325</v>
      </c>
      <c r="AY36" s="52">
        <v>0</v>
      </c>
      <c r="AZ36" s="52">
        <v>0</v>
      </c>
      <c r="BA36" s="52">
        <v>0</v>
      </c>
      <c r="BB36" s="52">
        <v>325</v>
      </c>
      <c r="BC36" s="53">
        <f ca="1">SUM(OFFSET($B36,0,1,1,Assumptions!$C$8))</f>
        <v>975</v>
      </c>
      <c r="BD36" s="53">
        <f ca="1">SUM(OFFSET($B36,0,1+Assumptions!$C$8,1,SUM(Assumptions!$C$9)))</f>
        <v>975</v>
      </c>
      <c r="BE36" s="53">
        <f ca="1">SUM(OFFSET($B36,0,1+SUM(Assumptions!$C$8:$C$9),1,SUM(Assumptions!$C$10)))</f>
        <v>975</v>
      </c>
      <c r="BF36" s="53">
        <f ca="1">SUM(OFFSET($B36,0,1+SUM(Assumptions!$C$8:$C$10),1,SUM(Assumptions!$C$11)))</f>
        <v>975</v>
      </c>
      <c r="BG36" s="53">
        <f t="shared" ca="1" si="14"/>
        <v>3900</v>
      </c>
    </row>
    <row r="37" spans="1:59" s="17" customFormat="1" ht="16.149999999999999" customHeight="1" x14ac:dyDescent="0.3">
      <c r="A37" s="302" t="s">
        <v>202</v>
      </c>
      <c r="B37" s="56" t="s">
        <v>13</v>
      </c>
      <c r="C37" s="52">
        <v>0</v>
      </c>
      <c r="D37" s="52">
        <v>0</v>
      </c>
      <c r="E37" s="52">
        <v>0</v>
      </c>
      <c r="F37" s="52">
        <v>0</v>
      </c>
      <c r="G37" s="52">
        <v>0</v>
      </c>
      <c r="H37" s="52">
        <v>0</v>
      </c>
      <c r="I37" s="52">
        <v>3200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3">
        <f ca="1">SUM(OFFSET($B37,0,1,1,Assumptions!$C$8))</f>
        <v>3200</v>
      </c>
      <c r="BD37" s="53">
        <f ca="1">SUM(OFFSET($B37,0,1+Assumptions!$C$8,1,SUM(Assumptions!$C$9)))</f>
        <v>0</v>
      </c>
      <c r="BE37" s="53">
        <f ca="1">SUM(OFFSET($B37,0,1+SUM(Assumptions!$C$8:$C$9),1,SUM(Assumptions!$C$10)))</f>
        <v>0</v>
      </c>
      <c r="BF37" s="53">
        <f ca="1">SUM(OFFSET($B37,0,1+SUM(Assumptions!$C$8:$C$10),1,SUM(Assumptions!$C$11)))</f>
        <v>0</v>
      </c>
      <c r="BG37" s="53">
        <f t="shared" ca="1" si="14"/>
        <v>3200</v>
      </c>
    </row>
    <row r="38" spans="1:59" s="17" customFormat="1" ht="16.149999999999999" customHeight="1" x14ac:dyDescent="0.3">
      <c r="A38" s="302" t="s">
        <v>197</v>
      </c>
      <c r="B38" s="56" t="s">
        <v>14</v>
      </c>
      <c r="C38" s="52">
        <v>0</v>
      </c>
      <c r="D38" s="52">
        <v>0</v>
      </c>
      <c r="E38" s="52">
        <v>0</v>
      </c>
      <c r="F38" s="52">
        <v>0</v>
      </c>
      <c r="G38" s="52">
        <v>2510</v>
      </c>
      <c r="H38" s="52">
        <v>0</v>
      </c>
      <c r="I38" s="52">
        <v>0</v>
      </c>
      <c r="J38" s="52">
        <v>0</v>
      </c>
      <c r="K38" s="52">
        <v>2510</v>
      </c>
      <c r="L38" s="52">
        <v>0</v>
      </c>
      <c r="M38" s="52">
        <v>0</v>
      </c>
      <c r="N38" s="52">
        <v>0</v>
      </c>
      <c r="O38" s="52">
        <v>2510</v>
      </c>
      <c r="P38" s="52">
        <v>0</v>
      </c>
      <c r="Q38" s="52">
        <v>0</v>
      </c>
      <c r="R38" s="52">
        <v>0</v>
      </c>
      <c r="S38" s="52">
        <v>0</v>
      </c>
      <c r="T38" s="52">
        <v>2510</v>
      </c>
      <c r="U38" s="52">
        <v>0</v>
      </c>
      <c r="V38" s="52">
        <v>0</v>
      </c>
      <c r="W38" s="52">
        <v>0</v>
      </c>
      <c r="X38" s="52">
        <v>2510</v>
      </c>
      <c r="Y38" s="52">
        <v>0</v>
      </c>
      <c r="Z38" s="52">
        <v>0</v>
      </c>
      <c r="AA38" s="52">
        <v>0</v>
      </c>
      <c r="AB38" s="52">
        <v>2510</v>
      </c>
      <c r="AC38" s="52">
        <v>0</v>
      </c>
      <c r="AD38" s="52">
        <v>0</v>
      </c>
      <c r="AE38" s="52">
        <v>0</v>
      </c>
      <c r="AF38" s="52">
        <v>0</v>
      </c>
      <c r="AG38" s="52">
        <v>2510</v>
      </c>
      <c r="AH38" s="52">
        <v>0</v>
      </c>
      <c r="AI38" s="52">
        <v>0</v>
      </c>
      <c r="AJ38" s="52">
        <v>0</v>
      </c>
      <c r="AK38" s="52">
        <v>2510</v>
      </c>
      <c r="AL38" s="52">
        <v>0</v>
      </c>
      <c r="AM38" s="52">
        <v>0</v>
      </c>
      <c r="AN38" s="52">
        <v>0</v>
      </c>
      <c r="AO38" s="52">
        <v>2510</v>
      </c>
      <c r="AP38" s="52">
        <v>0</v>
      </c>
      <c r="AQ38" s="52">
        <v>0</v>
      </c>
      <c r="AR38" s="52">
        <v>0</v>
      </c>
      <c r="AS38" s="52">
        <v>0</v>
      </c>
      <c r="AT38" s="52">
        <v>2510</v>
      </c>
      <c r="AU38" s="52">
        <v>0</v>
      </c>
      <c r="AV38" s="52">
        <v>0</v>
      </c>
      <c r="AW38" s="52">
        <v>0</v>
      </c>
      <c r="AX38" s="52">
        <v>2510</v>
      </c>
      <c r="AY38" s="52">
        <v>0</v>
      </c>
      <c r="AZ38" s="52">
        <v>0</v>
      </c>
      <c r="BA38" s="52">
        <v>0</v>
      </c>
      <c r="BB38" s="52">
        <v>2510</v>
      </c>
      <c r="BC38" s="53">
        <f ca="1">SUM(OFFSET($B38,0,1,1,Assumptions!$C$8))</f>
        <v>7530</v>
      </c>
      <c r="BD38" s="53">
        <f ca="1">SUM(OFFSET($B38,0,1+Assumptions!$C$8,1,SUM(Assumptions!$C$9)))</f>
        <v>7530</v>
      </c>
      <c r="BE38" s="53">
        <f ca="1">SUM(OFFSET($B38,0,1+SUM(Assumptions!$C$8:$C$9),1,SUM(Assumptions!$C$10)))</f>
        <v>7530</v>
      </c>
      <c r="BF38" s="53">
        <f ca="1">SUM(OFFSET($B38,0,1+SUM(Assumptions!$C$8:$C$10),1,SUM(Assumptions!$C$11)))</f>
        <v>7530</v>
      </c>
      <c r="BG38" s="53">
        <f t="shared" ca="1" si="14"/>
        <v>30120</v>
      </c>
    </row>
    <row r="39" spans="1:59" s="17" customFormat="1" ht="16.149999999999999" customHeight="1" x14ac:dyDescent="0.3">
      <c r="A39" s="302" t="s">
        <v>197</v>
      </c>
      <c r="B39" s="56" t="s">
        <v>24</v>
      </c>
      <c r="C39" s="52">
        <v>0</v>
      </c>
      <c r="D39" s="52">
        <v>0</v>
      </c>
      <c r="E39" s="52">
        <v>4000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4000</v>
      </c>
      <c r="W39" s="52">
        <v>0</v>
      </c>
      <c r="X39" s="52">
        <v>0</v>
      </c>
      <c r="Y39" s="52">
        <v>0</v>
      </c>
      <c r="Z39" s="52">
        <v>0</v>
      </c>
      <c r="AA39" s="52">
        <v>0</v>
      </c>
      <c r="AB39" s="52">
        <v>0</v>
      </c>
      <c r="AC39" s="52">
        <v>0</v>
      </c>
      <c r="AD39" s="52">
        <v>0</v>
      </c>
      <c r="AE39" s="52">
        <v>0</v>
      </c>
      <c r="AF39" s="52">
        <v>0</v>
      </c>
      <c r="AG39" s="52">
        <v>0</v>
      </c>
      <c r="AH39" s="52">
        <v>0</v>
      </c>
      <c r="AI39" s="52">
        <v>0</v>
      </c>
      <c r="AJ39" s="52">
        <v>0</v>
      </c>
      <c r="AK39" s="52">
        <v>0</v>
      </c>
      <c r="AL39" s="52">
        <v>0</v>
      </c>
      <c r="AM39" s="52">
        <v>0</v>
      </c>
      <c r="AN39" s="52">
        <v>4000</v>
      </c>
      <c r="AO39" s="52">
        <v>0</v>
      </c>
      <c r="AP39" s="52">
        <v>0</v>
      </c>
      <c r="AQ39" s="52">
        <v>0</v>
      </c>
      <c r="AR39" s="52">
        <v>0</v>
      </c>
      <c r="AS39" s="52">
        <v>0</v>
      </c>
      <c r="AT39" s="52">
        <v>0</v>
      </c>
      <c r="AU39" s="52">
        <v>0</v>
      </c>
      <c r="AV39" s="52">
        <v>0</v>
      </c>
      <c r="AW39" s="52">
        <v>0</v>
      </c>
      <c r="AX39" s="52">
        <v>0</v>
      </c>
      <c r="AY39" s="52">
        <v>0</v>
      </c>
      <c r="AZ39" s="52">
        <v>4000</v>
      </c>
      <c r="BA39" s="52">
        <v>0</v>
      </c>
      <c r="BB39" s="52">
        <v>0</v>
      </c>
      <c r="BC39" s="53">
        <f ca="1">SUM(OFFSET($B39,0,1,1,Assumptions!$C$8))</f>
        <v>4000</v>
      </c>
      <c r="BD39" s="53">
        <f ca="1">SUM(OFFSET($B39,0,1+Assumptions!$C$8,1,SUM(Assumptions!$C$9)))</f>
        <v>4000</v>
      </c>
      <c r="BE39" s="53">
        <f ca="1">SUM(OFFSET($B39,0,1+SUM(Assumptions!$C$8:$C$9),1,SUM(Assumptions!$C$10)))</f>
        <v>4000</v>
      </c>
      <c r="BF39" s="53">
        <f ca="1">SUM(OFFSET($B39,0,1+SUM(Assumptions!$C$8:$C$10),1,SUM(Assumptions!$C$11)))</f>
        <v>4000</v>
      </c>
      <c r="BG39" s="53">
        <f t="shared" ca="1" si="14"/>
        <v>16000</v>
      </c>
    </row>
    <row r="40" spans="1:59" s="17" customFormat="1" ht="16.149999999999999" customHeight="1" x14ac:dyDescent="0.3">
      <c r="A40" s="302" t="s">
        <v>197</v>
      </c>
      <c r="B40" s="56" t="s">
        <v>6</v>
      </c>
      <c r="C40" s="52">
        <v>0</v>
      </c>
      <c r="D40" s="52">
        <v>0</v>
      </c>
      <c r="E40" s="52">
        <v>0</v>
      </c>
      <c r="F40" s="52">
        <v>0</v>
      </c>
      <c r="G40" s="52">
        <v>0</v>
      </c>
      <c r="H40" s="52">
        <v>0</v>
      </c>
      <c r="I40" s="52">
        <v>0</v>
      </c>
      <c r="J40" s="52">
        <v>0</v>
      </c>
      <c r="K40" s="52">
        <v>0</v>
      </c>
      <c r="L40" s="52">
        <v>0</v>
      </c>
      <c r="M40" s="52">
        <v>0</v>
      </c>
      <c r="N40" s="52">
        <v>0</v>
      </c>
      <c r="O40" s="52">
        <v>0</v>
      </c>
      <c r="P40" s="52">
        <v>0</v>
      </c>
      <c r="Q40" s="52">
        <v>2500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0</v>
      </c>
      <c r="AM40" s="52">
        <v>0</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3">
        <f ca="1">SUM(OFFSET($B40,0,1,1,Assumptions!$C$8))</f>
        <v>0</v>
      </c>
      <c r="BD40" s="53">
        <f ca="1">SUM(OFFSET($B40,0,1+Assumptions!$C$8,1,SUM(Assumptions!$C$9)))</f>
        <v>2500</v>
      </c>
      <c r="BE40" s="53">
        <f ca="1">SUM(OFFSET($B40,0,1+SUM(Assumptions!$C$8:$C$9),1,SUM(Assumptions!$C$10)))</f>
        <v>0</v>
      </c>
      <c r="BF40" s="53">
        <f ca="1">SUM(OFFSET($B40,0,1+SUM(Assumptions!$C$8:$C$10),1,SUM(Assumptions!$C$11)))</f>
        <v>0</v>
      </c>
      <c r="BG40" s="53">
        <f t="shared" ca="1" si="14"/>
        <v>2500</v>
      </c>
    </row>
    <row r="41" spans="1:59" s="10" customFormat="1" ht="16.149999999999999" customHeight="1" thickBot="1" x14ac:dyDescent="0.35">
      <c r="A41" s="308"/>
      <c r="B41" s="3" t="s">
        <v>206</v>
      </c>
      <c r="C41" s="57">
        <f ca="1">SUM(OFFSET(C18,1,0,ROW($B$41)-ROW($B$18)-1,1))</f>
        <v>23250</v>
      </c>
      <c r="D41" s="57">
        <f t="shared" ref="D41:BG41" ca="1" si="15">SUM(OFFSET(D18,1,0,ROW($B$41)-ROW($B$18)-1,1))</f>
        <v>0</v>
      </c>
      <c r="E41" s="57">
        <f t="shared" ca="1" si="15"/>
        <v>4800</v>
      </c>
      <c r="F41" s="57">
        <f t="shared" ca="1" si="15"/>
        <v>0</v>
      </c>
      <c r="G41" s="57">
        <f t="shared" ca="1" si="15"/>
        <v>15285</v>
      </c>
      <c r="H41" s="57">
        <f t="shared" ca="1" si="15"/>
        <v>30000</v>
      </c>
      <c r="I41" s="57">
        <f t="shared" ca="1" si="15"/>
        <v>15200</v>
      </c>
      <c r="J41" s="57">
        <f t="shared" ca="1" si="15"/>
        <v>2660</v>
      </c>
      <c r="K41" s="57">
        <f t="shared" ca="1" si="15"/>
        <v>11485</v>
      </c>
      <c r="L41" s="57">
        <f t="shared" ca="1" si="15"/>
        <v>26300</v>
      </c>
      <c r="M41" s="57">
        <f t="shared" ca="1" si="15"/>
        <v>1619</v>
      </c>
      <c r="N41" s="57">
        <f t="shared" ca="1" si="15"/>
        <v>0</v>
      </c>
      <c r="O41" s="57">
        <f t="shared" ca="1" si="15"/>
        <v>31485</v>
      </c>
      <c r="P41" s="57">
        <f t="shared" ca="1" si="15"/>
        <v>22000</v>
      </c>
      <c r="Q41" s="57">
        <f t="shared" ca="1" si="15"/>
        <v>2500</v>
      </c>
      <c r="R41" s="57">
        <f t="shared" ca="1" si="15"/>
        <v>920</v>
      </c>
      <c r="S41" s="57">
        <f t="shared" ca="1" si="15"/>
        <v>12000</v>
      </c>
      <c r="T41" s="57">
        <f t="shared" ca="1" si="15"/>
        <v>13835</v>
      </c>
      <c r="U41" s="57">
        <f t="shared" ca="1" si="15"/>
        <v>22567</v>
      </c>
      <c r="V41" s="57">
        <f t="shared" ca="1" si="15"/>
        <v>6205</v>
      </c>
      <c r="W41" s="57">
        <f t="shared" ca="1" si="15"/>
        <v>9000</v>
      </c>
      <c r="X41" s="57">
        <f t="shared" ca="1" si="15"/>
        <v>11735</v>
      </c>
      <c r="Y41" s="57">
        <f t="shared" ca="1" si="15"/>
        <v>22000</v>
      </c>
      <c r="Z41" s="57">
        <f t="shared" ca="1" si="15"/>
        <v>13285</v>
      </c>
      <c r="AA41" s="57">
        <f t="shared" ca="1" si="15"/>
        <v>0</v>
      </c>
      <c r="AB41" s="57">
        <f t="shared" ca="1" si="15"/>
        <v>21735</v>
      </c>
      <c r="AC41" s="57">
        <f t="shared" ca="1" si="15"/>
        <v>22000</v>
      </c>
      <c r="AD41" s="57">
        <f t="shared" ca="1" si="15"/>
        <v>1900</v>
      </c>
      <c r="AE41" s="57">
        <f t="shared" ca="1" si="15"/>
        <v>950</v>
      </c>
      <c r="AF41" s="57">
        <f t="shared" ca="1" si="15"/>
        <v>854</v>
      </c>
      <c r="AG41" s="57">
        <f t="shared" ca="1" si="15"/>
        <v>11735</v>
      </c>
      <c r="AH41" s="57">
        <f t="shared" ca="1" si="15"/>
        <v>32000</v>
      </c>
      <c r="AI41" s="57">
        <f t="shared" ca="1" si="15"/>
        <v>1714</v>
      </c>
      <c r="AJ41" s="57">
        <f t="shared" ca="1" si="15"/>
        <v>22000</v>
      </c>
      <c r="AK41" s="57">
        <f t="shared" ca="1" si="15"/>
        <v>14735</v>
      </c>
      <c r="AL41" s="57">
        <f t="shared" ca="1" si="15"/>
        <v>25900</v>
      </c>
      <c r="AM41" s="57">
        <f t="shared" ca="1" si="15"/>
        <v>950</v>
      </c>
      <c r="AN41" s="57">
        <f t="shared" ca="1" si="15"/>
        <v>4000</v>
      </c>
      <c r="AO41" s="57">
        <f t="shared" ca="1" si="15"/>
        <v>24735</v>
      </c>
      <c r="AP41" s="57">
        <f t="shared" ca="1" si="15"/>
        <v>0</v>
      </c>
      <c r="AQ41" s="57">
        <f t="shared" ca="1" si="15"/>
        <v>22000</v>
      </c>
      <c r="AR41" s="57">
        <f t="shared" ca="1" si="15"/>
        <v>22950</v>
      </c>
      <c r="AS41" s="57">
        <f t="shared" ca="1" si="15"/>
        <v>6656</v>
      </c>
      <c r="AT41" s="57">
        <f t="shared" ca="1" si="15"/>
        <v>11735</v>
      </c>
      <c r="AU41" s="57">
        <f t="shared" ca="1" si="15"/>
        <v>22000</v>
      </c>
      <c r="AV41" s="57">
        <f t="shared" ca="1" si="15"/>
        <v>950</v>
      </c>
      <c r="AW41" s="57">
        <f t="shared" ca="1" si="15"/>
        <v>3200</v>
      </c>
      <c r="AX41" s="57">
        <f t="shared" ca="1" si="15"/>
        <v>18935</v>
      </c>
      <c r="AY41" s="57">
        <f t="shared" ca="1" si="15"/>
        <v>22000</v>
      </c>
      <c r="AZ41" s="57">
        <f t="shared" ca="1" si="15"/>
        <v>4970</v>
      </c>
      <c r="BA41" s="57">
        <f t="shared" ca="1" si="15"/>
        <v>19000</v>
      </c>
      <c r="BB41" s="57">
        <f t="shared" ca="1" si="15"/>
        <v>29722</v>
      </c>
      <c r="BC41" s="57">
        <f t="shared" ca="1" si="15"/>
        <v>162084</v>
      </c>
      <c r="BD41" s="57">
        <f t="shared" ca="1" si="15"/>
        <v>157782</v>
      </c>
      <c r="BE41" s="57">
        <f t="shared" ca="1" si="15"/>
        <v>163473</v>
      </c>
      <c r="BF41" s="57">
        <f t="shared" ca="1" si="15"/>
        <v>184118</v>
      </c>
      <c r="BG41" s="57">
        <f t="shared" ca="1" si="15"/>
        <v>667457</v>
      </c>
    </row>
    <row r="42" spans="1:59" s="10" customFormat="1" ht="16.149999999999999" customHeight="1" x14ac:dyDescent="0.3">
      <c r="A42" s="308"/>
      <c r="B42" s="3" t="s">
        <v>122</v>
      </c>
      <c r="C42" s="53"/>
      <c r="D42" s="53"/>
      <c r="E42" s="53"/>
      <c r="F42" s="53"/>
      <c r="G42" s="53"/>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row>
    <row r="43" spans="1:59" s="17" customFormat="1" ht="16.149999999999999" customHeight="1" x14ac:dyDescent="0.3">
      <c r="A43" s="302" t="s">
        <v>306</v>
      </c>
      <c r="B43" s="56" t="s">
        <v>207</v>
      </c>
      <c r="C43" s="52">
        <v>0</v>
      </c>
      <c r="D43" s="52">
        <v>0</v>
      </c>
      <c r="E43" s="52">
        <v>0</v>
      </c>
      <c r="F43" s="52">
        <v>70000</v>
      </c>
      <c r="G43" s="52">
        <v>0</v>
      </c>
      <c r="H43" s="52">
        <v>0</v>
      </c>
      <c r="I43" s="52">
        <v>0</v>
      </c>
      <c r="J43" s="52">
        <v>0</v>
      </c>
      <c r="K43" s="52">
        <v>70000</v>
      </c>
      <c r="L43" s="52">
        <v>0</v>
      </c>
      <c r="M43" s="52">
        <v>0</v>
      </c>
      <c r="N43" s="52">
        <v>0</v>
      </c>
      <c r="O43" s="52">
        <v>70000</v>
      </c>
      <c r="P43" s="52">
        <v>0</v>
      </c>
      <c r="Q43" s="52">
        <v>0</v>
      </c>
      <c r="R43" s="52">
        <v>0</v>
      </c>
      <c r="S43" s="52">
        <v>70000</v>
      </c>
      <c r="T43" s="52">
        <v>0</v>
      </c>
      <c r="U43" s="52">
        <v>0</v>
      </c>
      <c r="V43" s="52">
        <v>0</v>
      </c>
      <c r="W43" s="52">
        <v>0</v>
      </c>
      <c r="X43" s="52">
        <v>70000</v>
      </c>
      <c r="Y43" s="52">
        <v>0</v>
      </c>
      <c r="Z43" s="52">
        <v>0</v>
      </c>
      <c r="AA43" s="52">
        <v>0</v>
      </c>
      <c r="AB43" s="52">
        <v>70000</v>
      </c>
      <c r="AC43" s="52">
        <v>0</v>
      </c>
      <c r="AD43" s="52">
        <v>0</v>
      </c>
      <c r="AE43" s="52">
        <v>0</v>
      </c>
      <c r="AF43" s="52">
        <v>0</v>
      </c>
      <c r="AG43" s="52">
        <v>70000</v>
      </c>
      <c r="AH43" s="52">
        <v>0</v>
      </c>
      <c r="AI43" s="52">
        <v>0</v>
      </c>
      <c r="AJ43" s="52">
        <v>0</v>
      </c>
      <c r="AK43" s="52">
        <v>70000</v>
      </c>
      <c r="AL43" s="52">
        <v>0</v>
      </c>
      <c r="AM43" s="52">
        <v>0</v>
      </c>
      <c r="AN43" s="52">
        <v>0</v>
      </c>
      <c r="AO43" s="52">
        <v>70000</v>
      </c>
      <c r="AP43" s="52">
        <v>0</v>
      </c>
      <c r="AQ43" s="52">
        <v>0</v>
      </c>
      <c r="AR43" s="52">
        <v>0</v>
      </c>
      <c r="AS43" s="52">
        <v>75000</v>
      </c>
      <c r="AT43" s="52">
        <v>0</v>
      </c>
      <c r="AU43" s="52">
        <v>0</v>
      </c>
      <c r="AV43" s="52">
        <v>0</v>
      </c>
      <c r="AW43" s="52">
        <v>0</v>
      </c>
      <c r="AX43" s="52">
        <v>70000</v>
      </c>
      <c r="AY43" s="52">
        <v>0</v>
      </c>
      <c r="AZ43" s="52">
        <v>0</v>
      </c>
      <c r="BA43" s="52">
        <v>0</v>
      </c>
      <c r="BB43" s="52">
        <v>70000</v>
      </c>
      <c r="BC43" s="53">
        <f ca="1">SUM(OFFSET($B43,0,1,1,Assumptions!$C$8))</f>
        <v>210000</v>
      </c>
      <c r="BD43" s="53">
        <f ca="1">SUM(OFFSET($B43,0,1+Assumptions!$C$8,1,SUM(Assumptions!$C$9)))</f>
        <v>210000</v>
      </c>
      <c r="BE43" s="53">
        <f ca="1">SUM(OFFSET($B43,0,1+SUM(Assumptions!$C$8:$C$9),1,SUM(Assumptions!$C$10)))</f>
        <v>210000</v>
      </c>
      <c r="BF43" s="53">
        <f ca="1">SUM(OFFSET($B43,0,1+SUM(Assumptions!$C$8:$C$10),1,SUM(Assumptions!$C$11)))</f>
        <v>215000</v>
      </c>
      <c r="BG43" s="53">
        <f t="shared" ref="BG43:BG44" ca="1" si="16">SUM(BC43:BF43)</f>
        <v>845000</v>
      </c>
    </row>
    <row r="44" spans="1:59" s="17" customFormat="1" ht="16.149999999999999" customHeight="1" x14ac:dyDescent="0.3">
      <c r="A44" s="302" t="s">
        <v>306</v>
      </c>
      <c r="B44" s="56" t="s">
        <v>208</v>
      </c>
      <c r="C44" s="52">
        <v>5800</v>
      </c>
      <c r="D44" s="52">
        <v>5800</v>
      </c>
      <c r="E44" s="52">
        <v>5800</v>
      </c>
      <c r="F44" s="52">
        <v>5800</v>
      </c>
      <c r="G44" s="52">
        <v>5800</v>
      </c>
      <c r="H44" s="52">
        <v>5800</v>
      </c>
      <c r="I44" s="52">
        <v>5800</v>
      </c>
      <c r="J44" s="52">
        <v>5800</v>
      </c>
      <c r="K44" s="52">
        <v>5800</v>
      </c>
      <c r="L44" s="52">
        <v>5800</v>
      </c>
      <c r="M44" s="52">
        <v>5800</v>
      </c>
      <c r="N44" s="52">
        <v>5800</v>
      </c>
      <c r="O44" s="52">
        <v>5800</v>
      </c>
      <c r="P44" s="52">
        <v>5800</v>
      </c>
      <c r="Q44" s="52">
        <v>5800</v>
      </c>
      <c r="R44" s="52">
        <v>5800</v>
      </c>
      <c r="S44" s="52">
        <v>5800</v>
      </c>
      <c r="T44" s="52">
        <v>5800</v>
      </c>
      <c r="U44" s="52">
        <v>5800</v>
      </c>
      <c r="V44" s="52">
        <v>5800</v>
      </c>
      <c r="W44" s="52">
        <v>5800</v>
      </c>
      <c r="X44" s="52">
        <v>5800</v>
      </c>
      <c r="Y44" s="52">
        <v>5800</v>
      </c>
      <c r="Z44" s="52">
        <v>5800</v>
      </c>
      <c r="AA44" s="52">
        <v>6200</v>
      </c>
      <c r="AB44" s="52">
        <v>6200</v>
      </c>
      <c r="AC44" s="52">
        <v>6200</v>
      </c>
      <c r="AD44" s="52">
        <v>6200</v>
      </c>
      <c r="AE44" s="52">
        <v>6200</v>
      </c>
      <c r="AF44" s="52">
        <v>6200</v>
      </c>
      <c r="AG44" s="52">
        <v>6200</v>
      </c>
      <c r="AH44" s="52">
        <v>6200</v>
      </c>
      <c r="AI44" s="52">
        <v>6200</v>
      </c>
      <c r="AJ44" s="52">
        <v>6200</v>
      </c>
      <c r="AK44" s="52">
        <v>6200</v>
      </c>
      <c r="AL44" s="52">
        <v>6200</v>
      </c>
      <c r="AM44" s="52">
        <v>6200</v>
      </c>
      <c r="AN44" s="52">
        <v>6200</v>
      </c>
      <c r="AO44" s="52">
        <v>6200</v>
      </c>
      <c r="AP44" s="52">
        <v>6200</v>
      </c>
      <c r="AQ44" s="52">
        <v>6800</v>
      </c>
      <c r="AR44" s="52">
        <v>6800</v>
      </c>
      <c r="AS44" s="52">
        <v>6800</v>
      </c>
      <c r="AT44" s="52">
        <v>6800</v>
      </c>
      <c r="AU44" s="52">
        <v>6800</v>
      </c>
      <c r="AV44" s="52">
        <v>6800</v>
      </c>
      <c r="AW44" s="52">
        <v>6800</v>
      </c>
      <c r="AX44" s="52">
        <v>6800</v>
      </c>
      <c r="AY44" s="52">
        <v>6800</v>
      </c>
      <c r="AZ44" s="52">
        <v>6800</v>
      </c>
      <c r="BA44" s="52">
        <v>6800</v>
      </c>
      <c r="BB44" s="52">
        <v>6800</v>
      </c>
      <c r="BC44" s="53">
        <f ca="1">SUM(OFFSET($B44,0,1,1,Assumptions!$C$8))</f>
        <v>75400</v>
      </c>
      <c r="BD44" s="53">
        <f ca="1">SUM(OFFSET($B44,0,1+Assumptions!$C$8,1,SUM(Assumptions!$C$9)))</f>
        <v>76200</v>
      </c>
      <c r="BE44" s="53">
        <f ca="1">SUM(OFFSET($B44,0,1+SUM(Assumptions!$C$8:$C$9),1,SUM(Assumptions!$C$10)))</f>
        <v>80600</v>
      </c>
      <c r="BF44" s="53">
        <f ca="1">SUM(OFFSET($B44,0,1+SUM(Assumptions!$C$8:$C$10),1,SUM(Assumptions!$C$11)))</f>
        <v>87800</v>
      </c>
      <c r="BG44" s="53">
        <f t="shared" ca="1" si="16"/>
        <v>320000</v>
      </c>
    </row>
    <row r="45" spans="1:59" s="10" customFormat="1" ht="16.149999999999999" customHeight="1" thickBot="1" x14ac:dyDescent="0.35">
      <c r="A45" s="308" t="s">
        <v>192</v>
      </c>
      <c r="B45" s="3" t="s">
        <v>209</v>
      </c>
      <c r="C45" s="57">
        <f ca="1">SUM(OFFSET(C42,1,0,ROW($B45)-ROW($B42)-1,1))</f>
        <v>5800</v>
      </c>
      <c r="D45" s="57">
        <f t="shared" ref="D45:BG45" ca="1" si="17">SUM(OFFSET(D42,1,0,ROW($B45)-ROW($B42)-1,1))</f>
        <v>5800</v>
      </c>
      <c r="E45" s="57">
        <f t="shared" ca="1" si="17"/>
        <v>5800</v>
      </c>
      <c r="F45" s="57">
        <f t="shared" ca="1" si="17"/>
        <v>75800</v>
      </c>
      <c r="G45" s="57">
        <f t="shared" ca="1" si="17"/>
        <v>5800</v>
      </c>
      <c r="H45" s="57">
        <f t="shared" ca="1" si="17"/>
        <v>5800</v>
      </c>
      <c r="I45" s="57">
        <f t="shared" ca="1" si="17"/>
        <v>5800</v>
      </c>
      <c r="J45" s="57">
        <f t="shared" ca="1" si="17"/>
        <v>5800</v>
      </c>
      <c r="K45" s="57">
        <f t="shared" ca="1" si="17"/>
        <v>75800</v>
      </c>
      <c r="L45" s="57">
        <f t="shared" ca="1" si="17"/>
        <v>5800</v>
      </c>
      <c r="M45" s="57">
        <f t="shared" ca="1" si="17"/>
        <v>5800</v>
      </c>
      <c r="N45" s="57">
        <f t="shared" ca="1" si="17"/>
        <v>5800</v>
      </c>
      <c r="O45" s="57">
        <f t="shared" ca="1" si="17"/>
        <v>75800</v>
      </c>
      <c r="P45" s="57">
        <f t="shared" ca="1" si="17"/>
        <v>5800</v>
      </c>
      <c r="Q45" s="57">
        <f t="shared" ca="1" si="17"/>
        <v>5800</v>
      </c>
      <c r="R45" s="57">
        <f t="shared" ca="1" si="17"/>
        <v>5800</v>
      </c>
      <c r="S45" s="57">
        <f t="shared" ca="1" si="17"/>
        <v>75800</v>
      </c>
      <c r="T45" s="57">
        <f t="shared" ca="1" si="17"/>
        <v>5800</v>
      </c>
      <c r="U45" s="57">
        <f t="shared" ca="1" si="17"/>
        <v>5800</v>
      </c>
      <c r="V45" s="57">
        <f t="shared" ca="1" si="17"/>
        <v>5800</v>
      </c>
      <c r="W45" s="57">
        <f t="shared" ca="1" si="17"/>
        <v>5800</v>
      </c>
      <c r="X45" s="57">
        <f t="shared" ca="1" si="17"/>
        <v>75800</v>
      </c>
      <c r="Y45" s="57">
        <f t="shared" ca="1" si="17"/>
        <v>5800</v>
      </c>
      <c r="Z45" s="57">
        <f t="shared" ca="1" si="17"/>
        <v>5800</v>
      </c>
      <c r="AA45" s="57">
        <f t="shared" ca="1" si="17"/>
        <v>6200</v>
      </c>
      <c r="AB45" s="57">
        <f t="shared" ca="1" si="17"/>
        <v>76200</v>
      </c>
      <c r="AC45" s="57">
        <f t="shared" ca="1" si="17"/>
        <v>6200</v>
      </c>
      <c r="AD45" s="57">
        <f t="shared" ca="1" si="17"/>
        <v>6200</v>
      </c>
      <c r="AE45" s="57">
        <f t="shared" ca="1" si="17"/>
        <v>6200</v>
      </c>
      <c r="AF45" s="57">
        <f t="shared" ca="1" si="17"/>
        <v>6200</v>
      </c>
      <c r="AG45" s="57">
        <f t="shared" ca="1" si="17"/>
        <v>76200</v>
      </c>
      <c r="AH45" s="57">
        <f t="shared" ca="1" si="17"/>
        <v>6200</v>
      </c>
      <c r="AI45" s="57">
        <f t="shared" ca="1" si="17"/>
        <v>6200</v>
      </c>
      <c r="AJ45" s="57">
        <f t="shared" ca="1" si="17"/>
        <v>6200</v>
      </c>
      <c r="AK45" s="57">
        <f t="shared" ca="1" si="17"/>
        <v>76200</v>
      </c>
      <c r="AL45" s="57">
        <f t="shared" ca="1" si="17"/>
        <v>6200</v>
      </c>
      <c r="AM45" s="57">
        <f t="shared" ca="1" si="17"/>
        <v>6200</v>
      </c>
      <c r="AN45" s="57">
        <f t="shared" ca="1" si="17"/>
        <v>6200</v>
      </c>
      <c r="AO45" s="57">
        <f t="shared" ca="1" si="17"/>
        <v>76200</v>
      </c>
      <c r="AP45" s="57">
        <f t="shared" ca="1" si="17"/>
        <v>6200</v>
      </c>
      <c r="AQ45" s="57">
        <f t="shared" ca="1" si="17"/>
        <v>6800</v>
      </c>
      <c r="AR45" s="57">
        <f t="shared" ca="1" si="17"/>
        <v>6800</v>
      </c>
      <c r="AS45" s="57">
        <f t="shared" ca="1" si="17"/>
        <v>81800</v>
      </c>
      <c r="AT45" s="57">
        <f t="shared" ca="1" si="17"/>
        <v>6800</v>
      </c>
      <c r="AU45" s="57">
        <f t="shared" ca="1" si="17"/>
        <v>6800</v>
      </c>
      <c r="AV45" s="57">
        <f t="shared" ca="1" si="17"/>
        <v>6800</v>
      </c>
      <c r="AW45" s="57">
        <f t="shared" ca="1" si="17"/>
        <v>6800</v>
      </c>
      <c r="AX45" s="57">
        <f t="shared" ca="1" si="17"/>
        <v>76800</v>
      </c>
      <c r="AY45" s="57">
        <f t="shared" ca="1" si="17"/>
        <v>6800</v>
      </c>
      <c r="AZ45" s="57">
        <f t="shared" ca="1" si="17"/>
        <v>6800</v>
      </c>
      <c r="BA45" s="57">
        <f t="shared" ca="1" si="17"/>
        <v>6800</v>
      </c>
      <c r="BB45" s="57">
        <f t="shared" ca="1" si="17"/>
        <v>76800</v>
      </c>
      <c r="BC45" s="57">
        <f t="shared" ca="1" si="17"/>
        <v>285400</v>
      </c>
      <c r="BD45" s="57">
        <f t="shared" ca="1" si="17"/>
        <v>286200</v>
      </c>
      <c r="BE45" s="57">
        <f t="shared" ca="1" si="17"/>
        <v>290600</v>
      </c>
      <c r="BF45" s="57">
        <f t="shared" ca="1" si="17"/>
        <v>302800</v>
      </c>
      <c r="BG45" s="57">
        <f t="shared" ca="1" si="17"/>
        <v>1165000</v>
      </c>
    </row>
    <row r="46" spans="1:59" s="10" customFormat="1" ht="16.149999999999999" customHeight="1" x14ac:dyDescent="0.3">
      <c r="A46" s="308"/>
      <c r="B46" s="3" t="s">
        <v>123</v>
      </c>
      <c r="C46" s="53"/>
      <c r="D46" s="53"/>
      <c r="E46" s="53"/>
      <c r="F46" s="53"/>
      <c r="G46" s="53"/>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row>
    <row r="47" spans="1:59" ht="16.149999999999999" customHeight="1" x14ac:dyDescent="0.3">
      <c r="A47" s="311" t="s">
        <v>210</v>
      </c>
      <c r="B47" s="12" t="s">
        <v>57</v>
      </c>
      <c r="C47" s="52">
        <v>0</v>
      </c>
      <c r="D47" s="52">
        <v>0</v>
      </c>
      <c r="E47" s="52">
        <v>0</v>
      </c>
      <c r="F47" s="52">
        <v>0</v>
      </c>
      <c r="G47" s="52">
        <v>15000</v>
      </c>
      <c r="H47" s="52">
        <v>0</v>
      </c>
      <c r="I47" s="52">
        <v>0</v>
      </c>
      <c r="J47" s="52">
        <v>0</v>
      </c>
      <c r="K47" s="52">
        <v>15000</v>
      </c>
      <c r="L47" s="52">
        <v>0</v>
      </c>
      <c r="M47" s="52">
        <v>0</v>
      </c>
      <c r="N47" s="52">
        <v>0</v>
      </c>
      <c r="O47" s="52">
        <v>15000</v>
      </c>
      <c r="P47" s="52">
        <v>0</v>
      </c>
      <c r="Q47" s="52">
        <v>0</v>
      </c>
      <c r="R47" s="52">
        <v>0</v>
      </c>
      <c r="S47" s="52">
        <v>0</v>
      </c>
      <c r="T47" s="52">
        <v>15000</v>
      </c>
      <c r="U47" s="52">
        <v>0</v>
      </c>
      <c r="V47" s="52">
        <v>0</v>
      </c>
      <c r="W47" s="52">
        <v>0</v>
      </c>
      <c r="X47" s="52">
        <v>15000</v>
      </c>
      <c r="Y47" s="52">
        <v>0</v>
      </c>
      <c r="Z47" s="52">
        <v>0</v>
      </c>
      <c r="AA47" s="52">
        <v>0</v>
      </c>
      <c r="AB47" s="52">
        <v>15000</v>
      </c>
      <c r="AC47" s="52">
        <v>0</v>
      </c>
      <c r="AD47" s="52">
        <v>0</v>
      </c>
      <c r="AE47" s="52">
        <v>0</v>
      </c>
      <c r="AF47" s="52">
        <v>0</v>
      </c>
      <c r="AG47" s="52">
        <v>15000</v>
      </c>
      <c r="AH47" s="52">
        <v>0</v>
      </c>
      <c r="AI47" s="52">
        <v>0</v>
      </c>
      <c r="AJ47" s="52">
        <v>0</v>
      </c>
      <c r="AK47" s="52">
        <v>15000</v>
      </c>
      <c r="AL47" s="52">
        <v>0</v>
      </c>
      <c r="AM47" s="52">
        <v>0</v>
      </c>
      <c r="AN47" s="52">
        <v>0</v>
      </c>
      <c r="AO47" s="52">
        <v>15000</v>
      </c>
      <c r="AP47" s="52">
        <v>0</v>
      </c>
      <c r="AQ47" s="52">
        <v>0</v>
      </c>
      <c r="AR47" s="52">
        <v>0</v>
      </c>
      <c r="AS47" s="52">
        <v>0</v>
      </c>
      <c r="AT47" s="52">
        <v>15000</v>
      </c>
      <c r="AU47" s="52">
        <v>0</v>
      </c>
      <c r="AV47" s="52">
        <v>0</v>
      </c>
      <c r="AW47" s="52">
        <v>0</v>
      </c>
      <c r="AX47" s="52">
        <v>19000</v>
      </c>
      <c r="AY47" s="52">
        <v>0</v>
      </c>
      <c r="AZ47" s="52">
        <v>0</v>
      </c>
      <c r="BA47" s="52">
        <v>0</v>
      </c>
      <c r="BB47" s="52">
        <v>19000</v>
      </c>
      <c r="BC47" s="53">
        <f ca="1">SUM(OFFSET($B47,0,1,1,Assumptions!$C$8))</f>
        <v>45000</v>
      </c>
      <c r="BD47" s="53">
        <f ca="1">SUM(OFFSET($B47,0,1+Assumptions!$C$8,1,SUM(Assumptions!$C$9)))</f>
        <v>45000</v>
      </c>
      <c r="BE47" s="53">
        <f ca="1">SUM(OFFSET($B47,0,1+SUM(Assumptions!$C$8:$C$9),1,SUM(Assumptions!$C$10)))</f>
        <v>45000</v>
      </c>
      <c r="BF47" s="53">
        <f ca="1">SUM(OFFSET($B47,0,1+SUM(Assumptions!$C$8:$C$10),1,SUM(Assumptions!$C$11)))</f>
        <v>53000</v>
      </c>
      <c r="BG47" s="53">
        <f ca="1">SUM(BC47:BF47)</f>
        <v>188000</v>
      </c>
    </row>
    <row r="48" spans="1:59" ht="16.149999999999999" customHeight="1" x14ac:dyDescent="0.3">
      <c r="A48" s="311" t="s">
        <v>211</v>
      </c>
      <c r="B48" s="12" t="s">
        <v>212</v>
      </c>
      <c r="C48" s="52">
        <v>0</v>
      </c>
      <c r="D48" s="52">
        <v>0</v>
      </c>
      <c r="E48" s="52">
        <v>0</v>
      </c>
      <c r="F48" s="52">
        <v>0</v>
      </c>
      <c r="G48" s="52">
        <v>1000</v>
      </c>
      <c r="H48" s="52">
        <v>0</v>
      </c>
      <c r="I48" s="52">
        <v>0</v>
      </c>
      <c r="J48" s="52">
        <v>0</v>
      </c>
      <c r="K48" s="52">
        <v>1000</v>
      </c>
      <c r="L48" s="52">
        <v>0</v>
      </c>
      <c r="M48" s="52">
        <v>0</v>
      </c>
      <c r="N48" s="52">
        <v>0</v>
      </c>
      <c r="O48" s="52">
        <v>1000</v>
      </c>
      <c r="P48" s="52">
        <v>0</v>
      </c>
      <c r="Q48" s="52">
        <v>0</v>
      </c>
      <c r="R48" s="52">
        <v>0</v>
      </c>
      <c r="S48" s="52">
        <v>0</v>
      </c>
      <c r="T48" s="52">
        <v>1000</v>
      </c>
      <c r="U48" s="52">
        <v>0</v>
      </c>
      <c r="V48" s="52">
        <v>0</v>
      </c>
      <c r="W48" s="52">
        <v>0</v>
      </c>
      <c r="X48" s="52">
        <v>1000</v>
      </c>
      <c r="Y48" s="52">
        <v>0</v>
      </c>
      <c r="Z48" s="52">
        <v>0</v>
      </c>
      <c r="AA48" s="52">
        <v>0</v>
      </c>
      <c r="AB48" s="52">
        <v>1000</v>
      </c>
      <c r="AC48" s="52">
        <v>0</v>
      </c>
      <c r="AD48" s="52">
        <v>0</v>
      </c>
      <c r="AE48" s="52">
        <v>0</v>
      </c>
      <c r="AF48" s="52">
        <v>0</v>
      </c>
      <c r="AG48" s="52">
        <v>1000</v>
      </c>
      <c r="AH48" s="52">
        <v>0</v>
      </c>
      <c r="AI48" s="52">
        <v>0</v>
      </c>
      <c r="AJ48" s="52">
        <v>0</v>
      </c>
      <c r="AK48" s="52">
        <v>1000</v>
      </c>
      <c r="AL48" s="52">
        <v>0</v>
      </c>
      <c r="AM48" s="52">
        <v>0</v>
      </c>
      <c r="AN48" s="52">
        <v>0</v>
      </c>
      <c r="AO48" s="52">
        <v>1000</v>
      </c>
      <c r="AP48" s="52">
        <v>0</v>
      </c>
      <c r="AQ48" s="52">
        <v>0</v>
      </c>
      <c r="AR48" s="52">
        <v>0</v>
      </c>
      <c r="AS48" s="52">
        <v>0</v>
      </c>
      <c r="AT48" s="52">
        <v>1000</v>
      </c>
      <c r="AU48" s="52">
        <v>0</v>
      </c>
      <c r="AV48" s="52">
        <v>0</v>
      </c>
      <c r="AW48" s="52">
        <v>0</v>
      </c>
      <c r="AX48" s="52">
        <v>1000</v>
      </c>
      <c r="AY48" s="52">
        <v>0</v>
      </c>
      <c r="AZ48" s="52">
        <v>0</v>
      </c>
      <c r="BA48" s="52">
        <v>0</v>
      </c>
      <c r="BB48" s="52">
        <v>1000</v>
      </c>
      <c r="BC48" s="53">
        <f ca="1">SUM(OFFSET($B48,0,1,1,Assumptions!$C$8))</f>
        <v>3000</v>
      </c>
      <c r="BD48" s="53">
        <f ca="1">SUM(OFFSET($B48,0,1+Assumptions!$C$8,1,SUM(Assumptions!$C$9)))</f>
        <v>3000</v>
      </c>
      <c r="BE48" s="53">
        <f ca="1">SUM(OFFSET($B48,0,1+SUM(Assumptions!$C$8:$C$9),1,SUM(Assumptions!$C$10)))</f>
        <v>3000</v>
      </c>
      <c r="BF48" s="53">
        <f ca="1">SUM(OFFSET($B48,0,1+SUM(Assumptions!$C$8:$C$10),1,SUM(Assumptions!$C$11)))</f>
        <v>3000</v>
      </c>
      <c r="BG48" s="53">
        <f ca="1">SUM(BC48:BF48)</f>
        <v>12000</v>
      </c>
    </row>
    <row r="49" spans="1:59" s="10" customFormat="1" ht="16.149999999999999" customHeight="1" thickBot="1" x14ac:dyDescent="0.3">
      <c r="A49" s="316"/>
      <c r="B49" s="3" t="s">
        <v>213</v>
      </c>
      <c r="C49" s="57">
        <f>SUM(C47:C48)</f>
        <v>0</v>
      </c>
      <c r="D49" s="57">
        <f t="shared" ref="D49:BG49" si="18">SUM(D47:D48)</f>
        <v>0</v>
      </c>
      <c r="E49" s="57">
        <f t="shared" si="18"/>
        <v>0</v>
      </c>
      <c r="F49" s="57">
        <f t="shared" si="18"/>
        <v>0</v>
      </c>
      <c r="G49" s="57">
        <f t="shared" si="18"/>
        <v>16000</v>
      </c>
      <c r="H49" s="57">
        <f t="shared" si="18"/>
        <v>0</v>
      </c>
      <c r="I49" s="57">
        <f t="shared" si="18"/>
        <v>0</v>
      </c>
      <c r="J49" s="57">
        <f t="shared" si="18"/>
        <v>0</v>
      </c>
      <c r="K49" s="57">
        <f t="shared" si="18"/>
        <v>16000</v>
      </c>
      <c r="L49" s="57">
        <f t="shared" si="18"/>
        <v>0</v>
      </c>
      <c r="M49" s="57">
        <f t="shared" si="18"/>
        <v>0</v>
      </c>
      <c r="N49" s="57">
        <f t="shared" si="18"/>
        <v>0</v>
      </c>
      <c r="O49" s="57">
        <f t="shared" si="18"/>
        <v>16000</v>
      </c>
      <c r="P49" s="57">
        <f t="shared" si="18"/>
        <v>0</v>
      </c>
      <c r="Q49" s="57">
        <f t="shared" si="18"/>
        <v>0</v>
      </c>
      <c r="R49" s="57">
        <f t="shared" si="18"/>
        <v>0</v>
      </c>
      <c r="S49" s="57">
        <f t="shared" si="18"/>
        <v>0</v>
      </c>
      <c r="T49" s="57">
        <f t="shared" si="18"/>
        <v>16000</v>
      </c>
      <c r="U49" s="57">
        <f t="shared" si="18"/>
        <v>0</v>
      </c>
      <c r="V49" s="57">
        <f t="shared" si="18"/>
        <v>0</v>
      </c>
      <c r="W49" s="57">
        <f t="shared" si="18"/>
        <v>0</v>
      </c>
      <c r="X49" s="57">
        <f t="shared" si="18"/>
        <v>16000</v>
      </c>
      <c r="Y49" s="57">
        <f t="shared" si="18"/>
        <v>0</v>
      </c>
      <c r="Z49" s="57">
        <f t="shared" si="18"/>
        <v>0</v>
      </c>
      <c r="AA49" s="57">
        <f t="shared" si="18"/>
        <v>0</v>
      </c>
      <c r="AB49" s="57">
        <f t="shared" si="18"/>
        <v>16000</v>
      </c>
      <c r="AC49" s="57">
        <f t="shared" si="18"/>
        <v>0</v>
      </c>
      <c r="AD49" s="57">
        <f t="shared" si="18"/>
        <v>0</v>
      </c>
      <c r="AE49" s="57">
        <f t="shared" si="18"/>
        <v>0</v>
      </c>
      <c r="AF49" s="57">
        <f t="shared" si="18"/>
        <v>0</v>
      </c>
      <c r="AG49" s="57">
        <f t="shared" si="18"/>
        <v>16000</v>
      </c>
      <c r="AH49" s="57">
        <f t="shared" si="18"/>
        <v>0</v>
      </c>
      <c r="AI49" s="57">
        <f t="shared" si="18"/>
        <v>0</v>
      </c>
      <c r="AJ49" s="57">
        <f t="shared" si="18"/>
        <v>0</v>
      </c>
      <c r="AK49" s="57">
        <f t="shared" si="18"/>
        <v>16000</v>
      </c>
      <c r="AL49" s="57">
        <f t="shared" si="18"/>
        <v>0</v>
      </c>
      <c r="AM49" s="57">
        <f t="shared" si="18"/>
        <v>0</v>
      </c>
      <c r="AN49" s="57">
        <f t="shared" si="18"/>
        <v>0</v>
      </c>
      <c r="AO49" s="57">
        <f t="shared" si="18"/>
        <v>16000</v>
      </c>
      <c r="AP49" s="57">
        <f t="shared" si="18"/>
        <v>0</v>
      </c>
      <c r="AQ49" s="57">
        <f t="shared" si="18"/>
        <v>0</v>
      </c>
      <c r="AR49" s="57">
        <f t="shared" si="18"/>
        <v>0</v>
      </c>
      <c r="AS49" s="57">
        <f t="shared" si="18"/>
        <v>0</v>
      </c>
      <c r="AT49" s="57">
        <f t="shared" si="18"/>
        <v>16000</v>
      </c>
      <c r="AU49" s="57">
        <f t="shared" si="18"/>
        <v>0</v>
      </c>
      <c r="AV49" s="57">
        <f t="shared" si="18"/>
        <v>0</v>
      </c>
      <c r="AW49" s="57">
        <f t="shared" si="18"/>
        <v>0</v>
      </c>
      <c r="AX49" s="57">
        <f t="shared" si="18"/>
        <v>20000</v>
      </c>
      <c r="AY49" s="57">
        <f t="shared" si="18"/>
        <v>0</v>
      </c>
      <c r="AZ49" s="57">
        <f t="shared" si="18"/>
        <v>0</v>
      </c>
      <c r="BA49" s="57">
        <f t="shared" si="18"/>
        <v>0</v>
      </c>
      <c r="BB49" s="57">
        <f t="shared" si="18"/>
        <v>20000</v>
      </c>
      <c r="BC49" s="57">
        <f t="shared" ca="1" si="18"/>
        <v>48000</v>
      </c>
      <c r="BD49" s="57">
        <f t="shared" ca="1" si="18"/>
        <v>48000</v>
      </c>
      <c r="BE49" s="57">
        <f t="shared" ca="1" si="18"/>
        <v>48000</v>
      </c>
      <c r="BF49" s="57">
        <f t="shared" ca="1" si="18"/>
        <v>56000</v>
      </c>
      <c r="BG49" s="57">
        <f t="shared" ca="1" si="18"/>
        <v>200000</v>
      </c>
    </row>
    <row r="50" spans="1:59" s="10" customFormat="1" ht="16.149999999999999" customHeight="1" x14ac:dyDescent="0.3">
      <c r="A50" s="308"/>
      <c r="B50" s="3" t="s">
        <v>214</v>
      </c>
      <c r="C50" s="53">
        <f ca="1">SUM(C13,C17,-C41,-C45,-C49)</f>
        <v>16950</v>
      </c>
      <c r="D50" s="53">
        <f t="shared" ref="D50:BG50" ca="1" si="19">SUM(D13,D17,-D41,-D45,-D49)</f>
        <v>33723.066666666666</v>
      </c>
      <c r="E50" s="53">
        <f t="shared" ca="1" si="19"/>
        <v>36866.666666666672</v>
      </c>
      <c r="F50" s="53">
        <f t="shared" ca="1" si="19"/>
        <v>-26326.666666666672</v>
      </c>
      <c r="G50" s="53">
        <f t="shared" ca="1" si="19"/>
        <v>14882</v>
      </c>
      <c r="H50" s="53">
        <f t="shared" ca="1" si="19"/>
        <v>14474.166666666672</v>
      </c>
      <c r="I50" s="53">
        <f t="shared" ca="1" si="19"/>
        <v>21724.5</v>
      </c>
      <c r="J50" s="53">
        <f t="shared" ca="1" si="19"/>
        <v>42675</v>
      </c>
      <c r="K50" s="53">
        <f t="shared" ca="1" si="19"/>
        <v>-56835</v>
      </c>
      <c r="L50" s="53">
        <f t="shared" ca="1" si="19"/>
        <v>15846.666666666672</v>
      </c>
      <c r="M50" s="53">
        <f t="shared" ca="1" si="19"/>
        <v>46426</v>
      </c>
      <c r="N50" s="53">
        <f t="shared" ca="1" si="19"/>
        <v>47718.666666666672</v>
      </c>
      <c r="O50" s="53">
        <f t="shared" ca="1" si="19"/>
        <v>-71686.666666666657</v>
      </c>
      <c r="P50" s="53">
        <f t="shared" ca="1" si="19"/>
        <v>30183.333333333336</v>
      </c>
      <c r="Q50" s="53">
        <f t="shared" ca="1" si="19"/>
        <v>43380</v>
      </c>
      <c r="R50" s="53">
        <f t="shared" ca="1" si="19"/>
        <v>41945.333333333336</v>
      </c>
      <c r="S50" s="53">
        <f t="shared" ca="1" si="19"/>
        <v>-33807.5</v>
      </c>
      <c r="T50" s="53">
        <f t="shared" ca="1" si="19"/>
        <v>20561</v>
      </c>
      <c r="U50" s="53">
        <f t="shared" ca="1" si="19"/>
        <v>28830.166666666672</v>
      </c>
      <c r="V50" s="53">
        <f t="shared" ca="1" si="19"/>
        <v>39713.333333333336</v>
      </c>
      <c r="W50" s="53">
        <f t="shared" ca="1" si="19"/>
        <v>36965</v>
      </c>
      <c r="X50" s="53">
        <f t="shared" ca="1" si="19"/>
        <v>-44643.333333333328</v>
      </c>
      <c r="Y50" s="53">
        <f t="shared" ca="1" si="19"/>
        <v>27744.666666666672</v>
      </c>
      <c r="Z50" s="53">
        <f t="shared" ca="1" si="19"/>
        <v>38292</v>
      </c>
      <c r="AA50" s="53">
        <f t="shared" ca="1" si="19"/>
        <v>48897</v>
      </c>
      <c r="AB50" s="53">
        <f t="shared" ca="1" si="19"/>
        <v>-57661</v>
      </c>
      <c r="AC50" s="53">
        <f t="shared" ca="1" si="19"/>
        <v>30323.333333333336</v>
      </c>
      <c r="AD50" s="53">
        <f t="shared" ca="1" si="19"/>
        <v>49860</v>
      </c>
      <c r="AE50" s="53">
        <f t="shared" ca="1" si="19"/>
        <v>52060</v>
      </c>
      <c r="AF50" s="53">
        <f t="shared" ca="1" si="19"/>
        <v>51403.5</v>
      </c>
      <c r="AG50" s="53">
        <f t="shared" ca="1" si="19"/>
        <v>-40843.333333333336</v>
      </c>
      <c r="AH50" s="53">
        <f t="shared" ca="1" si="19"/>
        <v>24286.666666666672</v>
      </c>
      <c r="AI50" s="53">
        <f t="shared" ca="1" si="19"/>
        <v>52411</v>
      </c>
      <c r="AJ50" s="53">
        <f t="shared" ca="1" si="19"/>
        <v>36633.333333333336</v>
      </c>
      <c r="AK50" s="53">
        <f t="shared" ca="1" si="19"/>
        <v>-45055</v>
      </c>
      <c r="AL50" s="53">
        <f t="shared" ca="1" si="19"/>
        <v>28700</v>
      </c>
      <c r="AM50" s="53">
        <f t="shared" ca="1" si="19"/>
        <v>56375</v>
      </c>
      <c r="AN50" s="53">
        <f t="shared" ca="1" si="19"/>
        <v>48705</v>
      </c>
      <c r="AO50" s="53">
        <f t="shared" ca="1" si="19"/>
        <v>-52085</v>
      </c>
      <c r="AP50" s="53">
        <f t="shared" ca="1" si="19"/>
        <v>48778</v>
      </c>
      <c r="AQ50" s="53">
        <f t="shared" ca="1" si="19"/>
        <v>22655</v>
      </c>
      <c r="AR50" s="53">
        <f t="shared" ca="1" si="19"/>
        <v>23050</v>
      </c>
      <c r="AS50" s="53">
        <f t="shared" ca="1" si="19"/>
        <v>-50417.333333333328</v>
      </c>
      <c r="AT50" s="53">
        <f t="shared" ca="1" si="19"/>
        <v>-2232.5333333333328</v>
      </c>
      <c r="AU50" s="53">
        <f t="shared" ca="1" si="19"/>
        <v>5682.8000000000029</v>
      </c>
      <c r="AV50" s="53">
        <f t="shared" ca="1" si="19"/>
        <v>38432.5</v>
      </c>
      <c r="AW50" s="53">
        <f t="shared" ca="1" si="19"/>
        <v>53746.666666666672</v>
      </c>
      <c r="AX50" s="53">
        <f t="shared" ca="1" si="19"/>
        <v>-50318.333333333328</v>
      </c>
      <c r="AY50" s="53">
        <f t="shared" ca="1" si="19"/>
        <v>36513.333333333336</v>
      </c>
      <c r="AZ50" s="53">
        <f t="shared" ca="1" si="19"/>
        <v>52513.333333333328</v>
      </c>
      <c r="BA50" s="53">
        <f t="shared" ca="1" si="19"/>
        <v>38290</v>
      </c>
      <c r="BB50" s="53">
        <f t="shared" ca="1" si="19"/>
        <v>-60470</v>
      </c>
      <c r="BC50" s="53">
        <f t="shared" ca="1" si="19"/>
        <v>136438.40000000002</v>
      </c>
      <c r="BD50" s="53">
        <f t="shared" ca="1" si="19"/>
        <v>220400</v>
      </c>
      <c r="BE50" s="53">
        <f t="shared" ca="1" si="19"/>
        <v>292774.5</v>
      </c>
      <c r="BF50" s="53">
        <f t="shared" ca="1" si="19"/>
        <v>156223.43333333335</v>
      </c>
      <c r="BG50" s="53">
        <f t="shared" ca="1" si="19"/>
        <v>805836.33333333349</v>
      </c>
    </row>
    <row r="51" spans="1:59" s="10" customFormat="1" ht="16.149999999999999" customHeight="1" x14ac:dyDescent="0.25">
      <c r="A51" s="294"/>
      <c r="B51" s="3" t="s">
        <v>215</v>
      </c>
      <c r="C51" s="53"/>
      <c r="D51" s="53"/>
      <c r="E51" s="53"/>
      <c r="F51" s="53"/>
      <c r="G51" s="53"/>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row>
    <row r="52" spans="1:59" s="17" customFormat="1" ht="16.149999999999999" customHeight="1" x14ac:dyDescent="0.3">
      <c r="A52" s="303" t="s">
        <v>216</v>
      </c>
      <c r="B52" s="56" t="s">
        <v>217</v>
      </c>
      <c r="C52" s="52">
        <f ca="1">OFFSET(Loans1!$F$9,COLUMN(C$4)-COLUMN($B$4),0,1,1)</f>
        <v>10249.999999999998</v>
      </c>
      <c r="D52" s="52">
        <f ca="1">OFFSET(Loans1!$F$9,COLUMN(D4)-2,0,1,1)</f>
        <v>0</v>
      </c>
      <c r="E52" s="52">
        <f ca="1">OFFSET(Loans1!$F$9,COLUMN(E4)-2,0,1,1)</f>
        <v>0</v>
      </c>
      <c r="F52" s="52">
        <f ca="1">OFFSET(Loans1!$F$9,COLUMN(F4)-2,0,1,1)</f>
        <v>0</v>
      </c>
      <c r="G52" s="52">
        <f ca="1">OFFSET(Loans1!$F$9,COLUMN(G4)-2,0,1,1)</f>
        <v>0</v>
      </c>
      <c r="H52" s="52">
        <f ca="1">OFFSET(Loans1!$F$9,COLUMN(H4)-2,0,1,1)</f>
        <v>10200.674606409635</v>
      </c>
      <c r="I52" s="52">
        <f ca="1">OFFSET(Loans1!$F$9,COLUMN(I4)-2,0,1,1)</f>
        <v>0</v>
      </c>
      <c r="J52" s="52">
        <f ca="1">OFFSET(Loans1!$F$9,COLUMN(J4)-2,0,1,1)</f>
        <v>0</v>
      </c>
      <c r="K52" s="52">
        <f ca="1">OFFSET(Loans1!$F$9,COLUMN(K4)-2,0,1,1)</f>
        <v>0</v>
      </c>
      <c r="L52" s="52">
        <f ca="1">OFFSET(Loans1!$F$9,COLUMN(L4)-2,0,1,1)</f>
        <v>10150.927891749021</v>
      </c>
      <c r="M52" s="52">
        <f ca="1">OFFSET(Loans1!$F$9,COLUMN(M4)-2,0,1,1)</f>
        <v>0</v>
      </c>
      <c r="N52" s="52">
        <f ca="1">OFFSET(Loans1!$F$9,COLUMN(N4)-2,0,1,1)</f>
        <v>0</v>
      </c>
      <c r="O52" s="52">
        <f ca="1">OFFSET(Loans1!$F$9,COLUMN(O4)-2,0,1,1)</f>
        <v>0</v>
      </c>
      <c r="P52" s="52">
        <f ca="1">OFFSET(Loans1!$F$9,COLUMN(P4)-2,0,1,1)</f>
        <v>10100.756257234016</v>
      </c>
      <c r="Q52" s="52">
        <f ca="1">OFFSET(Loans1!$F$9,COLUMN(Q4)-2,0,1,1)</f>
        <v>0</v>
      </c>
      <c r="R52" s="52">
        <f ca="1">OFFSET(Loans1!$F$9,COLUMN(R4)-2,0,1,1)</f>
        <v>0</v>
      </c>
      <c r="S52" s="52">
        <f ca="1">OFFSET(Loans1!$F$9,COLUMN(S4)-2,0,1,1)</f>
        <v>0</v>
      </c>
      <c r="T52" s="52">
        <f ca="1">OFFSET(Loans1!$F$9,COLUMN(T4)-2,0,1,1)</f>
        <v>0</v>
      </c>
      <c r="U52" s="52">
        <f ca="1">OFFSET(Loans1!$F$9,COLUMN(U4)-2,0,1,1)</f>
        <v>10050.156073340861</v>
      </c>
      <c r="V52" s="52">
        <f ca="1">OFFSET(Loans1!$F$9,COLUMN(V4)-2,0,1,1)</f>
        <v>0</v>
      </c>
      <c r="W52" s="52">
        <f ca="1">OFFSET(Loans1!$F$9,COLUMN(W4)-2,0,1,1)</f>
        <v>0</v>
      </c>
      <c r="X52" s="52">
        <f ca="1">OFFSET(Loans1!$F$9,COLUMN(X4)-2,0,1,1)</f>
        <v>0</v>
      </c>
      <c r="Y52" s="52">
        <f ca="1">OFFSET(Loans1!$F$9,COLUMN(Y4)-2,0,1,1)</f>
        <v>9999.123679543618</v>
      </c>
      <c r="Z52" s="52">
        <f ca="1">OFFSET(Loans1!$F$9,COLUMN(Z4)-2,0,1,1)</f>
        <v>0</v>
      </c>
      <c r="AA52" s="52">
        <f ca="1">OFFSET(Loans1!$F$9,COLUMN(AA4)-2,0,1,1)</f>
        <v>0</v>
      </c>
      <c r="AB52" s="52">
        <f ca="1">OFFSET(Loans1!$F$9,COLUMN(AB4)-2,0,1,1)</f>
        <v>0</v>
      </c>
      <c r="AC52" s="52">
        <f ca="1">OFFSET(Loans1!$F$9,COLUMN(AC4)-2,0,1,1)</f>
        <v>9947.6553840493561</v>
      </c>
      <c r="AD52" s="52">
        <f ca="1">OFFSET(Loans1!$F$9,COLUMN(AD4)-2,0,1,1)</f>
        <v>0</v>
      </c>
      <c r="AE52" s="52">
        <f ca="1">OFFSET(Loans1!$F$9,COLUMN(AE4)-2,0,1,1)</f>
        <v>0</v>
      </c>
      <c r="AF52" s="52">
        <f ca="1">OFFSET(Loans1!$F$9,COLUMN(AF4)-2,0,1,1)</f>
        <v>0</v>
      </c>
      <c r="AG52" s="52">
        <f ca="1">OFFSET(Loans1!$F$9,COLUMN(AG4)-2,0,1,1)</f>
        <v>0</v>
      </c>
      <c r="AH52" s="52">
        <f ca="1">OFFSET(Loans1!$F$9,COLUMN(AH4)-2,0,1,1)</f>
        <v>9895.7474635310809</v>
      </c>
      <c r="AI52" s="52">
        <f ca="1">OFFSET(Loans1!$F$9,COLUMN(AI4)-2,0,1,1)</f>
        <v>0</v>
      </c>
      <c r="AJ52" s="52">
        <f ca="1">OFFSET(Loans1!$F$9,COLUMN(AJ4)-2,0,1,1)</f>
        <v>0</v>
      </c>
      <c r="AK52" s="52">
        <f ca="1">OFFSET(Loans1!$F$9,COLUMN(AK4)-2,0,1,1)</f>
        <v>0</v>
      </c>
      <c r="AL52" s="52">
        <f ca="1">OFFSET(Loans1!$F$9,COLUMN(AL4)-2,0,1,1)</f>
        <v>9843.3961628583802</v>
      </c>
      <c r="AM52" s="52">
        <f ca="1">OFFSET(Loans1!$F$9,COLUMN(AM4)-2,0,1,1)</f>
        <v>0</v>
      </c>
      <c r="AN52" s="52">
        <f ca="1">OFFSET(Loans1!$F$9,COLUMN(AN4)-2,0,1,1)</f>
        <v>0</v>
      </c>
      <c r="AO52" s="52">
        <f ca="1">OFFSET(Loans1!$F$9,COLUMN(AO4)-2,0,1,1)</f>
        <v>0</v>
      </c>
      <c r="AP52" s="52">
        <f ca="1">OFFSET(Loans1!$F$9,COLUMN(AP4)-2,0,1,1)</f>
        <v>9790.5976948257648</v>
      </c>
      <c r="AQ52" s="52">
        <f ca="1">OFFSET(Loans1!$F$9,COLUMN(AQ4)-2,0,1,1)</f>
        <v>0</v>
      </c>
      <c r="AR52" s="52">
        <f ca="1">OFFSET(Loans1!$F$9,COLUMN(AR4)-2,0,1,1)</f>
        <v>0</v>
      </c>
      <c r="AS52" s="52">
        <f ca="1">OFFSET(Loans1!$F$9,COLUMN(AS4)-2,0,1,1)</f>
        <v>0</v>
      </c>
      <c r="AT52" s="52">
        <f ca="1">OFFSET(Loans1!$F$9,COLUMN(AT4)-2,0,1,1)</f>
        <v>0</v>
      </c>
      <c r="AU52" s="52">
        <f ca="1">OFFSET(Loans1!$F$9,COLUMN(AU4)-2,0,1,1)</f>
        <v>9737.3482398787055</v>
      </c>
      <c r="AV52" s="52">
        <f ca="1">OFFSET(Loans1!$F$9,COLUMN(AV4)-2,0,1,1)</f>
        <v>0</v>
      </c>
      <c r="AW52" s="52">
        <f ca="1">OFFSET(Loans1!$F$9,COLUMN(AW4)-2,0,1,1)</f>
        <v>0</v>
      </c>
      <c r="AX52" s="52">
        <f ca="1">OFFSET(Loans1!$F$9,COLUMN(AX4)-2,0,1,1)</f>
        <v>0</v>
      </c>
      <c r="AY52" s="52">
        <f ca="1">OFFSET(Loans1!$F$9,COLUMN(AY4)-2,0,1,1)</f>
        <v>9683.6439458373079</v>
      </c>
      <c r="AZ52" s="52">
        <f ca="1">OFFSET(Loans1!$F$9,COLUMN(AZ4)-2,0,1,1)</f>
        <v>0</v>
      </c>
      <c r="BA52" s="52">
        <f ca="1">OFFSET(Loans1!$F$9,COLUMN(BA4)-2,0,1,1)</f>
        <v>0</v>
      </c>
      <c r="BB52" s="52">
        <f ca="1">OFFSET(Loans1!$F$9,COLUMN(BB4)-2,0,1,1)</f>
        <v>0</v>
      </c>
      <c r="BC52" s="53">
        <f ca="1">SUM(OFFSET($B52,0,1,1,Assumptions!$C$8))</f>
        <v>30601.602498158652</v>
      </c>
      <c r="BD52" s="53">
        <f ca="1">SUM(OFFSET($B52,0,1+Assumptions!$C$8,1,SUM(Assumptions!$C$9)))</f>
        <v>30150.036010118492</v>
      </c>
      <c r="BE52" s="53">
        <f ca="1">SUM(OFFSET($B52,0,1+SUM(Assumptions!$C$8:$C$9),1,SUM(Assumptions!$C$10)))</f>
        <v>29686.799010438815</v>
      </c>
      <c r="BF52" s="53">
        <f ca="1">SUM(OFFSET($B52,0,1+SUM(Assumptions!$C$8:$C$10),1,SUM(Assumptions!$C$11)))</f>
        <v>29211.589880541775</v>
      </c>
      <c r="BG52" s="53">
        <f ca="1">SUM(BC52:BF52)</f>
        <v>119650.02739925773</v>
      </c>
    </row>
    <row r="53" spans="1:59" s="17" customFormat="1" ht="16.149999999999999" customHeight="1" x14ac:dyDescent="0.3">
      <c r="A53" s="303" t="s">
        <v>216</v>
      </c>
      <c r="B53" s="56" t="s">
        <v>218</v>
      </c>
      <c r="C53" s="52">
        <f ca="1">OFFSET(Loans2!$F$9,COLUMN(C$4)-COLUMN($B$4),0,1,1)</f>
        <v>0</v>
      </c>
      <c r="D53" s="52">
        <f ca="1">OFFSET(Loans2!$F$9,COLUMN(D5)-2,0,1,1)</f>
        <v>0</v>
      </c>
      <c r="E53" s="52">
        <f ca="1">OFFSET(Loans2!$F$9,COLUMN(E5)-2,0,1,1)</f>
        <v>0</v>
      </c>
      <c r="F53" s="52">
        <f ca="1">OFFSET(Loans2!$F$9,COLUMN(F5)-2,0,1,1)</f>
        <v>0</v>
      </c>
      <c r="G53" s="52">
        <f ca="1">OFFSET(Loans2!$F$9,COLUMN(G5)-2,0,1,1)</f>
        <v>3854.1666666666665</v>
      </c>
      <c r="H53" s="52">
        <f ca="1">OFFSET(Loans2!$F$9,COLUMN(H5)-2,0,1,1)</f>
        <v>0</v>
      </c>
      <c r="I53" s="52">
        <f ca="1">OFFSET(Loans2!$F$9,COLUMN(I5)-2,0,1,1)</f>
        <v>0</v>
      </c>
      <c r="J53" s="52">
        <f ca="1">OFFSET(Loans2!$F$9,COLUMN(J5)-2,0,1,1)</f>
        <v>0</v>
      </c>
      <c r="K53" s="52">
        <f ca="1">OFFSET(Loans2!$F$9,COLUMN(K5)-2,0,1,1)</f>
        <v>3826.9104361872446</v>
      </c>
      <c r="L53" s="52">
        <f ca="1">OFFSET(Loans2!$F$9,COLUMN(L5)-2,0,1,1)</f>
        <v>0</v>
      </c>
      <c r="M53" s="52">
        <f ca="1">OFFSET(Loans2!$F$9,COLUMN(M5)-2,0,1,1)</f>
        <v>0</v>
      </c>
      <c r="N53" s="52">
        <f ca="1">OFFSET(Loans2!$F$9,COLUMN(N5)-2,0,1,1)</f>
        <v>0</v>
      </c>
      <c r="O53" s="52">
        <f ca="1">OFFSET(Loans2!$F$9,COLUMN(O5)-2,0,1,1)</f>
        <v>3799.4441055978764</v>
      </c>
      <c r="P53" s="52">
        <f ca="1">OFFSET(Loans2!$F$9,COLUMN(P5)-2,0,1,1)</f>
        <v>0</v>
      </c>
      <c r="Q53" s="52">
        <f ca="1">OFFSET(Loans2!$F$9,COLUMN(Q5)-2,0,1,1)</f>
        <v>0</v>
      </c>
      <c r="R53" s="52">
        <f ca="1">OFFSET(Loans2!$F$9,COLUMN(R5)-2,0,1,1)</f>
        <v>0</v>
      </c>
      <c r="S53" s="52">
        <f ca="1">OFFSET(Loans2!$F$9,COLUMN(S5)-2,0,1,1)</f>
        <v>0</v>
      </c>
      <c r="T53" s="52">
        <f ca="1">OFFSET(Loans2!$F$9,COLUMN(T5)-2,0,1,1)</f>
        <v>3771.7660553768819</v>
      </c>
      <c r="U53" s="52">
        <f ca="1">OFFSET(Loans2!$F$9,COLUMN(U5)-2,0,1,1)</f>
        <v>0</v>
      </c>
      <c r="V53" s="52">
        <f ca="1">OFFSET(Loans2!$F$9,COLUMN(V5)-2,0,1,1)</f>
        <v>0</v>
      </c>
      <c r="W53" s="52">
        <f ca="1">OFFSET(Loans2!$F$9,COLUMN(W5)-2,0,1,1)</f>
        <v>0</v>
      </c>
      <c r="X53" s="52">
        <f ca="1">OFFSET(Loans2!$F$9,COLUMN(X5)-2,0,1,1)</f>
        <v>3743.8746535187674</v>
      </c>
      <c r="Y53" s="52">
        <f ca="1">OFFSET(Loans2!$F$9,COLUMN(Y5)-2,0,1,1)</f>
        <v>0</v>
      </c>
      <c r="Z53" s="52">
        <f ca="1">OFFSET(Loans2!$F$9,COLUMN(Z5)-2,0,1,1)</f>
        <v>0</v>
      </c>
      <c r="AA53" s="52">
        <f ca="1">OFFSET(Loans2!$F$9,COLUMN(AA5)-2,0,1,1)</f>
        <v>0</v>
      </c>
      <c r="AB53" s="52">
        <f ca="1">OFFSET(Loans2!$F$9,COLUMN(AB5)-2,0,1,1)</f>
        <v>0</v>
      </c>
      <c r="AC53" s="52">
        <f ca="1">OFFSET(Loans2!$F$9,COLUMN(AC5)-2,0,1,1)</f>
        <v>4486.6015887713302</v>
      </c>
      <c r="AD53" s="52">
        <f ca="1">OFFSET(Loans2!$F$9,COLUMN(AD5)-2,0,1,1)</f>
        <v>0</v>
      </c>
      <c r="AE53" s="52">
        <f ca="1">OFFSET(Loans2!$F$9,COLUMN(AE5)-2,0,1,1)</f>
        <v>0</v>
      </c>
      <c r="AF53" s="52">
        <f ca="1">OFFSET(Loans2!$F$9,COLUMN(AF5)-2,0,1,1)</f>
        <v>0</v>
      </c>
      <c r="AG53" s="52">
        <f ca="1">OFFSET(Loans2!$F$9,COLUMN(AG5)-2,0,1,1)</f>
        <v>4452.8272911094691</v>
      </c>
      <c r="AH53" s="52">
        <f ca="1">OFFSET(Loans2!$F$9,COLUMN(AH5)-2,0,1,1)</f>
        <v>0</v>
      </c>
      <c r="AI53" s="52">
        <f ca="1">OFFSET(Loans2!$F$9,COLUMN(AI5)-2,0,1,1)</f>
        <v>0</v>
      </c>
      <c r="AJ53" s="52">
        <f ca="1">OFFSET(Loans2!$F$9,COLUMN(AJ5)-2,0,1,1)</f>
        <v>0</v>
      </c>
      <c r="AK53" s="52">
        <f ca="1">OFFSET(Loans2!$F$9,COLUMN(AK5)-2,0,1,1)</f>
        <v>4418.7926499031319</v>
      </c>
      <c r="AL53" s="52">
        <f ca="1">OFFSET(Loans2!$F$9,COLUMN(AL5)-2,0,1,1)</f>
        <v>0</v>
      </c>
      <c r="AM53" s="52">
        <f ca="1">OFFSET(Loans2!$F$9,COLUMN(AM5)-2,0,1,1)</f>
        <v>0</v>
      </c>
      <c r="AN53" s="52">
        <f ca="1">OFFSET(Loans2!$F$9,COLUMN(AN5)-2,0,1,1)</f>
        <v>0</v>
      </c>
      <c r="AO53" s="52">
        <f ca="1">OFFSET(Loans2!$F$9,COLUMN(AO5)-2,0,1,1)</f>
        <v>0</v>
      </c>
      <c r="AP53" s="52">
        <f ca="1">OFFSET(Loans2!$F$9,COLUMN(AP5)-2,0,1,1)</f>
        <v>4384.4956583374942</v>
      </c>
      <c r="AQ53" s="52">
        <f ca="1">OFFSET(Loans2!$F$9,COLUMN(AQ5)-2,0,1,1)</f>
        <v>0</v>
      </c>
      <c r="AR53" s="52">
        <f ca="1">OFFSET(Loans2!$F$9,COLUMN(AR5)-2,0,1,1)</f>
        <v>0</v>
      </c>
      <c r="AS53" s="52">
        <f ca="1">OFFSET(Loans2!$F$9,COLUMN(AS5)-2,0,1,1)</f>
        <v>0</v>
      </c>
      <c r="AT53" s="52">
        <f ca="1">OFFSET(Loans2!$F$9,COLUMN(AT5)-2,0,1,1)</f>
        <v>4349.9342941285386</v>
      </c>
      <c r="AU53" s="52">
        <f ca="1">OFFSET(Loans2!$F$9,COLUMN(AU5)-2,0,1,1)</f>
        <v>0</v>
      </c>
      <c r="AV53" s="52">
        <f ca="1">OFFSET(Loans2!$F$9,COLUMN(AV5)-2,0,1,1)</f>
        <v>0</v>
      </c>
      <c r="AW53" s="52">
        <f ca="1">OFFSET(Loans2!$F$9,COLUMN(AW5)-2,0,1,1)</f>
        <v>0</v>
      </c>
      <c r="AX53" s="52">
        <f ca="1">OFFSET(Loans2!$F$9,COLUMN(AX5)-2,0,1,1)</f>
        <v>4315.1065194038065</v>
      </c>
      <c r="AY53" s="52">
        <f ca="1">OFFSET(Loans2!$F$9,COLUMN(AY5)-2,0,1,1)</f>
        <v>0</v>
      </c>
      <c r="AZ53" s="52">
        <f ca="1">OFFSET(Loans2!$F$9,COLUMN(AZ5)-2,0,1,1)</f>
        <v>0</v>
      </c>
      <c r="BA53" s="52">
        <f ca="1">OFFSET(Loans2!$F$9,COLUMN(BA5)-2,0,1,1)</f>
        <v>0</v>
      </c>
      <c r="BB53" s="52">
        <f ca="1">OFFSET(Loans2!$F$9,COLUMN(BB5)-2,0,1,1)</f>
        <v>0</v>
      </c>
      <c r="BC53" s="53">
        <f ca="1">SUM(OFFSET($B53,0,1,1,Assumptions!$C$8))</f>
        <v>11480.521208451788</v>
      </c>
      <c r="BD53" s="53">
        <f ca="1">SUM(OFFSET($B53,0,1+Assumptions!$C$8,1,SUM(Assumptions!$C$9)))</f>
        <v>7515.6407088956494</v>
      </c>
      <c r="BE53" s="53">
        <f ca="1">SUM(OFFSET($B53,0,1+SUM(Assumptions!$C$8:$C$9),1,SUM(Assumptions!$C$10)))</f>
        <v>13358.221529783932</v>
      </c>
      <c r="BF53" s="53">
        <f ca="1">SUM(OFFSET($B53,0,1+SUM(Assumptions!$C$8:$C$10),1,SUM(Assumptions!$C$11)))</f>
        <v>13049.53647186984</v>
      </c>
      <c r="BG53" s="53">
        <f t="shared" ref="BG53:BG55" ca="1" si="20">SUM(BC53:BF53)</f>
        <v>45403.919919001215</v>
      </c>
    </row>
    <row r="54" spans="1:59" s="17" customFormat="1" ht="16.149999999999999" customHeight="1" x14ac:dyDescent="0.3">
      <c r="A54" s="303" t="s">
        <v>216</v>
      </c>
      <c r="B54" s="56" t="s">
        <v>219</v>
      </c>
      <c r="C54" s="52">
        <f ca="1">OFFSET(Loans3!$F$9,COLUMN(C$4)-COLUMN($B$4),0,1,1)</f>
        <v>0</v>
      </c>
      <c r="D54" s="52">
        <f ca="1">OFFSET(Loans3!$F$9,COLUMN(D6)-2,0,1,1)</f>
        <v>0</v>
      </c>
      <c r="E54" s="52">
        <f ca="1">OFFSET(Loans3!$F$9,COLUMN(E6)-2,0,1,1)</f>
        <v>0</v>
      </c>
      <c r="F54" s="52">
        <f ca="1">OFFSET(Loans3!$F$9,COLUMN(F6)-2,0,1,1)</f>
        <v>0</v>
      </c>
      <c r="G54" s="52">
        <f ca="1">OFFSET(Loans3!$F$9,COLUMN(G6)-2,0,1,1)</f>
        <v>0</v>
      </c>
      <c r="H54" s="52">
        <f ca="1">OFFSET(Loans3!$F$9,COLUMN(H6)-2,0,1,1)</f>
        <v>0</v>
      </c>
      <c r="I54" s="52">
        <f ca="1">OFFSET(Loans3!$F$9,COLUMN(I6)-2,0,1,1)</f>
        <v>0</v>
      </c>
      <c r="J54" s="52">
        <f ca="1">OFFSET(Loans3!$F$9,COLUMN(J6)-2,0,1,1)</f>
        <v>0</v>
      </c>
      <c r="K54" s="52">
        <f ca="1">OFFSET(Loans3!$F$9,COLUMN(K6)-2,0,1,1)</f>
        <v>0</v>
      </c>
      <c r="L54" s="52">
        <f ca="1">OFFSET(Loans3!$F$9,COLUMN(L6)-2,0,1,1)</f>
        <v>0</v>
      </c>
      <c r="M54" s="52">
        <f ca="1">OFFSET(Loans3!$F$9,COLUMN(M6)-2,0,1,1)</f>
        <v>0</v>
      </c>
      <c r="N54" s="52">
        <f ca="1">OFFSET(Loans3!$F$9,COLUMN(N6)-2,0,1,1)</f>
        <v>0</v>
      </c>
      <c r="O54" s="52">
        <f ca="1">OFFSET(Loans3!$F$9,COLUMN(O6)-2,0,1,1)</f>
        <v>0</v>
      </c>
      <c r="P54" s="52">
        <f ca="1">OFFSET(Loans3!$F$9,COLUMN(P6)-2,0,1,1)</f>
        <v>0</v>
      </c>
      <c r="Q54" s="52">
        <f ca="1">OFFSET(Loans3!$F$9,COLUMN(Q6)-2,0,1,1)</f>
        <v>0</v>
      </c>
      <c r="R54" s="52">
        <f ca="1">OFFSET(Loans3!$F$9,COLUMN(R6)-2,0,1,1)</f>
        <v>0</v>
      </c>
      <c r="S54" s="52">
        <f ca="1">OFFSET(Loans3!$F$9,COLUMN(S6)-2,0,1,1)</f>
        <v>0</v>
      </c>
      <c r="T54" s="52">
        <f ca="1">OFFSET(Loans3!$F$9,COLUMN(T6)-2,0,1,1)</f>
        <v>0</v>
      </c>
      <c r="U54" s="52">
        <f ca="1">OFFSET(Loans3!$F$9,COLUMN(U6)-2,0,1,1)</f>
        <v>0</v>
      </c>
      <c r="V54" s="52">
        <f ca="1">OFFSET(Loans3!$F$9,COLUMN(V6)-2,0,1,1)</f>
        <v>0</v>
      </c>
      <c r="W54" s="52">
        <f ca="1">OFFSET(Loans3!$F$9,COLUMN(W6)-2,0,1,1)</f>
        <v>0</v>
      </c>
      <c r="X54" s="52">
        <f ca="1">OFFSET(Loans3!$F$9,COLUMN(X6)-2,0,1,1)</f>
        <v>0</v>
      </c>
      <c r="Y54" s="52">
        <f ca="1">OFFSET(Loans3!$F$9,COLUMN(Y6)-2,0,1,1)</f>
        <v>0</v>
      </c>
      <c r="Z54" s="52">
        <f ca="1">OFFSET(Loans3!$F$9,COLUMN(Z6)-2,0,1,1)</f>
        <v>0</v>
      </c>
      <c r="AA54" s="52">
        <f ca="1">OFFSET(Loans3!$F$9,COLUMN(AA6)-2,0,1,1)</f>
        <v>0</v>
      </c>
      <c r="AB54" s="52">
        <f ca="1">OFFSET(Loans3!$F$9,COLUMN(AB6)-2,0,1,1)</f>
        <v>0</v>
      </c>
      <c r="AC54" s="52">
        <f ca="1">OFFSET(Loans3!$F$9,COLUMN(AC6)-2,0,1,1)</f>
        <v>0</v>
      </c>
      <c r="AD54" s="52">
        <f ca="1">OFFSET(Loans3!$F$9,COLUMN(AD6)-2,0,1,1)</f>
        <v>0</v>
      </c>
      <c r="AE54" s="52">
        <f ca="1">OFFSET(Loans3!$F$9,COLUMN(AE6)-2,0,1,1)</f>
        <v>0</v>
      </c>
      <c r="AF54" s="52">
        <f ca="1">OFFSET(Loans3!$F$9,COLUMN(AF6)-2,0,1,1)</f>
        <v>0</v>
      </c>
      <c r="AG54" s="52">
        <f ca="1">OFFSET(Loans3!$F$9,COLUMN(AG6)-2,0,1,1)</f>
        <v>0</v>
      </c>
      <c r="AH54" s="52">
        <f ca="1">OFFSET(Loans3!$F$9,COLUMN(AH6)-2,0,1,1)</f>
        <v>0</v>
      </c>
      <c r="AI54" s="52">
        <f ca="1">OFFSET(Loans3!$F$9,COLUMN(AI6)-2,0,1,1)</f>
        <v>0</v>
      </c>
      <c r="AJ54" s="52">
        <f ca="1">OFFSET(Loans3!$F$9,COLUMN(AJ6)-2,0,1,1)</f>
        <v>0</v>
      </c>
      <c r="AK54" s="52">
        <f ca="1">OFFSET(Loans3!$F$9,COLUMN(AK6)-2,0,1,1)</f>
        <v>0</v>
      </c>
      <c r="AL54" s="52">
        <f ca="1">OFFSET(Loans3!$F$9,COLUMN(AL6)-2,0,1,1)</f>
        <v>0</v>
      </c>
      <c r="AM54" s="52">
        <f ca="1">OFFSET(Loans3!$F$9,COLUMN(AM6)-2,0,1,1)</f>
        <v>0</v>
      </c>
      <c r="AN54" s="52">
        <f ca="1">OFFSET(Loans3!$F$9,COLUMN(AN6)-2,0,1,1)</f>
        <v>0</v>
      </c>
      <c r="AO54" s="52">
        <f ca="1">OFFSET(Loans3!$F$9,COLUMN(AO6)-2,0,1,1)</f>
        <v>0</v>
      </c>
      <c r="AP54" s="52">
        <f ca="1">OFFSET(Loans3!$F$9,COLUMN(AP6)-2,0,1,1)</f>
        <v>0</v>
      </c>
      <c r="AQ54" s="52">
        <f ca="1">OFFSET(Loans3!$F$9,COLUMN(AQ6)-2,0,1,1)</f>
        <v>0</v>
      </c>
      <c r="AR54" s="52">
        <f ca="1">OFFSET(Loans3!$F$9,COLUMN(AR6)-2,0,1,1)</f>
        <v>0</v>
      </c>
      <c r="AS54" s="52">
        <f ca="1">OFFSET(Loans3!$F$9,COLUMN(AS6)-2,0,1,1)</f>
        <v>0</v>
      </c>
      <c r="AT54" s="52">
        <f ca="1">OFFSET(Loans3!$F$9,COLUMN(AT6)-2,0,1,1)</f>
        <v>0</v>
      </c>
      <c r="AU54" s="52">
        <f ca="1">OFFSET(Loans3!$F$9,COLUMN(AU6)-2,0,1,1)</f>
        <v>0</v>
      </c>
      <c r="AV54" s="52">
        <f ca="1">OFFSET(Loans3!$F$9,COLUMN(AV6)-2,0,1,1)</f>
        <v>0</v>
      </c>
      <c r="AW54" s="52">
        <f ca="1">OFFSET(Loans3!$F$9,COLUMN(AW6)-2,0,1,1)</f>
        <v>0</v>
      </c>
      <c r="AX54" s="52">
        <f ca="1">OFFSET(Loans3!$F$9,COLUMN(AX6)-2,0,1,1)</f>
        <v>0</v>
      </c>
      <c r="AY54" s="52">
        <f ca="1">OFFSET(Loans3!$F$9,COLUMN(AY6)-2,0,1,1)</f>
        <v>2500</v>
      </c>
      <c r="AZ54" s="52">
        <f ca="1">OFFSET(Loans3!$F$9,COLUMN(AZ6)-2,0,1,1)</f>
        <v>0</v>
      </c>
      <c r="BA54" s="52">
        <f ca="1">OFFSET(Loans3!$F$9,COLUMN(BA6)-2,0,1,1)</f>
        <v>0</v>
      </c>
      <c r="BB54" s="52">
        <f ca="1">OFFSET(Loans3!$F$9,COLUMN(BB6)-2,0,1,1)</f>
        <v>0</v>
      </c>
      <c r="BC54" s="53">
        <f ca="1">SUM(OFFSET($B54,0,1,1,Assumptions!$C$8))</f>
        <v>0</v>
      </c>
      <c r="BD54" s="53">
        <f ca="1">SUM(OFFSET($B54,0,1+Assumptions!$C$8,1,SUM(Assumptions!$C$9)))</f>
        <v>0</v>
      </c>
      <c r="BE54" s="53">
        <f ca="1">SUM(OFFSET($B54,0,1+SUM(Assumptions!$C$8:$C$9),1,SUM(Assumptions!$C$10)))</f>
        <v>0</v>
      </c>
      <c r="BF54" s="53">
        <f ca="1">SUM(OFFSET($B54,0,1+SUM(Assumptions!$C$8:$C$10),1,SUM(Assumptions!$C$11)))</f>
        <v>2500</v>
      </c>
      <c r="BG54" s="53">
        <f t="shared" ca="1" si="20"/>
        <v>2500</v>
      </c>
    </row>
    <row r="55" spans="1:59" s="17" customFormat="1" ht="16.149999999999999" customHeight="1" x14ac:dyDescent="0.3">
      <c r="A55" s="303" t="s">
        <v>216</v>
      </c>
      <c r="B55" s="56" t="s">
        <v>220</v>
      </c>
      <c r="C55" s="52">
        <f ca="1">OFFSET(Leases!$F$9,COLUMN(C$4)-COLUMN($B$4),0,1,1)</f>
        <v>0</v>
      </c>
      <c r="D55" s="52">
        <f ca="1">OFFSET(Leases!$F$9,COLUMN(D7)-2,0,1,1)</f>
        <v>4072.9166666666665</v>
      </c>
      <c r="E55" s="52">
        <f ca="1">OFFSET(Leases!$F$9,COLUMN(E7)-2,0,1,1)</f>
        <v>0</v>
      </c>
      <c r="F55" s="52">
        <f ca="1">OFFSET(Leases!$F$9,COLUMN(F7)-2,0,1,1)</f>
        <v>0</v>
      </c>
      <c r="G55" s="52">
        <f ca="1">OFFSET(Leases!$F$9,COLUMN(G7)-2,0,1,1)</f>
        <v>0</v>
      </c>
      <c r="H55" s="52">
        <f ca="1">OFFSET(Leases!$F$9,COLUMN(H7)-2,0,1,1)</f>
        <v>4005.6904255327408</v>
      </c>
      <c r="I55" s="52">
        <f ca="1">OFFSET(Leases!$F$9,COLUMN(I7)-2,0,1,1)</f>
        <v>0</v>
      </c>
      <c r="J55" s="52">
        <f ca="1">OFFSET(Leases!$F$9,COLUMN(J7)-2,0,1,1)</f>
        <v>0</v>
      </c>
      <c r="K55" s="52">
        <f ca="1">OFFSET(Leases!$F$9,COLUMN(K7)-2,0,1,1)</f>
        <v>0</v>
      </c>
      <c r="L55" s="52">
        <f ca="1">OFFSET(Leases!$F$9,COLUMN(L7)-2,0,1,1)</f>
        <v>0</v>
      </c>
      <c r="M55" s="52">
        <f ca="1">OFFSET(Leases!$F$9,COLUMN(M7)-2,0,1,1)</f>
        <v>3937.8199329212807</v>
      </c>
      <c r="N55" s="52">
        <f ca="1">OFFSET(Leases!$F$9,COLUMN(N7)-2,0,1,1)</f>
        <v>0</v>
      </c>
      <c r="O55" s="52">
        <f ca="1">OFFSET(Leases!$F$9,COLUMN(O7)-2,0,1,1)</f>
        <v>0</v>
      </c>
      <c r="P55" s="52">
        <f ca="1">OFFSET(Leases!$F$9,COLUMN(P7)-2,0,1,1)</f>
        <v>0</v>
      </c>
      <c r="Q55" s="52">
        <f ca="1">OFFSET(Leases!$F$9,COLUMN(Q7)-2,0,1,1)</f>
        <v>3869.2990147556284</v>
      </c>
      <c r="R55" s="52">
        <f ca="1">OFFSET(Leases!$F$9,COLUMN(R7)-2,0,1,1)</f>
        <v>0</v>
      </c>
      <c r="S55" s="52">
        <f ca="1">OFFSET(Leases!$F$9,COLUMN(S7)-2,0,1,1)</f>
        <v>0</v>
      </c>
      <c r="T55" s="52">
        <f ca="1">OFFSET(Leases!$F$9,COLUMN(T7)-2,0,1,1)</f>
        <v>0</v>
      </c>
      <c r="U55" s="52">
        <f ca="1">OFFSET(Leases!$F$9,COLUMN(U7)-2,0,1,1)</f>
        <v>3800.1214377908877</v>
      </c>
      <c r="V55" s="52">
        <f ca="1">OFFSET(Leases!$F$9,COLUMN(V7)-2,0,1,1)</f>
        <v>0</v>
      </c>
      <c r="W55" s="52">
        <f ca="1">OFFSET(Leases!$F$9,COLUMN(W7)-2,0,1,1)</f>
        <v>0</v>
      </c>
      <c r="X55" s="52">
        <f ca="1">OFFSET(Leases!$F$9,COLUMN(X7)-2,0,1,1)</f>
        <v>0</v>
      </c>
      <c r="Y55" s="52">
        <f ca="1">OFFSET(Leases!$F$9,COLUMN(Y7)-2,0,1,1)</f>
        <v>0</v>
      </c>
      <c r="Z55" s="52">
        <f ca="1">OFFSET(Leases!$F$9,COLUMN(Z7)-2,0,1,1)</f>
        <v>3730.2809090469018</v>
      </c>
      <c r="AA55" s="52">
        <f ca="1">OFFSET(Leases!$F$9,COLUMN(AA7)-2,0,1,1)</f>
        <v>0</v>
      </c>
      <c r="AB55" s="52">
        <f ca="1">OFFSET(Leases!$F$9,COLUMN(AB7)-2,0,1,1)</f>
        <v>0</v>
      </c>
      <c r="AC55" s="52">
        <f ca="1">OFFSET(Leases!$F$9,COLUMN(AC7)-2,0,1,1)</f>
        <v>0</v>
      </c>
      <c r="AD55" s="52">
        <f ca="1">OFFSET(Leases!$F$9,COLUMN(AD7)-2,0,1,1)</f>
        <v>3659.7710752357866</v>
      </c>
      <c r="AE55" s="52">
        <f ca="1">OFFSET(Leases!$F$9,COLUMN(AE7)-2,0,1,1)</f>
        <v>0</v>
      </c>
      <c r="AF55" s="52">
        <f ca="1">OFFSET(Leases!$F$9,COLUMN(AF7)-2,0,1,1)</f>
        <v>0</v>
      </c>
      <c r="AG55" s="52">
        <f ca="1">OFFSET(Leases!$F$9,COLUMN(AG7)-2,0,1,1)</f>
        <v>0</v>
      </c>
      <c r="AH55" s="52">
        <f ca="1">OFFSET(Leases!$F$9,COLUMN(AH7)-2,0,1,1)</f>
        <v>3588.5855221839811</v>
      </c>
      <c r="AI55" s="52">
        <f ca="1">OFFSET(Leases!$F$9,COLUMN(AI7)-2,0,1,1)</f>
        <v>0</v>
      </c>
      <c r="AJ55" s="52">
        <f ca="1">OFFSET(Leases!$F$9,COLUMN(AJ7)-2,0,1,1)</f>
        <v>0</v>
      </c>
      <c r="AK55" s="52">
        <f ca="1">OFFSET(Leases!$F$9,COLUMN(AK7)-2,0,1,1)</f>
        <v>0</v>
      </c>
      <c r="AL55" s="52">
        <f ca="1">OFFSET(Leases!$F$9,COLUMN(AL7)-2,0,1,1)</f>
        <v>0</v>
      </c>
      <c r="AM55" s="52">
        <f ca="1">OFFSET(Leases!$F$9,COLUMN(AM7)-2,0,1,1)</f>
        <v>3516.7177742487625</v>
      </c>
      <c r="AN55" s="52">
        <f ca="1">OFFSET(Leases!$F$9,COLUMN(AN7)-2,0,1,1)</f>
        <v>0</v>
      </c>
      <c r="AO55" s="52">
        <f ca="1">OFFSET(Leases!$F$9,COLUMN(AO7)-2,0,1,1)</f>
        <v>0</v>
      </c>
      <c r="AP55" s="52">
        <f ca="1">OFFSET(Leases!$F$9,COLUMN(AP7)-2,0,1,1)</f>
        <v>0</v>
      </c>
      <c r="AQ55" s="52">
        <f ca="1">OFFSET(Leases!$F$9,COLUMN(AQ7)-2,0,1,1)</f>
        <v>3444.1612937291648</v>
      </c>
      <c r="AR55" s="52">
        <f ca="1">OFFSET(Leases!$F$9,COLUMN(AR7)-2,0,1,1)</f>
        <v>0</v>
      </c>
      <c r="AS55" s="52">
        <f ca="1">OFFSET(Leases!$F$9,COLUMN(AS7)-2,0,1,1)</f>
        <v>0</v>
      </c>
      <c r="AT55" s="52">
        <f ca="1">OFFSET(Leases!$F$9,COLUMN(AT7)-2,0,1,1)</f>
        <v>0</v>
      </c>
      <c r="AU55" s="52">
        <f ca="1">OFFSET(Leases!$F$9,COLUMN(AU7)-2,0,1,1)</f>
        <v>0</v>
      </c>
      <c r="AV55" s="52">
        <f ca="1">OFFSET(Leases!$F$9,COLUMN(AV7)-2,0,1,1)</f>
        <v>3370.9094802712548</v>
      </c>
      <c r="AW55" s="52">
        <f ca="1">OFFSET(Leases!$F$9,COLUMN(AW7)-2,0,1,1)</f>
        <v>0</v>
      </c>
      <c r="AX55" s="52">
        <f ca="1">OFFSET(Leases!$F$9,COLUMN(AX7)-2,0,1,1)</f>
        <v>0</v>
      </c>
      <c r="AY55" s="52">
        <f ca="1">OFFSET(Leases!$F$9,COLUMN(AY7)-2,0,1,1)</f>
        <v>0</v>
      </c>
      <c r="AZ55" s="52">
        <f ca="1">OFFSET(Leases!$F$9,COLUMN(AZ7)-2,0,1,1)</f>
        <v>3296.9556702677055</v>
      </c>
      <c r="BA55" s="52">
        <f ca="1">OFFSET(Leases!$F$9,COLUMN(BA7)-2,0,1,1)</f>
        <v>0</v>
      </c>
      <c r="BB55" s="52">
        <f ca="1">OFFSET(Leases!$F$9,COLUMN(BB7)-2,0,1,1)</f>
        <v>0</v>
      </c>
      <c r="BC55" s="53">
        <f ca="1">SUM(OFFSET($B55,0,1,1,Assumptions!$C$8))</f>
        <v>12016.427025120687</v>
      </c>
      <c r="BD55" s="53">
        <f ca="1">SUM(OFFSET($B55,0,1+Assumptions!$C$8,1,SUM(Assumptions!$C$9)))</f>
        <v>11399.701361593417</v>
      </c>
      <c r="BE55" s="53">
        <f ca="1">SUM(OFFSET($B55,0,1+SUM(Assumptions!$C$8:$C$9),1,SUM(Assumptions!$C$10)))</f>
        <v>10765.07437166853</v>
      </c>
      <c r="BF55" s="53">
        <f ca="1">SUM(OFFSET($B55,0,1+SUM(Assumptions!$C$8:$C$10),1,SUM(Assumptions!$C$11)))</f>
        <v>10112.026444268125</v>
      </c>
      <c r="BG55" s="53">
        <f t="shared" ca="1" si="20"/>
        <v>44293.229202650764</v>
      </c>
    </row>
    <row r="56" spans="1:59" s="4" customFormat="1" ht="16.149999999999999" customHeight="1" thickBot="1" x14ac:dyDescent="0.3">
      <c r="A56" s="317"/>
      <c r="B56" s="54" t="s">
        <v>221</v>
      </c>
      <c r="C56" s="57">
        <f ca="1">SUM(C52:C55)</f>
        <v>10249.999999999998</v>
      </c>
      <c r="D56" s="57">
        <f t="shared" ref="D56:BG56" ca="1" si="21">SUM(D52:D55)</f>
        <v>4072.9166666666665</v>
      </c>
      <c r="E56" s="57">
        <f t="shared" ca="1" si="21"/>
        <v>0</v>
      </c>
      <c r="F56" s="57">
        <f t="shared" ca="1" si="21"/>
        <v>0</v>
      </c>
      <c r="G56" s="57">
        <f t="shared" ca="1" si="21"/>
        <v>3854.1666666666665</v>
      </c>
      <c r="H56" s="57">
        <f t="shared" ca="1" si="21"/>
        <v>14206.365031942376</v>
      </c>
      <c r="I56" s="57">
        <f t="shared" ca="1" si="21"/>
        <v>0</v>
      </c>
      <c r="J56" s="57">
        <f t="shared" ca="1" si="21"/>
        <v>0</v>
      </c>
      <c r="K56" s="57">
        <f t="shared" ca="1" si="21"/>
        <v>3826.9104361872446</v>
      </c>
      <c r="L56" s="57">
        <f t="shared" ca="1" si="21"/>
        <v>10150.927891749021</v>
      </c>
      <c r="M56" s="57">
        <f t="shared" ca="1" si="21"/>
        <v>3937.8199329212807</v>
      </c>
      <c r="N56" s="57">
        <f t="shared" ca="1" si="21"/>
        <v>0</v>
      </c>
      <c r="O56" s="57">
        <f t="shared" ca="1" si="21"/>
        <v>3799.4441055978764</v>
      </c>
      <c r="P56" s="57">
        <f t="shared" ca="1" si="21"/>
        <v>10100.756257234016</v>
      </c>
      <c r="Q56" s="57">
        <f t="shared" ca="1" si="21"/>
        <v>3869.2990147556284</v>
      </c>
      <c r="R56" s="57">
        <f t="shared" ca="1" si="21"/>
        <v>0</v>
      </c>
      <c r="S56" s="57">
        <f t="shared" ca="1" si="21"/>
        <v>0</v>
      </c>
      <c r="T56" s="57">
        <f t="shared" ca="1" si="21"/>
        <v>3771.7660553768819</v>
      </c>
      <c r="U56" s="57">
        <f t="shared" ca="1" si="21"/>
        <v>13850.277511131748</v>
      </c>
      <c r="V56" s="57">
        <f t="shared" ca="1" si="21"/>
        <v>0</v>
      </c>
      <c r="W56" s="57">
        <f t="shared" ca="1" si="21"/>
        <v>0</v>
      </c>
      <c r="X56" s="57">
        <f t="shared" ca="1" si="21"/>
        <v>3743.8746535187674</v>
      </c>
      <c r="Y56" s="57">
        <f t="shared" ca="1" si="21"/>
        <v>9999.123679543618</v>
      </c>
      <c r="Z56" s="57">
        <f t="shared" ca="1" si="21"/>
        <v>3730.2809090469018</v>
      </c>
      <c r="AA56" s="57">
        <f t="shared" ca="1" si="21"/>
        <v>0</v>
      </c>
      <c r="AB56" s="57">
        <f t="shared" ca="1" si="21"/>
        <v>0</v>
      </c>
      <c r="AC56" s="57">
        <f t="shared" ca="1" si="21"/>
        <v>14434.256972820687</v>
      </c>
      <c r="AD56" s="57">
        <f t="shared" ca="1" si="21"/>
        <v>3659.7710752357866</v>
      </c>
      <c r="AE56" s="57">
        <f t="shared" ca="1" si="21"/>
        <v>0</v>
      </c>
      <c r="AF56" s="57">
        <f t="shared" ca="1" si="21"/>
        <v>0</v>
      </c>
      <c r="AG56" s="57">
        <f t="shared" ca="1" si="21"/>
        <v>4452.8272911094691</v>
      </c>
      <c r="AH56" s="57">
        <f t="shared" ca="1" si="21"/>
        <v>13484.332985715062</v>
      </c>
      <c r="AI56" s="57">
        <f t="shared" ca="1" si="21"/>
        <v>0</v>
      </c>
      <c r="AJ56" s="57">
        <f t="shared" ca="1" si="21"/>
        <v>0</v>
      </c>
      <c r="AK56" s="57">
        <f t="shared" ca="1" si="21"/>
        <v>4418.7926499031319</v>
      </c>
      <c r="AL56" s="57">
        <f t="shared" ca="1" si="21"/>
        <v>9843.3961628583802</v>
      </c>
      <c r="AM56" s="57">
        <f t="shared" ca="1" si="21"/>
        <v>3516.7177742487625</v>
      </c>
      <c r="AN56" s="57">
        <f t="shared" ca="1" si="21"/>
        <v>0</v>
      </c>
      <c r="AO56" s="57">
        <f t="shared" ca="1" si="21"/>
        <v>0</v>
      </c>
      <c r="AP56" s="57">
        <f t="shared" ca="1" si="21"/>
        <v>14175.093353163258</v>
      </c>
      <c r="AQ56" s="57">
        <f t="shared" ca="1" si="21"/>
        <v>3444.1612937291648</v>
      </c>
      <c r="AR56" s="57">
        <f t="shared" ca="1" si="21"/>
        <v>0</v>
      </c>
      <c r="AS56" s="57">
        <f t="shared" ca="1" si="21"/>
        <v>0</v>
      </c>
      <c r="AT56" s="57">
        <f t="shared" ca="1" si="21"/>
        <v>4349.9342941285386</v>
      </c>
      <c r="AU56" s="57">
        <f t="shared" ca="1" si="21"/>
        <v>9737.3482398787055</v>
      </c>
      <c r="AV56" s="57">
        <f t="shared" ca="1" si="21"/>
        <v>3370.9094802712548</v>
      </c>
      <c r="AW56" s="57">
        <f t="shared" ca="1" si="21"/>
        <v>0</v>
      </c>
      <c r="AX56" s="57">
        <f t="shared" ca="1" si="21"/>
        <v>4315.1065194038065</v>
      </c>
      <c r="AY56" s="57">
        <f t="shared" ca="1" si="21"/>
        <v>12183.643945837308</v>
      </c>
      <c r="AZ56" s="57">
        <f t="shared" ca="1" si="21"/>
        <v>3296.9556702677055</v>
      </c>
      <c r="BA56" s="57">
        <f t="shared" ca="1" si="21"/>
        <v>0</v>
      </c>
      <c r="BB56" s="57">
        <f t="shared" ca="1" si="21"/>
        <v>0</v>
      </c>
      <c r="BC56" s="57">
        <f t="shared" ca="1" si="21"/>
        <v>54098.550731731128</v>
      </c>
      <c r="BD56" s="57">
        <f t="shared" ca="1" si="21"/>
        <v>49065.378080607559</v>
      </c>
      <c r="BE56" s="57">
        <f t="shared" ca="1" si="21"/>
        <v>53810.094911891276</v>
      </c>
      <c r="BF56" s="57">
        <f t="shared" ca="1" si="21"/>
        <v>54873.152796679744</v>
      </c>
      <c r="BG56" s="57">
        <f t="shared" ca="1" si="21"/>
        <v>211847.17652090971</v>
      </c>
    </row>
    <row r="57" spans="1:59" s="4" customFormat="1" ht="16.149999999999999" customHeight="1" x14ac:dyDescent="0.25">
      <c r="A57" s="317"/>
      <c r="B57" s="54" t="s">
        <v>222</v>
      </c>
      <c r="C57" s="53">
        <f ca="1">SUM(C50,-C56)</f>
        <v>6700.0000000000018</v>
      </c>
      <c r="D57" s="53">
        <f t="shared" ref="D57:BG57" ca="1" si="22">SUM(D50,-D56)</f>
        <v>29650.149999999998</v>
      </c>
      <c r="E57" s="53">
        <f t="shared" ca="1" si="22"/>
        <v>36866.666666666672</v>
      </c>
      <c r="F57" s="53">
        <f t="shared" ca="1" si="22"/>
        <v>-26326.666666666672</v>
      </c>
      <c r="G57" s="53">
        <f t="shared" ca="1" si="22"/>
        <v>11027.833333333334</v>
      </c>
      <c r="H57" s="53">
        <f t="shared" ca="1" si="22"/>
        <v>267.80163472429558</v>
      </c>
      <c r="I57" s="53">
        <f t="shared" ca="1" si="22"/>
        <v>21724.5</v>
      </c>
      <c r="J57" s="53">
        <f t="shared" ca="1" si="22"/>
        <v>42675</v>
      </c>
      <c r="K57" s="53">
        <f t="shared" ca="1" si="22"/>
        <v>-60661.910436187245</v>
      </c>
      <c r="L57" s="53">
        <f t="shared" ca="1" si="22"/>
        <v>5695.7387749176505</v>
      </c>
      <c r="M57" s="53">
        <f t="shared" ca="1" si="22"/>
        <v>42488.18006707872</v>
      </c>
      <c r="N57" s="53">
        <f t="shared" ca="1" si="22"/>
        <v>47718.666666666672</v>
      </c>
      <c r="O57" s="53">
        <f t="shared" ca="1" si="22"/>
        <v>-75486.110772264539</v>
      </c>
      <c r="P57" s="53">
        <f t="shared" ca="1" si="22"/>
        <v>20082.577076099318</v>
      </c>
      <c r="Q57" s="53">
        <f t="shared" ca="1" si="22"/>
        <v>39510.700985244373</v>
      </c>
      <c r="R57" s="53">
        <f t="shared" ca="1" si="22"/>
        <v>41945.333333333336</v>
      </c>
      <c r="S57" s="53">
        <f t="shared" ca="1" si="22"/>
        <v>-33807.5</v>
      </c>
      <c r="T57" s="53">
        <f t="shared" ca="1" si="22"/>
        <v>16789.23394462312</v>
      </c>
      <c r="U57" s="53">
        <f t="shared" ca="1" si="22"/>
        <v>14979.889155534924</v>
      </c>
      <c r="V57" s="53">
        <f t="shared" ca="1" si="22"/>
        <v>39713.333333333336</v>
      </c>
      <c r="W57" s="53">
        <f t="shared" ca="1" si="22"/>
        <v>36965</v>
      </c>
      <c r="X57" s="53">
        <f t="shared" ca="1" si="22"/>
        <v>-48387.207986852096</v>
      </c>
      <c r="Y57" s="53">
        <f t="shared" ca="1" si="22"/>
        <v>17745.542987123052</v>
      </c>
      <c r="Z57" s="53">
        <f t="shared" ca="1" si="22"/>
        <v>34561.719090953098</v>
      </c>
      <c r="AA57" s="53">
        <f t="shared" ca="1" si="22"/>
        <v>48897</v>
      </c>
      <c r="AB57" s="53">
        <f t="shared" ca="1" si="22"/>
        <v>-57661</v>
      </c>
      <c r="AC57" s="53">
        <f t="shared" ca="1" si="22"/>
        <v>15889.076360512649</v>
      </c>
      <c r="AD57" s="53">
        <f t="shared" ca="1" si="22"/>
        <v>46200.228924764211</v>
      </c>
      <c r="AE57" s="53">
        <f t="shared" ca="1" si="22"/>
        <v>52060</v>
      </c>
      <c r="AF57" s="53">
        <f t="shared" ca="1" si="22"/>
        <v>51403.5</v>
      </c>
      <c r="AG57" s="53">
        <f t="shared" ca="1" si="22"/>
        <v>-45296.160624442804</v>
      </c>
      <c r="AH57" s="53">
        <f t="shared" ca="1" si="22"/>
        <v>10802.333680951609</v>
      </c>
      <c r="AI57" s="53">
        <f t="shared" ca="1" si="22"/>
        <v>52411</v>
      </c>
      <c r="AJ57" s="53">
        <f t="shared" ca="1" si="22"/>
        <v>36633.333333333336</v>
      </c>
      <c r="AK57" s="53">
        <f t="shared" ca="1" si="22"/>
        <v>-49473.792649903131</v>
      </c>
      <c r="AL57" s="53">
        <f t="shared" ca="1" si="22"/>
        <v>18856.603837141622</v>
      </c>
      <c r="AM57" s="53">
        <f t="shared" ca="1" si="22"/>
        <v>52858.282225751238</v>
      </c>
      <c r="AN57" s="53">
        <f t="shared" ca="1" si="22"/>
        <v>48705</v>
      </c>
      <c r="AO57" s="53">
        <f t="shared" ca="1" si="22"/>
        <v>-52085</v>
      </c>
      <c r="AP57" s="53">
        <f t="shared" ca="1" si="22"/>
        <v>34602.906646836738</v>
      </c>
      <c r="AQ57" s="53">
        <f t="shared" ca="1" si="22"/>
        <v>19210.838706270835</v>
      </c>
      <c r="AR57" s="53">
        <f t="shared" ca="1" si="22"/>
        <v>23050</v>
      </c>
      <c r="AS57" s="53">
        <f t="shared" ca="1" si="22"/>
        <v>-50417.333333333328</v>
      </c>
      <c r="AT57" s="53">
        <f t="shared" ca="1" si="22"/>
        <v>-6582.4676274618714</v>
      </c>
      <c r="AU57" s="53">
        <f t="shared" ca="1" si="22"/>
        <v>-4054.5482398787026</v>
      </c>
      <c r="AV57" s="53">
        <f t="shared" ca="1" si="22"/>
        <v>35061.590519728743</v>
      </c>
      <c r="AW57" s="53">
        <f t="shared" ca="1" si="22"/>
        <v>53746.666666666672</v>
      </c>
      <c r="AX57" s="53">
        <f t="shared" ca="1" si="22"/>
        <v>-54633.439852737138</v>
      </c>
      <c r="AY57" s="53">
        <f t="shared" ca="1" si="22"/>
        <v>24329.68938749603</v>
      </c>
      <c r="AZ57" s="53">
        <f t="shared" ca="1" si="22"/>
        <v>49216.377663065621</v>
      </c>
      <c r="BA57" s="53">
        <f t="shared" ca="1" si="22"/>
        <v>38290</v>
      </c>
      <c r="BB57" s="53">
        <f t="shared" ca="1" si="22"/>
        <v>-60470</v>
      </c>
      <c r="BC57" s="53">
        <f t="shared" ca="1" si="22"/>
        <v>82339.849268268896</v>
      </c>
      <c r="BD57" s="53">
        <f t="shared" ca="1" si="22"/>
        <v>171334.62191939243</v>
      </c>
      <c r="BE57" s="53">
        <f t="shared" ca="1" si="22"/>
        <v>238964.40508810873</v>
      </c>
      <c r="BF57" s="53">
        <f t="shared" ca="1" si="22"/>
        <v>101350.2805366536</v>
      </c>
      <c r="BG57" s="53">
        <f t="shared" ca="1" si="22"/>
        <v>593989.15681242384</v>
      </c>
    </row>
    <row r="58" spans="1:59" s="17" customFormat="1" ht="16.149999999999999" customHeight="1" x14ac:dyDescent="0.3">
      <c r="A58" s="303"/>
      <c r="B58" s="56" t="s">
        <v>37</v>
      </c>
      <c r="C58" s="52">
        <f ca="1">IF(SUM(OFFSET($B$57,0,1,1,COLUMN(C$4)-COLUMN($B$4)))-Assumptions!$C$69&lt;0,-SUM(OFFSET($B$58,0,0,1,COLUMN(C$4)-COLUMN($B$4))),((SUM(OFFSET($B$57,0,1,1,COLUMN(C$4)-COLUMN($B$4)))-Assumptions!$C$69)*Assumptions!$C$68)-SUM(OFFSET($B$58,0,0,1,COLUMN(C$4)-COLUMN($B$4))))</f>
        <v>1876.0000000000007</v>
      </c>
      <c r="D58" s="52">
        <f ca="1">IF(SUM(OFFSET($B$57,0,1,1,COLUMN(D$4)-COLUMN($B$4)))-Assumptions!$C$69&lt;0,-SUM(OFFSET($B$58,0,0,1,COLUMN(D$4)-COLUMN($B$4))),((SUM(OFFSET($B$57,0,1,1,COLUMN(D$4)-COLUMN($B$4)))-Assumptions!$C$69)*Assumptions!$C$68)-SUM(OFFSET($B$58,0,0,1,COLUMN(D$4)-COLUMN($B$4))))</f>
        <v>8302.0420000000013</v>
      </c>
      <c r="E58" s="52">
        <f ca="1">IF(SUM(OFFSET($B$57,0,1,1,COLUMN(E$4)-COLUMN($B$4)))-Assumptions!$C$69&lt;0,-SUM(OFFSET($B$58,0,0,1,COLUMN(E$4)-COLUMN($B$4))),((SUM(OFFSET($B$57,0,1,1,COLUMN(E$4)-COLUMN($B$4)))-Assumptions!$C$69)*Assumptions!$C$68)-SUM(OFFSET($B$58,0,0,1,COLUMN(E$4)-COLUMN($B$4))))</f>
        <v>10322.666666666672</v>
      </c>
      <c r="F58" s="52">
        <f ca="1">IF(SUM(OFFSET($B$57,0,1,1,COLUMN(F$4)-COLUMN($B$4)))-Assumptions!$C$69&lt;0,-SUM(OFFSET($B$58,0,0,1,COLUMN(F$4)-COLUMN($B$4))),((SUM(OFFSET($B$57,0,1,1,COLUMN(F$4)-COLUMN($B$4)))-Assumptions!$C$69)*Assumptions!$C$68)-SUM(OFFSET($B$58,0,0,1,COLUMN(F$4)-COLUMN($B$4))))</f>
        <v>-7371.466666666669</v>
      </c>
      <c r="G58" s="52">
        <f ca="1">IF(SUM(OFFSET($B$57,0,1,1,COLUMN(G$4)-COLUMN($B$4)))-Assumptions!$C$69&lt;0,-SUM(OFFSET($B$58,0,0,1,COLUMN(G$4)-COLUMN($B$4))),((SUM(OFFSET($B$57,0,1,1,COLUMN(G$4)-COLUMN($B$4)))-Assumptions!$C$69)*Assumptions!$C$68)-SUM(OFFSET($B$58,0,0,1,COLUMN(G$4)-COLUMN($B$4))))</f>
        <v>3087.7933333333349</v>
      </c>
      <c r="H58" s="52">
        <f ca="1">IF(SUM(OFFSET($B$57,0,1,1,COLUMN(H$4)-COLUMN($B$4)))-Assumptions!$C$69&lt;0,-SUM(OFFSET($B$58,0,0,1,COLUMN(H$4)-COLUMN($B$4))),((SUM(OFFSET($B$57,0,1,1,COLUMN(H$4)-COLUMN($B$4)))-Assumptions!$C$69)*Assumptions!$C$68)-SUM(OFFSET($B$58,0,0,1,COLUMN(H$4)-COLUMN($B$4))))</f>
        <v>74.98445772280138</v>
      </c>
      <c r="I58" s="52">
        <f ca="1">IF(SUM(OFFSET($B$57,0,1,1,COLUMN(I$4)-COLUMN($B$4)))-Assumptions!$C$69&lt;0,-SUM(OFFSET($B$58,0,0,1,COLUMN(I$4)-COLUMN($B$4))),((SUM(OFFSET($B$57,0,1,1,COLUMN(I$4)-COLUMN($B$4)))-Assumptions!$C$69)*Assumptions!$C$68)-SUM(OFFSET($B$58,0,0,1,COLUMN(I$4)-COLUMN($B$4))))</f>
        <v>6082.8600000000042</v>
      </c>
      <c r="J58" s="52">
        <f ca="1">IF(SUM(OFFSET($B$57,0,1,1,COLUMN(J$4)-COLUMN($B$4)))-Assumptions!$C$69&lt;0,-SUM(OFFSET($B$58,0,0,1,COLUMN(J$4)-COLUMN($B$4))),((SUM(OFFSET($B$57,0,1,1,COLUMN(J$4)-COLUMN($B$4)))-Assumptions!$C$69)*Assumptions!$C$68)-SUM(OFFSET($B$58,0,0,1,COLUMN(J$4)-COLUMN($B$4))))</f>
        <v>11949.000000000004</v>
      </c>
      <c r="K58" s="52">
        <f ca="1">IF(SUM(OFFSET($B$57,0,1,1,COLUMN(K$4)-COLUMN($B$4)))-Assumptions!$C$69&lt;0,-SUM(OFFSET($B$58,0,0,1,COLUMN(K$4)-COLUMN($B$4))),((SUM(OFFSET($B$57,0,1,1,COLUMN(K$4)-COLUMN($B$4)))-Assumptions!$C$69)*Assumptions!$C$68)-SUM(OFFSET($B$58,0,0,1,COLUMN(K$4)-COLUMN($B$4))))</f>
        <v>-16985.334922132435</v>
      </c>
      <c r="L58" s="52">
        <f ca="1">IF(SUM(OFFSET($B$57,0,1,1,COLUMN(L$4)-COLUMN($B$4)))-Assumptions!$C$69&lt;0,-SUM(OFFSET($B$58,0,0,1,COLUMN(L$4)-COLUMN($B$4))),((SUM(OFFSET($B$57,0,1,1,COLUMN(L$4)-COLUMN($B$4)))-Assumptions!$C$69)*Assumptions!$C$68)-SUM(OFFSET($B$58,0,0,1,COLUMN(L$4)-COLUMN($B$4))))</f>
        <v>1594.8068569769457</v>
      </c>
      <c r="M58" s="52">
        <f ca="1">IF(SUM(OFFSET($B$57,0,1,1,COLUMN(M$4)-COLUMN($B$4)))-Assumptions!$C$69&lt;0,-SUM(OFFSET($B$58,0,0,1,COLUMN(M$4)-COLUMN($B$4))),((SUM(OFFSET($B$57,0,1,1,COLUMN(M$4)-COLUMN($B$4)))-Assumptions!$C$69)*Assumptions!$C$68)-SUM(OFFSET($B$58,0,0,1,COLUMN(M$4)-COLUMN($B$4))))</f>
        <v>11896.690418782044</v>
      </c>
      <c r="N58" s="52">
        <f ca="1">IF(SUM(OFFSET($B$57,0,1,1,COLUMN(N$4)-COLUMN($B$4)))-Assumptions!$C$69&lt;0,-SUM(OFFSET($B$58,0,0,1,COLUMN(N$4)-COLUMN($B$4))),((SUM(OFFSET($B$57,0,1,1,COLUMN(N$4)-COLUMN($B$4)))-Assumptions!$C$69)*Assumptions!$C$68)-SUM(OFFSET($B$58,0,0,1,COLUMN(N$4)-COLUMN($B$4))))</f>
        <v>13361.226666666669</v>
      </c>
      <c r="O58" s="52">
        <f ca="1">IF(SUM(OFFSET($B$57,0,1,1,COLUMN(O$4)-COLUMN($B$4)))-Assumptions!$C$69&lt;0,-SUM(OFFSET($B$58,0,0,1,COLUMN(O$4)-COLUMN($B$4))),((SUM(OFFSET($B$57,0,1,1,COLUMN(O$4)-COLUMN($B$4)))-Assumptions!$C$69)*Assumptions!$C$68)-SUM(OFFSET($B$58,0,0,1,COLUMN(O$4)-COLUMN($B$4))))</f>
        <v>-21136.111016234074</v>
      </c>
      <c r="P58" s="52">
        <f ca="1">IF(SUM(OFFSET($B$57,0,1,1,COLUMN(P$4)-COLUMN($B$4)))-Assumptions!$C$69&lt;0,-SUM(OFFSET($B$58,0,0,1,COLUMN(P$4)-COLUMN($B$4))),((SUM(OFFSET($B$57,0,1,1,COLUMN(P$4)-COLUMN($B$4)))-Assumptions!$C$69)*Assumptions!$C$68)-SUM(OFFSET($B$58,0,0,1,COLUMN(P$4)-COLUMN($B$4))))</f>
        <v>5623.1215813078088</v>
      </c>
      <c r="Q58" s="52">
        <f ca="1">IF(SUM(OFFSET($B$57,0,1,1,COLUMN(Q$4)-COLUMN($B$4)))-Assumptions!$C$69&lt;0,-SUM(OFFSET($B$58,0,0,1,COLUMN(Q$4)-COLUMN($B$4))),((SUM(OFFSET($B$57,0,1,1,COLUMN(Q$4)-COLUMN($B$4)))-Assumptions!$C$69)*Assumptions!$C$68)-SUM(OFFSET($B$58,0,0,1,COLUMN(Q$4)-COLUMN($B$4))))</f>
        <v>11062.996275868431</v>
      </c>
      <c r="R58" s="52">
        <f ca="1">IF(SUM(OFFSET($B$57,0,1,1,COLUMN(R$4)-COLUMN($B$4)))-Assumptions!$C$69&lt;0,-SUM(OFFSET($B$58,0,0,1,COLUMN(R$4)-COLUMN($B$4))),((SUM(OFFSET($B$57,0,1,1,COLUMN(R$4)-COLUMN($B$4)))-Assumptions!$C$69)*Assumptions!$C$68)-SUM(OFFSET($B$58,0,0,1,COLUMN(R$4)-COLUMN($B$4))))</f>
        <v>11744.693333333336</v>
      </c>
      <c r="S58" s="52">
        <f ca="1">IF(SUM(OFFSET($B$57,0,1,1,COLUMN(S$4)-COLUMN($B$4)))-Assumptions!$C$69&lt;0,-SUM(OFFSET($B$58,0,0,1,COLUMN(S$4)-COLUMN($B$4))),((SUM(OFFSET($B$57,0,1,1,COLUMN(S$4)-COLUMN($B$4)))-Assumptions!$C$69)*Assumptions!$C$68)-SUM(OFFSET($B$58,0,0,1,COLUMN(S$4)-COLUMN($B$4))))</f>
        <v>-9466.0999999999985</v>
      </c>
      <c r="T58" s="52">
        <f ca="1">IF(SUM(OFFSET($B$57,0,1,1,COLUMN(T$4)-COLUMN($B$4)))-Assumptions!$C$69&lt;0,-SUM(OFFSET($B$58,0,0,1,COLUMN(T$4)-COLUMN($B$4))),((SUM(OFFSET($B$57,0,1,1,COLUMN(T$4)-COLUMN($B$4)))-Assumptions!$C$69)*Assumptions!$C$68)-SUM(OFFSET($B$58,0,0,1,COLUMN(T$4)-COLUMN($B$4))))</f>
        <v>4700.9855044944707</v>
      </c>
      <c r="U58" s="52">
        <f ca="1">IF(SUM(OFFSET($B$57,0,1,1,COLUMN(U$4)-COLUMN($B$4)))-Assumptions!$C$69&lt;0,-SUM(OFFSET($B$58,0,0,1,COLUMN(U$4)-COLUMN($B$4))),((SUM(OFFSET($B$57,0,1,1,COLUMN(U$4)-COLUMN($B$4)))-Assumptions!$C$69)*Assumptions!$C$68)-SUM(OFFSET($B$58,0,0,1,COLUMN(U$4)-COLUMN($B$4))))</f>
        <v>4194.3689635497794</v>
      </c>
      <c r="V58" s="52">
        <f ca="1">IF(SUM(OFFSET($B$57,0,1,1,COLUMN(V$4)-COLUMN($B$4)))-Assumptions!$C$69&lt;0,-SUM(OFFSET($B$58,0,0,1,COLUMN(V$4)-COLUMN($B$4))),((SUM(OFFSET($B$57,0,1,1,COLUMN(V$4)-COLUMN($B$4)))-Assumptions!$C$69)*Assumptions!$C$68)-SUM(OFFSET($B$58,0,0,1,COLUMN(V$4)-COLUMN($B$4))))</f>
        <v>11119.733333333337</v>
      </c>
      <c r="W58" s="52">
        <f ca="1">IF(SUM(OFFSET($B$57,0,1,1,COLUMN(W$4)-COLUMN($B$4)))-Assumptions!$C$69&lt;0,-SUM(OFFSET($B$58,0,0,1,COLUMN(W$4)-COLUMN($B$4))),((SUM(OFFSET($B$57,0,1,1,COLUMN(W$4)-COLUMN($B$4)))-Assumptions!$C$69)*Assumptions!$C$68)-SUM(OFFSET($B$58,0,0,1,COLUMN(W$4)-COLUMN($B$4))))</f>
        <v>10350.199999999997</v>
      </c>
      <c r="X58" s="52">
        <f ca="1">IF(SUM(OFFSET($B$57,0,1,1,COLUMN(X$4)-COLUMN($B$4)))-Assumptions!$C$69&lt;0,-SUM(OFFSET($B$58,0,0,1,COLUMN(X$4)-COLUMN($B$4))),((SUM(OFFSET($B$57,0,1,1,COLUMN(X$4)-COLUMN($B$4)))-Assumptions!$C$69)*Assumptions!$C$68)-SUM(OFFSET($B$58,0,0,1,COLUMN(X$4)-COLUMN($B$4))))</f>
        <v>-13548.41823631859</v>
      </c>
      <c r="Y58" s="52">
        <f ca="1">IF(SUM(OFFSET($B$57,0,1,1,COLUMN(Y$4)-COLUMN($B$4)))-Assumptions!$C$69&lt;0,-SUM(OFFSET($B$58,0,0,1,COLUMN(Y$4)-COLUMN($B$4))),((SUM(OFFSET($B$57,0,1,1,COLUMN(Y$4)-COLUMN($B$4)))-Assumptions!$C$69)*Assumptions!$C$68)-SUM(OFFSET($B$58,0,0,1,COLUMN(Y$4)-COLUMN($B$4))))</f>
        <v>4968.7520363944568</v>
      </c>
      <c r="Z58" s="52">
        <f ca="1">IF(SUM(OFFSET($B$57,0,1,1,COLUMN(Z$4)-COLUMN($B$4)))-Assumptions!$C$69&lt;0,-SUM(OFFSET($B$58,0,0,1,COLUMN(Z$4)-COLUMN($B$4))),((SUM(OFFSET($B$57,0,1,1,COLUMN(Z$4)-COLUMN($B$4)))-Assumptions!$C$69)*Assumptions!$C$68)-SUM(OFFSET($B$58,0,0,1,COLUMN(Z$4)-COLUMN($B$4))))</f>
        <v>9677.2813454668794</v>
      </c>
      <c r="AA58" s="52">
        <f ca="1">IF(SUM(OFFSET($B$57,0,1,1,COLUMN(AA$4)-COLUMN($B$4)))-Assumptions!$C$69&lt;0,-SUM(OFFSET($B$58,0,0,1,COLUMN(AA$4)-COLUMN($B$4))),((SUM(OFFSET($B$57,0,1,1,COLUMN(AA$4)-COLUMN($B$4)))-Assumptions!$C$69)*Assumptions!$C$68)-SUM(OFFSET($B$58,0,0,1,COLUMN(AA$4)-COLUMN($B$4))))</f>
        <v>13691.159999999989</v>
      </c>
      <c r="AB58" s="52">
        <f ca="1">IF(SUM(OFFSET($B$57,0,1,1,COLUMN(AB$4)-COLUMN($B$4)))-Assumptions!$C$69&lt;0,-SUM(OFFSET($B$58,0,0,1,COLUMN(AB$4)-COLUMN($B$4))),((SUM(OFFSET($B$57,0,1,1,COLUMN(AB$4)-COLUMN($B$4)))-Assumptions!$C$69)*Assumptions!$C$68)-SUM(OFFSET($B$58,0,0,1,COLUMN(AB$4)-COLUMN($B$4))))</f>
        <v>-16145.080000000002</v>
      </c>
      <c r="AC58" s="52">
        <f ca="1">IF(SUM(OFFSET($B$57,0,1,1,COLUMN(AC$4)-COLUMN($B$4)))-Assumptions!$C$69&lt;0,-SUM(OFFSET($B$58,0,0,1,COLUMN(AC$4)-COLUMN($B$4))),((SUM(OFFSET($B$57,0,1,1,COLUMN(AC$4)-COLUMN($B$4)))-Assumptions!$C$69)*Assumptions!$C$68)-SUM(OFFSET($B$58,0,0,1,COLUMN(AC$4)-COLUMN($B$4))))</f>
        <v>4448.94138094355</v>
      </c>
      <c r="AD58" s="52">
        <f ca="1">IF(SUM(OFFSET($B$57,0,1,1,COLUMN(AD$4)-COLUMN($B$4)))-Assumptions!$C$69&lt;0,-SUM(OFFSET($B$58,0,0,1,COLUMN(AD$4)-COLUMN($B$4))),((SUM(OFFSET($B$57,0,1,1,COLUMN(AD$4)-COLUMN($B$4)))-Assumptions!$C$69)*Assumptions!$C$68)-SUM(OFFSET($B$58,0,0,1,COLUMN(AD$4)-COLUMN($B$4))))</f>
        <v>12936.064098933974</v>
      </c>
      <c r="AE58" s="52">
        <f ca="1">IF(SUM(OFFSET($B$57,0,1,1,COLUMN(AE$4)-COLUMN($B$4)))-Assumptions!$C$69&lt;0,-SUM(OFFSET($B$58,0,0,1,COLUMN(AE$4)-COLUMN($B$4))),((SUM(OFFSET($B$57,0,1,1,COLUMN(AE$4)-COLUMN($B$4)))-Assumptions!$C$69)*Assumptions!$C$68)-SUM(OFFSET($B$58,0,0,1,COLUMN(AE$4)-COLUMN($B$4))))</f>
        <v>14576.800000000003</v>
      </c>
      <c r="AF58" s="52">
        <f ca="1">IF(SUM(OFFSET($B$57,0,1,1,COLUMN(AF$4)-COLUMN($B$4)))-Assumptions!$C$69&lt;0,-SUM(OFFSET($B$58,0,0,1,COLUMN(AF$4)-COLUMN($B$4))),((SUM(OFFSET($B$57,0,1,1,COLUMN(AF$4)-COLUMN($B$4)))-Assumptions!$C$69)*Assumptions!$C$68)-SUM(OFFSET($B$58,0,0,1,COLUMN(AF$4)-COLUMN($B$4))))</f>
        <v>14392.979999999996</v>
      </c>
      <c r="AG58" s="52">
        <f ca="1">IF(SUM(OFFSET($B$57,0,1,1,COLUMN(AG$4)-COLUMN($B$4)))-Assumptions!$C$69&lt;0,-SUM(OFFSET($B$58,0,0,1,COLUMN(AG$4)-COLUMN($B$4))),((SUM(OFFSET($B$57,0,1,1,COLUMN(AG$4)-COLUMN($B$4)))-Assumptions!$C$69)*Assumptions!$C$68)-SUM(OFFSET($B$58,0,0,1,COLUMN(AG$4)-COLUMN($B$4))))</f>
        <v>-12682.924974843976</v>
      </c>
      <c r="AH58" s="52">
        <f ca="1">IF(SUM(OFFSET($B$57,0,1,1,COLUMN(AH$4)-COLUMN($B$4)))-Assumptions!$C$69&lt;0,-SUM(OFFSET($B$58,0,0,1,COLUMN(AH$4)-COLUMN($B$4))),((SUM(OFFSET($B$57,0,1,1,COLUMN(AH$4)-COLUMN($B$4)))-Assumptions!$C$69)*Assumptions!$C$68)-SUM(OFFSET($B$58,0,0,1,COLUMN(AH$4)-COLUMN($B$4))))</f>
        <v>3024.6534306664544</v>
      </c>
      <c r="AI58" s="52">
        <f ca="1">IF(SUM(OFFSET($B$57,0,1,1,COLUMN(AI$4)-COLUMN($B$4)))-Assumptions!$C$69&lt;0,-SUM(OFFSET($B$58,0,0,1,COLUMN(AI$4)-COLUMN($B$4))),((SUM(OFFSET($B$57,0,1,1,COLUMN(AI$4)-COLUMN($B$4)))-Assumptions!$C$69)*Assumptions!$C$68)-SUM(OFFSET($B$58,0,0,1,COLUMN(AI$4)-COLUMN($B$4))))</f>
        <v>14675.080000000002</v>
      </c>
      <c r="AJ58" s="52">
        <f ca="1">IF(SUM(OFFSET($B$57,0,1,1,COLUMN(AJ$4)-COLUMN($B$4)))-Assumptions!$C$69&lt;0,-SUM(OFFSET($B$58,0,0,1,COLUMN(AJ$4)-COLUMN($B$4))),((SUM(OFFSET($B$57,0,1,1,COLUMN(AJ$4)-COLUMN($B$4)))-Assumptions!$C$69)*Assumptions!$C$68)-SUM(OFFSET($B$58,0,0,1,COLUMN(AJ$4)-COLUMN($B$4))))</f>
        <v>10257.333333333328</v>
      </c>
      <c r="AK58" s="52">
        <f ca="1">IF(SUM(OFFSET($B$57,0,1,1,COLUMN(AK$4)-COLUMN($B$4)))-Assumptions!$C$69&lt;0,-SUM(OFFSET($B$58,0,0,1,COLUMN(AK$4)-COLUMN($B$4))),((SUM(OFFSET($B$57,0,1,1,COLUMN(AK$4)-COLUMN($B$4)))-Assumptions!$C$69)*Assumptions!$C$68)-SUM(OFFSET($B$58,0,0,1,COLUMN(AK$4)-COLUMN($B$4))))</f>
        <v>-13852.661941972867</v>
      </c>
      <c r="AL58" s="52">
        <f ca="1">IF(SUM(OFFSET($B$57,0,1,1,COLUMN(AL$4)-COLUMN($B$4)))-Assumptions!$C$69&lt;0,-SUM(OFFSET($B$58,0,0,1,COLUMN(AL$4)-COLUMN($B$4))),((SUM(OFFSET($B$57,0,1,1,COLUMN(AL$4)-COLUMN($B$4)))-Assumptions!$C$69)*Assumptions!$C$68)-SUM(OFFSET($B$58,0,0,1,COLUMN(AL$4)-COLUMN($B$4))))</f>
        <v>5279.8490743996517</v>
      </c>
      <c r="AM58" s="52">
        <f ca="1">IF(SUM(OFFSET($B$57,0,1,1,COLUMN(AM$4)-COLUMN($B$4)))-Assumptions!$C$69&lt;0,-SUM(OFFSET($B$58,0,0,1,COLUMN(AM$4)-COLUMN($B$4))),((SUM(OFFSET($B$57,0,1,1,COLUMN(AM$4)-COLUMN($B$4)))-Assumptions!$C$69)*Assumptions!$C$68)-SUM(OFFSET($B$58,0,0,1,COLUMN(AM$4)-COLUMN($B$4))))</f>
        <v>14800.319023210366</v>
      </c>
      <c r="AN58" s="52">
        <f ca="1">IF(SUM(OFFSET($B$57,0,1,1,COLUMN(AN$4)-COLUMN($B$4)))-Assumptions!$C$69&lt;0,-SUM(OFFSET($B$58,0,0,1,COLUMN(AN$4)-COLUMN($B$4))),((SUM(OFFSET($B$57,0,1,1,COLUMN(AN$4)-COLUMN($B$4)))-Assumptions!$C$69)*Assumptions!$C$68)-SUM(OFFSET($B$58,0,0,1,COLUMN(AN$4)-COLUMN($B$4))))</f>
        <v>13637.399999999965</v>
      </c>
      <c r="AO58" s="52">
        <f ca="1">IF(SUM(OFFSET($B$57,0,1,1,COLUMN(AO$4)-COLUMN($B$4)))-Assumptions!$C$69&lt;0,-SUM(OFFSET($B$58,0,0,1,COLUMN(AO$4)-COLUMN($B$4))),((SUM(OFFSET($B$57,0,1,1,COLUMN(AO$4)-COLUMN($B$4)))-Assumptions!$C$69)*Assumptions!$C$68)-SUM(OFFSET($B$58,0,0,1,COLUMN(AO$4)-COLUMN($B$4))))</f>
        <v>-14583.799999999988</v>
      </c>
      <c r="AP58" s="52">
        <f ca="1">IF(SUM(OFFSET($B$57,0,1,1,COLUMN(AP$4)-COLUMN($B$4)))-Assumptions!$C$69&lt;0,-SUM(OFFSET($B$58,0,0,1,COLUMN(AP$4)-COLUMN($B$4))),((SUM(OFFSET($B$57,0,1,1,COLUMN(AP$4)-COLUMN($B$4)))-Assumptions!$C$69)*Assumptions!$C$68)-SUM(OFFSET($B$58,0,0,1,COLUMN(AP$4)-COLUMN($B$4))))</f>
        <v>9688.8138611142931</v>
      </c>
      <c r="AQ58" s="52">
        <f ca="1">IF(SUM(OFFSET($B$57,0,1,1,COLUMN(AQ$4)-COLUMN($B$4)))-Assumptions!$C$69&lt;0,-SUM(OFFSET($B$58,0,0,1,COLUMN(AQ$4)-COLUMN($B$4))),((SUM(OFFSET($B$57,0,1,1,COLUMN(AQ$4)-COLUMN($B$4)))-Assumptions!$C$69)*Assumptions!$C$68)-SUM(OFFSET($B$58,0,0,1,COLUMN(AQ$4)-COLUMN($B$4))))</f>
        <v>5379.0348377558403</v>
      </c>
      <c r="AR58" s="52">
        <f ca="1">IF(SUM(OFFSET($B$57,0,1,1,COLUMN(AR$4)-COLUMN($B$4)))-Assumptions!$C$69&lt;0,-SUM(OFFSET($B$58,0,0,1,COLUMN(AR$4)-COLUMN($B$4))),((SUM(OFFSET($B$57,0,1,1,COLUMN(AR$4)-COLUMN($B$4)))-Assumptions!$C$69)*Assumptions!$C$68)-SUM(OFFSET($B$58,0,0,1,COLUMN(AR$4)-COLUMN($B$4))))</f>
        <v>6454</v>
      </c>
      <c r="AS58" s="52">
        <f ca="1">IF(SUM(OFFSET($B$57,0,1,1,COLUMN(AS$4)-COLUMN($B$4)))-Assumptions!$C$69&lt;0,-SUM(OFFSET($B$58,0,0,1,COLUMN(AS$4)-COLUMN($B$4))),((SUM(OFFSET($B$57,0,1,1,COLUMN(AS$4)-COLUMN($B$4)))-Assumptions!$C$69)*Assumptions!$C$68)-SUM(OFFSET($B$58,0,0,1,COLUMN(AS$4)-COLUMN($B$4))))</f>
        <v>-14116.853333333333</v>
      </c>
      <c r="AT58" s="52">
        <f ca="1">IF(SUM(OFFSET($B$57,0,1,1,COLUMN(AT$4)-COLUMN($B$4)))-Assumptions!$C$69&lt;0,-SUM(OFFSET($B$58,0,0,1,COLUMN(AT$4)-COLUMN($B$4))),((SUM(OFFSET($B$57,0,1,1,COLUMN(AT$4)-COLUMN($B$4)))-Assumptions!$C$69)*Assumptions!$C$68)-SUM(OFFSET($B$58,0,0,1,COLUMN(AT$4)-COLUMN($B$4))))</f>
        <v>-1843.0909356893389</v>
      </c>
      <c r="AU58" s="52">
        <f ca="1">IF(SUM(OFFSET($B$57,0,1,1,COLUMN(AU$4)-COLUMN($B$4)))-Assumptions!$C$69&lt;0,-SUM(OFFSET($B$58,0,0,1,COLUMN(AU$4)-COLUMN($B$4))),((SUM(OFFSET($B$57,0,1,1,COLUMN(AU$4)-COLUMN($B$4)))-Assumptions!$C$69)*Assumptions!$C$68)-SUM(OFFSET($B$58,0,0,1,COLUMN(AU$4)-COLUMN($B$4))))</f>
        <v>-1135.2735071660427</v>
      </c>
      <c r="AV58" s="52">
        <f ca="1">IF(SUM(OFFSET($B$57,0,1,1,COLUMN(AV$4)-COLUMN($B$4)))-Assumptions!$C$69&lt;0,-SUM(OFFSET($B$58,0,0,1,COLUMN(AV$4)-COLUMN($B$4))),((SUM(OFFSET($B$57,0,1,1,COLUMN(AV$4)-COLUMN($B$4)))-Assumptions!$C$69)*Assumptions!$C$68)-SUM(OFFSET($B$58,0,0,1,COLUMN(AV$4)-COLUMN($B$4))))</f>
        <v>9817.2453455240466</v>
      </c>
      <c r="AW58" s="52">
        <f ca="1">IF(SUM(OFFSET($B$57,0,1,1,COLUMN(AW$4)-COLUMN($B$4)))-Assumptions!$C$69&lt;0,-SUM(OFFSET($B$58,0,0,1,COLUMN(AW$4)-COLUMN($B$4))),((SUM(OFFSET($B$57,0,1,1,COLUMN(AW$4)-COLUMN($B$4)))-Assumptions!$C$69)*Assumptions!$C$68)-SUM(OFFSET($B$58,0,0,1,COLUMN(AW$4)-COLUMN($B$4))))</f>
        <v>15049.06666666668</v>
      </c>
      <c r="AX58" s="52">
        <f ca="1">IF(SUM(OFFSET($B$57,0,1,1,COLUMN(AX$4)-COLUMN($B$4)))-Assumptions!$C$69&lt;0,-SUM(OFFSET($B$58,0,0,1,COLUMN(AX$4)-COLUMN($B$4))),((SUM(OFFSET($B$57,0,1,1,COLUMN(AX$4)-COLUMN($B$4)))-Assumptions!$C$69)*Assumptions!$C$68)-SUM(OFFSET($B$58,0,0,1,COLUMN(AX$4)-COLUMN($B$4))))</f>
        <v>-15297.363158766413</v>
      </c>
      <c r="AY58" s="52">
        <f ca="1">IF(SUM(OFFSET($B$57,0,1,1,COLUMN(AY$4)-COLUMN($B$4)))-Assumptions!$C$69&lt;0,-SUM(OFFSET($B$58,0,0,1,COLUMN(AY$4)-COLUMN($B$4))),((SUM(OFFSET($B$57,0,1,1,COLUMN(AY$4)-COLUMN($B$4)))-Assumptions!$C$69)*Assumptions!$C$68)-SUM(OFFSET($B$58,0,0,1,COLUMN(AY$4)-COLUMN($B$4))))</f>
        <v>6812.3130284988729</v>
      </c>
      <c r="AZ58" s="52">
        <f ca="1">IF(SUM(OFFSET($B$57,0,1,1,COLUMN(AZ$4)-COLUMN($B$4)))-Assumptions!$C$69&lt;0,-SUM(OFFSET($B$58,0,0,1,COLUMN(AZ$4)-COLUMN($B$4))),((SUM(OFFSET($B$57,0,1,1,COLUMN(AZ$4)-COLUMN($B$4)))-Assumptions!$C$69)*Assumptions!$C$68)-SUM(OFFSET($B$58,0,0,1,COLUMN(AZ$4)-COLUMN($B$4))))</f>
        <v>13780.585745658376</v>
      </c>
      <c r="BA58" s="52">
        <f ca="1">IF(SUM(OFFSET($B$57,0,1,1,COLUMN(BA$4)-COLUMN($B$4)))-Assumptions!$C$69&lt;0,-SUM(OFFSET($B$58,0,0,1,COLUMN(BA$4)-COLUMN($B$4))),((SUM(OFFSET($B$57,0,1,1,COLUMN(BA$4)-COLUMN($B$4)))-Assumptions!$C$69)*Assumptions!$C$68)-SUM(OFFSET($B$58,0,0,1,COLUMN(BA$4)-COLUMN($B$4))))</f>
        <v>10721.199999999983</v>
      </c>
      <c r="BB58" s="52">
        <f ca="1">IF(SUM(OFFSET($B$57,0,1,1,COLUMN(BB$4)-COLUMN($B$4)))-Assumptions!$C$69&lt;0,-SUM(OFFSET($B$58,0,0,1,COLUMN(BB$4)-COLUMN($B$4))),((SUM(OFFSET($B$57,0,1,1,COLUMN(BB$4)-COLUMN($B$4)))-Assumptions!$C$69)*Assumptions!$C$68)-SUM(OFFSET($B$58,0,0,1,COLUMN(BB$4)-COLUMN($B$4))))</f>
        <v>-16931.599999999977</v>
      </c>
      <c r="BC58" s="53">
        <f ca="1">SUM(OFFSET($B58,0,1,1,Assumptions!$C$8))</f>
        <v>23055.157795115298</v>
      </c>
      <c r="BD58" s="53">
        <f ca="1">SUM(OFFSET($B58,0,1+Assumptions!$C$8,1,SUM(Assumptions!$C$9)))</f>
        <v>47973.694137429891</v>
      </c>
      <c r="BE58" s="53">
        <f ca="1">SUM(OFFSET($B58,0,1+SUM(Assumptions!$C$8:$C$9),1,SUM(Assumptions!$C$10)))</f>
        <v>66910.033424670459</v>
      </c>
      <c r="BF58" s="53">
        <f ca="1">SUM(OFFSET($B58,0,1+SUM(Assumptions!$C$8:$C$10),1,SUM(Assumptions!$C$11)))</f>
        <v>28378.078550262988</v>
      </c>
      <c r="BG58" s="53">
        <f ca="1">SUM(BC58:BF58)</f>
        <v>166316.96390747864</v>
      </c>
    </row>
    <row r="59" spans="1:59" ht="16.149999999999999" customHeight="1" x14ac:dyDescent="0.3">
      <c r="B59" s="3" t="s">
        <v>80</v>
      </c>
      <c r="C59" s="53">
        <f ca="1">SUM(C57,-C58)</f>
        <v>4824.0000000000009</v>
      </c>
      <c r="D59" s="53">
        <f t="shared" ref="D59:BG59" ca="1" si="23">SUM(D57,-D58)</f>
        <v>21348.107999999997</v>
      </c>
      <c r="E59" s="53">
        <f t="shared" ca="1" si="23"/>
        <v>26544</v>
      </c>
      <c r="F59" s="53">
        <f t="shared" ca="1" si="23"/>
        <v>-18955.200000000004</v>
      </c>
      <c r="G59" s="53">
        <f t="shared" ca="1" si="23"/>
        <v>7940.0399999999991</v>
      </c>
      <c r="H59" s="53">
        <f t="shared" ca="1" si="23"/>
        <v>192.8171770014942</v>
      </c>
      <c r="I59" s="53">
        <f t="shared" ca="1" si="23"/>
        <v>15641.639999999996</v>
      </c>
      <c r="J59" s="53">
        <f t="shared" ca="1" si="23"/>
        <v>30725.999999999996</v>
      </c>
      <c r="K59" s="53">
        <f t="shared" ca="1" si="23"/>
        <v>-43676.575514054814</v>
      </c>
      <c r="L59" s="53">
        <f t="shared" ca="1" si="23"/>
        <v>4100.9319179407048</v>
      </c>
      <c r="M59" s="53">
        <f t="shared" ca="1" si="23"/>
        <v>30591.489648296676</v>
      </c>
      <c r="N59" s="53">
        <f t="shared" ca="1" si="23"/>
        <v>34357.440000000002</v>
      </c>
      <c r="O59" s="53">
        <f t="shared" ca="1" si="23"/>
        <v>-54349.999756030462</v>
      </c>
      <c r="P59" s="53">
        <f t="shared" ca="1" si="23"/>
        <v>14459.455494791509</v>
      </c>
      <c r="Q59" s="53">
        <f t="shared" ca="1" si="23"/>
        <v>28447.704709375943</v>
      </c>
      <c r="R59" s="53">
        <f t="shared" ca="1" si="23"/>
        <v>30200.639999999999</v>
      </c>
      <c r="S59" s="53">
        <f t="shared" ca="1" si="23"/>
        <v>-24341.4</v>
      </c>
      <c r="T59" s="53">
        <f t="shared" ca="1" si="23"/>
        <v>12088.248440128649</v>
      </c>
      <c r="U59" s="53">
        <f t="shared" ca="1" si="23"/>
        <v>10785.520191985144</v>
      </c>
      <c r="V59" s="53">
        <f t="shared" ca="1" si="23"/>
        <v>28593.599999999999</v>
      </c>
      <c r="W59" s="53">
        <f t="shared" ca="1" si="23"/>
        <v>26614.800000000003</v>
      </c>
      <c r="X59" s="53">
        <f t="shared" ca="1" si="23"/>
        <v>-34838.789750533506</v>
      </c>
      <c r="Y59" s="53">
        <f t="shared" ca="1" si="23"/>
        <v>12776.790950728595</v>
      </c>
      <c r="Z59" s="53">
        <f t="shared" ca="1" si="23"/>
        <v>24884.437745486219</v>
      </c>
      <c r="AA59" s="53">
        <f t="shared" ca="1" si="23"/>
        <v>35205.840000000011</v>
      </c>
      <c r="AB59" s="53">
        <f t="shared" ca="1" si="23"/>
        <v>-41515.919999999998</v>
      </c>
      <c r="AC59" s="53">
        <f t="shared" ca="1" si="23"/>
        <v>11440.134979569099</v>
      </c>
      <c r="AD59" s="53">
        <f t="shared" ca="1" si="23"/>
        <v>33264.164825830238</v>
      </c>
      <c r="AE59" s="53">
        <f t="shared" ca="1" si="23"/>
        <v>37483.199999999997</v>
      </c>
      <c r="AF59" s="53">
        <f t="shared" ca="1" si="23"/>
        <v>37010.520000000004</v>
      </c>
      <c r="AG59" s="53">
        <f t="shared" ca="1" si="23"/>
        <v>-32613.235649598828</v>
      </c>
      <c r="AH59" s="53">
        <f t="shared" ca="1" si="23"/>
        <v>7777.6802502851551</v>
      </c>
      <c r="AI59" s="53">
        <f t="shared" ca="1" si="23"/>
        <v>37735.919999999998</v>
      </c>
      <c r="AJ59" s="53">
        <f t="shared" ca="1" si="23"/>
        <v>26376.000000000007</v>
      </c>
      <c r="AK59" s="53">
        <f t="shared" ca="1" si="23"/>
        <v>-35621.130707930264</v>
      </c>
      <c r="AL59" s="53">
        <f t="shared" ca="1" si="23"/>
        <v>13576.75476274197</v>
      </c>
      <c r="AM59" s="53">
        <f t="shared" ca="1" si="23"/>
        <v>38057.963202540872</v>
      </c>
      <c r="AN59" s="53">
        <f t="shared" ca="1" si="23"/>
        <v>35067.600000000035</v>
      </c>
      <c r="AO59" s="53">
        <f t="shared" ca="1" si="23"/>
        <v>-37501.200000000012</v>
      </c>
      <c r="AP59" s="53">
        <f t="shared" ca="1" si="23"/>
        <v>24914.092785722445</v>
      </c>
      <c r="AQ59" s="53">
        <f t="shared" ca="1" si="23"/>
        <v>13831.803868514995</v>
      </c>
      <c r="AR59" s="53">
        <f t="shared" ca="1" si="23"/>
        <v>16596</v>
      </c>
      <c r="AS59" s="53">
        <f t="shared" ca="1" si="23"/>
        <v>-36300.479999999996</v>
      </c>
      <c r="AT59" s="53">
        <f t="shared" ca="1" si="23"/>
        <v>-4739.3766917725325</v>
      </c>
      <c r="AU59" s="53">
        <f t="shared" ca="1" si="23"/>
        <v>-2919.2747327126599</v>
      </c>
      <c r="AV59" s="53">
        <f t="shared" ca="1" si="23"/>
        <v>25244.345174204696</v>
      </c>
      <c r="AW59" s="53">
        <f t="shared" ca="1" si="23"/>
        <v>38697.599999999991</v>
      </c>
      <c r="AX59" s="53">
        <f t="shared" ca="1" si="23"/>
        <v>-39336.076693970725</v>
      </c>
      <c r="AY59" s="53">
        <f t="shared" ca="1" si="23"/>
        <v>17517.376358997157</v>
      </c>
      <c r="AZ59" s="53">
        <f t="shared" ca="1" si="23"/>
        <v>35435.791917407245</v>
      </c>
      <c r="BA59" s="53">
        <f t="shared" ca="1" si="23"/>
        <v>27568.800000000017</v>
      </c>
      <c r="BB59" s="53">
        <f t="shared" ca="1" si="23"/>
        <v>-43538.400000000023</v>
      </c>
      <c r="BC59" s="53">
        <f t="shared" ca="1" si="23"/>
        <v>59284.691473153594</v>
      </c>
      <c r="BD59" s="53">
        <f t="shared" ca="1" si="23"/>
        <v>123360.92778196254</v>
      </c>
      <c r="BE59" s="53">
        <f t="shared" ca="1" si="23"/>
        <v>172054.37166343827</v>
      </c>
      <c r="BF59" s="53">
        <f t="shared" ca="1" si="23"/>
        <v>72972.201986390617</v>
      </c>
      <c r="BG59" s="53">
        <f t="shared" ca="1" si="23"/>
        <v>427672.19290494523</v>
      </c>
    </row>
    <row r="60" spans="1:59" ht="16.149999999999999" customHeight="1" x14ac:dyDescent="0.3">
      <c r="A60" s="291" t="s">
        <v>276</v>
      </c>
      <c r="B60" s="12" t="s">
        <v>274</v>
      </c>
      <c r="C60" s="52">
        <f ca="1">BS!D119</f>
        <v>0</v>
      </c>
      <c r="D60" s="52">
        <f ca="1">BS!E119</f>
        <v>0</v>
      </c>
      <c r="E60" s="52">
        <f ca="1">BS!F119</f>
        <v>0</v>
      </c>
      <c r="F60" s="52">
        <f ca="1">BS!G119</f>
        <v>0</v>
      </c>
      <c r="G60" s="52">
        <f ca="1">BS!H119</f>
        <v>0</v>
      </c>
      <c r="H60" s="52">
        <f ca="1">BS!I119</f>
        <v>0</v>
      </c>
      <c r="I60" s="52">
        <f ca="1">BS!J119</f>
        <v>0</v>
      </c>
      <c r="J60" s="52">
        <f ca="1">BS!K119</f>
        <v>0</v>
      </c>
      <c r="K60" s="52">
        <f ca="1">BS!L119</f>
        <v>0</v>
      </c>
      <c r="L60" s="52">
        <f ca="1">BS!M119</f>
        <v>0</v>
      </c>
      <c r="M60" s="52">
        <f ca="1">BS!N119</f>
        <v>0</v>
      </c>
      <c r="N60" s="52">
        <f ca="1">BS!O119</f>
        <v>0</v>
      </c>
      <c r="O60" s="52">
        <f ca="1">BS!P119</f>
        <v>0</v>
      </c>
      <c r="P60" s="52">
        <f ca="1">BS!Q119</f>
        <v>0</v>
      </c>
      <c r="Q60" s="52">
        <f ca="1">BS!R119</f>
        <v>0</v>
      </c>
      <c r="R60" s="52">
        <f ca="1">BS!S119</f>
        <v>0</v>
      </c>
      <c r="S60" s="52">
        <f ca="1">BS!T119</f>
        <v>0</v>
      </c>
      <c r="T60" s="52">
        <f ca="1">BS!U119</f>
        <v>0</v>
      </c>
      <c r="U60" s="52">
        <f ca="1">BS!V119</f>
        <v>0</v>
      </c>
      <c r="V60" s="52">
        <f ca="1">BS!W119</f>
        <v>0</v>
      </c>
      <c r="W60" s="52">
        <f ca="1">BS!X119</f>
        <v>0</v>
      </c>
      <c r="X60" s="52">
        <f ca="1">BS!Y119</f>
        <v>0</v>
      </c>
      <c r="Y60" s="52">
        <f ca="1">BS!Z119</f>
        <v>0</v>
      </c>
      <c r="Z60" s="52">
        <f ca="1">BS!AA119</f>
        <v>0</v>
      </c>
      <c r="AA60" s="52">
        <f ca="1">BS!AB119</f>
        <v>0</v>
      </c>
      <c r="AB60" s="52">
        <f ca="1">BS!AC119</f>
        <v>0</v>
      </c>
      <c r="AC60" s="52">
        <f ca="1">BS!AD119</f>
        <v>0</v>
      </c>
      <c r="AD60" s="52">
        <f ca="1">BS!AE119</f>
        <v>0</v>
      </c>
      <c r="AE60" s="52">
        <f ca="1">BS!AF119</f>
        <v>0</v>
      </c>
      <c r="AF60" s="52">
        <f ca="1">BS!AG119</f>
        <v>0</v>
      </c>
      <c r="AG60" s="52">
        <f ca="1">BS!AH119</f>
        <v>0</v>
      </c>
      <c r="AH60" s="52">
        <f ca="1">BS!AI119</f>
        <v>0</v>
      </c>
      <c r="AI60" s="52">
        <f ca="1">BS!AJ119</f>
        <v>0</v>
      </c>
      <c r="AJ60" s="52">
        <f ca="1">BS!AK119</f>
        <v>0</v>
      </c>
      <c r="AK60" s="52">
        <f ca="1">BS!AL119</f>
        <v>0</v>
      </c>
      <c r="AL60" s="52">
        <f ca="1">BS!AM119</f>
        <v>0</v>
      </c>
      <c r="AM60" s="52">
        <f ca="1">BS!AN119</f>
        <v>0</v>
      </c>
      <c r="AN60" s="52">
        <f ca="1">BS!AO119</f>
        <v>0</v>
      </c>
      <c r="AO60" s="52">
        <f ca="1">BS!AP119</f>
        <v>0</v>
      </c>
      <c r="AP60" s="52">
        <f ca="1">BS!AQ119</f>
        <v>0</v>
      </c>
      <c r="AQ60" s="52">
        <f ca="1">BS!AR119</f>
        <v>0</v>
      </c>
      <c r="AR60" s="52">
        <f ca="1">BS!AS119</f>
        <v>0</v>
      </c>
      <c r="AS60" s="52">
        <f ca="1">BS!AT119</f>
        <v>0</v>
      </c>
      <c r="AT60" s="52">
        <f ca="1">BS!AU119</f>
        <v>0</v>
      </c>
      <c r="AU60" s="52">
        <f ca="1">BS!AV119</f>
        <v>0</v>
      </c>
      <c r="AV60" s="52">
        <f ca="1">BS!AW119</f>
        <v>0</v>
      </c>
      <c r="AW60" s="52">
        <f ca="1">BS!AX119</f>
        <v>0</v>
      </c>
      <c r="AX60" s="52">
        <f ca="1">BS!AY119</f>
        <v>0</v>
      </c>
      <c r="AY60" s="52">
        <f ca="1">BS!AZ119</f>
        <v>0</v>
      </c>
      <c r="AZ60" s="52">
        <f ca="1">BS!BA119</f>
        <v>0</v>
      </c>
      <c r="BA60" s="52">
        <f ca="1">BS!BB119</f>
        <v>0</v>
      </c>
      <c r="BB60" s="52">
        <f ca="1">BS!BC119</f>
        <v>0</v>
      </c>
      <c r="BC60" s="53">
        <f ca="1">SUM(OFFSET($B60,0,1,1,Assumptions!$C$8))</f>
        <v>0</v>
      </c>
      <c r="BD60" s="53">
        <f ca="1">SUM(OFFSET($B60,0,1+Assumptions!$C$8,1,SUM(Assumptions!$C$9)))</f>
        <v>0</v>
      </c>
      <c r="BE60" s="53">
        <f ca="1">SUM(OFFSET($B60,0,1+SUM(Assumptions!$C$8:$C$9),1,SUM(Assumptions!$C$10)))</f>
        <v>0</v>
      </c>
      <c r="BF60" s="53">
        <f ca="1">SUM(OFFSET($B60,0,1+SUM(Assumptions!$C$8:$C$10),1,SUM(Assumptions!$C$11)))</f>
        <v>0</v>
      </c>
      <c r="BG60" s="53">
        <f ca="1">SUM(BC60:BF60)</f>
        <v>0</v>
      </c>
    </row>
    <row r="61" spans="1:59" ht="16.149999999999999" customHeight="1" x14ac:dyDescent="0.3">
      <c r="B61" s="3" t="s">
        <v>275</v>
      </c>
      <c r="C61" s="53">
        <f ca="1">SUM(C59,-C60)</f>
        <v>4824.0000000000009</v>
      </c>
      <c r="D61" s="53">
        <f t="shared" ref="D61:BG61" ca="1" si="24">SUM(D59,-D60)</f>
        <v>21348.107999999997</v>
      </c>
      <c r="E61" s="53">
        <f t="shared" ca="1" si="24"/>
        <v>26544</v>
      </c>
      <c r="F61" s="53">
        <f t="shared" ca="1" si="24"/>
        <v>-18955.200000000004</v>
      </c>
      <c r="G61" s="53">
        <f t="shared" ca="1" si="24"/>
        <v>7940.0399999999991</v>
      </c>
      <c r="H61" s="53">
        <f t="shared" ca="1" si="24"/>
        <v>192.8171770014942</v>
      </c>
      <c r="I61" s="53">
        <f t="shared" ca="1" si="24"/>
        <v>15641.639999999996</v>
      </c>
      <c r="J61" s="53">
        <f t="shared" ca="1" si="24"/>
        <v>30725.999999999996</v>
      </c>
      <c r="K61" s="53">
        <f t="shared" ca="1" si="24"/>
        <v>-43676.575514054814</v>
      </c>
      <c r="L61" s="53">
        <f t="shared" ca="1" si="24"/>
        <v>4100.9319179407048</v>
      </c>
      <c r="M61" s="53">
        <f t="shared" ca="1" si="24"/>
        <v>30591.489648296676</v>
      </c>
      <c r="N61" s="53">
        <f t="shared" ca="1" si="24"/>
        <v>34357.440000000002</v>
      </c>
      <c r="O61" s="53">
        <f t="shared" ca="1" si="24"/>
        <v>-54349.999756030462</v>
      </c>
      <c r="P61" s="53">
        <f t="shared" ca="1" si="24"/>
        <v>14459.455494791509</v>
      </c>
      <c r="Q61" s="53">
        <f t="shared" ca="1" si="24"/>
        <v>28447.704709375943</v>
      </c>
      <c r="R61" s="53">
        <f t="shared" ca="1" si="24"/>
        <v>30200.639999999999</v>
      </c>
      <c r="S61" s="53">
        <f t="shared" ca="1" si="24"/>
        <v>-24341.4</v>
      </c>
      <c r="T61" s="53">
        <f t="shared" ca="1" si="24"/>
        <v>12088.248440128649</v>
      </c>
      <c r="U61" s="53">
        <f t="shared" ca="1" si="24"/>
        <v>10785.520191985144</v>
      </c>
      <c r="V61" s="53">
        <f t="shared" ca="1" si="24"/>
        <v>28593.599999999999</v>
      </c>
      <c r="W61" s="53">
        <f t="shared" ca="1" si="24"/>
        <v>26614.800000000003</v>
      </c>
      <c r="X61" s="53">
        <f t="shared" ca="1" si="24"/>
        <v>-34838.789750533506</v>
      </c>
      <c r="Y61" s="53">
        <f t="shared" ca="1" si="24"/>
        <v>12776.790950728595</v>
      </c>
      <c r="Z61" s="53">
        <f t="shared" ca="1" si="24"/>
        <v>24884.437745486219</v>
      </c>
      <c r="AA61" s="53">
        <f t="shared" ca="1" si="24"/>
        <v>35205.840000000011</v>
      </c>
      <c r="AB61" s="53">
        <f t="shared" ca="1" si="24"/>
        <v>-41515.919999999998</v>
      </c>
      <c r="AC61" s="53">
        <f t="shared" ca="1" si="24"/>
        <v>11440.134979569099</v>
      </c>
      <c r="AD61" s="53">
        <f t="shared" ca="1" si="24"/>
        <v>33264.164825830238</v>
      </c>
      <c r="AE61" s="53">
        <f t="shared" ca="1" si="24"/>
        <v>37483.199999999997</v>
      </c>
      <c r="AF61" s="53">
        <f t="shared" ca="1" si="24"/>
        <v>37010.520000000004</v>
      </c>
      <c r="AG61" s="53">
        <f t="shared" ca="1" si="24"/>
        <v>-32613.235649598828</v>
      </c>
      <c r="AH61" s="53">
        <f t="shared" ca="1" si="24"/>
        <v>7777.6802502851551</v>
      </c>
      <c r="AI61" s="53">
        <f t="shared" ca="1" si="24"/>
        <v>37735.919999999998</v>
      </c>
      <c r="AJ61" s="53">
        <f t="shared" ca="1" si="24"/>
        <v>26376.000000000007</v>
      </c>
      <c r="AK61" s="53">
        <f t="shared" ca="1" si="24"/>
        <v>-35621.130707930264</v>
      </c>
      <c r="AL61" s="53">
        <f t="shared" ca="1" si="24"/>
        <v>13576.75476274197</v>
      </c>
      <c r="AM61" s="53">
        <f t="shared" ca="1" si="24"/>
        <v>38057.963202540872</v>
      </c>
      <c r="AN61" s="53">
        <f t="shared" ca="1" si="24"/>
        <v>35067.600000000035</v>
      </c>
      <c r="AO61" s="53">
        <f t="shared" ca="1" si="24"/>
        <v>-37501.200000000012</v>
      </c>
      <c r="AP61" s="53">
        <f t="shared" ca="1" si="24"/>
        <v>24914.092785722445</v>
      </c>
      <c r="AQ61" s="53">
        <f t="shared" ca="1" si="24"/>
        <v>13831.803868514995</v>
      </c>
      <c r="AR61" s="53">
        <f t="shared" ca="1" si="24"/>
        <v>16596</v>
      </c>
      <c r="AS61" s="53">
        <f t="shared" ca="1" si="24"/>
        <v>-36300.479999999996</v>
      </c>
      <c r="AT61" s="53">
        <f t="shared" ca="1" si="24"/>
        <v>-4739.3766917725325</v>
      </c>
      <c r="AU61" s="53">
        <f t="shared" ca="1" si="24"/>
        <v>-2919.2747327126599</v>
      </c>
      <c r="AV61" s="53">
        <f t="shared" ca="1" si="24"/>
        <v>25244.345174204696</v>
      </c>
      <c r="AW61" s="53">
        <f t="shared" ca="1" si="24"/>
        <v>38697.599999999991</v>
      </c>
      <c r="AX61" s="53">
        <f t="shared" ca="1" si="24"/>
        <v>-39336.076693970725</v>
      </c>
      <c r="AY61" s="53">
        <f t="shared" ca="1" si="24"/>
        <v>17517.376358997157</v>
      </c>
      <c r="AZ61" s="53">
        <f t="shared" ca="1" si="24"/>
        <v>35435.791917407245</v>
      </c>
      <c r="BA61" s="53">
        <f t="shared" ca="1" si="24"/>
        <v>27568.800000000017</v>
      </c>
      <c r="BB61" s="53">
        <f t="shared" ca="1" si="24"/>
        <v>-43538.400000000023</v>
      </c>
      <c r="BC61" s="53">
        <f t="shared" ca="1" si="24"/>
        <v>59284.691473153594</v>
      </c>
      <c r="BD61" s="53">
        <f t="shared" ca="1" si="24"/>
        <v>123360.92778196254</v>
      </c>
      <c r="BE61" s="53">
        <f t="shared" ca="1" si="24"/>
        <v>172054.37166343827</v>
      </c>
      <c r="BF61" s="53">
        <f t="shared" ca="1" si="24"/>
        <v>72972.201986390617</v>
      </c>
      <c r="BG61" s="53">
        <f t="shared" ca="1" si="24"/>
        <v>427672.19290494523</v>
      </c>
    </row>
    <row r="62" spans="1:59" s="58" customFormat="1" ht="16.149999999999999" customHeight="1" x14ac:dyDescent="0.25">
      <c r="A62" s="306"/>
      <c r="B62" s="58" t="s">
        <v>56</v>
      </c>
      <c r="C62" s="66">
        <f t="shared" ref="C62:AO62" ca="1" si="25">IF(C$7=0,0,C59/C$7)</f>
        <v>5.6752941176470596E-2</v>
      </c>
      <c r="D62" s="66">
        <f t="shared" ca="1" si="25"/>
        <v>0.29468156846144644</v>
      </c>
      <c r="E62" s="66">
        <f ca="1">IF(E$7=0,0,E59/E$7)</f>
        <v>0.29802395209580834</v>
      </c>
      <c r="F62" s="66">
        <f t="shared" ca="1" si="25"/>
        <v>-0.20578128392559897</v>
      </c>
      <c r="G62" s="66">
        <f t="shared" ca="1" si="25"/>
        <v>8.5787261628221048E-2</v>
      </c>
      <c r="H62" s="66">
        <f t="shared" ca="1" si="25"/>
        <v>2.1737104833650525E-3</v>
      </c>
      <c r="I62" s="66">
        <f t="shared" ca="1" si="25"/>
        <v>0.20281552076242337</v>
      </c>
      <c r="J62" s="66">
        <f t="shared" ca="1" si="25"/>
        <v>0.33829892650701893</v>
      </c>
      <c r="K62" s="66">
        <f t="shared" ca="1" si="25"/>
        <v>-0.52151134942154997</v>
      </c>
      <c r="L62" s="66">
        <f t="shared" ca="1" si="25"/>
        <v>4.6460709040113721E-2</v>
      </c>
      <c r="M62" s="66">
        <f t="shared" ca="1" si="25"/>
        <v>0.32058150011314307</v>
      </c>
      <c r="N62" s="66">
        <f t="shared" ca="1" si="25"/>
        <v>0.36224193435017926</v>
      </c>
      <c r="O62" s="66">
        <f t="shared" ca="1" si="25"/>
        <v>-0.6028283548131671</v>
      </c>
      <c r="P62" s="66">
        <f t="shared" ca="1" si="25"/>
        <v>0.14164364566326376</v>
      </c>
      <c r="Q62" s="66">
        <f ca="1">IF(Q$7=0,0,Q59/Q$7)</f>
        <v>0.30921418162365155</v>
      </c>
      <c r="R62" s="66">
        <f t="shared" ca="1" si="25"/>
        <v>0.33795337386698493</v>
      </c>
      <c r="S62" s="66">
        <f t="shared" ca="1" si="25"/>
        <v>-0.24975144286263948</v>
      </c>
      <c r="T62" s="66">
        <f t="shared" ca="1" si="25"/>
        <v>0.12052092163637736</v>
      </c>
      <c r="U62" s="66">
        <f t="shared" ca="1" si="25"/>
        <v>0.10687286219484383</v>
      </c>
      <c r="V62" s="66">
        <f t="shared" ca="1" si="25"/>
        <v>0.3171487198447176</v>
      </c>
      <c r="W62" s="66">
        <f t="shared" ca="1" si="25"/>
        <v>0.29303385631709333</v>
      </c>
      <c r="X62" s="66">
        <f t="shared" ca="1" si="25"/>
        <v>-0.34225581416815559</v>
      </c>
      <c r="Y62" s="66">
        <f t="shared" ca="1" si="25"/>
        <v>0.13110227742992026</v>
      </c>
      <c r="Z62" s="66">
        <f t="shared" ca="1" si="25"/>
        <v>0.24333288755181362</v>
      </c>
      <c r="AA62" s="66">
        <f t="shared" ca="1" si="25"/>
        <v>0.35430825743471051</v>
      </c>
      <c r="AB62" s="66">
        <f t="shared" ca="1" si="25"/>
        <v>-0.4200315661675435</v>
      </c>
      <c r="AC62" s="66">
        <f t="shared" ca="1" si="25"/>
        <v>0.11219851887510965</v>
      </c>
      <c r="AD62" s="66">
        <f ca="1">IF(AD$7=0,0,AD59/AD$7)</f>
        <v>0.32573604412289697</v>
      </c>
      <c r="AE62" s="66">
        <f t="shared" ca="1" si="25"/>
        <v>0.36093596533461719</v>
      </c>
      <c r="AF62" s="66">
        <f t="shared" ca="1" si="25"/>
        <v>0.36886029649931484</v>
      </c>
      <c r="AG62" s="66">
        <f t="shared" ca="1" si="25"/>
        <v>-0.30482033475752468</v>
      </c>
      <c r="AH62" s="66">
        <f t="shared" ca="1" si="25"/>
        <v>7.3259154633769114E-2</v>
      </c>
      <c r="AI62" s="66">
        <f t="shared" ca="1" si="25"/>
        <v>0.35584817766042715</v>
      </c>
      <c r="AJ62" s="66">
        <f t="shared" ca="1" si="25"/>
        <v>0.23652776947450235</v>
      </c>
      <c r="AK62" s="66">
        <f t="shared" ca="1" si="25"/>
        <v>-0.33598500950698229</v>
      </c>
      <c r="AL62" s="66">
        <f t="shared" ca="1" si="25"/>
        <v>0.12760107859719896</v>
      </c>
      <c r="AM62" s="66">
        <f t="shared" ca="1" si="25"/>
        <v>0.34684860517239346</v>
      </c>
      <c r="AN62" s="66">
        <f t="shared" ca="1" si="25"/>
        <v>0.33788697788697825</v>
      </c>
      <c r="AO62" s="66">
        <f t="shared" ca="1" si="25"/>
        <v>-0.33739271255060738</v>
      </c>
      <c r="AP62" s="66">
        <f t="shared" ref="AP62:BF62" ca="1" si="26">IF(AP$7=0,0,AP59/AP$7)</f>
        <v>0.25601755950554334</v>
      </c>
      <c r="AQ62" s="66">
        <f t="shared" ca="1" si="26"/>
        <v>0.15789910693632342</v>
      </c>
      <c r="AR62" s="66">
        <f t="shared" ca="1" si="26"/>
        <v>0.1827431289640592</v>
      </c>
      <c r="AS62" s="66">
        <f t="shared" ca="1" si="26"/>
        <v>-0.54038943252416571</v>
      </c>
      <c r="AT62" s="66">
        <f t="shared" ca="1" si="26"/>
        <v>-8.4192622023219366E-2</v>
      </c>
      <c r="AU62" s="66">
        <f t="shared" ca="1" si="26"/>
        <v>-4.7828422592300003E-2</v>
      </c>
      <c r="AV62" s="66">
        <f t="shared" ca="1" si="26"/>
        <v>0.31978142539449217</v>
      </c>
      <c r="AW62" s="66">
        <f t="shared" ca="1" si="26"/>
        <v>0.35293774290675778</v>
      </c>
      <c r="AX62" s="66">
        <f t="shared" ca="1" si="26"/>
        <v>-0.35592890991377518</v>
      </c>
      <c r="AY62" s="66">
        <f t="shared" ca="1" si="26"/>
        <v>0.15658223311182726</v>
      </c>
      <c r="AZ62" s="66">
        <f t="shared" ca="1" si="26"/>
        <v>0.31358182871367141</v>
      </c>
      <c r="BA62" s="66">
        <f t="shared" ca="1" si="26"/>
        <v>0.24743578236909672</v>
      </c>
      <c r="BB62" s="66">
        <f t="shared" ca="1" si="26"/>
        <v>-0.38934754614394068</v>
      </c>
      <c r="BC62" s="67">
        <f ca="1">IF(BC$7=0,0,BC59/BC$7)</f>
        <v>5.1991436713813295E-2</v>
      </c>
      <c r="BD62" s="67">
        <f ca="1">IF(BD$7=0,0,BD59/BD$7)</f>
        <v>9.7686092175480896E-2</v>
      </c>
      <c r="BE62" s="67">
        <f ca="1">IF(BE$7=0,0,BE59/BE$7)</f>
        <v>0.12503338074871928</v>
      </c>
      <c r="BF62" s="67">
        <f t="shared" ca="1" si="26"/>
        <v>6.0434756011365685E-2</v>
      </c>
      <c r="BG62" s="67">
        <f ca="1">IF(BG$7=0,0,BG59/BG$7)</f>
        <v>8.5763775490719257E-2</v>
      </c>
    </row>
    <row r="63" spans="1:59" ht="16.149999999999999"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5" spans="1:59" ht="16.149999999999999" customHeight="1" x14ac:dyDescent="0.3">
      <c r="B65" s="290" t="str">
        <f>IF(ISBLANK(Assumptions!$C$4),"Example Limited",Assumptions!$C$4)</f>
        <v>Example (Pty) Limited</v>
      </c>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2"/>
      <c r="BD65" s="72"/>
      <c r="BE65" s="72"/>
      <c r="BF65" s="72"/>
      <c r="BG65" s="72"/>
    </row>
    <row r="66" spans="1:59" ht="16.149999999999999" customHeight="1" x14ac:dyDescent="0.3">
      <c r="B66" s="6" t="s">
        <v>99</v>
      </c>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2"/>
      <c r="BD66" s="72"/>
      <c r="BE66" s="72"/>
      <c r="BF66" s="72"/>
      <c r="BG66" s="72"/>
    </row>
    <row r="67" spans="1:59" ht="16.149999999999999" customHeight="1" x14ac:dyDescent="0.3">
      <c r="B67" s="73"/>
      <c r="C67" s="25" t="str">
        <f>IF(COLUMN(C68)-2&lt;=Assumptions!$C$8,"Q1",IF(COLUMN(C68)-2&lt;=SUM(Assumptions!$C$8:$C$9),"Q2",IF(COLUMN(C68)-2&lt;=SUM(Assumptions!$C$8:$C$10),"Q3","Q4")))</f>
        <v>Q1</v>
      </c>
      <c r="D67" s="25" t="str">
        <f>IF(COLUMN(D68)-2&lt;=Assumptions!$C$8,"Q1",IF(COLUMN(D68)-2&lt;=SUM(Assumptions!$C$8:$C$9),"Q2",IF(COLUMN(D68)-2&lt;=SUM(Assumptions!$C$8:$C$10),"Q3","Q4")))</f>
        <v>Q1</v>
      </c>
      <c r="E67" s="25" t="str">
        <f>IF(COLUMN(E68)-2&lt;=Assumptions!$C$8,"Q1",IF(COLUMN(E68)-2&lt;=SUM(Assumptions!$C$8:$C$9),"Q2",IF(COLUMN(E68)-2&lt;=SUM(Assumptions!$C$8:$C$10),"Q3","Q4")))</f>
        <v>Q1</v>
      </c>
      <c r="F67" s="25" t="str">
        <f>IF(COLUMN(F68)-2&lt;=Assumptions!$C$8,"Q1",IF(COLUMN(F68)-2&lt;=SUM(Assumptions!$C$8:$C$9),"Q2",IF(COLUMN(F68)-2&lt;=SUM(Assumptions!$C$8:$C$10),"Q3","Q4")))</f>
        <v>Q1</v>
      </c>
      <c r="G67" s="25" t="str">
        <f>IF(COLUMN(G68)-2&lt;=Assumptions!$C$8,"Q1",IF(COLUMN(G68)-2&lt;=SUM(Assumptions!$C$8:$C$9),"Q2",IF(COLUMN(G68)-2&lt;=SUM(Assumptions!$C$8:$C$10),"Q3","Q4")))</f>
        <v>Q1</v>
      </c>
      <c r="H67" s="25" t="str">
        <f>IF(COLUMN(H68)-2&lt;=Assumptions!$C$8,"Q1",IF(COLUMN(H68)-2&lt;=SUM(Assumptions!$C$8:$C$9),"Q2",IF(COLUMN(H68)-2&lt;=SUM(Assumptions!$C$8:$C$10),"Q3","Q4")))</f>
        <v>Q1</v>
      </c>
      <c r="I67" s="25" t="str">
        <f>IF(COLUMN(I68)-2&lt;=Assumptions!$C$8,"Q1",IF(COLUMN(I68)-2&lt;=SUM(Assumptions!$C$8:$C$9),"Q2",IF(COLUMN(I68)-2&lt;=SUM(Assumptions!$C$8:$C$10),"Q3","Q4")))</f>
        <v>Q1</v>
      </c>
      <c r="J67" s="25" t="str">
        <f>IF(COLUMN(J68)-2&lt;=Assumptions!$C$8,"Q1",IF(COLUMN(J68)-2&lt;=SUM(Assumptions!$C$8:$C$9),"Q2",IF(COLUMN(J68)-2&lt;=SUM(Assumptions!$C$8:$C$10),"Q3","Q4")))</f>
        <v>Q1</v>
      </c>
      <c r="K67" s="25" t="str">
        <f>IF(COLUMN(K68)-2&lt;=Assumptions!$C$8,"Q1",IF(COLUMN(K68)-2&lt;=SUM(Assumptions!$C$8:$C$9),"Q2",IF(COLUMN(K68)-2&lt;=SUM(Assumptions!$C$8:$C$10),"Q3","Q4")))</f>
        <v>Q1</v>
      </c>
      <c r="L67" s="25" t="str">
        <f>IF(COLUMN(L68)-2&lt;=Assumptions!$C$8,"Q1",IF(COLUMN(L68)-2&lt;=SUM(Assumptions!$C$8:$C$9),"Q2",IF(COLUMN(L68)-2&lt;=SUM(Assumptions!$C$8:$C$10),"Q3","Q4")))</f>
        <v>Q1</v>
      </c>
      <c r="M67" s="25" t="str">
        <f>IF(COLUMN(M68)-2&lt;=Assumptions!$C$8,"Q1",IF(COLUMN(M68)-2&lt;=SUM(Assumptions!$C$8:$C$9),"Q2",IF(COLUMN(M68)-2&lt;=SUM(Assumptions!$C$8:$C$10),"Q3","Q4")))</f>
        <v>Q1</v>
      </c>
      <c r="N67" s="25" t="str">
        <f>IF(COLUMN(N68)-2&lt;=Assumptions!$C$8,"Q1",IF(COLUMN(N68)-2&lt;=SUM(Assumptions!$C$8:$C$9),"Q2",IF(COLUMN(N68)-2&lt;=SUM(Assumptions!$C$8:$C$10),"Q3","Q4")))</f>
        <v>Q1</v>
      </c>
      <c r="O67" s="25" t="str">
        <f>IF(COLUMN(O68)-2&lt;=Assumptions!$C$8,"Q1",IF(COLUMN(O68)-2&lt;=SUM(Assumptions!$C$8:$C$9),"Q2",IF(COLUMN(O68)-2&lt;=SUM(Assumptions!$C$8:$C$10),"Q3","Q4")))</f>
        <v>Q1</v>
      </c>
      <c r="P67" s="25" t="str">
        <f>IF(COLUMN(P68)-2&lt;=Assumptions!$C$8,"Q1",IF(COLUMN(P68)-2&lt;=SUM(Assumptions!$C$8:$C$9),"Q2",IF(COLUMN(P68)-2&lt;=SUM(Assumptions!$C$8:$C$10),"Q3","Q4")))</f>
        <v>Q2</v>
      </c>
      <c r="Q67" s="25" t="str">
        <f>IF(COLUMN(Q68)-2&lt;=Assumptions!$C$8,"Q1",IF(COLUMN(Q68)-2&lt;=SUM(Assumptions!$C$8:$C$9),"Q2",IF(COLUMN(Q68)-2&lt;=SUM(Assumptions!$C$8:$C$10),"Q3","Q4")))</f>
        <v>Q2</v>
      </c>
      <c r="R67" s="25" t="str">
        <f>IF(COLUMN(R68)-2&lt;=Assumptions!$C$8,"Q1",IF(COLUMN(R68)-2&lt;=SUM(Assumptions!$C$8:$C$9),"Q2",IF(COLUMN(R68)-2&lt;=SUM(Assumptions!$C$8:$C$10),"Q3","Q4")))</f>
        <v>Q2</v>
      </c>
      <c r="S67" s="25" t="str">
        <f>IF(COLUMN(S68)-2&lt;=Assumptions!$C$8,"Q1",IF(COLUMN(S68)-2&lt;=SUM(Assumptions!$C$8:$C$9),"Q2",IF(COLUMN(S68)-2&lt;=SUM(Assumptions!$C$8:$C$10),"Q3","Q4")))</f>
        <v>Q2</v>
      </c>
      <c r="T67" s="25" t="str">
        <f>IF(COLUMN(T68)-2&lt;=Assumptions!$C$8,"Q1",IF(COLUMN(T68)-2&lt;=SUM(Assumptions!$C$8:$C$9),"Q2",IF(COLUMN(T68)-2&lt;=SUM(Assumptions!$C$8:$C$10),"Q3","Q4")))</f>
        <v>Q2</v>
      </c>
      <c r="U67" s="25" t="str">
        <f>IF(COLUMN(U68)-2&lt;=Assumptions!$C$8,"Q1",IF(COLUMN(U68)-2&lt;=SUM(Assumptions!$C$8:$C$9),"Q2",IF(COLUMN(U68)-2&lt;=SUM(Assumptions!$C$8:$C$10),"Q3","Q4")))</f>
        <v>Q2</v>
      </c>
      <c r="V67" s="25" t="str">
        <f>IF(COLUMN(V68)-2&lt;=Assumptions!$C$8,"Q1",IF(COLUMN(V68)-2&lt;=SUM(Assumptions!$C$8:$C$9),"Q2",IF(COLUMN(V68)-2&lt;=SUM(Assumptions!$C$8:$C$10),"Q3","Q4")))</f>
        <v>Q2</v>
      </c>
      <c r="W67" s="25" t="str">
        <f>IF(COLUMN(W68)-2&lt;=Assumptions!$C$8,"Q1",IF(COLUMN(W68)-2&lt;=SUM(Assumptions!$C$8:$C$9),"Q2",IF(COLUMN(W68)-2&lt;=SUM(Assumptions!$C$8:$C$10),"Q3","Q4")))</f>
        <v>Q2</v>
      </c>
      <c r="X67" s="25" t="str">
        <f>IF(COLUMN(X68)-2&lt;=Assumptions!$C$8,"Q1",IF(COLUMN(X68)-2&lt;=SUM(Assumptions!$C$8:$C$9),"Q2",IF(COLUMN(X68)-2&lt;=SUM(Assumptions!$C$8:$C$10),"Q3","Q4")))</f>
        <v>Q2</v>
      </c>
      <c r="Y67" s="25" t="str">
        <f>IF(COLUMN(Y68)-2&lt;=Assumptions!$C$8,"Q1",IF(COLUMN(Y68)-2&lt;=SUM(Assumptions!$C$8:$C$9),"Q2",IF(COLUMN(Y68)-2&lt;=SUM(Assumptions!$C$8:$C$10),"Q3","Q4")))</f>
        <v>Q2</v>
      </c>
      <c r="Z67" s="25" t="str">
        <f>IF(COLUMN(Z68)-2&lt;=Assumptions!$C$8,"Q1",IF(COLUMN(Z68)-2&lt;=SUM(Assumptions!$C$8:$C$9),"Q2",IF(COLUMN(Z68)-2&lt;=SUM(Assumptions!$C$8:$C$10),"Q3","Q4")))</f>
        <v>Q2</v>
      </c>
      <c r="AA67" s="25" t="str">
        <f>IF(COLUMN(AA68)-2&lt;=Assumptions!$C$8,"Q1",IF(COLUMN(AA68)-2&lt;=SUM(Assumptions!$C$8:$C$9),"Q2",IF(COLUMN(AA68)-2&lt;=SUM(Assumptions!$C$8:$C$10),"Q3","Q4")))</f>
        <v>Q2</v>
      </c>
      <c r="AB67" s="25" t="str">
        <f>IF(COLUMN(AB68)-2&lt;=Assumptions!$C$8,"Q1",IF(COLUMN(AB68)-2&lt;=SUM(Assumptions!$C$8:$C$9),"Q2",IF(COLUMN(AB68)-2&lt;=SUM(Assumptions!$C$8:$C$10),"Q3","Q4")))</f>
        <v>Q2</v>
      </c>
      <c r="AC67" s="25" t="str">
        <f>IF(COLUMN(AC68)-2&lt;=Assumptions!$C$8,"Q1",IF(COLUMN(AC68)-2&lt;=SUM(Assumptions!$C$8:$C$9),"Q2",IF(COLUMN(AC68)-2&lt;=SUM(Assumptions!$C$8:$C$10),"Q3","Q4")))</f>
        <v>Q3</v>
      </c>
      <c r="AD67" s="25" t="str">
        <f>IF(COLUMN(AD68)-2&lt;=Assumptions!$C$8,"Q1",IF(COLUMN(AD68)-2&lt;=SUM(Assumptions!$C$8:$C$9),"Q2",IF(COLUMN(AD68)-2&lt;=SUM(Assumptions!$C$8:$C$10),"Q3","Q4")))</f>
        <v>Q3</v>
      </c>
      <c r="AE67" s="25" t="str">
        <f>IF(COLUMN(AE68)-2&lt;=Assumptions!$C$8,"Q1",IF(COLUMN(AE68)-2&lt;=SUM(Assumptions!$C$8:$C$9),"Q2",IF(COLUMN(AE68)-2&lt;=SUM(Assumptions!$C$8:$C$10),"Q3","Q4")))</f>
        <v>Q3</v>
      </c>
      <c r="AF67" s="25" t="str">
        <f>IF(COLUMN(AF68)-2&lt;=Assumptions!$C$8,"Q1",IF(COLUMN(AF68)-2&lt;=SUM(Assumptions!$C$8:$C$9),"Q2",IF(COLUMN(AF68)-2&lt;=SUM(Assumptions!$C$8:$C$10),"Q3","Q4")))</f>
        <v>Q3</v>
      </c>
      <c r="AG67" s="25" t="str">
        <f>IF(COLUMN(AG68)-2&lt;=Assumptions!$C$8,"Q1",IF(COLUMN(AG68)-2&lt;=SUM(Assumptions!$C$8:$C$9),"Q2",IF(COLUMN(AG68)-2&lt;=SUM(Assumptions!$C$8:$C$10),"Q3","Q4")))</f>
        <v>Q3</v>
      </c>
      <c r="AH67" s="25" t="str">
        <f>IF(COLUMN(AH68)-2&lt;=Assumptions!$C$8,"Q1",IF(COLUMN(AH68)-2&lt;=SUM(Assumptions!$C$8:$C$9),"Q2",IF(COLUMN(AH68)-2&lt;=SUM(Assumptions!$C$8:$C$10),"Q3","Q4")))</f>
        <v>Q3</v>
      </c>
      <c r="AI67" s="25" t="str">
        <f>IF(COLUMN(AI68)-2&lt;=Assumptions!$C$8,"Q1",IF(COLUMN(AI68)-2&lt;=SUM(Assumptions!$C$8:$C$9),"Q2",IF(COLUMN(AI68)-2&lt;=SUM(Assumptions!$C$8:$C$10),"Q3","Q4")))</f>
        <v>Q3</v>
      </c>
      <c r="AJ67" s="25" t="str">
        <f>IF(COLUMN(AJ68)-2&lt;=Assumptions!$C$8,"Q1",IF(COLUMN(AJ68)-2&lt;=SUM(Assumptions!$C$8:$C$9),"Q2",IF(COLUMN(AJ68)-2&lt;=SUM(Assumptions!$C$8:$C$10),"Q3","Q4")))</f>
        <v>Q3</v>
      </c>
      <c r="AK67" s="25" t="str">
        <f>IF(COLUMN(AK68)-2&lt;=Assumptions!$C$8,"Q1",IF(COLUMN(AK68)-2&lt;=SUM(Assumptions!$C$8:$C$9),"Q2",IF(COLUMN(AK68)-2&lt;=SUM(Assumptions!$C$8:$C$10),"Q3","Q4")))</f>
        <v>Q3</v>
      </c>
      <c r="AL67" s="25" t="str">
        <f>IF(COLUMN(AL68)-2&lt;=Assumptions!$C$8,"Q1",IF(COLUMN(AL68)-2&lt;=SUM(Assumptions!$C$8:$C$9),"Q2",IF(COLUMN(AL68)-2&lt;=SUM(Assumptions!$C$8:$C$10),"Q3","Q4")))</f>
        <v>Q3</v>
      </c>
      <c r="AM67" s="25" t="str">
        <f>IF(COLUMN(AM68)-2&lt;=Assumptions!$C$8,"Q1",IF(COLUMN(AM68)-2&lt;=SUM(Assumptions!$C$8:$C$9),"Q2",IF(COLUMN(AM68)-2&lt;=SUM(Assumptions!$C$8:$C$10),"Q3","Q4")))</f>
        <v>Q3</v>
      </c>
      <c r="AN67" s="25" t="str">
        <f>IF(COLUMN(AN68)-2&lt;=Assumptions!$C$8,"Q1",IF(COLUMN(AN68)-2&lt;=SUM(Assumptions!$C$8:$C$9),"Q2",IF(COLUMN(AN68)-2&lt;=SUM(Assumptions!$C$8:$C$10),"Q3","Q4")))</f>
        <v>Q3</v>
      </c>
      <c r="AO67" s="25" t="str">
        <f>IF(COLUMN(AO68)-2&lt;=Assumptions!$C$8,"Q1",IF(COLUMN(AO68)-2&lt;=SUM(Assumptions!$C$8:$C$9),"Q2",IF(COLUMN(AO68)-2&lt;=SUM(Assumptions!$C$8:$C$10),"Q3","Q4")))</f>
        <v>Q3</v>
      </c>
      <c r="AP67" s="25" t="str">
        <f>IF(COLUMN(AP68)-2&lt;=Assumptions!$C$8,"Q1",IF(COLUMN(AP68)-2&lt;=SUM(Assumptions!$C$8:$C$9),"Q2",IF(COLUMN(AP68)-2&lt;=SUM(Assumptions!$C$8:$C$10),"Q3","Q4")))</f>
        <v>Q4</v>
      </c>
      <c r="AQ67" s="25" t="str">
        <f>IF(COLUMN(AQ68)-2&lt;=Assumptions!$C$8,"Q1",IF(COLUMN(AQ68)-2&lt;=SUM(Assumptions!$C$8:$C$9),"Q2",IF(COLUMN(AQ68)-2&lt;=SUM(Assumptions!$C$8:$C$10),"Q3","Q4")))</f>
        <v>Q4</v>
      </c>
      <c r="AR67" s="25" t="str">
        <f>IF(COLUMN(AR68)-2&lt;=Assumptions!$C$8,"Q1",IF(COLUMN(AR68)-2&lt;=SUM(Assumptions!$C$8:$C$9),"Q2",IF(COLUMN(AR68)-2&lt;=SUM(Assumptions!$C$8:$C$10),"Q3","Q4")))</f>
        <v>Q4</v>
      </c>
      <c r="AS67" s="25" t="str">
        <f>IF(COLUMN(AS68)-2&lt;=Assumptions!$C$8,"Q1",IF(COLUMN(AS68)-2&lt;=SUM(Assumptions!$C$8:$C$9),"Q2",IF(COLUMN(AS68)-2&lt;=SUM(Assumptions!$C$8:$C$10),"Q3","Q4")))</f>
        <v>Q4</v>
      </c>
      <c r="AT67" s="25" t="str">
        <f>IF(COLUMN(AT68)-2&lt;=Assumptions!$C$8,"Q1",IF(COLUMN(AT68)-2&lt;=SUM(Assumptions!$C$8:$C$9),"Q2",IF(COLUMN(AT68)-2&lt;=SUM(Assumptions!$C$8:$C$10),"Q3","Q4")))</f>
        <v>Q4</v>
      </c>
      <c r="AU67" s="25" t="str">
        <f>IF(COLUMN(AU68)-2&lt;=Assumptions!$C$8,"Q1",IF(COLUMN(AU68)-2&lt;=SUM(Assumptions!$C$8:$C$9),"Q2",IF(COLUMN(AU68)-2&lt;=SUM(Assumptions!$C$8:$C$10),"Q3","Q4")))</f>
        <v>Q4</v>
      </c>
      <c r="AV67" s="25" t="str">
        <f>IF(COLUMN(AV68)-2&lt;=Assumptions!$C$8,"Q1",IF(COLUMN(AV68)-2&lt;=SUM(Assumptions!$C$8:$C$9),"Q2",IF(COLUMN(AV68)-2&lt;=SUM(Assumptions!$C$8:$C$10),"Q3","Q4")))</f>
        <v>Q4</v>
      </c>
      <c r="AW67" s="25" t="str">
        <f>IF(COLUMN(AW68)-2&lt;=Assumptions!$C$8,"Q1",IF(COLUMN(AW68)-2&lt;=SUM(Assumptions!$C$8:$C$9),"Q2",IF(COLUMN(AW68)-2&lt;=SUM(Assumptions!$C$8:$C$10),"Q3","Q4")))</f>
        <v>Q4</v>
      </c>
      <c r="AX67" s="25" t="str">
        <f>IF(COLUMN(AX68)-2&lt;=Assumptions!$C$8,"Q1",IF(COLUMN(AX68)-2&lt;=SUM(Assumptions!$C$8:$C$9),"Q2",IF(COLUMN(AX68)-2&lt;=SUM(Assumptions!$C$8:$C$10),"Q3","Q4")))</f>
        <v>Q4</v>
      </c>
      <c r="AY67" s="25" t="str">
        <f>IF(COLUMN(AY68)-2&lt;=Assumptions!$C$8,"Q1",IF(COLUMN(AY68)-2&lt;=SUM(Assumptions!$C$8:$C$9),"Q2",IF(COLUMN(AY68)-2&lt;=SUM(Assumptions!$C$8:$C$10),"Q3","Q4")))</f>
        <v>Q4</v>
      </c>
      <c r="AZ67" s="25" t="str">
        <f>IF(COLUMN(AZ68)-2&lt;=Assumptions!$C$8,"Q1",IF(COLUMN(AZ68)-2&lt;=SUM(Assumptions!$C$8:$C$9),"Q2",IF(COLUMN(AZ68)-2&lt;=SUM(Assumptions!$C$8:$C$10),"Q3","Q4")))</f>
        <v>Q4</v>
      </c>
      <c r="BA67" s="25" t="str">
        <f>IF(COLUMN(BA68)-2&lt;=Assumptions!$C$8,"Q1",IF(COLUMN(BA68)-2&lt;=SUM(Assumptions!$C$8:$C$9),"Q2",IF(COLUMN(BA68)-2&lt;=SUM(Assumptions!$C$8:$C$10),"Q3","Q4")))</f>
        <v>Q4</v>
      </c>
      <c r="BB67" s="25" t="str">
        <f>IF(COLUMN(BB68)-2&lt;=Assumptions!$C$8,"Q1",IF(COLUMN(BB68)-2&lt;=SUM(Assumptions!$C$8:$C$9),"Q2",IF(COLUMN(BB68)-2&lt;=SUM(Assumptions!$C$8:$C$10),"Q3","Q4")))</f>
        <v>Q4</v>
      </c>
      <c r="BC67" s="39" t="s">
        <v>90</v>
      </c>
      <c r="BD67" s="39" t="s">
        <v>91</v>
      </c>
      <c r="BE67" s="39" t="s">
        <v>92</v>
      </c>
      <c r="BF67" s="39" t="s">
        <v>93</v>
      </c>
      <c r="BG67" s="74"/>
    </row>
    <row r="68" spans="1:59" ht="18" customHeight="1" x14ac:dyDescent="0.3">
      <c r="B68" s="42"/>
      <c r="C68" s="43">
        <f ca="1">IF(ISBLANK(Assumptions!$C$5)=TRUE,DATE(YEAR(TODAY()),MONTH(TODAY()),7),DATE(YEAR(Assumptions!$C$5),MONTH(Assumptions!$C$5),DAY(Assumptions!$C$5)+6))</f>
        <v>43897</v>
      </c>
      <c r="D68" s="43">
        <f t="shared" ref="D68:AI68" ca="1" si="27">DATE(YEAR(OFFSET(D67,1,-1,1,1)),MONTH(OFFSET(D67,1,-1,1,1)),DAY(OFFSET(D67,1,-1,1,1))+7)</f>
        <v>43904</v>
      </c>
      <c r="E68" s="43">
        <f t="shared" ca="1" si="27"/>
        <v>43911</v>
      </c>
      <c r="F68" s="43">
        <f t="shared" ca="1" si="27"/>
        <v>43918</v>
      </c>
      <c r="G68" s="43">
        <f t="shared" ca="1" si="27"/>
        <v>43925</v>
      </c>
      <c r="H68" s="43">
        <f t="shared" ca="1" si="27"/>
        <v>43932</v>
      </c>
      <c r="I68" s="43">
        <f t="shared" ca="1" si="27"/>
        <v>43939</v>
      </c>
      <c r="J68" s="43">
        <f t="shared" ca="1" si="27"/>
        <v>43946</v>
      </c>
      <c r="K68" s="43">
        <f t="shared" ca="1" si="27"/>
        <v>43953</v>
      </c>
      <c r="L68" s="43">
        <f t="shared" ca="1" si="27"/>
        <v>43960</v>
      </c>
      <c r="M68" s="43">
        <f t="shared" ca="1" si="27"/>
        <v>43967</v>
      </c>
      <c r="N68" s="43">
        <f t="shared" ca="1" si="27"/>
        <v>43974</v>
      </c>
      <c r="O68" s="43">
        <f t="shared" ca="1" si="27"/>
        <v>43981</v>
      </c>
      <c r="P68" s="43">
        <f t="shared" ca="1" si="27"/>
        <v>43988</v>
      </c>
      <c r="Q68" s="43">
        <f t="shared" ca="1" si="27"/>
        <v>43995</v>
      </c>
      <c r="R68" s="43">
        <f t="shared" ca="1" si="27"/>
        <v>44002</v>
      </c>
      <c r="S68" s="43">
        <f t="shared" ca="1" si="27"/>
        <v>44009</v>
      </c>
      <c r="T68" s="43">
        <f t="shared" ca="1" si="27"/>
        <v>44016</v>
      </c>
      <c r="U68" s="43">
        <f t="shared" ca="1" si="27"/>
        <v>44023</v>
      </c>
      <c r="V68" s="43">
        <f t="shared" ca="1" si="27"/>
        <v>44030</v>
      </c>
      <c r="W68" s="43">
        <f t="shared" ca="1" si="27"/>
        <v>44037</v>
      </c>
      <c r="X68" s="43">
        <f t="shared" ca="1" si="27"/>
        <v>44044</v>
      </c>
      <c r="Y68" s="43">
        <f t="shared" ca="1" si="27"/>
        <v>44051</v>
      </c>
      <c r="Z68" s="43">
        <f t="shared" ca="1" si="27"/>
        <v>44058</v>
      </c>
      <c r="AA68" s="43">
        <f t="shared" ca="1" si="27"/>
        <v>44065</v>
      </c>
      <c r="AB68" s="43">
        <f t="shared" ca="1" si="27"/>
        <v>44072</v>
      </c>
      <c r="AC68" s="43">
        <f t="shared" ca="1" si="27"/>
        <v>44079</v>
      </c>
      <c r="AD68" s="43">
        <f t="shared" ca="1" si="27"/>
        <v>44086</v>
      </c>
      <c r="AE68" s="43">
        <f t="shared" ca="1" si="27"/>
        <v>44093</v>
      </c>
      <c r="AF68" s="43">
        <f t="shared" ca="1" si="27"/>
        <v>44100</v>
      </c>
      <c r="AG68" s="43">
        <f t="shared" ca="1" si="27"/>
        <v>44107</v>
      </c>
      <c r="AH68" s="43">
        <f t="shared" ca="1" si="27"/>
        <v>44114</v>
      </c>
      <c r="AI68" s="43">
        <f t="shared" ca="1" si="27"/>
        <v>44121</v>
      </c>
      <c r="AJ68" s="43">
        <f t="shared" ref="AJ68:BB68" ca="1" si="28">DATE(YEAR(OFFSET(AJ67,1,-1,1,1)),MONTH(OFFSET(AJ67,1,-1,1,1)),DAY(OFFSET(AJ67,1,-1,1,1))+7)</f>
        <v>44128</v>
      </c>
      <c r="AK68" s="43">
        <f t="shared" ca="1" si="28"/>
        <v>44135</v>
      </c>
      <c r="AL68" s="43">
        <f t="shared" ca="1" si="28"/>
        <v>44142</v>
      </c>
      <c r="AM68" s="43">
        <f t="shared" ca="1" si="28"/>
        <v>44149</v>
      </c>
      <c r="AN68" s="43">
        <f t="shared" ca="1" si="28"/>
        <v>44156</v>
      </c>
      <c r="AO68" s="43">
        <f t="shared" ca="1" si="28"/>
        <v>44163</v>
      </c>
      <c r="AP68" s="43">
        <f t="shared" ca="1" si="28"/>
        <v>44170</v>
      </c>
      <c r="AQ68" s="43">
        <f t="shared" ca="1" si="28"/>
        <v>44177</v>
      </c>
      <c r="AR68" s="43">
        <f t="shared" ca="1" si="28"/>
        <v>44184</v>
      </c>
      <c r="AS68" s="43">
        <f t="shared" ca="1" si="28"/>
        <v>44191</v>
      </c>
      <c r="AT68" s="43">
        <f t="shared" ca="1" si="28"/>
        <v>44198</v>
      </c>
      <c r="AU68" s="43">
        <f t="shared" ca="1" si="28"/>
        <v>44205</v>
      </c>
      <c r="AV68" s="43">
        <f t="shared" ca="1" si="28"/>
        <v>44212</v>
      </c>
      <c r="AW68" s="43">
        <f t="shared" ca="1" si="28"/>
        <v>44219</v>
      </c>
      <c r="AX68" s="43">
        <f t="shared" ca="1" si="28"/>
        <v>44226</v>
      </c>
      <c r="AY68" s="43">
        <f t="shared" ca="1" si="28"/>
        <v>44233</v>
      </c>
      <c r="AZ68" s="43">
        <f t="shared" ca="1" si="28"/>
        <v>44240</v>
      </c>
      <c r="BA68" s="43">
        <f t="shared" ca="1" si="28"/>
        <v>44247</v>
      </c>
      <c r="BB68" s="43">
        <f t="shared" ca="1" si="28"/>
        <v>44254</v>
      </c>
      <c r="BC68" s="44" t="s">
        <v>76</v>
      </c>
      <c r="BD68" s="44" t="s">
        <v>77</v>
      </c>
      <c r="BE68" s="44" t="s">
        <v>78</v>
      </c>
      <c r="BF68" s="44" t="s">
        <v>79</v>
      </c>
      <c r="BG68" s="44" t="str">
        <f ca="1">"Total "&amp;YEAR(OFFSET($BC$68,0,-1,1,1))</f>
        <v>Total 2021</v>
      </c>
    </row>
    <row r="69" spans="1:59" ht="16.149999999999999" customHeight="1" x14ac:dyDescent="0.3">
      <c r="B69" s="10" t="s">
        <v>58</v>
      </c>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6"/>
      <c r="BD69" s="76"/>
      <c r="BE69" s="76"/>
      <c r="BF69" s="76"/>
      <c r="BG69" s="76"/>
    </row>
    <row r="70" spans="1:59" ht="16.149999999999999" customHeight="1" x14ac:dyDescent="0.3">
      <c r="B70" s="56" t="s">
        <v>55</v>
      </c>
      <c r="C70" s="52">
        <f ca="1">OFFSET(Forecast!$B$59,0,COLUMN(C$68)-COLUMN($B$68),1,1)</f>
        <v>4824.0000000000009</v>
      </c>
      <c r="D70" s="52">
        <f ca="1">OFFSET(Forecast!$B$59,0,COLUMN(D$68)-COLUMN($B$68),1,1)</f>
        <v>21348.107999999997</v>
      </c>
      <c r="E70" s="52">
        <f ca="1">OFFSET(Forecast!$B$59,0,COLUMN(E$68)-COLUMN($B$68),1,1)</f>
        <v>26544</v>
      </c>
      <c r="F70" s="52">
        <f ca="1">OFFSET(Forecast!$B$59,0,COLUMN(F$68)-COLUMN($B$68),1,1)</f>
        <v>-18955.200000000004</v>
      </c>
      <c r="G70" s="52">
        <f ca="1">OFFSET(Forecast!$B$59,0,COLUMN(G$68)-COLUMN($B$68),1,1)</f>
        <v>7940.0399999999991</v>
      </c>
      <c r="H70" s="52">
        <f ca="1">OFFSET(Forecast!$B$59,0,COLUMN(H$68)-COLUMN($B$68),1,1)</f>
        <v>192.8171770014942</v>
      </c>
      <c r="I70" s="52">
        <f ca="1">OFFSET(Forecast!$B$59,0,COLUMN(I$68)-COLUMN($B$68),1,1)</f>
        <v>15641.639999999996</v>
      </c>
      <c r="J70" s="52">
        <f ca="1">OFFSET(Forecast!$B$59,0,COLUMN(J$68)-COLUMN($B$68),1,1)</f>
        <v>30725.999999999996</v>
      </c>
      <c r="K70" s="52">
        <f ca="1">OFFSET(Forecast!$B$59,0,COLUMN(K$68)-COLUMN($B$68),1,1)</f>
        <v>-43676.575514054814</v>
      </c>
      <c r="L70" s="52">
        <f ca="1">OFFSET(Forecast!$B$59,0,COLUMN(L$68)-COLUMN($B$68),1,1)</f>
        <v>4100.9319179407048</v>
      </c>
      <c r="M70" s="52">
        <f ca="1">OFFSET(Forecast!$B$59,0,COLUMN(M$68)-COLUMN($B$68),1,1)</f>
        <v>30591.489648296676</v>
      </c>
      <c r="N70" s="52">
        <f ca="1">OFFSET(Forecast!$B$59,0,COLUMN(N$68)-COLUMN($B$68),1,1)</f>
        <v>34357.440000000002</v>
      </c>
      <c r="O70" s="52">
        <f ca="1">OFFSET(Forecast!$B$59,0,COLUMN(O$68)-COLUMN($B$68),1,1)</f>
        <v>-54349.999756030462</v>
      </c>
      <c r="P70" s="52">
        <f ca="1">OFFSET(Forecast!$B$59,0,COLUMN(P$68)-COLUMN($B$68),1,1)</f>
        <v>14459.455494791509</v>
      </c>
      <c r="Q70" s="52">
        <f ca="1">OFFSET(Forecast!$B$59,0,COLUMN(Q$68)-COLUMN($B$68),1,1)</f>
        <v>28447.704709375943</v>
      </c>
      <c r="R70" s="52">
        <f ca="1">OFFSET(Forecast!$B$59,0,COLUMN(R$68)-COLUMN($B$68),1,1)</f>
        <v>30200.639999999999</v>
      </c>
      <c r="S70" s="52">
        <f ca="1">OFFSET(Forecast!$B$59,0,COLUMN(S$68)-COLUMN($B$68),1,1)</f>
        <v>-24341.4</v>
      </c>
      <c r="T70" s="52">
        <f ca="1">OFFSET(Forecast!$B$59,0,COLUMN(T$68)-COLUMN($B$68),1,1)</f>
        <v>12088.248440128649</v>
      </c>
      <c r="U70" s="52">
        <f ca="1">OFFSET(Forecast!$B$59,0,COLUMN(U$68)-COLUMN($B$68),1,1)</f>
        <v>10785.520191985144</v>
      </c>
      <c r="V70" s="52">
        <f ca="1">OFFSET(Forecast!$B$59,0,COLUMN(V$68)-COLUMN($B$68),1,1)</f>
        <v>28593.599999999999</v>
      </c>
      <c r="W70" s="52">
        <f ca="1">OFFSET(Forecast!$B$59,0,COLUMN(W$68)-COLUMN($B$68),1,1)</f>
        <v>26614.800000000003</v>
      </c>
      <c r="X70" s="52">
        <f ca="1">OFFSET(Forecast!$B$59,0,COLUMN(X$68)-COLUMN($B$68),1,1)</f>
        <v>-34838.789750533506</v>
      </c>
      <c r="Y70" s="52">
        <f ca="1">OFFSET(Forecast!$B$59,0,COLUMN(Y$68)-COLUMN($B$68),1,1)</f>
        <v>12776.790950728595</v>
      </c>
      <c r="Z70" s="52">
        <f ca="1">OFFSET(Forecast!$B$59,0,COLUMN(Z$68)-COLUMN($B$68),1,1)</f>
        <v>24884.437745486219</v>
      </c>
      <c r="AA70" s="52">
        <f ca="1">OFFSET(Forecast!$B$59,0,COLUMN(AA$68)-COLUMN($B$68),1,1)</f>
        <v>35205.840000000011</v>
      </c>
      <c r="AB70" s="52">
        <f ca="1">OFFSET(Forecast!$B$59,0,COLUMN(AB$68)-COLUMN($B$68),1,1)</f>
        <v>-41515.919999999998</v>
      </c>
      <c r="AC70" s="52">
        <f ca="1">OFFSET(Forecast!$B$59,0,COLUMN(AC$68)-COLUMN($B$68),1,1)</f>
        <v>11440.134979569099</v>
      </c>
      <c r="AD70" s="52">
        <f ca="1">OFFSET(Forecast!$B$59,0,COLUMN(AD$68)-COLUMN($B$68),1,1)</f>
        <v>33264.164825830238</v>
      </c>
      <c r="AE70" s="52">
        <f ca="1">OFFSET(Forecast!$B$59,0,COLUMN(AE$68)-COLUMN($B$68),1,1)</f>
        <v>37483.199999999997</v>
      </c>
      <c r="AF70" s="52">
        <f ca="1">OFFSET(Forecast!$B$59,0,COLUMN(AF$68)-COLUMN($B$68),1,1)</f>
        <v>37010.520000000004</v>
      </c>
      <c r="AG70" s="52">
        <f ca="1">OFFSET(Forecast!$B$59,0,COLUMN(AG$68)-COLUMN($B$68),1,1)</f>
        <v>-32613.235649598828</v>
      </c>
      <c r="AH70" s="52">
        <f ca="1">OFFSET(Forecast!$B$59,0,COLUMN(AH$68)-COLUMN($B$68),1,1)</f>
        <v>7777.6802502851551</v>
      </c>
      <c r="AI70" s="52">
        <f ca="1">OFFSET(Forecast!$B$59,0,COLUMN(AI$68)-COLUMN($B$68),1,1)</f>
        <v>37735.919999999998</v>
      </c>
      <c r="AJ70" s="52">
        <f ca="1">OFFSET(Forecast!$B$59,0,COLUMN(AJ$68)-COLUMN($B$68),1,1)</f>
        <v>26376.000000000007</v>
      </c>
      <c r="AK70" s="52">
        <f ca="1">OFFSET(Forecast!$B$59,0,COLUMN(AK$68)-COLUMN($B$68),1,1)</f>
        <v>-35621.130707930264</v>
      </c>
      <c r="AL70" s="52">
        <f ca="1">OFFSET(Forecast!$B$59,0,COLUMN(AL$68)-COLUMN($B$68),1,1)</f>
        <v>13576.75476274197</v>
      </c>
      <c r="AM70" s="52">
        <f ca="1">OFFSET(Forecast!$B$59,0,COLUMN(AM$68)-COLUMN($B$68),1,1)</f>
        <v>38057.963202540872</v>
      </c>
      <c r="AN70" s="52">
        <f ca="1">OFFSET(Forecast!$B$59,0,COLUMN(AN$68)-COLUMN($B$68),1,1)</f>
        <v>35067.600000000035</v>
      </c>
      <c r="AO70" s="52">
        <f ca="1">OFFSET(Forecast!$B$59,0,COLUMN(AO$68)-COLUMN($B$68),1,1)</f>
        <v>-37501.200000000012</v>
      </c>
      <c r="AP70" s="52">
        <f ca="1">OFFSET(Forecast!$B$59,0,COLUMN(AP$68)-COLUMN($B$68),1,1)</f>
        <v>24914.092785722445</v>
      </c>
      <c r="AQ70" s="52">
        <f ca="1">OFFSET(Forecast!$B$59,0,COLUMN(AQ$68)-COLUMN($B$68),1,1)</f>
        <v>13831.803868514995</v>
      </c>
      <c r="AR70" s="52">
        <f ca="1">OFFSET(Forecast!$B$59,0,COLUMN(AR$68)-COLUMN($B$68),1,1)</f>
        <v>16596</v>
      </c>
      <c r="AS70" s="52">
        <f ca="1">OFFSET(Forecast!$B$59,0,COLUMN(AS$68)-COLUMN($B$68),1,1)</f>
        <v>-36300.479999999996</v>
      </c>
      <c r="AT70" s="52">
        <f ca="1">OFFSET(Forecast!$B$59,0,COLUMN(AT$68)-COLUMN($B$68),1,1)</f>
        <v>-4739.3766917725325</v>
      </c>
      <c r="AU70" s="52">
        <f ca="1">OFFSET(Forecast!$B$59,0,COLUMN(AU$68)-COLUMN($B$68),1,1)</f>
        <v>-2919.2747327126599</v>
      </c>
      <c r="AV70" s="52">
        <f ca="1">OFFSET(Forecast!$B$59,0,COLUMN(AV$68)-COLUMN($B$68),1,1)</f>
        <v>25244.345174204696</v>
      </c>
      <c r="AW70" s="52">
        <f ca="1">OFFSET(Forecast!$B$59,0,COLUMN(AW$68)-COLUMN($B$68),1,1)</f>
        <v>38697.599999999991</v>
      </c>
      <c r="AX70" s="52">
        <f ca="1">OFFSET(Forecast!$B$59,0,COLUMN(AX$68)-COLUMN($B$68),1,1)</f>
        <v>-39336.076693970725</v>
      </c>
      <c r="AY70" s="52">
        <f ca="1">OFFSET(Forecast!$B$59,0,COLUMN(AY$68)-COLUMN($B$68),1,1)</f>
        <v>17517.376358997157</v>
      </c>
      <c r="AZ70" s="52">
        <f ca="1">OFFSET(Forecast!$B$59,0,COLUMN(AZ$68)-COLUMN($B$68),1,1)</f>
        <v>35435.791917407245</v>
      </c>
      <c r="BA70" s="52">
        <f ca="1">OFFSET(Forecast!$B$59,0,COLUMN(BA$68)-COLUMN($B$68),1,1)</f>
        <v>27568.800000000017</v>
      </c>
      <c r="BB70" s="52">
        <f ca="1">OFFSET(Forecast!$B$59,0,COLUMN(BB$68)-COLUMN($B$68),1,1)</f>
        <v>-43538.400000000023</v>
      </c>
      <c r="BC70" s="53">
        <f ca="1">SUM(OFFSET($B70,0,1,1,Assumptions!$C$8))</f>
        <v>59284.69147315358</v>
      </c>
      <c r="BD70" s="53">
        <f ca="1">SUM(OFFSET($B70,0,1+Assumptions!$C$8,1,SUM(Assumptions!$C$9)))</f>
        <v>123360.92778196254</v>
      </c>
      <c r="BE70" s="53">
        <f ca="1">SUM(OFFSET($B70,0,1+SUM(Assumptions!$C$8:$C$9),1,SUM(Assumptions!$C$10)))</f>
        <v>172054.37166343827</v>
      </c>
      <c r="BF70" s="53">
        <f ca="1">SUM(OFFSET($B70,0,1+SUM(Assumptions!$C$8:$C$10),1,SUM(Assumptions!$C$11)))</f>
        <v>72972.201986390603</v>
      </c>
      <c r="BG70" s="53">
        <f ca="1">SUM(BC70:BF70)</f>
        <v>427672.192904945</v>
      </c>
    </row>
    <row r="71" spans="1:59" ht="16.149999999999999" customHeight="1" x14ac:dyDescent="0.3">
      <c r="B71" s="56" t="s">
        <v>41</v>
      </c>
      <c r="C71" s="52">
        <f ca="1">OFFSET(Forecast!$B$56,0,COLUMN(C$68)-COLUMN($B$68),1,1)</f>
        <v>10249.999999999998</v>
      </c>
      <c r="D71" s="52">
        <f ca="1">OFFSET(Forecast!$B$56,0,COLUMN(D$68)-COLUMN($B$68),1,1)</f>
        <v>4072.9166666666665</v>
      </c>
      <c r="E71" s="52">
        <f ca="1">OFFSET(Forecast!$B$56,0,COLUMN(E$68)-COLUMN($B$68),1,1)</f>
        <v>0</v>
      </c>
      <c r="F71" s="52">
        <f ca="1">OFFSET(Forecast!$B$56,0,COLUMN(F$68)-COLUMN($B$68),1,1)</f>
        <v>0</v>
      </c>
      <c r="G71" s="52">
        <f ca="1">OFFSET(Forecast!$B$56,0,COLUMN(G$68)-COLUMN($B$68),1,1)</f>
        <v>3854.1666666666665</v>
      </c>
      <c r="H71" s="52">
        <f ca="1">OFFSET(Forecast!$B$56,0,COLUMN(H$68)-COLUMN($B$68),1,1)</f>
        <v>14206.365031942376</v>
      </c>
      <c r="I71" s="52">
        <f ca="1">OFFSET(Forecast!$B$56,0,COLUMN(I$68)-COLUMN($B$68),1,1)</f>
        <v>0</v>
      </c>
      <c r="J71" s="52">
        <f ca="1">OFFSET(Forecast!$B$56,0,COLUMN(J$68)-COLUMN($B$68),1,1)</f>
        <v>0</v>
      </c>
      <c r="K71" s="52">
        <f ca="1">OFFSET(Forecast!$B$56,0,COLUMN(K$68)-COLUMN($B$68),1,1)</f>
        <v>3826.9104361872446</v>
      </c>
      <c r="L71" s="52">
        <f ca="1">OFFSET(Forecast!$B$56,0,COLUMN(L$68)-COLUMN($B$68),1,1)</f>
        <v>10150.927891749021</v>
      </c>
      <c r="M71" s="52">
        <f ca="1">OFFSET(Forecast!$B$56,0,COLUMN(M$68)-COLUMN($B$68),1,1)</f>
        <v>3937.8199329212807</v>
      </c>
      <c r="N71" s="52">
        <f ca="1">OFFSET(Forecast!$B$56,0,COLUMN(N$68)-COLUMN($B$68),1,1)</f>
        <v>0</v>
      </c>
      <c r="O71" s="52">
        <f ca="1">OFFSET(Forecast!$B$56,0,COLUMN(O$68)-COLUMN($B$68),1,1)</f>
        <v>3799.4441055978764</v>
      </c>
      <c r="P71" s="52">
        <f ca="1">OFFSET(Forecast!$B$56,0,COLUMN(P$68)-COLUMN($B$68),1,1)</f>
        <v>10100.756257234016</v>
      </c>
      <c r="Q71" s="52">
        <f ca="1">OFFSET(Forecast!$B$56,0,COLUMN(Q$68)-COLUMN($B$68),1,1)</f>
        <v>3869.2990147556284</v>
      </c>
      <c r="R71" s="52">
        <f ca="1">OFFSET(Forecast!$B$56,0,COLUMN(R$68)-COLUMN($B$68),1,1)</f>
        <v>0</v>
      </c>
      <c r="S71" s="52">
        <f ca="1">OFFSET(Forecast!$B$56,0,COLUMN(S$68)-COLUMN($B$68),1,1)</f>
        <v>0</v>
      </c>
      <c r="T71" s="52">
        <f ca="1">OFFSET(Forecast!$B$56,0,COLUMN(T$68)-COLUMN($B$68),1,1)</f>
        <v>3771.7660553768819</v>
      </c>
      <c r="U71" s="52">
        <f ca="1">OFFSET(Forecast!$B$56,0,COLUMN(U$68)-COLUMN($B$68),1,1)</f>
        <v>13850.277511131748</v>
      </c>
      <c r="V71" s="52">
        <f ca="1">OFFSET(Forecast!$B$56,0,COLUMN(V$68)-COLUMN($B$68),1,1)</f>
        <v>0</v>
      </c>
      <c r="W71" s="52">
        <f ca="1">OFFSET(Forecast!$B$56,0,COLUMN(W$68)-COLUMN($B$68),1,1)</f>
        <v>0</v>
      </c>
      <c r="X71" s="52">
        <f ca="1">OFFSET(Forecast!$B$56,0,COLUMN(X$68)-COLUMN($B$68),1,1)</f>
        <v>3743.8746535187674</v>
      </c>
      <c r="Y71" s="52">
        <f ca="1">OFFSET(Forecast!$B$56,0,COLUMN(Y$68)-COLUMN($B$68),1,1)</f>
        <v>9999.123679543618</v>
      </c>
      <c r="Z71" s="52">
        <f ca="1">OFFSET(Forecast!$B$56,0,COLUMN(Z$68)-COLUMN($B$68),1,1)</f>
        <v>3730.2809090469018</v>
      </c>
      <c r="AA71" s="52">
        <f ca="1">OFFSET(Forecast!$B$56,0,COLUMN(AA$68)-COLUMN($B$68),1,1)</f>
        <v>0</v>
      </c>
      <c r="AB71" s="52">
        <f ca="1">OFFSET(Forecast!$B$56,0,COLUMN(AB$68)-COLUMN($B$68),1,1)</f>
        <v>0</v>
      </c>
      <c r="AC71" s="52">
        <f ca="1">OFFSET(Forecast!$B$56,0,COLUMN(AC$68)-COLUMN($B$68),1,1)</f>
        <v>14434.256972820687</v>
      </c>
      <c r="AD71" s="52">
        <f ca="1">OFFSET(Forecast!$B$56,0,COLUMN(AD$68)-COLUMN($B$68),1,1)</f>
        <v>3659.7710752357866</v>
      </c>
      <c r="AE71" s="52">
        <f ca="1">OFFSET(Forecast!$B$56,0,COLUMN(AE$68)-COLUMN($B$68),1,1)</f>
        <v>0</v>
      </c>
      <c r="AF71" s="52">
        <f ca="1">OFFSET(Forecast!$B$56,0,COLUMN(AF$68)-COLUMN($B$68),1,1)</f>
        <v>0</v>
      </c>
      <c r="AG71" s="52">
        <f ca="1">OFFSET(Forecast!$B$56,0,COLUMN(AG$68)-COLUMN($B$68),1,1)</f>
        <v>4452.8272911094691</v>
      </c>
      <c r="AH71" s="52">
        <f ca="1">OFFSET(Forecast!$B$56,0,COLUMN(AH$68)-COLUMN($B$68),1,1)</f>
        <v>13484.332985715062</v>
      </c>
      <c r="AI71" s="52">
        <f ca="1">OFFSET(Forecast!$B$56,0,COLUMN(AI$68)-COLUMN($B$68),1,1)</f>
        <v>0</v>
      </c>
      <c r="AJ71" s="52">
        <f ca="1">OFFSET(Forecast!$B$56,0,COLUMN(AJ$68)-COLUMN($B$68),1,1)</f>
        <v>0</v>
      </c>
      <c r="AK71" s="52">
        <f ca="1">OFFSET(Forecast!$B$56,0,COLUMN(AK$68)-COLUMN($B$68),1,1)</f>
        <v>4418.7926499031319</v>
      </c>
      <c r="AL71" s="52">
        <f ca="1">OFFSET(Forecast!$B$56,0,COLUMN(AL$68)-COLUMN($B$68),1,1)</f>
        <v>9843.3961628583802</v>
      </c>
      <c r="AM71" s="52">
        <f ca="1">OFFSET(Forecast!$B$56,0,COLUMN(AM$68)-COLUMN($B$68),1,1)</f>
        <v>3516.7177742487625</v>
      </c>
      <c r="AN71" s="52">
        <f ca="1">OFFSET(Forecast!$B$56,0,COLUMN(AN$68)-COLUMN($B$68),1,1)</f>
        <v>0</v>
      </c>
      <c r="AO71" s="52">
        <f ca="1">OFFSET(Forecast!$B$56,0,COLUMN(AO$68)-COLUMN($B$68),1,1)</f>
        <v>0</v>
      </c>
      <c r="AP71" s="52">
        <f ca="1">OFFSET(Forecast!$B$56,0,COLUMN(AP$68)-COLUMN($B$68),1,1)</f>
        <v>14175.093353163258</v>
      </c>
      <c r="AQ71" s="52">
        <f ca="1">OFFSET(Forecast!$B$56,0,COLUMN(AQ$68)-COLUMN($B$68),1,1)</f>
        <v>3444.1612937291648</v>
      </c>
      <c r="AR71" s="52">
        <f ca="1">OFFSET(Forecast!$B$56,0,COLUMN(AR$68)-COLUMN($B$68),1,1)</f>
        <v>0</v>
      </c>
      <c r="AS71" s="52">
        <f ca="1">OFFSET(Forecast!$B$56,0,COLUMN(AS$68)-COLUMN($B$68),1,1)</f>
        <v>0</v>
      </c>
      <c r="AT71" s="52">
        <f ca="1">OFFSET(Forecast!$B$56,0,COLUMN(AT$68)-COLUMN($B$68),1,1)</f>
        <v>4349.9342941285386</v>
      </c>
      <c r="AU71" s="52">
        <f ca="1">OFFSET(Forecast!$B$56,0,COLUMN(AU$68)-COLUMN($B$68),1,1)</f>
        <v>9737.3482398787055</v>
      </c>
      <c r="AV71" s="52">
        <f ca="1">OFFSET(Forecast!$B$56,0,COLUMN(AV$68)-COLUMN($B$68),1,1)</f>
        <v>3370.9094802712548</v>
      </c>
      <c r="AW71" s="52">
        <f ca="1">OFFSET(Forecast!$B$56,0,COLUMN(AW$68)-COLUMN($B$68),1,1)</f>
        <v>0</v>
      </c>
      <c r="AX71" s="52">
        <f ca="1">OFFSET(Forecast!$B$56,0,COLUMN(AX$68)-COLUMN($B$68),1,1)</f>
        <v>4315.1065194038065</v>
      </c>
      <c r="AY71" s="52">
        <f ca="1">OFFSET(Forecast!$B$56,0,COLUMN(AY$68)-COLUMN($B$68),1,1)</f>
        <v>12183.643945837308</v>
      </c>
      <c r="AZ71" s="52">
        <f ca="1">OFFSET(Forecast!$B$56,0,COLUMN(AZ$68)-COLUMN($B$68),1,1)</f>
        <v>3296.9556702677055</v>
      </c>
      <c r="BA71" s="52">
        <f ca="1">OFFSET(Forecast!$B$56,0,COLUMN(BA$68)-COLUMN($B$68),1,1)</f>
        <v>0</v>
      </c>
      <c r="BB71" s="52">
        <f ca="1">OFFSET(Forecast!$B$56,0,COLUMN(BB$68)-COLUMN($B$68),1,1)</f>
        <v>0</v>
      </c>
      <c r="BC71" s="53">
        <f ca="1">SUM(OFFSET($B71,0,1,1,Assumptions!$C$8))</f>
        <v>54098.550731731128</v>
      </c>
      <c r="BD71" s="53">
        <f ca="1">SUM(OFFSET($B71,0,1+Assumptions!$C$8,1,SUM(Assumptions!$C$9)))</f>
        <v>49065.378080607559</v>
      </c>
      <c r="BE71" s="53">
        <f ca="1">SUM(OFFSET($B71,0,1+SUM(Assumptions!$C$8:$C$9),1,SUM(Assumptions!$C$10)))</f>
        <v>53810.094911891276</v>
      </c>
      <c r="BF71" s="53">
        <f ca="1">SUM(OFFSET($B71,0,1+SUM(Assumptions!$C$8:$C$10),1,SUM(Assumptions!$C$11)))</f>
        <v>54873.152796679744</v>
      </c>
      <c r="BG71" s="53">
        <f ca="1">SUM(BC71:BF71)</f>
        <v>211847.17652090971</v>
      </c>
    </row>
    <row r="72" spans="1:59" ht="16.149999999999999" customHeight="1" x14ac:dyDescent="0.3">
      <c r="B72" s="56" t="s">
        <v>37</v>
      </c>
      <c r="C72" s="52">
        <f ca="1">OFFSET(Forecast!$B$58,0,COLUMN(C$68)-COLUMN($B$68),1,1)</f>
        <v>1876.0000000000007</v>
      </c>
      <c r="D72" s="52">
        <f ca="1">OFFSET(Forecast!$B$58,0,COLUMN(D$68)-COLUMN($B$68),1,1)</f>
        <v>8302.0420000000013</v>
      </c>
      <c r="E72" s="52">
        <f ca="1">OFFSET(Forecast!$B$58,0,COLUMN(E$68)-COLUMN($B$68),1,1)</f>
        <v>10322.666666666672</v>
      </c>
      <c r="F72" s="52">
        <f ca="1">OFFSET(Forecast!$B$58,0,COLUMN(F$68)-COLUMN($B$68),1,1)</f>
        <v>-7371.466666666669</v>
      </c>
      <c r="G72" s="52">
        <f ca="1">OFFSET(Forecast!$B$58,0,COLUMN(G$68)-COLUMN($B$68),1,1)</f>
        <v>3087.7933333333349</v>
      </c>
      <c r="H72" s="52">
        <f ca="1">OFFSET(Forecast!$B$58,0,COLUMN(H$68)-COLUMN($B$68),1,1)</f>
        <v>74.98445772280138</v>
      </c>
      <c r="I72" s="52">
        <f ca="1">OFFSET(Forecast!$B$58,0,COLUMN(I$68)-COLUMN($B$68),1,1)</f>
        <v>6082.8600000000042</v>
      </c>
      <c r="J72" s="52">
        <f ca="1">OFFSET(Forecast!$B$58,0,COLUMN(J$68)-COLUMN($B$68),1,1)</f>
        <v>11949.000000000004</v>
      </c>
      <c r="K72" s="52">
        <f ca="1">OFFSET(Forecast!$B$58,0,COLUMN(K$68)-COLUMN($B$68),1,1)</f>
        <v>-16985.334922132435</v>
      </c>
      <c r="L72" s="52">
        <f ca="1">OFFSET(Forecast!$B$58,0,COLUMN(L$68)-COLUMN($B$68),1,1)</f>
        <v>1594.8068569769457</v>
      </c>
      <c r="M72" s="52">
        <f ca="1">OFFSET(Forecast!$B$58,0,COLUMN(M$68)-COLUMN($B$68),1,1)</f>
        <v>11896.690418782044</v>
      </c>
      <c r="N72" s="52">
        <f ca="1">OFFSET(Forecast!$B$58,0,COLUMN(N$68)-COLUMN($B$68),1,1)</f>
        <v>13361.226666666669</v>
      </c>
      <c r="O72" s="52">
        <f ca="1">OFFSET(Forecast!$B$58,0,COLUMN(O$68)-COLUMN($B$68),1,1)</f>
        <v>-21136.111016234074</v>
      </c>
      <c r="P72" s="52">
        <f ca="1">OFFSET(Forecast!$B$58,0,COLUMN(P$68)-COLUMN($B$68),1,1)</f>
        <v>5623.1215813078088</v>
      </c>
      <c r="Q72" s="52">
        <f ca="1">OFFSET(Forecast!$B$58,0,COLUMN(Q$68)-COLUMN($B$68),1,1)</f>
        <v>11062.996275868431</v>
      </c>
      <c r="R72" s="52">
        <f ca="1">OFFSET(Forecast!$B$58,0,COLUMN(R$68)-COLUMN($B$68),1,1)</f>
        <v>11744.693333333336</v>
      </c>
      <c r="S72" s="52">
        <f ca="1">OFFSET(Forecast!$B$58,0,COLUMN(S$68)-COLUMN($B$68),1,1)</f>
        <v>-9466.0999999999985</v>
      </c>
      <c r="T72" s="52">
        <f ca="1">OFFSET(Forecast!$B$58,0,COLUMN(T$68)-COLUMN($B$68),1,1)</f>
        <v>4700.9855044944707</v>
      </c>
      <c r="U72" s="52">
        <f ca="1">OFFSET(Forecast!$B$58,0,COLUMN(U$68)-COLUMN($B$68),1,1)</f>
        <v>4194.3689635497794</v>
      </c>
      <c r="V72" s="52">
        <f ca="1">OFFSET(Forecast!$B$58,0,COLUMN(V$68)-COLUMN($B$68),1,1)</f>
        <v>11119.733333333337</v>
      </c>
      <c r="W72" s="52">
        <f ca="1">OFFSET(Forecast!$B$58,0,COLUMN(W$68)-COLUMN($B$68),1,1)</f>
        <v>10350.199999999997</v>
      </c>
      <c r="X72" s="52">
        <f ca="1">OFFSET(Forecast!$B$58,0,COLUMN(X$68)-COLUMN($B$68),1,1)</f>
        <v>-13548.41823631859</v>
      </c>
      <c r="Y72" s="52">
        <f ca="1">OFFSET(Forecast!$B$58,0,COLUMN(Y$68)-COLUMN($B$68),1,1)</f>
        <v>4968.7520363944568</v>
      </c>
      <c r="Z72" s="52">
        <f ca="1">OFFSET(Forecast!$B$58,0,COLUMN(Z$68)-COLUMN($B$68),1,1)</f>
        <v>9677.2813454668794</v>
      </c>
      <c r="AA72" s="52">
        <f ca="1">OFFSET(Forecast!$B$58,0,COLUMN(AA$68)-COLUMN($B$68),1,1)</f>
        <v>13691.159999999989</v>
      </c>
      <c r="AB72" s="52">
        <f ca="1">OFFSET(Forecast!$B$58,0,COLUMN(AB$68)-COLUMN($B$68),1,1)</f>
        <v>-16145.080000000002</v>
      </c>
      <c r="AC72" s="52">
        <f ca="1">OFFSET(Forecast!$B$58,0,COLUMN(AC$68)-COLUMN($B$68),1,1)</f>
        <v>4448.94138094355</v>
      </c>
      <c r="AD72" s="52">
        <f ca="1">OFFSET(Forecast!$B$58,0,COLUMN(AD$68)-COLUMN($B$68),1,1)</f>
        <v>12936.064098933974</v>
      </c>
      <c r="AE72" s="52">
        <f ca="1">OFFSET(Forecast!$B$58,0,COLUMN(AE$68)-COLUMN($B$68),1,1)</f>
        <v>14576.800000000003</v>
      </c>
      <c r="AF72" s="52">
        <f ca="1">OFFSET(Forecast!$B$58,0,COLUMN(AF$68)-COLUMN($B$68),1,1)</f>
        <v>14392.979999999996</v>
      </c>
      <c r="AG72" s="52">
        <f ca="1">OFFSET(Forecast!$B$58,0,COLUMN(AG$68)-COLUMN($B$68),1,1)</f>
        <v>-12682.924974843976</v>
      </c>
      <c r="AH72" s="52">
        <f ca="1">OFFSET(Forecast!$B$58,0,COLUMN(AH$68)-COLUMN($B$68),1,1)</f>
        <v>3024.6534306664544</v>
      </c>
      <c r="AI72" s="52">
        <f ca="1">OFFSET(Forecast!$B$58,0,COLUMN(AI$68)-COLUMN($B$68),1,1)</f>
        <v>14675.080000000002</v>
      </c>
      <c r="AJ72" s="52">
        <f ca="1">OFFSET(Forecast!$B$58,0,COLUMN(AJ$68)-COLUMN($B$68),1,1)</f>
        <v>10257.333333333328</v>
      </c>
      <c r="AK72" s="52">
        <f ca="1">OFFSET(Forecast!$B$58,0,COLUMN(AK$68)-COLUMN($B$68),1,1)</f>
        <v>-13852.661941972867</v>
      </c>
      <c r="AL72" s="52">
        <f ca="1">OFFSET(Forecast!$B$58,0,COLUMN(AL$68)-COLUMN($B$68),1,1)</f>
        <v>5279.8490743996517</v>
      </c>
      <c r="AM72" s="52">
        <f ca="1">OFFSET(Forecast!$B$58,0,COLUMN(AM$68)-COLUMN($B$68),1,1)</f>
        <v>14800.319023210366</v>
      </c>
      <c r="AN72" s="52">
        <f ca="1">OFFSET(Forecast!$B$58,0,COLUMN(AN$68)-COLUMN($B$68),1,1)</f>
        <v>13637.399999999965</v>
      </c>
      <c r="AO72" s="52">
        <f ca="1">OFFSET(Forecast!$B$58,0,COLUMN(AO$68)-COLUMN($B$68),1,1)</f>
        <v>-14583.799999999988</v>
      </c>
      <c r="AP72" s="52">
        <f ca="1">OFFSET(Forecast!$B$58,0,COLUMN(AP$68)-COLUMN($B$68),1,1)</f>
        <v>9688.8138611142931</v>
      </c>
      <c r="AQ72" s="52">
        <f ca="1">OFFSET(Forecast!$B$58,0,COLUMN(AQ$68)-COLUMN($B$68),1,1)</f>
        <v>5379.0348377558403</v>
      </c>
      <c r="AR72" s="52">
        <f ca="1">OFFSET(Forecast!$B$58,0,COLUMN(AR$68)-COLUMN($B$68),1,1)</f>
        <v>6454</v>
      </c>
      <c r="AS72" s="52">
        <f ca="1">OFFSET(Forecast!$B$58,0,COLUMN(AS$68)-COLUMN($B$68),1,1)</f>
        <v>-14116.853333333333</v>
      </c>
      <c r="AT72" s="52">
        <f ca="1">OFFSET(Forecast!$B$58,0,COLUMN(AT$68)-COLUMN($B$68),1,1)</f>
        <v>-1843.0909356893389</v>
      </c>
      <c r="AU72" s="52">
        <f ca="1">OFFSET(Forecast!$B$58,0,COLUMN(AU$68)-COLUMN($B$68),1,1)</f>
        <v>-1135.2735071660427</v>
      </c>
      <c r="AV72" s="52">
        <f ca="1">OFFSET(Forecast!$B$58,0,COLUMN(AV$68)-COLUMN($B$68),1,1)</f>
        <v>9817.2453455240466</v>
      </c>
      <c r="AW72" s="52">
        <f ca="1">OFFSET(Forecast!$B$58,0,COLUMN(AW$68)-COLUMN($B$68),1,1)</f>
        <v>15049.06666666668</v>
      </c>
      <c r="AX72" s="52">
        <f ca="1">OFFSET(Forecast!$B$58,0,COLUMN(AX$68)-COLUMN($B$68),1,1)</f>
        <v>-15297.363158766413</v>
      </c>
      <c r="AY72" s="52">
        <f ca="1">OFFSET(Forecast!$B$58,0,COLUMN(AY$68)-COLUMN($B$68),1,1)</f>
        <v>6812.3130284988729</v>
      </c>
      <c r="AZ72" s="52">
        <f ca="1">OFFSET(Forecast!$B$58,0,COLUMN(AZ$68)-COLUMN($B$68),1,1)</f>
        <v>13780.585745658376</v>
      </c>
      <c r="BA72" s="52">
        <f ca="1">OFFSET(Forecast!$B$58,0,COLUMN(BA$68)-COLUMN($B$68),1,1)</f>
        <v>10721.199999999983</v>
      </c>
      <c r="BB72" s="52">
        <f ca="1">OFFSET(Forecast!$B$58,0,COLUMN(BB$68)-COLUMN($B$68),1,1)</f>
        <v>-16931.599999999977</v>
      </c>
      <c r="BC72" s="53">
        <f ca="1">SUM(OFFSET($B72,0,1,1,Assumptions!$C$8))</f>
        <v>23055.157795115298</v>
      </c>
      <c r="BD72" s="53">
        <f ca="1">SUM(OFFSET($B72,0,1+Assumptions!$C$8,1,SUM(Assumptions!$C$9)))</f>
        <v>47973.694137429891</v>
      </c>
      <c r="BE72" s="53">
        <f ca="1">SUM(OFFSET($B72,0,1+SUM(Assumptions!$C$8:$C$9),1,SUM(Assumptions!$C$10)))</f>
        <v>66910.033424670459</v>
      </c>
      <c r="BF72" s="53">
        <f ca="1">SUM(OFFSET($B72,0,1+SUM(Assumptions!$C$8:$C$10),1,SUM(Assumptions!$C$11)))</f>
        <v>28378.078550262988</v>
      </c>
      <c r="BG72" s="53">
        <f ca="1">SUM(BC72:BF72)</f>
        <v>166316.96390747864</v>
      </c>
    </row>
    <row r="73" spans="1:59" ht="16.149999999999999" customHeight="1" x14ac:dyDescent="0.25">
      <c r="A73" s="307"/>
      <c r="B73" s="20" t="s">
        <v>59</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8"/>
      <c r="BD73" s="78"/>
      <c r="BE73" s="78"/>
      <c r="BF73" s="78"/>
      <c r="BG73" s="78"/>
    </row>
    <row r="74" spans="1:59" ht="16.149999999999999" customHeight="1" x14ac:dyDescent="0.3">
      <c r="A74" s="308" t="s">
        <v>210</v>
      </c>
      <c r="B74" s="2" t="s">
        <v>57</v>
      </c>
      <c r="C74" s="79">
        <f ca="1">SUMIF(Forecast!$A$4:$AO$63,$A74,Forecast!C$4:C$63)</f>
        <v>0</v>
      </c>
      <c r="D74" s="79">
        <f ca="1">SUMIF(Forecast!$A$4:$AO$63,$A74,Forecast!D$4:D$63)</f>
        <v>0</v>
      </c>
      <c r="E74" s="79">
        <f ca="1">SUMIF(Forecast!$A$4:$AO$63,$A74,Forecast!E$4:E$63)</f>
        <v>0</v>
      </c>
      <c r="F74" s="79">
        <f ca="1">SUMIF(Forecast!$A$4:$AO$63,$A74,Forecast!F$4:F$63)</f>
        <v>0</v>
      </c>
      <c r="G74" s="79">
        <f ca="1">SUMIF(Forecast!$A$4:$AO$63,$A74,Forecast!G$4:G$63)</f>
        <v>15000</v>
      </c>
      <c r="H74" s="79">
        <f ca="1">SUMIF(Forecast!$A$4:$AO$63,$A74,Forecast!H$4:H$63)</f>
        <v>0</v>
      </c>
      <c r="I74" s="79">
        <f ca="1">SUMIF(Forecast!$A$4:$AO$63,$A74,Forecast!I$4:I$63)</f>
        <v>0</v>
      </c>
      <c r="J74" s="79">
        <f ca="1">SUMIF(Forecast!$A$4:$AO$63,$A74,Forecast!J$4:J$63)</f>
        <v>0</v>
      </c>
      <c r="K74" s="79">
        <f ca="1">SUMIF(Forecast!$A$4:$AO$63,$A74,Forecast!K$4:K$63)</f>
        <v>15000</v>
      </c>
      <c r="L74" s="79">
        <f ca="1">SUMIF(Forecast!$A$4:$AO$63,$A74,Forecast!L$4:L$63)</f>
        <v>0</v>
      </c>
      <c r="M74" s="79">
        <f ca="1">SUMIF(Forecast!$A$4:$AO$63,$A74,Forecast!M$4:M$63)</f>
        <v>0</v>
      </c>
      <c r="N74" s="79">
        <f ca="1">SUMIF(Forecast!$A$4:$AO$63,$A74,Forecast!N$4:N$63)</f>
        <v>0</v>
      </c>
      <c r="O74" s="79">
        <f ca="1">SUMIF(Forecast!$A$4:$AO$63,$A74,Forecast!O$4:O$63)</f>
        <v>15000</v>
      </c>
      <c r="P74" s="79">
        <f ca="1">SUMIF(Forecast!$A$4:$AO$63,$A74,Forecast!P$4:P$63)</f>
        <v>0</v>
      </c>
      <c r="Q74" s="79">
        <f ca="1">SUMIF(Forecast!$A$4:$AO$63,$A74,Forecast!Q$4:Q$63)</f>
        <v>0</v>
      </c>
      <c r="R74" s="79">
        <f ca="1">SUMIF(Forecast!$A$4:$AO$63,$A74,Forecast!R$4:R$63)</f>
        <v>0</v>
      </c>
      <c r="S74" s="79">
        <f ca="1">SUMIF(Forecast!$A$4:$AO$63,$A74,Forecast!S$4:S$63)</f>
        <v>0</v>
      </c>
      <c r="T74" s="79">
        <f ca="1">SUMIF(Forecast!$A$4:$AO$63,$A74,Forecast!T$4:T$63)</f>
        <v>15000</v>
      </c>
      <c r="U74" s="79">
        <f ca="1">SUMIF(Forecast!$A$4:$AO$63,$A74,Forecast!U$4:U$63)</f>
        <v>0</v>
      </c>
      <c r="V74" s="79">
        <f ca="1">SUMIF(Forecast!$A$4:$AO$63,$A74,Forecast!V$4:V$63)</f>
        <v>0</v>
      </c>
      <c r="W74" s="79">
        <f ca="1">SUMIF(Forecast!$A$4:$AO$63,$A74,Forecast!W$4:W$63)</f>
        <v>0</v>
      </c>
      <c r="X74" s="79">
        <f ca="1">SUMIF(Forecast!$A$4:$AO$63,$A74,Forecast!X$4:X$63)</f>
        <v>15000</v>
      </c>
      <c r="Y74" s="79">
        <f ca="1">SUMIF(Forecast!$A$4:$AO$63,$A74,Forecast!Y$4:Y$63)</f>
        <v>0</v>
      </c>
      <c r="Z74" s="79">
        <f ca="1">SUMIF(Forecast!$A$4:$AO$63,$A74,Forecast!Z$4:Z$63)</f>
        <v>0</v>
      </c>
      <c r="AA74" s="79">
        <f ca="1">SUMIF(Forecast!$A$4:$AO$63,$A74,Forecast!AA$4:AA$63)</f>
        <v>0</v>
      </c>
      <c r="AB74" s="79">
        <f ca="1">SUMIF(Forecast!$A$4:$AO$63,$A74,Forecast!AB$4:AB$63)</f>
        <v>15000</v>
      </c>
      <c r="AC74" s="79">
        <f ca="1">SUMIF(Forecast!$A$4:$AO$63,$A74,Forecast!AC$4:AC$63)</f>
        <v>0</v>
      </c>
      <c r="AD74" s="79">
        <f ca="1">SUMIF(Forecast!$A$4:$AO$63,$A74,Forecast!AD$4:AD$63)</f>
        <v>0</v>
      </c>
      <c r="AE74" s="79">
        <f ca="1">SUMIF(Forecast!$A$4:$AO$63,$A74,Forecast!AE$4:AE$63)</f>
        <v>0</v>
      </c>
      <c r="AF74" s="79">
        <f ca="1">SUMIF(Forecast!$A$4:$AO$63,$A74,Forecast!AF$4:AF$63)</f>
        <v>0</v>
      </c>
      <c r="AG74" s="79">
        <f ca="1">SUMIF(Forecast!$A$4:$AO$63,$A74,Forecast!AG$4:AG$63)</f>
        <v>15000</v>
      </c>
      <c r="AH74" s="79">
        <f ca="1">SUMIF(Forecast!$A$4:$AO$63,$A74,Forecast!AH$4:AH$63)</f>
        <v>0</v>
      </c>
      <c r="AI74" s="79">
        <f ca="1">SUMIF(Forecast!$A$4:$AO$63,$A74,Forecast!AI$4:AI$63)</f>
        <v>0</v>
      </c>
      <c r="AJ74" s="79">
        <f ca="1">SUMIF(Forecast!$A$4:$AO$63,$A74,Forecast!AJ$4:AJ$63)</f>
        <v>0</v>
      </c>
      <c r="AK74" s="79">
        <f ca="1">SUMIF(Forecast!$A$4:$AO$63,$A74,Forecast!AK$4:AK$63)</f>
        <v>15000</v>
      </c>
      <c r="AL74" s="79">
        <f ca="1">SUMIF(Forecast!$A$4:$AO$63,$A74,Forecast!AL$4:AL$63)</f>
        <v>0</v>
      </c>
      <c r="AM74" s="79">
        <f ca="1">SUMIF(Forecast!$A$4:$AO$63,$A74,Forecast!AM$4:AM$63)</f>
        <v>0</v>
      </c>
      <c r="AN74" s="79">
        <f ca="1">SUMIF(Forecast!$A$4:$AO$63,$A74,Forecast!AN$4:AN$63)</f>
        <v>0</v>
      </c>
      <c r="AO74" s="79">
        <f ca="1">SUMIF(Forecast!$A$4:$AO$63,$A74,Forecast!AO$4:AO$63)</f>
        <v>15000</v>
      </c>
      <c r="AP74" s="79">
        <f ca="1">SUMIF(Forecast!$A$4:$AO$63,$A74,Forecast!AP$4:AP$63)</f>
        <v>0</v>
      </c>
      <c r="AQ74" s="79">
        <f ca="1">SUMIF(Forecast!$A$4:$AO$63,$A74,Forecast!AQ$4:AQ$63)</f>
        <v>0</v>
      </c>
      <c r="AR74" s="79">
        <f ca="1">SUMIF(Forecast!$A$4:$AO$63,$A74,Forecast!AR$4:AR$63)</f>
        <v>0</v>
      </c>
      <c r="AS74" s="79">
        <f ca="1">SUMIF(Forecast!$A$4:$AO$63,$A74,Forecast!AS$4:AS$63)</f>
        <v>0</v>
      </c>
      <c r="AT74" s="79">
        <f ca="1">SUMIF(Forecast!$A$4:$AO$63,$A74,Forecast!AT$4:AT$63)</f>
        <v>15000</v>
      </c>
      <c r="AU74" s="79">
        <f ca="1">SUMIF(Forecast!$A$4:$AO$63,$A74,Forecast!AU$4:AU$63)</f>
        <v>0</v>
      </c>
      <c r="AV74" s="79">
        <f ca="1">SUMIF(Forecast!$A$4:$AO$63,$A74,Forecast!AV$4:AV$63)</f>
        <v>0</v>
      </c>
      <c r="AW74" s="79">
        <f ca="1">SUMIF(Forecast!$A$4:$AO$63,$A74,Forecast!AW$4:AW$63)</f>
        <v>0</v>
      </c>
      <c r="AX74" s="79">
        <f ca="1">SUMIF(Forecast!$A$4:$AO$63,$A74,Forecast!AX$4:AX$63)</f>
        <v>19000</v>
      </c>
      <c r="AY74" s="79">
        <f ca="1">SUMIF(Forecast!$A$4:$AO$63,$A74,Forecast!AY$4:AY$63)</f>
        <v>0</v>
      </c>
      <c r="AZ74" s="79">
        <f ca="1">SUMIF(Forecast!$A$4:$AO$63,$A74,Forecast!AZ$4:AZ$63)</f>
        <v>0</v>
      </c>
      <c r="BA74" s="79">
        <f ca="1">SUMIF(Forecast!$A$4:$AO$63,$A74,Forecast!BA$4:BA$63)</f>
        <v>0</v>
      </c>
      <c r="BB74" s="79">
        <f ca="1">SUMIF(Forecast!$A$4:$AO$63,$A74,Forecast!BB$4:BB$63)</f>
        <v>19000</v>
      </c>
      <c r="BC74" s="53">
        <f ca="1">SUM(OFFSET($B74,0,1,1,Assumptions!$C$8))</f>
        <v>45000</v>
      </c>
      <c r="BD74" s="53">
        <f ca="1">SUM(OFFSET($B74,0,1+Assumptions!$C$8,1,SUM(Assumptions!$C$9)))</f>
        <v>45000</v>
      </c>
      <c r="BE74" s="53">
        <f ca="1">SUM(OFFSET($B74,0,1+SUM(Assumptions!$C$8:$C$9),1,SUM(Assumptions!$C$10)))</f>
        <v>45000</v>
      </c>
      <c r="BF74" s="53">
        <f ca="1">SUM(OFFSET($B74,0,1+SUM(Assumptions!$C$8:$C$10),1,SUM(Assumptions!$C$11)))</f>
        <v>53000</v>
      </c>
      <c r="BG74" s="53">
        <f ca="1">SUM(BC74:BF74)</f>
        <v>188000</v>
      </c>
    </row>
    <row r="75" spans="1:59" ht="16.149999999999999" customHeight="1" x14ac:dyDescent="0.3">
      <c r="A75" s="308" t="s">
        <v>211</v>
      </c>
      <c r="B75" s="2" t="s">
        <v>212</v>
      </c>
      <c r="C75" s="79">
        <f ca="1">SUMIF(Forecast!$A$4:$AO$63,$A75,Forecast!C$4:C$63)</f>
        <v>0</v>
      </c>
      <c r="D75" s="79">
        <f ca="1">SUMIF(Forecast!$A$4:$AO$63,$A75,Forecast!D$4:D$63)</f>
        <v>0</v>
      </c>
      <c r="E75" s="79">
        <f ca="1">SUMIF(Forecast!$A$4:$AO$63,$A75,Forecast!E$4:E$63)</f>
        <v>0</v>
      </c>
      <c r="F75" s="79">
        <f ca="1">SUMIF(Forecast!$A$4:$AO$63,$A75,Forecast!F$4:F$63)</f>
        <v>0</v>
      </c>
      <c r="G75" s="79">
        <f ca="1">SUMIF(Forecast!$A$4:$AO$63,$A75,Forecast!G$4:G$63)</f>
        <v>1000</v>
      </c>
      <c r="H75" s="79">
        <f ca="1">SUMIF(Forecast!$A$4:$AO$63,$A75,Forecast!H$4:H$63)</f>
        <v>0</v>
      </c>
      <c r="I75" s="79">
        <f ca="1">SUMIF(Forecast!$A$4:$AO$63,$A75,Forecast!I$4:I$63)</f>
        <v>0</v>
      </c>
      <c r="J75" s="79">
        <f ca="1">SUMIF(Forecast!$A$4:$AO$63,$A75,Forecast!J$4:J$63)</f>
        <v>0</v>
      </c>
      <c r="K75" s="79">
        <f ca="1">SUMIF(Forecast!$A$4:$AO$63,$A75,Forecast!K$4:K$63)</f>
        <v>1000</v>
      </c>
      <c r="L75" s="79">
        <f ca="1">SUMIF(Forecast!$A$4:$AO$63,$A75,Forecast!L$4:L$63)</f>
        <v>0</v>
      </c>
      <c r="M75" s="79">
        <f ca="1">SUMIF(Forecast!$A$4:$AO$63,$A75,Forecast!M$4:M$63)</f>
        <v>0</v>
      </c>
      <c r="N75" s="79">
        <f ca="1">SUMIF(Forecast!$A$4:$AO$63,$A75,Forecast!N$4:N$63)</f>
        <v>0</v>
      </c>
      <c r="O75" s="79">
        <f ca="1">SUMIF(Forecast!$A$4:$AO$63,$A75,Forecast!O$4:O$63)</f>
        <v>1000</v>
      </c>
      <c r="P75" s="79">
        <f ca="1">SUMIF(Forecast!$A$4:$AO$63,$A75,Forecast!P$4:P$63)</f>
        <v>0</v>
      </c>
      <c r="Q75" s="79">
        <f ca="1">SUMIF(Forecast!$A$4:$AO$63,$A75,Forecast!Q$4:Q$63)</f>
        <v>0</v>
      </c>
      <c r="R75" s="79">
        <f ca="1">SUMIF(Forecast!$A$4:$AO$63,$A75,Forecast!R$4:R$63)</f>
        <v>0</v>
      </c>
      <c r="S75" s="79">
        <f ca="1">SUMIF(Forecast!$A$4:$AO$63,$A75,Forecast!S$4:S$63)</f>
        <v>0</v>
      </c>
      <c r="T75" s="79">
        <f ca="1">SUMIF(Forecast!$A$4:$AO$63,$A75,Forecast!T$4:T$63)</f>
        <v>1000</v>
      </c>
      <c r="U75" s="79">
        <f ca="1">SUMIF(Forecast!$A$4:$AO$63,$A75,Forecast!U$4:U$63)</f>
        <v>0</v>
      </c>
      <c r="V75" s="79">
        <f ca="1">SUMIF(Forecast!$A$4:$AO$63,$A75,Forecast!V$4:V$63)</f>
        <v>0</v>
      </c>
      <c r="W75" s="79">
        <f ca="1">SUMIF(Forecast!$A$4:$AO$63,$A75,Forecast!W$4:W$63)</f>
        <v>0</v>
      </c>
      <c r="X75" s="79">
        <f ca="1">SUMIF(Forecast!$A$4:$AO$63,$A75,Forecast!X$4:X$63)</f>
        <v>1000</v>
      </c>
      <c r="Y75" s="79">
        <f ca="1">SUMIF(Forecast!$A$4:$AO$63,$A75,Forecast!Y$4:Y$63)</f>
        <v>0</v>
      </c>
      <c r="Z75" s="79">
        <f ca="1">SUMIF(Forecast!$A$4:$AO$63,$A75,Forecast!Z$4:Z$63)</f>
        <v>0</v>
      </c>
      <c r="AA75" s="79">
        <f ca="1">SUMIF(Forecast!$A$4:$AO$63,$A75,Forecast!AA$4:AA$63)</f>
        <v>0</v>
      </c>
      <c r="AB75" s="79">
        <f ca="1">SUMIF(Forecast!$A$4:$AO$63,$A75,Forecast!AB$4:AB$63)</f>
        <v>1000</v>
      </c>
      <c r="AC75" s="79">
        <f ca="1">SUMIF(Forecast!$A$4:$AO$63,$A75,Forecast!AC$4:AC$63)</f>
        <v>0</v>
      </c>
      <c r="AD75" s="79">
        <f ca="1">SUMIF(Forecast!$A$4:$AO$63,$A75,Forecast!AD$4:AD$63)</f>
        <v>0</v>
      </c>
      <c r="AE75" s="79">
        <f ca="1">SUMIF(Forecast!$A$4:$AO$63,$A75,Forecast!AE$4:AE$63)</f>
        <v>0</v>
      </c>
      <c r="AF75" s="79">
        <f ca="1">SUMIF(Forecast!$A$4:$AO$63,$A75,Forecast!AF$4:AF$63)</f>
        <v>0</v>
      </c>
      <c r="AG75" s="79">
        <f ca="1">SUMIF(Forecast!$A$4:$AO$63,$A75,Forecast!AG$4:AG$63)</f>
        <v>1000</v>
      </c>
      <c r="AH75" s="79">
        <f ca="1">SUMIF(Forecast!$A$4:$AO$63,$A75,Forecast!AH$4:AH$63)</f>
        <v>0</v>
      </c>
      <c r="AI75" s="79">
        <f ca="1">SUMIF(Forecast!$A$4:$AO$63,$A75,Forecast!AI$4:AI$63)</f>
        <v>0</v>
      </c>
      <c r="AJ75" s="79">
        <f ca="1">SUMIF(Forecast!$A$4:$AO$63,$A75,Forecast!AJ$4:AJ$63)</f>
        <v>0</v>
      </c>
      <c r="AK75" s="79">
        <f ca="1">SUMIF(Forecast!$A$4:$AO$63,$A75,Forecast!AK$4:AK$63)</f>
        <v>1000</v>
      </c>
      <c r="AL75" s="79">
        <f ca="1">SUMIF(Forecast!$A$4:$AO$63,$A75,Forecast!AL$4:AL$63)</f>
        <v>0</v>
      </c>
      <c r="AM75" s="79">
        <f ca="1">SUMIF(Forecast!$A$4:$AO$63,$A75,Forecast!AM$4:AM$63)</f>
        <v>0</v>
      </c>
      <c r="AN75" s="79">
        <f ca="1">SUMIF(Forecast!$A$4:$AO$63,$A75,Forecast!AN$4:AN$63)</f>
        <v>0</v>
      </c>
      <c r="AO75" s="79">
        <f ca="1">SUMIF(Forecast!$A$4:$AO$63,$A75,Forecast!AO$4:AO$63)</f>
        <v>1000</v>
      </c>
      <c r="AP75" s="79">
        <f ca="1">SUMIF(Forecast!$A$4:$AO$63,$A75,Forecast!AP$4:AP$63)</f>
        <v>0</v>
      </c>
      <c r="AQ75" s="79">
        <f ca="1">SUMIF(Forecast!$A$4:$AO$63,$A75,Forecast!AQ$4:AQ$63)</f>
        <v>0</v>
      </c>
      <c r="AR75" s="79">
        <f ca="1">SUMIF(Forecast!$A$4:$AO$63,$A75,Forecast!AR$4:AR$63)</f>
        <v>0</v>
      </c>
      <c r="AS75" s="79">
        <f ca="1">SUMIF(Forecast!$A$4:$AO$63,$A75,Forecast!AS$4:AS$63)</f>
        <v>0</v>
      </c>
      <c r="AT75" s="79">
        <f ca="1">SUMIF(Forecast!$A$4:$AO$63,$A75,Forecast!AT$4:AT$63)</f>
        <v>1000</v>
      </c>
      <c r="AU75" s="79">
        <f ca="1">SUMIF(Forecast!$A$4:$AO$63,$A75,Forecast!AU$4:AU$63)</f>
        <v>0</v>
      </c>
      <c r="AV75" s="79">
        <f ca="1">SUMIF(Forecast!$A$4:$AO$63,$A75,Forecast!AV$4:AV$63)</f>
        <v>0</v>
      </c>
      <c r="AW75" s="79">
        <f ca="1">SUMIF(Forecast!$A$4:$AO$63,$A75,Forecast!AW$4:AW$63)</f>
        <v>0</v>
      </c>
      <c r="AX75" s="79">
        <f ca="1">SUMIF(Forecast!$A$4:$AO$63,$A75,Forecast!AX$4:AX$63)</f>
        <v>1000</v>
      </c>
      <c r="AY75" s="79">
        <f ca="1">SUMIF(Forecast!$A$4:$AO$63,$A75,Forecast!AY$4:AY$63)</f>
        <v>0</v>
      </c>
      <c r="AZ75" s="79">
        <f ca="1">SUMIF(Forecast!$A$4:$AO$63,$A75,Forecast!AZ$4:AZ$63)</f>
        <v>0</v>
      </c>
      <c r="BA75" s="79">
        <f ca="1">SUMIF(Forecast!$A$4:$AO$63,$A75,Forecast!BA$4:BA$63)</f>
        <v>0</v>
      </c>
      <c r="BB75" s="79">
        <f ca="1">SUMIF(Forecast!$A$4:$AO$63,$A75,Forecast!BB$4:BB$63)</f>
        <v>1000</v>
      </c>
      <c r="BC75" s="53">
        <f ca="1">SUM(OFFSET($B75,0,1,1,Assumptions!$C$8))</f>
        <v>3000</v>
      </c>
      <c r="BD75" s="53">
        <f ca="1">SUM(OFFSET($B75,0,1+Assumptions!$C$8,1,SUM(Assumptions!$C$9)))</f>
        <v>3000</v>
      </c>
      <c r="BE75" s="53">
        <f ca="1">SUM(OFFSET($B75,0,1+SUM(Assumptions!$C$8:$C$9),1,SUM(Assumptions!$C$10)))</f>
        <v>3000</v>
      </c>
      <c r="BF75" s="53">
        <f ca="1">SUM(OFFSET($B75,0,1+SUM(Assumptions!$C$8:$C$10),1,SUM(Assumptions!$C$11)))</f>
        <v>3000</v>
      </c>
      <c r="BG75" s="53">
        <f t="shared" ref="BG75:BG76" ca="1" si="29">SUM(BC75:BF75)</f>
        <v>12000</v>
      </c>
    </row>
    <row r="76" spans="1:59" ht="16.149999999999999" customHeight="1" x14ac:dyDescent="0.3">
      <c r="A76" s="311" t="s">
        <v>127</v>
      </c>
      <c r="B76" s="2" t="s">
        <v>128</v>
      </c>
      <c r="C76" s="79">
        <v>0</v>
      </c>
      <c r="D76" s="79">
        <v>0</v>
      </c>
      <c r="E76" s="79">
        <v>0</v>
      </c>
      <c r="F76" s="79">
        <v>0</v>
      </c>
      <c r="G76" s="79">
        <v>0</v>
      </c>
      <c r="H76" s="79">
        <v>0</v>
      </c>
      <c r="I76" s="79">
        <v>0</v>
      </c>
      <c r="J76" s="79">
        <v>0</v>
      </c>
      <c r="K76" s="79">
        <v>0</v>
      </c>
      <c r="L76" s="79">
        <v>0</v>
      </c>
      <c r="M76" s="79">
        <v>0</v>
      </c>
      <c r="N76" s="79">
        <v>0</v>
      </c>
      <c r="O76" s="79">
        <v>0</v>
      </c>
      <c r="P76" s="79">
        <v>0</v>
      </c>
      <c r="Q76" s="79">
        <v>0</v>
      </c>
      <c r="R76" s="79">
        <v>0</v>
      </c>
      <c r="S76" s="79">
        <v>0</v>
      </c>
      <c r="T76" s="79">
        <v>0</v>
      </c>
      <c r="U76" s="79">
        <v>0</v>
      </c>
      <c r="V76" s="79">
        <v>0</v>
      </c>
      <c r="W76" s="79">
        <v>0</v>
      </c>
      <c r="X76" s="79">
        <v>0</v>
      </c>
      <c r="Y76" s="79">
        <v>0</v>
      </c>
      <c r="Z76" s="79">
        <v>0</v>
      </c>
      <c r="AA76" s="79">
        <v>0</v>
      </c>
      <c r="AB76" s="79">
        <v>0</v>
      </c>
      <c r="AC76" s="79">
        <v>0</v>
      </c>
      <c r="AD76" s="79">
        <v>0</v>
      </c>
      <c r="AE76" s="79">
        <v>0</v>
      </c>
      <c r="AF76" s="79">
        <v>0</v>
      </c>
      <c r="AG76" s="79">
        <v>0</v>
      </c>
      <c r="AH76" s="79">
        <v>0</v>
      </c>
      <c r="AI76" s="79">
        <v>0</v>
      </c>
      <c r="AJ76" s="79">
        <v>0</v>
      </c>
      <c r="AK76" s="79">
        <v>0</v>
      </c>
      <c r="AL76" s="79">
        <v>0</v>
      </c>
      <c r="AM76" s="79">
        <v>0</v>
      </c>
      <c r="AN76" s="79">
        <v>0</v>
      </c>
      <c r="AO76" s="79">
        <v>0</v>
      </c>
      <c r="AP76" s="79">
        <v>0</v>
      </c>
      <c r="AQ76" s="79">
        <v>0</v>
      </c>
      <c r="AR76" s="79">
        <v>0</v>
      </c>
      <c r="AS76" s="79">
        <v>0</v>
      </c>
      <c r="AT76" s="79">
        <v>0</v>
      </c>
      <c r="AU76" s="79">
        <v>0</v>
      </c>
      <c r="AV76" s="79">
        <v>0</v>
      </c>
      <c r="AW76" s="79">
        <v>0</v>
      </c>
      <c r="AX76" s="79">
        <v>0</v>
      </c>
      <c r="AY76" s="79">
        <v>0</v>
      </c>
      <c r="AZ76" s="79">
        <v>0</v>
      </c>
      <c r="BA76" s="79">
        <v>0</v>
      </c>
      <c r="BB76" s="79">
        <v>0</v>
      </c>
      <c r="BC76" s="53">
        <f ca="1">SUM(OFFSET($B76,0,1,1,Assumptions!$C$8))</f>
        <v>0</v>
      </c>
      <c r="BD76" s="53">
        <f ca="1">SUM(OFFSET($B76,0,1+Assumptions!$C$8,1,SUM(Assumptions!$C$9)))</f>
        <v>0</v>
      </c>
      <c r="BE76" s="53">
        <f ca="1">SUM(OFFSET($B76,0,1+SUM(Assumptions!$C$8:$C$9),1,SUM(Assumptions!$C$10)))</f>
        <v>0</v>
      </c>
      <c r="BF76" s="53">
        <f ca="1">SUM(OFFSET($B76,0,1+SUM(Assumptions!$C$8:$C$10),1,SUM(Assumptions!$C$11)))</f>
        <v>0</v>
      </c>
      <c r="BG76" s="53">
        <f t="shared" ca="1" si="29"/>
        <v>0</v>
      </c>
    </row>
    <row r="77" spans="1:59" ht="16.149999999999999" customHeight="1" x14ac:dyDescent="0.3">
      <c r="A77" s="308"/>
      <c r="B77" s="6" t="s">
        <v>60</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row>
    <row r="78" spans="1:59" ht="16.149999999999999" customHeight="1" x14ac:dyDescent="0.3">
      <c r="A78" s="310" t="s">
        <v>177</v>
      </c>
      <c r="B78" s="56" t="s">
        <v>25</v>
      </c>
      <c r="C78" s="52">
        <f ca="1">OFFSET(BS!$B12,0,COLUMN(C$68)-COLUMN($B$68),1,1)-OFFSET(BS!$B12,0,COLUMN(C$68)-COLUMN($B$68)+1,1,1)</f>
        <v>666.66666666665697</v>
      </c>
      <c r="D78" s="52">
        <f ca="1">OFFSET(BS!$B12,0,COLUMN(D$68)-COLUMN($B$68),1,1)-OFFSET(BS!$B12,0,COLUMN(D$68)-COLUMN($B$68)+1,1,1)</f>
        <v>6745.0666666666802</v>
      </c>
      <c r="E78" s="52">
        <f ca="1">OFFSET(BS!$B12,0,COLUMN(E$68)-COLUMN($B$68),1,1)-OFFSET(BS!$B12,0,COLUMN(E$68)-COLUMN($B$68)+1,1,1)</f>
        <v>-1933.333333333343</v>
      </c>
      <c r="F78" s="52">
        <f ca="1">OFFSET(BS!$B12,0,COLUMN(F$68)-COLUMN($B$68),1,1)-OFFSET(BS!$B12,0,COLUMN(F$68)-COLUMN($B$68)+1,1,1)</f>
        <v>-2973.333333333343</v>
      </c>
      <c r="G78" s="52">
        <f ca="1">OFFSET(BS!$B12,0,COLUMN(G$68)-COLUMN($B$68),1,1)-OFFSET(BS!$B12,0,COLUMN(G$68)-COLUMN($B$68)+1,1,1)</f>
        <v>-1897.5238095237873</v>
      </c>
      <c r="H78" s="52">
        <f ca="1">OFFSET(BS!$B12,0,COLUMN(H$68)-COLUMN($B$68),1,1)-OFFSET(BS!$B12,0,COLUMN(H$68)-COLUMN($B$68)+1,1,1)</f>
        <v>-3771.7142857142899</v>
      </c>
      <c r="I78" s="52">
        <f ca="1">OFFSET(BS!$B12,0,COLUMN(I$68)-COLUMN($B$68),1,1)-OFFSET(BS!$B12,0,COLUMN(I$68)-COLUMN($B$68)+1,1,1)</f>
        <v>4722.4571428571362</v>
      </c>
      <c r="J78" s="52">
        <f ca="1">OFFSET(BS!$B12,0,COLUMN(J$68)-COLUMN($B$68),1,1)-OFFSET(BS!$B12,0,COLUMN(J$68)-COLUMN($B$68)+1,1,1)</f>
        <v>2652.8571428571595</v>
      </c>
      <c r="K78" s="52">
        <f ca="1">OFFSET(BS!$B12,0,COLUMN(K$68)-COLUMN($B$68),1,1)-OFFSET(BS!$B12,0,COLUMN(K$68)-COLUMN($B$68)+1,1,1)</f>
        <v>3731.4285714285506</v>
      </c>
      <c r="L78" s="52">
        <f ca="1">OFFSET(BS!$B12,0,COLUMN(L$68)-COLUMN($B$68),1,1)-OFFSET(BS!$B12,0,COLUMN(L$68)-COLUMN($B$68)+1,1,1)</f>
        <v>-1130.5714285714203</v>
      </c>
      <c r="M78" s="52">
        <f ca="1">OFFSET(BS!$B12,0,COLUMN(M$68)-COLUMN($B$68),1,1)-OFFSET(BS!$B12,0,COLUMN(M$68)-COLUMN($B$68)+1,1,1)</f>
        <v>-6030</v>
      </c>
      <c r="N78" s="52">
        <f ca="1">OFFSET(BS!$B12,0,COLUMN(N$68)-COLUMN($B$68),1,1)-OFFSET(BS!$B12,0,COLUMN(N$68)-COLUMN($B$68)+1,1,1)</f>
        <v>-3150</v>
      </c>
      <c r="O78" s="52">
        <f ca="1">OFFSET(BS!$B12,0,COLUMN(O$68)-COLUMN($B$68),1,1)-OFFSET(BS!$B12,0,COLUMN(O$68)-COLUMN($B$68)+1,1,1)</f>
        <v>-720</v>
      </c>
      <c r="P78" s="52">
        <f ca="1">OFFSET(BS!$B12,0,COLUMN(P$68)-COLUMN($B$68),1,1)-OFFSET(BS!$B12,0,COLUMN(P$68)-COLUMN($B$68)+1,1,1)</f>
        <v>-4500</v>
      </c>
      <c r="Q78" s="52">
        <f ca="1">OFFSET(BS!$B12,0,COLUMN(Q$68)-COLUMN($B$68),1,1)-OFFSET(BS!$B12,0,COLUMN(Q$68)-COLUMN($B$68)+1,1,1)</f>
        <v>900</v>
      </c>
      <c r="R78" s="52">
        <f ca="1">OFFSET(BS!$B12,0,COLUMN(R$68)-COLUMN($B$68),1,1)-OFFSET(BS!$B12,0,COLUMN(R$68)-COLUMN($B$68)+1,1,1)</f>
        <v>702</v>
      </c>
      <c r="S78" s="52">
        <f ca="1">OFFSET(BS!$B12,0,COLUMN(S$68)-COLUMN($B$68),1,1)-OFFSET(BS!$B12,0,COLUMN(S$68)-COLUMN($B$68)+1,1,1)</f>
        <v>-3762</v>
      </c>
      <c r="T78" s="52">
        <f ca="1">OFFSET(BS!$B12,0,COLUMN(T$68)-COLUMN($B$68),1,1)-OFFSET(BS!$B12,0,COLUMN(T$68)-COLUMN($B$68)+1,1,1)</f>
        <v>-1944</v>
      </c>
      <c r="U78" s="52">
        <f ca="1">OFFSET(BS!$B12,0,COLUMN(U$68)-COLUMN($B$68),1,1)-OFFSET(BS!$B12,0,COLUMN(U$68)-COLUMN($B$68)+1,1,1)</f>
        <v>-2322</v>
      </c>
      <c r="V78" s="52">
        <f ca="1">OFFSET(BS!$B12,0,COLUMN(V$68)-COLUMN($B$68),1,1)-OFFSET(BS!$B12,0,COLUMN(V$68)-COLUMN($B$68)+1,1,1)</f>
        <v>2150</v>
      </c>
      <c r="W78" s="52">
        <f ca="1">OFFSET(BS!$B12,0,COLUMN(W$68)-COLUMN($B$68),1,1)-OFFSET(BS!$B12,0,COLUMN(W$68)-COLUMN($B$68)+1,1,1)</f>
        <v>3618</v>
      </c>
      <c r="X78" s="52">
        <f ca="1">OFFSET(BS!$B12,0,COLUMN(X$68)-COLUMN($B$68),1,1)-OFFSET(BS!$B12,0,COLUMN(X$68)-COLUMN($B$68)+1,1,1)</f>
        <v>880</v>
      </c>
      <c r="Y78" s="52">
        <f ca="1">OFFSET(BS!$B12,0,COLUMN(Y$68)-COLUMN($B$68),1,1)-OFFSET(BS!$B12,0,COLUMN(Y$68)-COLUMN($B$68)+1,1,1)</f>
        <v>2062</v>
      </c>
      <c r="Z78" s="52">
        <f ca="1">OFFSET(BS!$B12,0,COLUMN(Z$68)-COLUMN($B$68),1,1)-OFFSET(BS!$B12,0,COLUMN(Z$68)-COLUMN($B$68)+1,1,1)</f>
        <v>-4938.8571428571304</v>
      </c>
      <c r="AA78" s="52">
        <f ca="1">OFFSET(BS!$B12,0,COLUMN(AA$68)-COLUMN($B$68),1,1)-OFFSET(BS!$B12,0,COLUMN(AA$68)-COLUMN($B$68)+1,1,1)</f>
        <v>-5385.1428571428696</v>
      </c>
      <c r="AB78" s="52">
        <f ca="1">OFFSET(BS!$B12,0,COLUMN(AB$68)-COLUMN($B$68),1,1)-OFFSET(BS!$B12,0,COLUMN(AB$68)-COLUMN($B$68)+1,1,1)</f>
        <v>-906</v>
      </c>
      <c r="AC78" s="52">
        <f ca="1">OFFSET(BS!$B12,0,COLUMN(AC$68)-COLUMN($B$68),1,1)-OFFSET(BS!$B12,0,COLUMN(AC$68)-COLUMN($B$68)+1,1,1)</f>
        <v>-1102.8571428571304</v>
      </c>
      <c r="AD78" s="52">
        <f ca="1">OFFSET(BS!$B12,0,COLUMN(AD$68)-COLUMN($B$68),1,1)-OFFSET(BS!$B12,0,COLUMN(AD$68)-COLUMN($B$68)+1,1,1)</f>
        <v>-122.28571428573923</v>
      </c>
      <c r="AE78" s="52">
        <f ca="1">OFFSET(BS!$B12,0,COLUMN(AE$68)-COLUMN($B$68),1,1)-OFFSET(BS!$B12,0,COLUMN(AE$68)-COLUMN($B$68)+1,1,1)</f>
        <v>-194.85714285713038</v>
      </c>
      <c r="AF78" s="52">
        <f ca="1">OFFSET(BS!$B12,0,COLUMN(AF$68)-COLUMN($B$68),1,1)-OFFSET(BS!$B12,0,COLUMN(AF$68)-COLUMN($B$68)+1,1,1)</f>
        <v>1529.4285714285797</v>
      </c>
      <c r="AG78" s="52">
        <f ca="1">OFFSET(BS!$B12,0,COLUMN(AG$68)-COLUMN($B$68),1,1)-OFFSET(BS!$B12,0,COLUMN(AG$68)-COLUMN($B$68)+1,1,1)</f>
        <v>-1066.8571428571595</v>
      </c>
      <c r="AH78" s="52">
        <f ca="1">OFFSET(BS!$B12,0,COLUMN(AH$68)-COLUMN($B$68),1,1)-OFFSET(BS!$B12,0,COLUMN(AH$68)-COLUMN($B$68)+1,1,1)</f>
        <v>274.28571428571013</v>
      </c>
      <c r="AI78" s="52">
        <f ca="1">OFFSET(BS!$B12,0,COLUMN(AI$68)-COLUMN($B$68),1,1)-OFFSET(BS!$B12,0,COLUMN(AI$68)-COLUMN($B$68)+1,1,1)</f>
        <v>-1217.1428571428405</v>
      </c>
      <c r="AJ78" s="52">
        <f ca="1">OFFSET(BS!$B12,0,COLUMN(AJ$68)-COLUMN($B$68),1,1)-OFFSET(BS!$B12,0,COLUMN(AJ$68)-COLUMN($B$68)+1,1,1)</f>
        <v>-4011.4285714285797</v>
      </c>
      <c r="AK78" s="52">
        <f ca="1">OFFSET(BS!$B12,0,COLUMN(AK$68)-COLUMN($B$68),1,1)-OFFSET(BS!$B12,0,COLUMN(AK$68)-COLUMN($B$68)+1,1,1)</f>
        <v>-960</v>
      </c>
      <c r="AL78" s="52">
        <f ca="1">OFFSET(BS!$B12,0,COLUMN(AL$68)-COLUMN($B$68),1,1)-OFFSET(BS!$B12,0,COLUMN(AL$68)-COLUMN($B$68)+1,1,1)</f>
        <v>-1714.2857142857101</v>
      </c>
      <c r="AM78" s="52">
        <f ca="1">OFFSET(BS!$B12,0,COLUMN(AM$68)-COLUMN($B$68),1,1)-OFFSET(BS!$B12,0,COLUMN(AM$68)-COLUMN($B$68)+1,1,1)</f>
        <v>-1062.8571428571304</v>
      </c>
      <c r="AN78" s="52">
        <f ca="1">OFFSET(BS!$B12,0,COLUMN(AN$68)-COLUMN($B$68),1,1)-OFFSET(BS!$B12,0,COLUMN(AN$68)-COLUMN($B$68)+1,1,1)</f>
        <v>1525.7142857142608</v>
      </c>
      <c r="AO78" s="52">
        <f ca="1">OFFSET(BS!$B12,0,COLUMN(AO$68)-COLUMN($B$68),1,1)-OFFSET(BS!$B12,0,COLUMN(AO$68)-COLUMN($B$68)+1,1,1)</f>
        <v>-1577.1428571428405</v>
      </c>
      <c r="AP78" s="52">
        <f ca="1">OFFSET(BS!$B12,0,COLUMN(AP$68)-COLUMN($B$68),1,1)-OFFSET(BS!$B12,0,COLUMN(AP$68)-COLUMN($B$68)+1,1,1)</f>
        <v>2989.7142857142899</v>
      </c>
      <c r="AQ78" s="52">
        <f ca="1">OFFSET(BS!$B12,0,COLUMN(AQ$68)-COLUMN($B$68),1,1)-OFFSET(BS!$B12,0,COLUMN(AQ$68)-COLUMN($B$68)+1,1,1)</f>
        <v>9884.5714285714203</v>
      </c>
      <c r="AR78" s="52">
        <f ca="1">OFFSET(BS!$B12,0,COLUMN(AR$68)-COLUMN($B$68),1,1)-OFFSET(BS!$B12,0,COLUMN(AR$68)-COLUMN($B$68)+1,1,1)</f>
        <v>7241.1428571428696</v>
      </c>
      <c r="AS78" s="52">
        <f ca="1">OFFSET(BS!$B12,0,COLUMN(AS$68)-COLUMN($B$68),1,1)-OFFSET(BS!$B12,0,COLUMN(AS$68)-COLUMN($B$68)+1,1,1)</f>
        <v>17115.428571428551</v>
      </c>
      <c r="AT78" s="52">
        <f ca="1">OFFSET(BS!$B12,0,COLUMN(AT$68)-COLUMN($B$68),1,1)-OFFSET(BS!$B12,0,COLUMN(AT$68)-COLUMN($B$68)+1,1,1)</f>
        <v>19121.828571428574</v>
      </c>
      <c r="AU78" s="52">
        <f ca="1">OFFSET(BS!$B12,0,COLUMN(AU$68)-COLUMN($B$68),1,1)-OFFSET(BS!$B12,0,COLUMN(AU$68)-COLUMN($B$68)+1,1,1)</f>
        <v>11359.542857142849</v>
      </c>
      <c r="AV78" s="52">
        <f ca="1">OFFSET(BS!$B12,0,COLUMN(AV$68)-COLUMN($B$68),1,1)-OFFSET(BS!$B12,0,COLUMN(AV$68)-COLUMN($B$68)+1,1,1)</f>
        <v>4721.1428571428696</v>
      </c>
      <c r="AW78" s="52">
        <f ca="1">OFFSET(BS!$B12,0,COLUMN(AW$68)-COLUMN($B$68),1,1)-OFFSET(BS!$B12,0,COLUMN(AW$68)-COLUMN($B$68)+1,1,1)</f>
        <v>-14224.457142857122</v>
      </c>
      <c r="AX78" s="52">
        <f ca="1">OFFSET(BS!$B12,0,COLUMN(AX$68)-COLUMN($B$68),1,1)-OFFSET(BS!$B12,0,COLUMN(AX$68)-COLUMN($B$68)+1,1,1)</f>
        <v>-19782.857142857159</v>
      </c>
      <c r="AY78" s="52">
        <f ca="1">OFFSET(BS!$B12,0,COLUMN(AY$68)-COLUMN($B$68),1,1)-OFFSET(BS!$B12,0,COLUMN(AY$68)-COLUMN($B$68)+1,1,1)</f>
        <v>-20596.114285714284</v>
      </c>
      <c r="AZ78" s="52">
        <f ca="1">OFFSET(BS!$B12,0,COLUMN(AZ$68)-COLUMN($B$68),1,1)-OFFSET(BS!$B12,0,COLUMN(AZ$68)-COLUMN($B$68)+1,1,1)</f>
        <v>-17733.257142857154</v>
      </c>
      <c r="BA78" s="52">
        <f ca="1">OFFSET(BS!$B12,0,COLUMN(BA$68)-COLUMN($B$68),1,1)-OFFSET(BS!$B12,0,COLUMN(BA$68)-COLUMN($B$68)+1,1,1)</f>
        <v>-5184</v>
      </c>
      <c r="BB78" s="52">
        <f ca="1">OFFSET(BS!$B12,0,COLUMN(BB$68)-COLUMN($B$68),1,1)-OFFSET(BS!$B12,0,COLUMN(BB$68)-COLUMN($B$68)+1,1,1)</f>
        <v>-586.97142857141444</v>
      </c>
      <c r="BC78" s="53">
        <f ca="1">SUM(OFFSET($B78,0,1,1,Assumptions!$C$8))</f>
        <v>-3088</v>
      </c>
      <c r="BD78" s="53">
        <f ca="1">SUM(OFFSET($B78,0,1+Assumptions!$C$8,1,SUM(Assumptions!$C$9)))</f>
        <v>-13446</v>
      </c>
      <c r="BE78" s="53">
        <f ca="1">SUM(OFFSET($B78,0,1+SUM(Assumptions!$C$8:$C$9),1,SUM(Assumptions!$C$10)))</f>
        <v>-9700.2857142857101</v>
      </c>
      <c r="BF78" s="53">
        <f ca="1">SUM(OFFSET($B78,0,1+SUM(Assumptions!$C$8:$C$10),1,SUM(Assumptions!$C$11)))</f>
        <v>-5674.2857142857101</v>
      </c>
      <c r="BG78" s="53">
        <f t="shared" ref="BG78:BG85" ca="1" si="30">SUM(BC78:BF78)</f>
        <v>-31908.57142857142</v>
      </c>
    </row>
    <row r="79" spans="1:59" ht="16.149999999999999" customHeight="1" x14ac:dyDescent="0.3">
      <c r="A79" s="310" t="s">
        <v>178</v>
      </c>
      <c r="B79" s="56" t="s">
        <v>179</v>
      </c>
      <c r="C79" s="52">
        <f ca="1">OFFSET(BS!$B13,0,COLUMN(C$68)-COLUMN($B$68),1,1)-OFFSET(BS!$B13,0,COLUMN(C$68)-COLUMN($B$68)+1,1,1)</f>
        <v>5850</v>
      </c>
      <c r="D79" s="52">
        <f ca="1">OFFSET(BS!$B13,0,COLUMN(D$68)-COLUMN($B$68),1,1)-OFFSET(BS!$B13,0,COLUMN(D$68)-COLUMN($B$68)+1,1,1)</f>
        <v>20288.63333333336</v>
      </c>
      <c r="E79" s="52">
        <f ca="1">OFFSET(BS!$B13,0,COLUMN(E$68)-COLUMN($B$68),1,1)-OFFSET(BS!$B13,0,COLUMN(E$68)-COLUMN($B$68)+1,1,1)</f>
        <v>1173.3333333333139</v>
      </c>
      <c r="F79" s="52">
        <f ca="1">OFFSET(BS!$B13,0,COLUMN(F$68)-COLUMN($B$68),1,1)-OFFSET(BS!$B13,0,COLUMN(F$68)-COLUMN($B$68)+1,1,1)</f>
        <v>-4837.4761904761544</v>
      </c>
      <c r="G79" s="52">
        <f ca="1">OFFSET(BS!$B13,0,COLUMN(G$68)-COLUMN($B$68),1,1)-OFFSET(BS!$B13,0,COLUMN(G$68)-COLUMN($B$68)+1,1,1)</f>
        <v>-14876.235714285751</v>
      </c>
      <c r="H79" s="52">
        <f ca="1">OFFSET(BS!$B13,0,COLUMN(H$68)-COLUMN($B$68),1,1)-OFFSET(BS!$B13,0,COLUMN(H$68)-COLUMN($B$68)+1,1,1)</f>
        <v>-10506.153571428556</v>
      </c>
      <c r="I79" s="52">
        <f ca="1">OFFSET(BS!$B13,0,COLUMN(I$68)-COLUMN($B$68),1,1)-OFFSET(BS!$B13,0,COLUMN(I$68)-COLUMN($B$68)+1,1,1)</f>
        <v>15237.363095238106</v>
      </c>
      <c r="J79" s="52">
        <f ca="1">OFFSET(BS!$B13,0,COLUMN(J$68)-COLUMN($B$68),1,1)-OFFSET(BS!$B13,0,COLUMN(J$68)-COLUMN($B$68)+1,1,1)</f>
        <v>1699.2619047618355</v>
      </c>
      <c r="K79" s="52">
        <f ca="1">OFFSET(BS!$B13,0,COLUMN(K$68)-COLUMN($B$68),1,1)-OFFSET(BS!$B13,0,COLUMN(K$68)-COLUMN($B$68)+1,1,1)</f>
        <v>8227.839285714319</v>
      </c>
      <c r="L79" s="52">
        <f ca="1">OFFSET(BS!$B13,0,COLUMN(L$68)-COLUMN($B$68),1,1)-OFFSET(BS!$B13,0,COLUMN(L$68)-COLUMN($B$68)+1,1,1)</f>
        <v>-5204.9821428571013</v>
      </c>
      <c r="M79" s="52">
        <f ca="1">OFFSET(BS!$B13,0,COLUMN(M$68)-COLUMN($B$68),1,1)-OFFSET(BS!$B13,0,COLUMN(M$68)-COLUMN($B$68)+1,1,1)</f>
        <v>-14294.5</v>
      </c>
      <c r="N79" s="52">
        <f ca="1">OFFSET(BS!$B13,0,COLUMN(N$68)-COLUMN($B$68),1,1)-OFFSET(BS!$B13,0,COLUMN(N$68)-COLUMN($B$68)+1,1,1)</f>
        <v>-8111.8809523809468</v>
      </c>
      <c r="O79" s="52">
        <f ca="1">OFFSET(BS!$B13,0,COLUMN(O$68)-COLUMN($B$68),1,1)-OFFSET(BS!$B13,0,COLUMN(O$68)-COLUMN($B$68)+1,1,1)</f>
        <v>-5143.5119047619519</v>
      </c>
      <c r="P79" s="52">
        <f ca="1">OFFSET(BS!$B13,0,COLUMN(P$68)-COLUMN($B$68),1,1)-OFFSET(BS!$B13,0,COLUMN(P$68)-COLUMN($B$68)+1,1,1)</f>
        <v>-12361.130952380947</v>
      </c>
      <c r="Q79" s="52">
        <f ca="1">OFFSET(BS!$B13,0,COLUMN(Q$68)-COLUMN($B$68),1,1)-OFFSET(BS!$B13,0,COLUMN(Q$68)-COLUMN($B$68)+1,1,1)</f>
        <v>3653.7142857142608</v>
      </c>
      <c r="R79" s="52">
        <f ca="1">OFFSET(BS!$B13,0,COLUMN(R$68)-COLUMN($B$68),1,1)-OFFSET(BS!$B13,0,COLUMN(R$68)-COLUMN($B$68)+1,1,1)</f>
        <v>3995.1547619047924</v>
      </c>
      <c r="S79" s="52">
        <f ca="1">OFFSET(BS!$B13,0,COLUMN(S$68)-COLUMN($B$68),1,1)-OFFSET(BS!$B13,0,COLUMN(S$68)-COLUMN($B$68)+1,1,1)</f>
        <v>-2522.4702380952076</v>
      </c>
      <c r="T79" s="52">
        <f ca="1">OFFSET(BS!$B13,0,COLUMN(T$68)-COLUMN($B$68),1,1)-OFFSET(BS!$B13,0,COLUMN(T$68)-COLUMN($B$68)+1,1,1)</f>
        <v>-2918.8095238095266</v>
      </c>
      <c r="U79" s="52">
        <f ca="1">OFFSET(BS!$B13,0,COLUMN(U$68)-COLUMN($B$68),1,1)-OFFSET(BS!$B13,0,COLUMN(U$68)-COLUMN($B$68)+1,1,1)</f>
        <v>-11556.541666666686</v>
      </c>
      <c r="V79" s="52">
        <f ca="1">OFFSET(BS!$B13,0,COLUMN(V$68)-COLUMN($B$68),1,1)-OFFSET(BS!$B13,0,COLUMN(V$68)-COLUMN($B$68)+1,1,1)</f>
        <v>3077.4821428571595</v>
      </c>
      <c r="W79" s="52">
        <f ca="1">OFFSET(BS!$B13,0,COLUMN(W$68)-COLUMN($B$68),1,1)-OFFSET(BS!$B13,0,COLUMN(W$68)-COLUMN($B$68)+1,1,1)</f>
        <v>9031.6071428571013</v>
      </c>
      <c r="X79" s="52">
        <f ca="1">OFFSET(BS!$B13,0,COLUMN(X$68)-COLUMN($B$68),1,1)-OFFSET(BS!$B13,0,COLUMN(X$68)-COLUMN($B$68)+1,1,1)</f>
        <v>-1410.2559523809468</v>
      </c>
      <c r="Y79" s="52">
        <f ca="1">OFFSET(BS!$B13,0,COLUMN(Y$68)-COLUMN($B$68),1,1)-OFFSET(BS!$B13,0,COLUMN(Y$68)-COLUMN($B$68)+1,1,1)</f>
        <v>-1321.6785714285215</v>
      </c>
      <c r="Z79" s="52">
        <f ca="1">OFFSET(BS!$B13,0,COLUMN(Z$68)-COLUMN($B$68),1,1)-OFFSET(BS!$B13,0,COLUMN(Z$68)-COLUMN($B$68)+1,1,1)</f>
        <v>-13594.095238095266</v>
      </c>
      <c r="AA79" s="52">
        <f ca="1">OFFSET(BS!$B13,0,COLUMN(AA$68)-COLUMN($B$68),1,1)-OFFSET(BS!$B13,0,COLUMN(AA$68)-COLUMN($B$68)+1,1,1)</f>
        <v>-4415.9999999999418</v>
      </c>
      <c r="AB79" s="52">
        <f ca="1">OFFSET(BS!$B13,0,COLUMN(AB$68)-COLUMN($B$68),1,1)-OFFSET(BS!$B13,0,COLUMN(AB$68)-COLUMN($B$68)+1,1,1)</f>
        <v>1257.8809523809468</v>
      </c>
      <c r="AC79" s="52">
        <f ca="1">OFFSET(BS!$B13,0,COLUMN(AC$68)-COLUMN($B$68),1,1)-OFFSET(BS!$B13,0,COLUMN(AC$68)-COLUMN($B$68)+1,1,1)</f>
        <v>-2812.8452380952658</v>
      </c>
      <c r="AD79" s="52">
        <f ca="1">OFFSET(BS!$B13,0,COLUMN(AD$68)-COLUMN($B$68),1,1)-OFFSET(BS!$B13,0,COLUMN(AD$68)-COLUMN($B$68)+1,1,1)</f>
        <v>-1262.5357142857392</v>
      </c>
      <c r="AE79" s="52">
        <f ca="1">OFFSET(BS!$B13,0,COLUMN(AE$68)-COLUMN($B$68),1,1)-OFFSET(BS!$B13,0,COLUMN(AE$68)-COLUMN($B$68)+1,1,1)</f>
        <v>-5416.5</v>
      </c>
      <c r="AF79" s="52">
        <f ca="1">OFFSET(BS!$B13,0,COLUMN(AF$68)-COLUMN($B$68),1,1)-OFFSET(BS!$B13,0,COLUMN(AF$68)-COLUMN($B$68)+1,1,1)</f>
        <v>-182.7678571427823</v>
      </c>
      <c r="AG79" s="52">
        <f ca="1">OFFSET(BS!$B13,0,COLUMN(AG$68)-COLUMN($B$68),1,1)-OFFSET(BS!$B13,0,COLUMN(AG$68)-COLUMN($B$68)+1,1,1)</f>
        <v>-5705.3690476191114</v>
      </c>
      <c r="AH79" s="52">
        <f ca="1">OFFSET(BS!$B13,0,COLUMN(AH$68)-COLUMN($B$68),1,1)-OFFSET(BS!$B13,0,COLUMN(AH$68)-COLUMN($B$68)+1,1,1)</f>
        <v>-3801.0238095237291</v>
      </c>
      <c r="AI79" s="52">
        <f ca="1">OFFSET(BS!$B13,0,COLUMN(AI$68)-COLUMN($B$68),1,1)-OFFSET(BS!$B13,0,COLUMN(AI$68)-COLUMN($B$68)+1,1,1)</f>
        <v>-4255.4107142857974</v>
      </c>
      <c r="AJ79" s="52">
        <f ca="1">OFFSET(BS!$B13,0,COLUMN(AJ$68)-COLUMN($B$68),1,1)-OFFSET(BS!$B13,0,COLUMN(AJ$68)-COLUMN($B$68)+1,1,1)</f>
        <v>-9572.6547619047342</v>
      </c>
      <c r="AK79" s="52">
        <f ca="1">OFFSET(BS!$B13,0,COLUMN(AK$68)-COLUMN($B$68),1,1)-OFFSET(BS!$B13,0,COLUMN(AK$68)-COLUMN($B$68)+1,1,1)</f>
        <v>710.80952380946837</v>
      </c>
      <c r="AL79" s="52">
        <f ca="1">OFFSET(BS!$B13,0,COLUMN(AL$68)-COLUMN($B$68),1,1)-OFFSET(BS!$B13,0,COLUMN(AL$68)-COLUMN($B$68)+1,1,1)</f>
        <v>-328.2976190475747</v>
      </c>
      <c r="AM79" s="52">
        <f ca="1">OFFSET(BS!$B13,0,COLUMN(AM$68)-COLUMN($B$68),1,1)-OFFSET(BS!$B13,0,COLUMN(AM$68)-COLUMN($B$68)+1,1,1)</f>
        <v>-1536.8928571428405</v>
      </c>
      <c r="AN79" s="52">
        <f ca="1">OFFSET(BS!$B13,0,COLUMN(AN$68)-COLUMN($B$68),1,1)-OFFSET(BS!$B13,0,COLUMN(AN$68)-COLUMN($B$68)+1,1,1)</f>
        <v>6180.1547619047342</v>
      </c>
      <c r="AO79" s="52">
        <f ca="1">OFFSET(BS!$B13,0,COLUMN(AO$68)-COLUMN($B$68),1,1)-OFFSET(BS!$B13,0,COLUMN(AO$68)-COLUMN($B$68)+1,1,1)</f>
        <v>-5712.2142857142608</v>
      </c>
      <c r="AP79" s="52">
        <f ca="1">OFFSET(BS!$B13,0,COLUMN(AP$68)-COLUMN($B$68),1,1)-OFFSET(BS!$B13,0,COLUMN(AP$68)-COLUMN($B$68)+1,1,1)</f>
        <v>12087.649999999965</v>
      </c>
      <c r="AQ79" s="52">
        <f ca="1">OFFSET(BS!$B13,0,COLUMN(AQ$68)-COLUMN($B$68),1,1)-OFFSET(BS!$B13,0,COLUMN(AQ$68)-COLUMN($B$68)+1,1,1)</f>
        <v>22517.328571428603</v>
      </c>
      <c r="AR79" s="52">
        <f ca="1">OFFSET(BS!$B13,0,COLUMN(AR$68)-COLUMN($B$68),1,1)-OFFSET(BS!$B13,0,COLUMN(AR$68)-COLUMN($B$68)+1,1,1)</f>
        <v>18544.242857142817</v>
      </c>
      <c r="AS79" s="52">
        <f ca="1">OFFSET(BS!$B13,0,COLUMN(AS$68)-COLUMN($B$68),1,1)-OFFSET(BS!$B13,0,COLUMN(AS$68)-COLUMN($B$68)+1,1,1)</f>
        <v>43752.461904761847</v>
      </c>
      <c r="AT79" s="52">
        <f ca="1">OFFSET(BS!$B13,0,COLUMN(AT$68)-COLUMN($B$68),1,1)-OFFSET(BS!$B13,0,COLUMN(AT$68)-COLUMN($B$68)+1,1,1)</f>
        <v>42387.116190476285</v>
      </c>
      <c r="AU79" s="52">
        <f ca="1">OFFSET(BS!$B13,0,COLUMN(AU$68)-COLUMN($B$68),1,1)-OFFSET(BS!$B13,0,COLUMN(AU$68)-COLUMN($B$68)+1,1,1)</f>
        <v>32132.511428571364</v>
      </c>
      <c r="AV79" s="52">
        <f ca="1">OFFSET(BS!$B13,0,COLUMN(AV$68)-COLUMN($B$68),1,1)-OFFSET(BS!$B13,0,COLUMN(AV$68)-COLUMN($B$68)+1,1,1)</f>
        <v>2002.7250000000349</v>
      </c>
      <c r="AW79" s="52">
        <f ca="1">OFFSET(BS!$B13,0,COLUMN(AW$68)-COLUMN($B$68),1,1)-OFFSET(BS!$B13,0,COLUMN(AW$68)-COLUMN($B$68)+1,1,1)</f>
        <v>-54203.607142857101</v>
      </c>
      <c r="AX79" s="52">
        <f ca="1">OFFSET(BS!$B13,0,COLUMN(AX$68)-COLUMN($B$68),1,1)-OFFSET(BS!$B13,0,COLUMN(AX$68)-COLUMN($B$68)+1,1,1)</f>
        <v>-60020.011428571481</v>
      </c>
      <c r="AY79" s="52">
        <f ca="1">OFFSET(BS!$B13,0,COLUMN(AY$68)-COLUMN($B$68),1,1)-OFFSET(BS!$B13,0,COLUMN(AY$68)-COLUMN($B$68)+1,1,1)</f>
        <v>-49637.324047619011</v>
      </c>
      <c r="AZ79" s="52">
        <f ca="1">OFFSET(BS!$B13,0,COLUMN(AZ$68)-COLUMN($B$68),1,1)-OFFSET(BS!$B13,0,COLUMN(AZ$68)-COLUMN($B$68)+1,1,1)</f>
        <v>-24038.373333333351</v>
      </c>
      <c r="BA79" s="52">
        <f ca="1">OFFSET(BS!$B13,0,COLUMN(BA$68)-COLUMN($B$68),1,1)-OFFSET(BS!$B13,0,COLUMN(BA$68)-COLUMN($B$68)+1,1,1)</f>
        <v>-1609.8247619047761</v>
      </c>
      <c r="BB79" s="52">
        <f ca="1">OFFSET(BS!$B13,0,COLUMN(BB$68)-COLUMN($B$68),1,1)-OFFSET(BS!$B13,0,COLUMN(BB$68)-COLUMN($B$68)+1,1,1)</f>
        <v>-834.79047619045014</v>
      </c>
      <c r="BC79" s="53">
        <f ca="1">SUM(OFFSET($B79,0,1,1,Assumptions!$C$8))</f>
        <v>-10498.309523809527</v>
      </c>
      <c r="BD79" s="53">
        <f ca="1">SUM(OFFSET($B79,0,1+Assumptions!$C$8,1,SUM(Assumptions!$C$9)))</f>
        <v>-29085.142857142782</v>
      </c>
      <c r="BE79" s="53">
        <f ca="1">SUM(OFFSET($B79,0,1+SUM(Assumptions!$C$8:$C$9),1,SUM(Assumptions!$C$10)))</f>
        <v>-33695.547619047633</v>
      </c>
      <c r="BF79" s="53">
        <f ca="1">SUM(OFFSET($B79,0,1+SUM(Assumptions!$C$8:$C$10),1,SUM(Assumptions!$C$11)))</f>
        <v>-16919.895238095254</v>
      </c>
      <c r="BG79" s="53">
        <f t="shared" ca="1" si="30"/>
        <v>-90198.895238095196</v>
      </c>
    </row>
    <row r="80" spans="1:59" ht="16.149999999999999" customHeight="1" x14ac:dyDescent="0.3">
      <c r="A80" s="318" t="s">
        <v>129</v>
      </c>
      <c r="B80" s="56" t="s">
        <v>130</v>
      </c>
      <c r="C80" s="52">
        <v>0</v>
      </c>
      <c r="D80" s="52">
        <v>0</v>
      </c>
      <c r="E80" s="52">
        <v>0</v>
      </c>
      <c r="F80" s="52">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-10000</v>
      </c>
      <c r="AH80" s="52">
        <v>0</v>
      </c>
      <c r="AI80" s="52">
        <v>0</v>
      </c>
      <c r="AJ80" s="52">
        <v>0</v>
      </c>
      <c r="AK80" s="52">
        <v>0</v>
      </c>
      <c r="AL80" s="52">
        <v>0</v>
      </c>
      <c r="AM80" s="52">
        <v>0</v>
      </c>
      <c r="AN80" s="52">
        <v>0</v>
      </c>
      <c r="AO80" s="52">
        <v>0</v>
      </c>
      <c r="AP80" s="52">
        <v>10000</v>
      </c>
      <c r="AQ80" s="52">
        <v>0</v>
      </c>
      <c r="AR80" s="52">
        <v>0</v>
      </c>
      <c r="AS80" s="52">
        <v>0</v>
      </c>
      <c r="AT80" s="52">
        <v>0</v>
      </c>
      <c r="AU80" s="52">
        <v>0</v>
      </c>
      <c r="AV80" s="52">
        <v>0</v>
      </c>
      <c r="AW80" s="52">
        <v>0</v>
      </c>
      <c r="AX80" s="52">
        <v>0</v>
      </c>
      <c r="AY80" s="52">
        <v>0</v>
      </c>
      <c r="AZ80" s="52">
        <v>0</v>
      </c>
      <c r="BA80" s="52">
        <v>0</v>
      </c>
      <c r="BB80" s="52">
        <v>0</v>
      </c>
      <c r="BC80" s="53">
        <f ca="1">SUM(OFFSET($B80,0,1,1,Assumptions!$C$8))</f>
        <v>0</v>
      </c>
      <c r="BD80" s="53">
        <f ca="1">SUM(OFFSET($B80,0,1+Assumptions!$C$8,1,SUM(Assumptions!$C$9)))</f>
        <v>0</v>
      </c>
      <c r="BE80" s="53">
        <f ca="1">SUM(OFFSET($B80,0,1+SUM(Assumptions!$C$8:$C$9),1,SUM(Assumptions!$C$10)))</f>
        <v>-10000</v>
      </c>
      <c r="BF80" s="53">
        <f ca="1">SUM(OFFSET($B80,0,1+SUM(Assumptions!$C$8:$C$10),1,SUM(Assumptions!$C$11)))</f>
        <v>10000</v>
      </c>
      <c r="BG80" s="53">
        <f t="shared" ca="1" si="30"/>
        <v>0</v>
      </c>
    </row>
    <row r="81" spans="1:59" ht="16.149999999999999" customHeight="1" x14ac:dyDescent="0.3">
      <c r="A81" s="318" t="s">
        <v>131</v>
      </c>
      <c r="B81" s="56" t="s">
        <v>132</v>
      </c>
      <c r="C81" s="52">
        <v>0</v>
      </c>
      <c r="D81" s="52">
        <v>0</v>
      </c>
      <c r="E81" s="52">
        <v>0</v>
      </c>
      <c r="F81" s="52">
        <v>0</v>
      </c>
      <c r="G81" s="52">
        <v>0</v>
      </c>
      <c r="H81" s="52">
        <v>0</v>
      </c>
      <c r="I81" s="52">
        <v>0</v>
      </c>
      <c r="J81" s="52">
        <v>0</v>
      </c>
      <c r="K81" s="52">
        <v>0</v>
      </c>
      <c r="L81" s="52">
        <v>0</v>
      </c>
      <c r="M81" s="52">
        <v>0</v>
      </c>
      <c r="N81" s="52">
        <v>0</v>
      </c>
      <c r="O81" s="52">
        <v>0</v>
      </c>
      <c r="P81" s="52">
        <v>0</v>
      </c>
      <c r="Q81" s="52">
        <v>0</v>
      </c>
      <c r="R81" s="52">
        <v>0</v>
      </c>
      <c r="S81" s="52">
        <v>0</v>
      </c>
      <c r="T81" s="52">
        <v>0</v>
      </c>
      <c r="U81" s="52">
        <v>0</v>
      </c>
      <c r="V81" s="52">
        <v>0</v>
      </c>
      <c r="W81" s="52">
        <v>0</v>
      </c>
      <c r="X81" s="52">
        <v>0</v>
      </c>
      <c r="Y81" s="52">
        <v>0</v>
      </c>
      <c r="Z81" s="52">
        <v>0</v>
      </c>
      <c r="AA81" s="52">
        <v>0</v>
      </c>
      <c r="AB81" s="52">
        <v>0</v>
      </c>
      <c r="AC81" s="52">
        <v>0</v>
      </c>
      <c r="AD81" s="52">
        <v>0</v>
      </c>
      <c r="AE81" s="52">
        <v>0</v>
      </c>
      <c r="AF81" s="52">
        <v>0</v>
      </c>
      <c r="AG81" s="52">
        <v>0</v>
      </c>
      <c r="AH81" s="52">
        <v>0</v>
      </c>
      <c r="AI81" s="52">
        <v>0</v>
      </c>
      <c r="AJ81" s="52">
        <v>0</v>
      </c>
      <c r="AK81" s="52">
        <v>0</v>
      </c>
      <c r="AL81" s="52">
        <v>0</v>
      </c>
      <c r="AM81" s="52">
        <v>0</v>
      </c>
      <c r="AN81" s="52">
        <v>0</v>
      </c>
      <c r="AO81" s="52">
        <v>0</v>
      </c>
      <c r="AP81" s="52">
        <v>0</v>
      </c>
      <c r="AQ81" s="52">
        <v>0</v>
      </c>
      <c r="AR81" s="52">
        <v>0</v>
      </c>
      <c r="AS81" s="52">
        <v>0</v>
      </c>
      <c r="AT81" s="52">
        <v>0</v>
      </c>
      <c r="AU81" s="52">
        <v>0</v>
      </c>
      <c r="AV81" s="52">
        <v>0</v>
      </c>
      <c r="AW81" s="52">
        <v>0</v>
      </c>
      <c r="AX81" s="52">
        <v>0</v>
      </c>
      <c r="AY81" s="52">
        <v>0</v>
      </c>
      <c r="AZ81" s="52">
        <v>0</v>
      </c>
      <c r="BA81" s="52">
        <v>0</v>
      </c>
      <c r="BB81" s="52">
        <v>0</v>
      </c>
      <c r="BC81" s="53">
        <f ca="1">SUM(OFFSET($B81,0,1,1,Assumptions!$C$8))</f>
        <v>0</v>
      </c>
      <c r="BD81" s="53">
        <f ca="1">SUM(OFFSET($B81,0,1+Assumptions!$C$8,1,SUM(Assumptions!$C$9)))</f>
        <v>0</v>
      </c>
      <c r="BE81" s="53">
        <f ca="1">SUM(OFFSET($B81,0,1+SUM(Assumptions!$C$8:$C$9),1,SUM(Assumptions!$C$10)))</f>
        <v>0</v>
      </c>
      <c r="BF81" s="53">
        <f ca="1">SUM(OFFSET($B81,0,1+SUM(Assumptions!$C$8:$C$10),1,SUM(Assumptions!$C$11)))</f>
        <v>0</v>
      </c>
      <c r="BG81" s="53">
        <f t="shared" ca="1" si="30"/>
        <v>0</v>
      </c>
    </row>
    <row r="82" spans="1:59" ht="16.149999999999999" customHeight="1" x14ac:dyDescent="0.3">
      <c r="A82" s="310" t="s">
        <v>189</v>
      </c>
      <c r="B82" s="56" t="s">
        <v>190</v>
      </c>
      <c r="C82" s="52">
        <f ca="1">OFFSET(BS!$B33,0,COLUMN(C$4)-COLUMN($B$4)+1,1,1)-OFFSET(BS!$B33,0,COLUMN(C$4)-COLUMN($B$4),1,1)</f>
        <v>-650</v>
      </c>
      <c r="D82" s="52">
        <f ca="1">OFFSET(BS!$B33,0,COLUMN(D$4)-COLUMN($B$4)+1,1,1)-OFFSET(BS!$B33,0,COLUMN(D$4)-COLUMN($B$4),1,1)</f>
        <v>-7640.1600000000035</v>
      </c>
      <c r="E82" s="52">
        <f ca="1">OFFSET(BS!$B33,0,COLUMN(E$4)-COLUMN($B$4)+1,1,1)-OFFSET(BS!$B33,0,COLUMN(E$4)-COLUMN($B$4),1,1)</f>
        <v>7032.8571428571449</v>
      </c>
      <c r="F82" s="52">
        <f ca="1">OFFSET(BS!$B33,0,COLUMN(F$4)-COLUMN($B$4)+1,1,1)-OFFSET(BS!$B33,0,COLUMN(F$4)-COLUMN($B$4),1,1)</f>
        <v>5184.59428571428</v>
      </c>
      <c r="G82" s="52">
        <f ca="1">OFFSET(BS!$B33,0,COLUMN(G$4)-COLUMN($B$4)+1,1,1)-OFFSET(BS!$B33,0,COLUMN(G$4)-COLUMN($B$4),1,1)</f>
        <v>18963.729999999981</v>
      </c>
      <c r="H82" s="52">
        <f ca="1">OFFSET(BS!$B33,0,COLUMN(H$4)-COLUMN($B$4)+1,1,1)-OFFSET(BS!$B33,0,COLUMN(H$4)-COLUMN($B$4),1,1)</f>
        <v>1440.7857142857101</v>
      </c>
      <c r="I82" s="52">
        <f ca="1">OFFSET(BS!$B33,0,COLUMN(I$4)-COLUMN($B$4)+1,1,1)-OFFSET(BS!$B33,0,COLUMN(I$4)-COLUMN($B$4),1,1)</f>
        <v>2911.6357142857159</v>
      </c>
      <c r="J82" s="52">
        <f ca="1">OFFSET(BS!$B33,0,COLUMN(J$4)-COLUMN($B$4)+1,1,1)-OFFSET(BS!$B33,0,COLUMN(J$4)-COLUMN($B$4),1,1)</f>
        <v>-12475.528571428556</v>
      </c>
      <c r="K82" s="52">
        <f ca="1">OFFSET(BS!$B33,0,COLUMN(K$4)-COLUMN($B$4)+1,1,1)-OFFSET(BS!$B33,0,COLUMN(K$4)-COLUMN($B$4),1,1)</f>
        <v>1736.0071428571537</v>
      </c>
      <c r="L82" s="52">
        <f ca="1">OFFSET(BS!$B33,0,COLUMN(L$4)-COLUMN($B$4)+1,1,1)-OFFSET(BS!$B33,0,COLUMN(L$4)-COLUMN($B$4),1,1)</f>
        <v>-5887.6714285714261</v>
      </c>
      <c r="M82" s="52">
        <f ca="1">OFFSET(BS!$B33,0,COLUMN(M$4)-COLUMN($B$4)+1,1,1)-OFFSET(BS!$B33,0,COLUMN(M$4)-COLUMN($B$4),1,1)</f>
        <v>818.96428571426077</v>
      </c>
      <c r="N82" s="52">
        <f ca="1">OFFSET(BS!$B33,0,COLUMN(N$4)-COLUMN($B$4)+1,1,1)-OFFSET(BS!$B33,0,COLUMN(N$4)-COLUMN($B$4),1,1)</f>
        <v>-6347.0142857142782</v>
      </c>
      <c r="O82" s="52">
        <f ca="1">OFFSET(BS!$B33,0,COLUMN(O$4)-COLUMN($B$4)+1,1,1)-OFFSET(BS!$B33,0,COLUMN(O$4)-COLUMN($B$4),1,1)</f>
        <v>32999.25</v>
      </c>
      <c r="P82" s="52">
        <f ca="1">OFFSET(BS!$B33,0,COLUMN(P$4)-COLUMN($B$4)+1,1,1)-OFFSET(BS!$B33,0,COLUMN(P$4)-COLUMN($B$4),1,1)</f>
        <v>2939.4000000000233</v>
      </c>
      <c r="Q82" s="52">
        <f ca="1">OFFSET(BS!$B33,0,COLUMN(Q$4)-COLUMN($B$4)+1,1,1)-OFFSET(BS!$B33,0,COLUMN(Q$4)-COLUMN($B$4),1,1)</f>
        <v>-2862.3500000000058</v>
      </c>
      <c r="R82" s="52">
        <f ca="1">OFFSET(BS!$B33,0,COLUMN(R$4)-COLUMN($B$4)+1,1,1)-OFFSET(BS!$B33,0,COLUMN(R$4)-COLUMN($B$4),1,1)</f>
        <v>-28648.800000000017</v>
      </c>
      <c r="S82" s="52">
        <f ca="1">OFFSET(BS!$B33,0,COLUMN(S$4)-COLUMN($B$4)+1,1,1)-OFFSET(BS!$B33,0,COLUMN(S$4)-COLUMN($B$4),1,1)</f>
        <v>-514.21428571428987</v>
      </c>
      <c r="T82" s="52">
        <f ca="1">OFFSET(BS!$B33,0,COLUMN(T$4)-COLUMN($B$4)+1,1,1)-OFFSET(BS!$B33,0,COLUMN(T$4)-COLUMN($B$4),1,1)</f>
        <v>14055.46428571429</v>
      </c>
      <c r="U82" s="52">
        <f ca="1">OFFSET(BS!$B33,0,COLUMN(U$4)-COLUMN($B$4)+1,1,1)-OFFSET(BS!$B33,0,COLUMN(U$4)-COLUMN($B$4),1,1)</f>
        <v>3022.2000000000116</v>
      </c>
      <c r="V82" s="52">
        <f ca="1">OFFSET(BS!$B33,0,COLUMN(V$4)-COLUMN($B$4)+1,1,1)-OFFSET(BS!$B33,0,COLUMN(V$4)-COLUMN($B$4),1,1)</f>
        <v>-3035.8357142856985</v>
      </c>
      <c r="W82" s="52">
        <f ca="1">OFFSET(BS!$B33,0,COLUMN(W$4)-COLUMN($B$4)+1,1,1)-OFFSET(BS!$B33,0,COLUMN(W$4)-COLUMN($B$4),1,1)</f>
        <v>-16220.914285714302</v>
      </c>
      <c r="X82" s="52">
        <f ca="1">OFFSET(BS!$B33,0,COLUMN(X$4)-COLUMN($B$4)+1,1,1)-OFFSET(BS!$B33,0,COLUMN(X$4)-COLUMN($B$4),1,1)</f>
        <v>11495.564285714267</v>
      </c>
      <c r="Y82" s="52">
        <f ca="1">OFFSET(BS!$B33,0,COLUMN(Y$4)-COLUMN($B$4)+1,1,1)-OFFSET(BS!$B33,0,COLUMN(Y$4)-COLUMN($B$4),1,1)</f>
        <v>-51.91428571427241</v>
      </c>
      <c r="Z82" s="52">
        <f ca="1">OFFSET(BS!$B33,0,COLUMN(Z$4)-COLUMN($B$4)+1,1,1)-OFFSET(BS!$B33,0,COLUMN(Z$4)-COLUMN($B$4),1,1)</f>
        <v>18515.164285714302</v>
      </c>
      <c r="AA82" s="52">
        <f ca="1">OFFSET(BS!$B33,0,COLUMN(AA$4)-COLUMN($B$4)+1,1,1)-OFFSET(BS!$B33,0,COLUMN(AA$4)-COLUMN($B$4),1,1)</f>
        <v>-8747.557142857142</v>
      </c>
      <c r="AB82" s="52">
        <f ca="1">OFFSET(BS!$B33,0,COLUMN(AB$4)-COLUMN($B$4)+1,1,1)-OFFSET(BS!$B33,0,COLUMN(AB$4)-COLUMN($B$4),1,1)</f>
        <v>21966.149999999994</v>
      </c>
      <c r="AC82" s="52">
        <f ca="1">OFFSET(BS!$B33,0,COLUMN(AC$4)-COLUMN($B$4)+1,1,1)-OFFSET(BS!$B33,0,COLUMN(AC$4)-COLUMN($B$4),1,1)</f>
        <v>-13727.057142857142</v>
      </c>
      <c r="AD82" s="52">
        <f ca="1">OFFSET(BS!$B33,0,COLUMN(AD$4)-COLUMN($B$4)+1,1,1)-OFFSET(BS!$B33,0,COLUMN(AD$4)-COLUMN($B$4),1,1)</f>
        <v>-3234.6214285714377</v>
      </c>
      <c r="AE82" s="52">
        <f ca="1">OFFSET(BS!$B33,0,COLUMN(AE$4)-COLUMN($B$4)+1,1,1)-OFFSET(BS!$B33,0,COLUMN(AE$4)-COLUMN($B$4),1,1)</f>
        <v>-18098.700000000012</v>
      </c>
      <c r="AF82" s="52">
        <f ca="1">OFFSET(BS!$B33,0,COLUMN(AF$4)-COLUMN($B$4)+1,1,1)-OFFSET(BS!$B33,0,COLUMN(AF$4)-COLUMN($B$4),1,1)</f>
        <v>-1912.2857142857101</v>
      </c>
      <c r="AG82" s="52">
        <f ca="1">OFFSET(BS!$B33,0,COLUMN(AG$4)-COLUMN($B$4)+1,1,1)-OFFSET(BS!$B33,0,COLUMN(AG$4)-COLUMN($B$4),1,1)</f>
        <v>11852.392857142841</v>
      </c>
      <c r="AH82" s="52">
        <f ca="1">OFFSET(BS!$B33,0,COLUMN(AH$4)-COLUMN($B$4)+1,1,1)-OFFSET(BS!$B33,0,COLUMN(AH$4)-COLUMN($B$4),1,1)</f>
        <v>10849.42857142858</v>
      </c>
      <c r="AI82" s="52">
        <f ca="1">OFFSET(BS!$B33,0,COLUMN(AI$4)-COLUMN($B$4)+1,1,1)-OFFSET(BS!$B33,0,COLUMN(AI$4)-COLUMN($B$4),1,1)</f>
        <v>2336.9642857142899</v>
      </c>
      <c r="AJ82" s="52">
        <f ca="1">OFFSET(BS!$B33,0,COLUMN(AJ$4)-COLUMN($B$4)+1,1,1)-OFFSET(BS!$B33,0,COLUMN(AJ$4)-COLUMN($B$4),1,1)</f>
        <v>16407.21428571429</v>
      </c>
      <c r="AK82" s="52">
        <f ca="1">OFFSET(BS!$B33,0,COLUMN(AK$4)-COLUMN($B$4)+1,1,1)-OFFSET(BS!$B33,0,COLUMN(AK$4)-COLUMN($B$4),1,1)</f>
        <v>6016.9642857142899</v>
      </c>
      <c r="AL82" s="52">
        <f ca="1">OFFSET(BS!$B33,0,COLUMN(AL$4)-COLUMN($B$4)+1,1,1)-OFFSET(BS!$B33,0,COLUMN(AL$4)-COLUMN($B$4),1,1)</f>
        <v>575.0000000000291</v>
      </c>
      <c r="AM82" s="52">
        <f ca="1">OFFSET(BS!$B33,0,COLUMN(AM$4)-COLUMN($B$4)+1,1,1)-OFFSET(BS!$B33,0,COLUMN(AM$4)-COLUMN($B$4),1,1)</f>
        <v>-24060.464285714319</v>
      </c>
      <c r="AN82" s="52">
        <f ca="1">OFFSET(BS!$B33,0,COLUMN(AN$4)-COLUMN($B$4)+1,1,1)-OFFSET(BS!$B33,0,COLUMN(AN$4)-COLUMN($B$4),1,1)</f>
        <v>-8869.7857142857101</v>
      </c>
      <c r="AO82" s="52">
        <f ca="1">OFFSET(BS!$B33,0,COLUMN(AO$4)-COLUMN($B$4)+1,1,1)-OFFSET(BS!$B33,0,COLUMN(AO$4)-COLUMN($B$4),1,1)</f>
        <v>24042.39285714287</v>
      </c>
      <c r="AP82" s="52">
        <f ca="1">OFFSET(BS!$B33,0,COLUMN(AP$4)-COLUMN($B$4)+1,1,1)-OFFSET(BS!$B33,0,COLUMN(AP$4)-COLUMN($B$4),1,1)</f>
        <v>-4883.8857142857159</v>
      </c>
      <c r="AQ82" s="52">
        <f ca="1">OFFSET(BS!$B33,0,COLUMN(AQ$4)-COLUMN($B$4)+1,1,1)-OFFSET(BS!$B33,0,COLUMN(AQ$4)-COLUMN($B$4),1,1)</f>
        <v>-18105.435714285704</v>
      </c>
      <c r="AR82" s="52">
        <f ca="1">OFFSET(BS!$B33,0,COLUMN(AR$4)-COLUMN($B$4)+1,1,1)-OFFSET(BS!$B33,0,COLUMN(AR$4)-COLUMN($B$4),1,1)</f>
        <v>-32172.728571428583</v>
      </c>
      <c r="AS82" s="52">
        <f ca="1">OFFSET(BS!$B33,0,COLUMN(AS$4)-COLUMN($B$4)+1,1,1)-OFFSET(BS!$B33,0,COLUMN(AS$4)-COLUMN($B$4),1,1)</f>
        <v>-14162.742857142861</v>
      </c>
      <c r="AT82" s="52">
        <f ca="1">OFFSET(BS!$B33,0,COLUMN(AT$4)-COLUMN($B$4)+1,1,1)-OFFSET(BS!$B33,0,COLUMN(AT$4)-COLUMN($B$4),1,1)</f>
        <v>-2054.8528571428615</v>
      </c>
      <c r="AU82" s="52">
        <f ca="1">OFFSET(BS!$B33,0,COLUMN(AU$4)-COLUMN($B$4)+1,1,1)-OFFSET(BS!$B33,0,COLUMN(AU$4)-COLUMN($B$4),1,1)</f>
        <v>-11722.90285714285</v>
      </c>
      <c r="AV82" s="52">
        <f ca="1">OFFSET(BS!$B33,0,COLUMN(AV$4)-COLUMN($B$4)+1,1,1)-OFFSET(BS!$B33,0,COLUMN(AV$4)-COLUMN($B$4),1,1)</f>
        <v>3265.901428571422</v>
      </c>
      <c r="AW82" s="52">
        <f ca="1">OFFSET(BS!$B33,0,COLUMN(AW$4)-COLUMN($B$4)+1,1,1)-OFFSET(BS!$B33,0,COLUMN(AW$4)-COLUMN($B$4),1,1)</f>
        <v>14289.900000000009</v>
      </c>
      <c r="AX82" s="52">
        <f ca="1">OFFSET(BS!$B33,0,COLUMN(AX$4)-COLUMN($B$4)+1,1,1)-OFFSET(BS!$B33,0,COLUMN(AX$4)-COLUMN($B$4),1,1)</f>
        <v>35988.987142857135</v>
      </c>
      <c r="AY82" s="52">
        <f ca="1">OFFSET(BS!$B33,0,COLUMN(AY$4)-COLUMN($B$4)+1,1,1)-OFFSET(BS!$B33,0,COLUMN(AY$4)-COLUMN($B$4),1,1)</f>
        <v>13711.679999999993</v>
      </c>
      <c r="AZ82" s="52">
        <f ca="1">OFFSET(BS!$B33,0,COLUMN(AZ$4)-COLUMN($B$4)+1,1,1)-OFFSET(BS!$B33,0,COLUMN(AZ$4)-COLUMN($B$4),1,1)</f>
        <v>5736.758571428596</v>
      </c>
      <c r="BA82" s="52">
        <f ca="1">OFFSET(BS!$B33,0,COLUMN(BA$4)-COLUMN($B$4)+1,1,1)-OFFSET(BS!$B33,0,COLUMN(BA$4)-COLUMN($B$4),1,1)</f>
        <v>10732.128571428533</v>
      </c>
      <c r="BB82" s="52">
        <f ca="1">OFFSET(BS!$B33,0,COLUMN(BB$4)-COLUMN($B$4)+1,1,1)-OFFSET(BS!$B33,0,COLUMN(BB$4)-COLUMN($B$4),1,1)</f>
        <v>29862.050000000047</v>
      </c>
      <c r="BC82" s="53">
        <f ca="1">SUM(OFFSET($B82,0,1,1,Assumptions!$C$8))</f>
        <v>38087.449999999983</v>
      </c>
      <c r="BD82" s="53">
        <f ca="1">SUM(OFFSET($B82,0,1+Assumptions!$C$8,1,SUM(Assumptions!$C$9)))</f>
        <v>11912.357142857159</v>
      </c>
      <c r="BE82" s="53">
        <f ca="1">SUM(OFFSET($B82,0,1+SUM(Assumptions!$C$8:$C$9),1,SUM(Assumptions!$C$10)))</f>
        <v>2177.442857142858</v>
      </c>
      <c r="BF82" s="53">
        <f ca="1">SUM(OFFSET($B82,0,1+SUM(Assumptions!$C$8:$C$10),1,SUM(Assumptions!$C$11)))</f>
        <v>30484.857142857159</v>
      </c>
      <c r="BG82" s="53">
        <f t="shared" ca="1" si="30"/>
        <v>82662.107142857159</v>
      </c>
    </row>
    <row r="83" spans="1:59" ht="16.149999999999999" customHeight="1" x14ac:dyDescent="0.3">
      <c r="A83" s="310" t="s">
        <v>191</v>
      </c>
      <c r="B83" s="56" t="s">
        <v>159</v>
      </c>
      <c r="C83" s="52">
        <f ca="1">OFFSET(BS!$B34,0,COLUMN(C$4)-COLUMN($B$4)+1,1,1)-OFFSET(BS!$B34,0,COLUMN(C$4)-COLUMN($B$4),1,1)</f>
        <v>3412.5</v>
      </c>
      <c r="D83" s="52">
        <f ca="1">OFFSET(BS!$B34,0,COLUMN(D$4)-COLUMN($B$4)+1,1,1)-OFFSET(BS!$B34,0,COLUMN(D$4)-COLUMN($B$4),1,1)</f>
        <v>5928.4599999999955</v>
      </c>
      <c r="E83" s="52">
        <f ca="1">OFFSET(BS!$B34,0,COLUMN(E$4)-COLUMN($B$4)+1,1,1)-OFFSET(BS!$B34,0,COLUMN(E$4)-COLUMN($B$4),1,1)</f>
        <v>6400</v>
      </c>
      <c r="F83" s="52">
        <f ca="1">OFFSET(BS!$B34,0,COLUMN(F$4)-COLUMN($B$4)+1,1,1)-OFFSET(BS!$B34,0,COLUMN(F$4)-COLUMN($B$4),1,1)</f>
        <v>-8579</v>
      </c>
      <c r="G83" s="52">
        <f ca="1">OFFSET(BS!$B34,0,COLUMN(G$4)-COLUMN($B$4)+1,1,1)-OFFSET(BS!$B34,0,COLUMN(G$4)-COLUMN($B$4),1,1)</f>
        <v>5427.2999999999993</v>
      </c>
      <c r="H83" s="52">
        <f ca="1">OFFSET(BS!$B34,0,COLUMN(H$4)-COLUMN($B$4)+1,1,1)-OFFSET(BS!$B34,0,COLUMN(H$4)-COLUMN($B$4),1,1)</f>
        <v>3041.125</v>
      </c>
      <c r="I83" s="52">
        <f ca="1">OFFSET(BS!$B34,0,COLUMN(I$4)-COLUMN($B$4)+1,1,1)-OFFSET(BS!$B34,0,COLUMN(I$4)-COLUMN($B$4),1,1)</f>
        <v>4128.6750000000029</v>
      </c>
      <c r="J83" s="52">
        <f ca="1">OFFSET(BS!$B34,0,COLUMN(J$4)-COLUMN($B$4)+1,1,1)-OFFSET(BS!$B34,0,COLUMN(J$4)-COLUMN($B$4),1,1)</f>
        <v>7271.25</v>
      </c>
      <c r="K83" s="52">
        <f ca="1">OFFSET(BS!$B34,0,COLUMN(K$4)-COLUMN($B$4)+1,1,1)-OFFSET(BS!$B34,0,COLUMN(K$4)-COLUMN($B$4),1,1)</f>
        <v>5169.75</v>
      </c>
      <c r="L83" s="52">
        <f ca="1">OFFSET(BS!$B34,0,COLUMN(L$4)-COLUMN($B$4)+1,1,1)-OFFSET(BS!$B34,0,COLUMN(L$4)-COLUMN($B$4),1,1)</f>
        <v>3247</v>
      </c>
      <c r="M83" s="52">
        <f ca="1">OFFSET(BS!$B34,0,COLUMN(M$4)-COLUMN($B$4)+1,1,1)-OFFSET(BS!$B34,0,COLUMN(M$4)-COLUMN($B$4),1,1)</f>
        <v>7833.9000000000087</v>
      </c>
      <c r="N83" s="52">
        <f ca="1">OFFSET(BS!$B34,0,COLUMN(N$4)-COLUMN($B$4)+1,1,1)-OFFSET(BS!$B34,0,COLUMN(N$4)-COLUMN($B$4),1,1)</f>
        <v>8027.8000000000029</v>
      </c>
      <c r="O83" s="52">
        <f ca="1">OFFSET(BS!$B34,0,COLUMN(O$4)-COLUMN($B$4)+1,1,1)-OFFSET(BS!$B34,0,COLUMN(O$4)-COLUMN($B$4),1,1)</f>
        <v>-45258.060000000012</v>
      </c>
      <c r="P83" s="52">
        <f ca="1">OFFSET(BS!$B34,0,COLUMN(P$4)-COLUMN($B$4)+1,1,1)-OFFSET(BS!$B34,0,COLUMN(P$4)-COLUMN($B$4),1,1)</f>
        <v>5397.5</v>
      </c>
      <c r="Q83" s="52">
        <f ca="1">OFFSET(BS!$B34,0,COLUMN(Q$4)-COLUMN($B$4)+1,1,1)-OFFSET(BS!$B34,0,COLUMN(Q$4)-COLUMN($B$4),1,1)</f>
        <v>7377</v>
      </c>
      <c r="R83" s="52">
        <f ca="1">OFFSET(BS!$B34,0,COLUMN(R$4)-COLUMN($B$4)+1,1,1)-OFFSET(BS!$B34,0,COLUMN(R$4)-COLUMN($B$4),1,1)</f>
        <v>7161.8000000000029</v>
      </c>
      <c r="S83" s="52">
        <f ca="1">OFFSET(BS!$B34,0,COLUMN(S$4)-COLUMN($B$4)+1,1,1)-OFFSET(BS!$B34,0,COLUMN(S$4)-COLUMN($B$4),1,1)</f>
        <v>6298.875</v>
      </c>
      <c r="T83" s="52">
        <f ca="1">OFFSET(BS!$B34,0,COLUMN(T$4)-COLUMN($B$4)+1,1,1)-OFFSET(BS!$B34,0,COLUMN(T$4)-COLUMN($B$4),1,1)</f>
        <v>6279.1499999999942</v>
      </c>
      <c r="U83" s="52">
        <f ca="1">OFFSET(BS!$B34,0,COLUMN(U$4)-COLUMN($B$4)+1,1,1)-OFFSET(BS!$B34,0,COLUMN(U$4)-COLUMN($B$4),1,1)</f>
        <v>5194.5249999999942</v>
      </c>
      <c r="V83" s="52">
        <f ca="1">OFFSET(BS!$B34,0,COLUMN(V$4)-COLUMN($B$4)+1,1,1)-OFFSET(BS!$B34,0,COLUMN(V$4)-COLUMN($B$4),1,1)</f>
        <v>6827</v>
      </c>
      <c r="W83" s="52">
        <f ca="1">OFFSET(BS!$B34,0,COLUMN(W$4)-COLUMN($B$4)+1,1,1)-OFFSET(BS!$B34,0,COLUMN(W$4)-COLUMN($B$4),1,1)</f>
        <v>-41871.124999999985</v>
      </c>
      <c r="X83" s="52">
        <f ca="1">OFFSET(BS!$B34,0,COLUMN(X$4)-COLUMN($B$4)+1,1,1)-OFFSET(BS!$B34,0,COLUMN(X$4)-COLUMN($B$4),1,1)</f>
        <v>6998.5000000000036</v>
      </c>
      <c r="Y83" s="52">
        <f ca="1">OFFSET(BS!$B34,0,COLUMN(Y$4)-COLUMN($B$4)+1,1,1)-OFFSET(BS!$B34,0,COLUMN(Y$4)-COLUMN($B$4),1,1)</f>
        <v>5031.6999999999971</v>
      </c>
      <c r="Z83" s="52">
        <f ca="1">OFFSET(BS!$B34,0,COLUMN(Z$4)-COLUMN($B$4)+1,1,1)-OFFSET(BS!$B34,0,COLUMN(Z$4)-COLUMN($B$4),1,1)</f>
        <v>6613.8000000000029</v>
      </c>
      <c r="AA83" s="52">
        <f ca="1">OFFSET(BS!$B34,0,COLUMN(AA$4)-COLUMN($B$4)+1,1,1)-OFFSET(BS!$B34,0,COLUMN(AA$4)-COLUMN($B$4),1,1)</f>
        <v>8264.5500000000029</v>
      </c>
      <c r="AB83" s="52">
        <f ca="1">OFFSET(BS!$B34,0,COLUMN(AB$4)-COLUMN($B$4)+1,1,1)-OFFSET(BS!$B34,0,COLUMN(AB$4)-COLUMN($B$4),1,1)</f>
        <v>5105.8500000000058</v>
      </c>
      <c r="AC83" s="52">
        <f ca="1">OFFSET(BS!$B34,0,COLUMN(AC$4)-COLUMN($B$4)+1,1,1)-OFFSET(BS!$B34,0,COLUMN(AC$4)-COLUMN($B$4),1,1)</f>
        <v>5478.5</v>
      </c>
      <c r="AD83" s="52">
        <f ca="1">OFFSET(BS!$B34,0,COLUMN(AD$4)-COLUMN($B$4)+1,1,1)-OFFSET(BS!$B34,0,COLUMN(AD$4)-COLUMN($B$4),1,1)</f>
        <v>8409</v>
      </c>
      <c r="AE83" s="52">
        <f ca="1">OFFSET(BS!$B34,0,COLUMN(AE$4)-COLUMN($B$4)+1,1,1)-OFFSET(BS!$B34,0,COLUMN(AE$4)-COLUMN($B$4),1,1)</f>
        <v>8739</v>
      </c>
      <c r="AF83" s="52">
        <f ca="1">OFFSET(BS!$B34,0,COLUMN(AF$4)-COLUMN($B$4)+1,1,1)-OFFSET(BS!$B34,0,COLUMN(AF$4)-COLUMN($B$4),1,1)</f>
        <v>-48089.30000000001</v>
      </c>
      <c r="AG83" s="52">
        <f ca="1">OFFSET(BS!$B34,0,COLUMN(AG$4)-COLUMN($B$4)+1,1,1)-OFFSET(BS!$B34,0,COLUMN(AG$4)-COLUMN($B$4),1,1)</f>
        <v>7628.5</v>
      </c>
      <c r="AH83" s="52">
        <f ca="1">OFFSET(BS!$B34,0,COLUMN(AH$4)-COLUMN($B$4)+1,1,1)-OFFSET(BS!$B34,0,COLUMN(AH$4)-COLUMN($B$4),1,1)</f>
        <v>4573</v>
      </c>
      <c r="AI83" s="52">
        <f ca="1">OFFSET(BS!$B34,0,COLUMN(AI$4)-COLUMN($B$4)+1,1,1)-OFFSET(BS!$B34,0,COLUMN(AI$4)-COLUMN($B$4),1,1)</f>
        <v>8791.6500000000015</v>
      </c>
      <c r="AJ83" s="52">
        <f ca="1">OFFSET(BS!$B34,0,COLUMN(AJ$4)-COLUMN($B$4)+1,1,1)-OFFSET(BS!$B34,0,COLUMN(AJ$4)-COLUMN($B$4),1,1)</f>
        <v>6425</v>
      </c>
      <c r="AK83" s="52">
        <f ca="1">OFFSET(BS!$B34,0,COLUMN(AK$4)-COLUMN($B$4)+1,1,1)-OFFSET(BS!$B34,0,COLUMN(AK$4)-COLUMN($B$4),1,1)</f>
        <v>6996.75</v>
      </c>
      <c r="AL83" s="52">
        <f ca="1">OFFSET(BS!$B34,0,COLUMN(AL$4)-COLUMN($B$4)+1,1,1)-OFFSET(BS!$B34,0,COLUMN(AL$4)-COLUMN($B$4),1,1)</f>
        <v>5235</v>
      </c>
      <c r="AM83" s="52">
        <f ca="1">OFFSET(BS!$B34,0,COLUMN(AM$4)-COLUMN($B$4)+1,1,1)-OFFSET(BS!$B34,0,COLUMN(AM$4)-COLUMN($B$4),1,1)</f>
        <v>9386.25</v>
      </c>
      <c r="AN83" s="52">
        <f ca="1">OFFSET(BS!$B34,0,COLUMN(AN$4)-COLUMN($B$4)+1,1,1)-OFFSET(BS!$B34,0,COLUMN(AN$4)-COLUMN($B$4),1,1)</f>
        <v>8235.75</v>
      </c>
      <c r="AO83" s="52">
        <f ca="1">OFFSET(BS!$B34,0,COLUMN(AO$4)-COLUMN($B$4)+1,1,1)-OFFSET(BS!$B34,0,COLUMN(AO$4)-COLUMN($B$4),1,1)</f>
        <v>-59739.675000000003</v>
      </c>
      <c r="AP83" s="52">
        <f ca="1">OFFSET(BS!$B34,0,COLUMN(AP$4)-COLUMN($B$4)+1,1,1)-OFFSET(BS!$B34,0,COLUMN(AP$4)-COLUMN($B$4),1,1)</f>
        <v>8246.7000000000044</v>
      </c>
      <c r="AQ83" s="52">
        <f ca="1">OFFSET(BS!$B34,0,COLUMN(AQ$4)-COLUMN($B$4)+1,1,1)-OFFSET(BS!$B34,0,COLUMN(AQ$4)-COLUMN($B$4),1,1)</f>
        <v>4418.2500000000073</v>
      </c>
      <c r="AR83" s="52">
        <f ca="1">OFFSET(BS!$B34,0,COLUMN(AR$4)-COLUMN($B$4)+1,1,1)-OFFSET(BS!$B34,0,COLUMN(AR$4)-COLUMN($B$4),1,1)</f>
        <v>4477.4999999999927</v>
      </c>
      <c r="AS83" s="52">
        <f ca="1">OFFSET(BS!$B34,0,COLUMN(AS$4)-COLUMN($B$4)+1,1,1)-OFFSET(BS!$B34,0,COLUMN(AS$4)-COLUMN($B$4),1,1)</f>
        <v>4707.3999999999942</v>
      </c>
      <c r="AT83" s="52">
        <f ca="1">OFFSET(BS!$B34,0,COLUMN(AT$4)-COLUMN($B$4)+1,1,1)-OFFSET(BS!$B34,0,COLUMN(AT$4)-COLUMN($B$4),1,1)</f>
        <v>3010.1200000000026</v>
      </c>
      <c r="AU83" s="52">
        <f ca="1">OFFSET(BS!$B34,0,COLUMN(AU$4)-COLUMN($B$4)+1,1,1)-OFFSET(BS!$B34,0,COLUMN(AU$4)-COLUMN($B$4),1,1)</f>
        <v>1872.4200000000128</v>
      </c>
      <c r="AV83" s="52">
        <f ca="1">OFFSET(BS!$B34,0,COLUMN(AV$4)-COLUMN($B$4)+1,1,1)-OFFSET(BS!$B34,0,COLUMN(AV$4)-COLUMN($B$4),1,1)</f>
        <v>6784.875</v>
      </c>
      <c r="AW83" s="52">
        <f ca="1">OFFSET(BS!$B34,0,COLUMN(AW$4)-COLUMN($B$4)+1,1,1)-OFFSET(BS!$B34,0,COLUMN(AW$4)-COLUMN($B$4),1,1)</f>
        <v>9082.0000000000146</v>
      </c>
      <c r="AX83" s="52">
        <f ca="1">OFFSET(BS!$B34,0,COLUMN(AX$4)-COLUMN($B$4)+1,1,1)-OFFSET(BS!$B34,0,COLUMN(AX$4)-COLUMN($B$4),1,1)</f>
        <v>-46761.97000000003</v>
      </c>
      <c r="AY83" s="52">
        <f ca="1">OFFSET(BS!$B34,0,COLUMN(AY$4)-COLUMN($B$4)+1,1,1)-OFFSET(BS!$B34,0,COLUMN(AY$4)-COLUMN($B$4),1,1)</f>
        <v>6497.0000000000073</v>
      </c>
      <c r="AZ83" s="52">
        <f ca="1">OFFSET(BS!$B34,0,COLUMN(AZ$4)-COLUMN($B$4)+1,1,1)-OFFSET(BS!$B34,0,COLUMN(AZ$4)-COLUMN($B$4),1,1)</f>
        <v>8897</v>
      </c>
      <c r="BA83" s="52">
        <f ca="1">OFFSET(BS!$B34,0,COLUMN(BA$4)-COLUMN($B$4)+1,1,1)-OFFSET(BS!$B34,0,COLUMN(BA$4)-COLUMN($B$4),1,1)</f>
        <v>6763.5</v>
      </c>
      <c r="BB83" s="52">
        <f ca="1">OFFSET(BS!$B34,0,COLUMN(BB$4)-COLUMN($B$4)+1,1,1)-OFFSET(BS!$B34,0,COLUMN(BB$4)-COLUMN($B$4),1,1)</f>
        <v>5374.4999999999927</v>
      </c>
      <c r="BC83" s="53">
        <f ca="1">SUM(OFFSET($B83,0,1,1,Assumptions!$C$8))</f>
        <v>6050.6999999999971</v>
      </c>
      <c r="BD83" s="53">
        <f ca="1">SUM(OFFSET($B83,0,1+Assumptions!$C$8,1,SUM(Assumptions!$C$9)))</f>
        <v>34679.125000000015</v>
      </c>
      <c r="BE83" s="53">
        <f ca="1">SUM(OFFSET($B83,0,1+SUM(Assumptions!$C$8:$C$9),1,SUM(Assumptions!$C$10)))</f>
        <v>-27930.575000000012</v>
      </c>
      <c r="BF83" s="53">
        <f ca="1">SUM(OFFSET($B83,0,1+SUM(Assumptions!$C$8:$C$10),1,SUM(Assumptions!$C$11)))</f>
        <v>23369.294999999998</v>
      </c>
      <c r="BG83" s="53">
        <f t="shared" ca="1" si="30"/>
        <v>36168.544999999998</v>
      </c>
    </row>
    <row r="84" spans="1:59" ht="16.149999999999999" customHeight="1" x14ac:dyDescent="0.3">
      <c r="A84" s="310" t="s">
        <v>192</v>
      </c>
      <c r="B84" s="56" t="s">
        <v>193</v>
      </c>
      <c r="C84" s="52">
        <f ca="1">OFFSET(BS!$B35,0,COLUMN(C$4)-COLUMN($B$4)+1,1,1)-OFFSET(BS!$B35,0,COLUMN(C$4)-COLUMN($B$4),1,1)</f>
        <v>-18840</v>
      </c>
      <c r="D84" s="52">
        <f ca="1">OFFSET(BS!$B35,0,COLUMN(D$4)-COLUMN($B$4)+1,1,1)-OFFSET(BS!$B35,0,COLUMN(D$4)-COLUMN($B$4),1,1)</f>
        <v>1160</v>
      </c>
      <c r="E84" s="52">
        <f ca="1">OFFSET(BS!$B35,0,COLUMN(E$4)-COLUMN($B$4)+1,1,1)-OFFSET(BS!$B35,0,COLUMN(E$4)-COLUMN($B$4),1,1)</f>
        <v>1160</v>
      </c>
      <c r="F84" s="52">
        <f ca="1">OFFSET(BS!$B35,0,COLUMN(F$4)-COLUMN($B$4)+1,1,1)-OFFSET(BS!$B35,0,COLUMN(F$4)-COLUMN($B$4),1,1)</f>
        <v>15160</v>
      </c>
      <c r="G84" s="52">
        <f ca="1">OFFSET(BS!$B35,0,COLUMN(G$4)-COLUMN($B$4)+1,1,1)-OFFSET(BS!$B35,0,COLUMN(G$4)-COLUMN($B$4),1,1)</f>
        <v>1160</v>
      </c>
      <c r="H84" s="52">
        <f ca="1">OFFSET(BS!$B35,0,COLUMN(H$4)-COLUMN($B$4)+1,1,1)-OFFSET(BS!$B35,0,COLUMN(H$4)-COLUMN($B$4),1,1)</f>
        <v>-18640</v>
      </c>
      <c r="I84" s="52">
        <f ca="1">OFFSET(BS!$B35,0,COLUMN(I$4)-COLUMN($B$4)+1,1,1)-OFFSET(BS!$B35,0,COLUMN(I$4)-COLUMN($B$4),1,1)</f>
        <v>1160</v>
      </c>
      <c r="J84" s="52">
        <f ca="1">OFFSET(BS!$B35,0,COLUMN(J$4)-COLUMN($B$4)+1,1,1)-OFFSET(BS!$B35,0,COLUMN(J$4)-COLUMN($B$4),1,1)</f>
        <v>1160</v>
      </c>
      <c r="K84" s="52">
        <f ca="1">OFFSET(BS!$B35,0,COLUMN(K$4)-COLUMN($B$4)+1,1,1)-OFFSET(BS!$B35,0,COLUMN(K$4)-COLUMN($B$4),1,1)</f>
        <v>15160</v>
      </c>
      <c r="L84" s="52">
        <f ca="1">OFFSET(BS!$B35,0,COLUMN(L$4)-COLUMN($B$4)+1,1,1)-OFFSET(BS!$B35,0,COLUMN(L$4)-COLUMN($B$4),1,1)</f>
        <v>-17480</v>
      </c>
      <c r="M84" s="52">
        <f ca="1">OFFSET(BS!$B35,0,COLUMN(M$4)-COLUMN($B$4)+1,1,1)-OFFSET(BS!$B35,0,COLUMN(M$4)-COLUMN($B$4),1,1)</f>
        <v>1160</v>
      </c>
      <c r="N84" s="52">
        <f ca="1">OFFSET(BS!$B35,0,COLUMN(N$4)-COLUMN($B$4)+1,1,1)-OFFSET(BS!$B35,0,COLUMN(N$4)-COLUMN($B$4),1,1)</f>
        <v>1160</v>
      </c>
      <c r="O84" s="52">
        <f ca="1">OFFSET(BS!$B35,0,COLUMN(O$4)-COLUMN($B$4)+1,1,1)-OFFSET(BS!$B35,0,COLUMN(O$4)-COLUMN($B$4),1,1)</f>
        <v>15160</v>
      </c>
      <c r="P84" s="52">
        <f ca="1">OFFSET(BS!$B35,0,COLUMN(P$4)-COLUMN($B$4)+1,1,1)-OFFSET(BS!$B35,0,COLUMN(P$4)-COLUMN($B$4),1,1)</f>
        <v>-17480</v>
      </c>
      <c r="Q84" s="52">
        <f ca="1">OFFSET(BS!$B35,0,COLUMN(Q$4)-COLUMN($B$4)+1,1,1)-OFFSET(BS!$B35,0,COLUMN(Q$4)-COLUMN($B$4),1,1)</f>
        <v>1160</v>
      </c>
      <c r="R84" s="52">
        <f ca="1">OFFSET(BS!$B35,0,COLUMN(R$4)-COLUMN($B$4)+1,1,1)-OFFSET(BS!$B35,0,COLUMN(R$4)-COLUMN($B$4),1,1)</f>
        <v>1160</v>
      </c>
      <c r="S84" s="52">
        <f ca="1">OFFSET(BS!$B35,0,COLUMN(S$4)-COLUMN($B$4)+1,1,1)-OFFSET(BS!$B35,0,COLUMN(S$4)-COLUMN($B$4),1,1)</f>
        <v>15160</v>
      </c>
      <c r="T84" s="52">
        <f ca="1">OFFSET(BS!$B35,0,COLUMN(T$4)-COLUMN($B$4)+1,1,1)-OFFSET(BS!$B35,0,COLUMN(T$4)-COLUMN($B$4),1,1)</f>
        <v>1160</v>
      </c>
      <c r="U84" s="52">
        <f ca="1">OFFSET(BS!$B35,0,COLUMN(U$4)-COLUMN($B$4)+1,1,1)-OFFSET(BS!$B35,0,COLUMN(U$4)-COLUMN($B$4),1,1)</f>
        <v>-18640</v>
      </c>
      <c r="V84" s="52">
        <f ca="1">OFFSET(BS!$B35,0,COLUMN(V$4)-COLUMN($B$4)+1,1,1)-OFFSET(BS!$B35,0,COLUMN(V$4)-COLUMN($B$4),1,1)</f>
        <v>1160</v>
      </c>
      <c r="W84" s="52">
        <f ca="1">OFFSET(BS!$B35,0,COLUMN(W$4)-COLUMN($B$4)+1,1,1)-OFFSET(BS!$B35,0,COLUMN(W$4)-COLUMN($B$4),1,1)</f>
        <v>1160</v>
      </c>
      <c r="X84" s="52">
        <f ca="1">OFFSET(BS!$B35,0,COLUMN(X$4)-COLUMN($B$4)+1,1,1)-OFFSET(BS!$B35,0,COLUMN(X$4)-COLUMN($B$4),1,1)</f>
        <v>15160</v>
      </c>
      <c r="Y84" s="52">
        <f ca="1">OFFSET(BS!$B35,0,COLUMN(Y$4)-COLUMN($B$4)+1,1,1)-OFFSET(BS!$B35,0,COLUMN(Y$4)-COLUMN($B$4),1,1)</f>
        <v>-17480</v>
      </c>
      <c r="Z84" s="52">
        <f ca="1">OFFSET(BS!$B35,0,COLUMN(Z$4)-COLUMN($B$4)+1,1,1)-OFFSET(BS!$B35,0,COLUMN(Z$4)-COLUMN($B$4),1,1)</f>
        <v>1160</v>
      </c>
      <c r="AA84" s="52">
        <f ca="1">OFFSET(BS!$B35,0,COLUMN(AA$4)-COLUMN($B$4)+1,1,1)-OFFSET(BS!$B35,0,COLUMN(AA$4)-COLUMN($B$4),1,1)</f>
        <v>1240</v>
      </c>
      <c r="AB84" s="52">
        <f ca="1">OFFSET(BS!$B35,0,COLUMN(AB$4)-COLUMN($B$4)+1,1,1)-OFFSET(BS!$B35,0,COLUMN(AB$4)-COLUMN($B$4),1,1)</f>
        <v>15240</v>
      </c>
      <c r="AC84" s="52">
        <f ca="1">OFFSET(BS!$B35,0,COLUMN(AC$4)-COLUMN($B$4)+1,1,1)-OFFSET(BS!$B35,0,COLUMN(AC$4)-COLUMN($B$4),1,1)</f>
        <v>1240</v>
      </c>
      <c r="AD84" s="52">
        <f ca="1">OFFSET(BS!$B35,0,COLUMN(AD$4)-COLUMN($B$4)+1,1,1)-OFFSET(BS!$B35,0,COLUMN(AD$4)-COLUMN($B$4),1,1)</f>
        <v>-18800</v>
      </c>
      <c r="AE84" s="52">
        <f ca="1">OFFSET(BS!$B35,0,COLUMN(AE$4)-COLUMN($B$4)+1,1,1)-OFFSET(BS!$B35,0,COLUMN(AE$4)-COLUMN($B$4),1,1)</f>
        <v>1240</v>
      </c>
      <c r="AF84" s="52">
        <f ca="1">OFFSET(BS!$B35,0,COLUMN(AF$4)-COLUMN($B$4)+1,1,1)-OFFSET(BS!$B35,0,COLUMN(AF$4)-COLUMN($B$4),1,1)</f>
        <v>1240</v>
      </c>
      <c r="AG84" s="52">
        <f ca="1">OFFSET(BS!$B35,0,COLUMN(AG$4)-COLUMN($B$4)+1,1,1)-OFFSET(BS!$B35,0,COLUMN(AG$4)-COLUMN($B$4),1,1)</f>
        <v>15240</v>
      </c>
      <c r="AH84" s="52">
        <f ca="1">OFFSET(BS!$B35,0,COLUMN(AH$4)-COLUMN($B$4)+1,1,1)-OFFSET(BS!$B35,0,COLUMN(AH$4)-COLUMN($B$4),1,1)</f>
        <v>-17720</v>
      </c>
      <c r="AI84" s="52">
        <f ca="1">OFFSET(BS!$B35,0,COLUMN(AI$4)-COLUMN($B$4)+1,1,1)-OFFSET(BS!$B35,0,COLUMN(AI$4)-COLUMN($B$4),1,1)</f>
        <v>1240</v>
      </c>
      <c r="AJ84" s="52">
        <f ca="1">OFFSET(BS!$B35,0,COLUMN(AJ$4)-COLUMN($B$4)+1,1,1)-OFFSET(BS!$B35,0,COLUMN(AJ$4)-COLUMN($B$4),1,1)</f>
        <v>1240</v>
      </c>
      <c r="AK84" s="52">
        <f ca="1">OFFSET(BS!$B35,0,COLUMN(AK$4)-COLUMN($B$4)+1,1,1)-OFFSET(BS!$B35,0,COLUMN(AK$4)-COLUMN($B$4),1,1)</f>
        <v>15240</v>
      </c>
      <c r="AL84" s="52">
        <f ca="1">OFFSET(BS!$B35,0,COLUMN(AL$4)-COLUMN($B$4)+1,1,1)-OFFSET(BS!$B35,0,COLUMN(AL$4)-COLUMN($B$4),1,1)</f>
        <v>-17720</v>
      </c>
      <c r="AM84" s="52">
        <f ca="1">OFFSET(BS!$B35,0,COLUMN(AM$4)-COLUMN($B$4)+1,1,1)-OFFSET(BS!$B35,0,COLUMN(AM$4)-COLUMN($B$4),1,1)</f>
        <v>1240</v>
      </c>
      <c r="AN84" s="52">
        <f ca="1">OFFSET(BS!$B35,0,COLUMN(AN$4)-COLUMN($B$4)+1,1,1)-OFFSET(BS!$B35,0,COLUMN(AN$4)-COLUMN($B$4),1,1)</f>
        <v>1240</v>
      </c>
      <c r="AO84" s="52">
        <f ca="1">OFFSET(BS!$B35,0,COLUMN(AO$4)-COLUMN($B$4)+1,1,1)-OFFSET(BS!$B35,0,COLUMN(AO$4)-COLUMN($B$4),1,1)</f>
        <v>15240</v>
      </c>
      <c r="AP84" s="52">
        <f ca="1">OFFSET(BS!$B35,0,COLUMN(AP$4)-COLUMN($B$4)+1,1,1)-OFFSET(BS!$B35,0,COLUMN(AP$4)-COLUMN($B$4),1,1)</f>
        <v>1240</v>
      </c>
      <c r="AQ84" s="52">
        <f ca="1">OFFSET(BS!$B35,0,COLUMN(AQ$4)-COLUMN($B$4)+1,1,1)-OFFSET(BS!$B35,0,COLUMN(AQ$4)-COLUMN($B$4),1,1)</f>
        <v>-18840</v>
      </c>
      <c r="AR84" s="52">
        <f ca="1">OFFSET(BS!$B35,0,COLUMN(AR$4)-COLUMN($B$4)+1,1,1)-OFFSET(BS!$B35,0,COLUMN(AR$4)-COLUMN($B$4),1,1)</f>
        <v>1360</v>
      </c>
      <c r="AS84" s="52">
        <f ca="1">OFFSET(BS!$B35,0,COLUMN(AS$4)-COLUMN($B$4)+1,1,1)-OFFSET(BS!$B35,0,COLUMN(AS$4)-COLUMN($B$4),1,1)</f>
        <v>16360</v>
      </c>
      <c r="AT84" s="52">
        <f ca="1">OFFSET(BS!$B35,0,COLUMN(AT$4)-COLUMN($B$4)+1,1,1)-OFFSET(BS!$B35,0,COLUMN(AT$4)-COLUMN($B$4),1,1)</f>
        <v>1360</v>
      </c>
      <c r="AU84" s="52">
        <f ca="1">OFFSET(BS!$B35,0,COLUMN(AU$4)-COLUMN($B$4)+1,1,1)-OFFSET(BS!$B35,0,COLUMN(AU$4)-COLUMN($B$4),1,1)</f>
        <v>-19080</v>
      </c>
      <c r="AV84" s="52">
        <f ca="1">OFFSET(BS!$B35,0,COLUMN(AV$4)-COLUMN($B$4)+1,1,1)-OFFSET(BS!$B35,0,COLUMN(AV$4)-COLUMN($B$4),1,1)</f>
        <v>1360</v>
      </c>
      <c r="AW84" s="52">
        <f ca="1">OFFSET(BS!$B35,0,COLUMN(AW$4)-COLUMN($B$4)+1,1,1)-OFFSET(BS!$B35,0,COLUMN(AW$4)-COLUMN($B$4),1,1)</f>
        <v>1360</v>
      </c>
      <c r="AX84" s="52">
        <f ca="1">OFFSET(BS!$B35,0,COLUMN(AX$4)-COLUMN($B$4)+1,1,1)-OFFSET(BS!$B35,0,COLUMN(AX$4)-COLUMN($B$4),1,1)</f>
        <v>15360</v>
      </c>
      <c r="AY84" s="52">
        <f ca="1">OFFSET(BS!$B35,0,COLUMN(AY$4)-COLUMN($B$4)+1,1,1)-OFFSET(BS!$B35,0,COLUMN(AY$4)-COLUMN($B$4),1,1)</f>
        <v>-18080</v>
      </c>
      <c r="AZ84" s="52">
        <f ca="1">OFFSET(BS!$B35,0,COLUMN(AZ$4)-COLUMN($B$4)+1,1,1)-OFFSET(BS!$B35,0,COLUMN(AZ$4)-COLUMN($B$4),1,1)</f>
        <v>1360</v>
      </c>
      <c r="BA84" s="52">
        <f ca="1">OFFSET(BS!$B35,0,COLUMN(BA$4)-COLUMN($B$4)+1,1,1)-OFFSET(BS!$B35,0,COLUMN(BA$4)-COLUMN($B$4),1,1)</f>
        <v>1360</v>
      </c>
      <c r="BB84" s="52">
        <f ca="1">OFFSET(BS!$B35,0,COLUMN(BB$4)-COLUMN($B$4)+1,1,1)-OFFSET(BS!$B35,0,COLUMN(BB$4)-COLUMN($B$4),1,1)</f>
        <v>15360</v>
      </c>
      <c r="BC84" s="53">
        <f ca="1">SUM(OFFSET($B84,0,1,1,Assumptions!$C$8))</f>
        <v>-1360</v>
      </c>
      <c r="BD84" s="53">
        <f ca="1">SUM(OFFSET($B84,0,1+Assumptions!$C$8,1,SUM(Assumptions!$C$9)))</f>
        <v>160</v>
      </c>
      <c r="BE84" s="53">
        <f ca="1">SUM(OFFSET($B84,0,1+SUM(Assumptions!$C$8:$C$9),1,SUM(Assumptions!$C$10)))</f>
        <v>160</v>
      </c>
      <c r="BF84" s="53">
        <f ca="1">SUM(OFFSET($B84,0,1+SUM(Assumptions!$C$8:$C$10),1,SUM(Assumptions!$C$11)))</f>
        <v>480</v>
      </c>
      <c r="BG84" s="53">
        <f t="shared" ca="1" si="30"/>
        <v>-560</v>
      </c>
    </row>
    <row r="85" spans="1:59" ht="16.149999999999999" customHeight="1" x14ac:dyDescent="0.3">
      <c r="A85" s="311" t="s">
        <v>133</v>
      </c>
      <c r="B85" s="56" t="s">
        <v>134</v>
      </c>
      <c r="C85" s="52">
        <v>-55000</v>
      </c>
      <c r="D85" s="52">
        <v>0</v>
      </c>
      <c r="E85" s="52">
        <v>0</v>
      </c>
      <c r="F85" s="52">
        <v>0</v>
      </c>
      <c r="G85" s="52">
        <v>0</v>
      </c>
      <c r="H85" s="52">
        <v>0</v>
      </c>
      <c r="I85" s="52">
        <v>0</v>
      </c>
      <c r="J85" s="52">
        <v>0</v>
      </c>
      <c r="K85" s="52">
        <v>0</v>
      </c>
      <c r="L85" s="52">
        <v>0</v>
      </c>
      <c r="M85" s="52">
        <v>0</v>
      </c>
      <c r="N85" s="52">
        <v>0</v>
      </c>
      <c r="O85" s="52">
        <v>0</v>
      </c>
      <c r="P85" s="52">
        <v>0</v>
      </c>
      <c r="Q85" s="52">
        <v>0</v>
      </c>
      <c r="R85" s="52">
        <v>0</v>
      </c>
      <c r="S85" s="52">
        <v>0</v>
      </c>
      <c r="T85" s="52">
        <v>0</v>
      </c>
      <c r="U85" s="52">
        <v>0</v>
      </c>
      <c r="V85" s="52">
        <v>0</v>
      </c>
      <c r="W85" s="52">
        <v>0</v>
      </c>
      <c r="X85" s="52">
        <v>0</v>
      </c>
      <c r="Y85" s="52">
        <v>0</v>
      </c>
      <c r="Z85" s="52">
        <v>0</v>
      </c>
      <c r="AA85" s="52">
        <v>0</v>
      </c>
      <c r="AB85" s="52">
        <v>0</v>
      </c>
      <c r="AC85" s="52">
        <v>0</v>
      </c>
      <c r="AD85" s="52">
        <v>0</v>
      </c>
      <c r="AE85" s="52">
        <v>0</v>
      </c>
      <c r="AF85" s="52">
        <v>0</v>
      </c>
      <c r="AG85" s="52">
        <v>0</v>
      </c>
      <c r="AH85" s="52">
        <v>0</v>
      </c>
      <c r="AI85" s="52">
        <v>0</v>
      </c>
      <c r="AJ85" s="52">
        <v>0</v>
      </c>
      <c r="AK85" s="52">
        <v>0</v>
      </c>
      <c r="AL85" s="52">
        <v>0</v>
      </c>
      <c r="AM85" s="52">
        <v>0</v>
      </c>
      <c r="AN85" s="52">
        <v>0</v>
      </c>
      <c r="AO85" s="52">
        <v>0</v>
      </c>
      <c r="AP85" s="52">
        <v>0</v>
      </c>
      <c r="AQ85" s="52">
        <v>0</v>
      </c>
      <c r="AR85" s="52">
        <v>0</v>
      </c>
      <c r="AS85" s="52">
        <v>0</v>
      </c>
      <c r="AT85" s="52">
        <v>0</v>
      </c>
      <c r="AU85" s="52">
        <v>0</v>
      </c>
      <c r="AV85" s="52">
        <v>0</v>
      </c>
      <c r="AW85" s="52">
        <v>0</v>
      </c>
      <c r="AX85" s="52">
        <v>0</v>
      </c>
      <c r="AY85" s="52">
        <v>0</v>
      </c>
      <c r="AZ85" s="52">
        <v>0</v>
      </c>
      <c r="BA85" s="52">
        <v>0</v>
      </c>
      <c r="BB85" s="52">
        <v>60000</v>
      </c>
      <c r="BC85" s="53">
        <f ca="1">SUM(OFFSET($B85,0,1,1,Assumptions!$C$8))</f>
        <v>-55000</v>
      </c>
      <c r="BD85" s="53">
        <f ca="1">SUM(OFFSET($B85,0,1+Assumptions!$C$8,1,SUM(Assumptions!$C$9)))</f>
        <v>0</v>
      </c>
      <c r="BE85" s="53">
        <f ca="1">SUM(OFFSET($B85,0,1+SUM(Assumptions!$C$8:$C$9),1,SUM(Assumptions!$C$10)))</f>
        <v>0</v>
      </c>
      <c r="BF85" s="53">
        <f ca="1">SUM(OFFSET($B85,0,1+SUM(Assumptions!$C$8:$C$10),1,SUM(Assumptions!$C$11)))</f>
        <v>60000</v>
      </c>
      <c r="BG85" s="53">
        <f t="shared" ca="1" si="30"/>
        <v>5000</v>
      </c>
    </row>
    <row r="86" spans="1:59" ht="16.149999999999999" customHeight="1" x14ac:dyDescent="0.3">
      <c r="A86" s="311" t="s">
        <v>135</v>
      </c>
      <c r="B86" s="56" t="s">
        <v>136</v>
      </c>
      <c r="C86" s="80">
        <v>-42000</v>
      </c>
      <c r="D86" s="80">
        <v>0</v>
      </c>
      <c r="E86" s="80">
        <v>0</v>
      </c>
      <c r="F86" s="80">
        <v>0</v>
      </c>
      <c r="G86" s="80">
        <v>0</v>
      </c>
      <c r="H86" s="80">
        <v>0</v>
      </c>
      <c r="I86" s="80">
        <v>0</v>
      </c>
      <c r="J86" s="80">
        <v>0</v>
      </c>
      <c r="K86" s="80">
        <v>0</v>
      </c>
      <c r="L86" s="80">
        <v>0</v>
      </c>
      <c r="M86" s="80">
        <v>0</v>
      </c>
      <c r="N86" s="80">
        <v>0</v>
      </c>
      <c r="O86" s="80">
        <v>0</v>
      </c>
      <c r="P86" s="80">
        <v>0</v>
      </c>
      <c r="Q86" s="80">
        <v>0</v>
      </c>
      <c r="R86" s="80">
        <v>0</v>
      </c>
      <c r="S86" s="80">
        <v>0</v>
      </c>
      <c r="T86" s="80">
        <v>0</v>
      </c>
      <c r="U86" s="80">
        <v>0</v>
      </c>
      <c r="V86" s="80">
        <v>0</v>
      </c>
      <c r="W86" s="80">
        <v>0</v>
      </c>
      <c r="X86" s="80">
        <v>0</v>
      </c>
      <c r="Y86" s="80">
        <v>0</v>
      </c>
      <c r="Z86" s="80">
        <v>0</v>
      </c>
      <c r="AA86" s="80">
        <v>0</v>
      </c>
      <c r="AB86" s="80">
        <v>0</v>
      </c>
      <c r="AC86" s="80">
        <v>0</v>
      </c>
      <c r="AD86" s="80">
        <v>0</v>
      </c>
      <c r="AE86" s="80">
        <v>0</v>
      </c>
      <c r="AF86" s="80">
        <v>0</v>
      </c>
      <c r="AG86" s="80">
        <v>0</v>
      </c>
      <c r="AH86" s="80">
        <v>0</v>
      </c>
      <c r="AI86" s="80">
        <v>0</v>
      </c>
      <c r="AJ86" s="80">
        <v>0</v>
      </c>
      <c r="AK86" s="80">
        <v>0</v>
      </c>
      <c r="AL86" s="80">
        <v>0</v>
      </c>
      <c r="AM86" s="80">
        <v>0</v>
      </c>
      <c r="AN86" s="80">
        <v>0</v>
      </c>
      <c r="AO86" s="80">
        <v>0</v>
      </c>
      <c r="AP86" s="80">
        <v>0</v>
      </c>
      <c r="AQ86" s="80">
        <v>0</v>
      </c>
      <c r="AR86" s="80">
        <v>0</v>
      </c>
      <c r="AS86" s="80">
        <v>0</v>
      </c>
      <c r="AT86" s="80">
        <v>0</v>
      </c>
      <c r="AU86" s="80">
        <v>0</v>
      </c>
      <c r="AV86" s="80">
        <v>0</v>
      </c>
      <c r="AW86" s="80">
        <v>0</v>
      </c>
      <c r="AX86" s="80">
        <v>0</v>
      </c>
      <c r="AY86" s="80">
        <v>0</v>
      </c>
      <c r="AZ86" s="80">
        <v>0</v>
      </c>
      <c r="BA86" s="80">
        <v>0</v>
      </c>
      <c r="BB86" s="80">
        <v>30000</v>
      </c>
      <c r="BC86" s="81">
        <f ca="1">SUM(OFFSET($B86,0,1,1,Assumptions!$C$8))</f>
        <v>-42000</v>
      </c>
      <c r="BD86" s="81">
        <f ca="1">SUM(OFFSET($B86,0,1+Assumptions!$C$8,1,SUM(Assumptions!$C$9)))</f>
        <v>0</v>
      </c>
      <c r="BE86" s="81">
        <f ca="1">SUM(OFFSET($B86,0,1+SUM(Assumptions!$C$8:$C$9),1,SUM(Assumptions!$C$10)))</f>
        <v>0</v>
      </c>
      <c r="BF86" s="81">
        <f ca="1">SUM(OFFSET($B86,0,1+SUM(Assumptions!$C$8:$C$10),1,SUM(Assumptions!$C$11)))</f>
        <v>30000</v>
      </c>
      <c r="BG86" s="81">
        <f ca="1">SUM(BC86:BF86)</f>
        <v>-12000</v>
      </c>
    </row>
    <row r="87" spans="1:59" ht="16.149999999999999" customHeight="1" x14ac:dyDescent="0.25">
      <c r="A87" s="309"/>
      <c r="B87" s="6" t="s">
        <v>61</v>
      </c>
      <c r="C87" s="82">
        <f ca="1">SUM(C70:C86)</f>
        <v>-89610.833333333343</v>
      </c>
      <c r="D87" s="82">
        <f t="shared" ref="D87:BG87" ca="1" si="31">SUM(D70:D86)</f>
        <v>60205.066666666695</v>
      </c>
      <c r="E87" s="82">
        <f t="shared" ca="1" si="31"/>
        <v>50699.523809523787</v>
      </c>
      <c r="F87" s="82">
        <f t="shared" ca="1" si="31"/>
        <v>-22371.881904761889</v>
      </c>
      <c r="G87" s="82">
        <f t="shared" ca="1" si="31"/>
        <v>39659.270476190446</v>
      </c>
      <c r="H87" s="82">
        <f t="shared" ca="1" si="31"/>
        <v>-13961.790476190465</v>
      </c>
      <c r="I87" s="82">
        <f t="shared" ca="1" si="31"/>
        <v>49884.630952380961</v>
      </c>
      <c r="J87" s="82">
        <f t="shared" ca="1" si="31"/>
        <v>42982.840476190438</v>
      </c>
      <c r="K87" s="82">
        <f t="shared" ca="1" si="31"/>
        <v>-6809.9749999999767</v>
      </c>
      <c r="L87" s="82">
        <f t="shared" ca="1" si="31"/>
        <v>-10609.558333333276</v>
      </c>
      <c r="M87" s="82">
        <f t="shared" ca="1" si="31"/>
        <v>35914.364285714269</v>
      </c>
      <c r="N87" s="82">
        <f t="shared" ca="1" si="31"/>
        <v>39297.571428571449</v>
      </c>
      <c r="O87" s="82">
        <f t="shared" ca="1" si="31"/>
        <v>-58648.988571428621</v>
      </c>
      <c r="P87" s="82">
        <f t="shared" ca="1" si="31"/>
        <v>4179.1023809524122</v>
      </c>
      <c r="Q87" s="82">
        <f t="shared" ca="1" si="31"/>
        <v>53608.364285714255</v>
      </c>
      <c r="R87" s="82">
        <f t="shared" ca="1" si="31"/>
        <v>26315.488095238114</v>
      </c>
      <c r="S87" s="82">
        <f t="shared" ca="1" si="31"/>
        <v>-19147.309523809497</v>
      </c>
      <c r="T87" s="82">
        <f t="shared" ca="1" si="31"/>
        <v>53192.804761904757</v>
      </c>
      <c r="U87" s="82">
        <f t="shared" ca="1" si="31"/>
        <v>4528.3499999999913</v>
      </c>
      <c r="V87" s="82">
        <f t="shared" ca="1" si="31"/>
        <v>49891.979761904797</v>
      </c>
      <c r="W87" s="82">
        <f t="shared" ca="1" si="31"/>
        <v>-7317.4321428571857</v>
      </c>
      <c r="X87" s="82">
        <f t="shared" ca="1" si="31"/>
        <v>4480.4749999999949</v>
      </c>
      <c r="Y87" s="82">
        <f t="shared" ca="1" si="31"/>
        <v>15984.773809523875</v>
      </c>
      <c r="Z87" s="82">
        <f t="shared" ca="1" si="31"/>
        <v>46048.011904761908</v>
      </c>
      <c r="AA87" s="82">
        <f t="shared" ca="1" si="31"/>
        <v>39852.850000000049</v>
      </c>
      <c r="AB87" s="82">
        <f t="shared" ca="1" si="31"/>
        <v>1002.8809523809468</v>
      </c>
      <c r="AC87" s="82">
        <f t="shared" ca="1" si="31"/>
        <v>19399.073809523798</v>
      </c>
      <c r="AD87" s="82">
        <f t="shared" ca="1" si="31"/>
        <v>34849.557142857084</v>
      </c>
      <c r="AE87" s="82">
        <f t="shared" ca="1" si="31"/>
        <v>38328.942857142858</v>
      </c>
      <c r="AF87" s="82">
        <f t="shared" ca="1" si="31"/>
        <v>3988.5750000000771</v>
      </c>
      <c r="AG87" s="82">
        <f t="shared" ca="1" si="31"/>
        <v>-6894.6666666667661</v>
      </c>
      <c r="AH87" s="82">
        <f t="shared" ca="1" si="31"/>
        <v>18462.357142857232</v>
      </c>
      <c r="AI87" s="82">
        <f t="shared" ca="1" si="31"/>
        <v>59307.060714285653</v>
      </c>
      <c r="AJ87" s="82">
        <f t="shared" ca="1" si="31"/>
        <v>47121.464285714312</v>
      </c>
      <c r="AK87" s="82">
        <f t="shared" ca="1" si="31"/>
        <v>-1050.4761904762418</v>
      </c>
      <c r="AL87" s="82">
        <f t="shared" ca="1" si="31"/>
        <v>14747.416666666744</v>
      </c>
      <c r="AM87" s="82">
        <f t="shared" ca="1" si="31"/>
        <v>40341.03571428571</v>
      </c>
      <c r="AN87" s="82">
        <f t="shared" ca="1" si="31"/>
        <v>57016.833333333285</v>
      </c>
      <c r="AO87" s="82">
        <f t="shared" ca="1" si="31"/>
        <v>-63831.639285714235</v>
      </c>
      <c r="AP87" s="82">
        <f t="shared" ca="1" si="31"/>
        <v>78458.178571428551</v>
      </c>
      <c r="AQ87" s="82">
        <f t="shared" ca="1" si="31"/>
        <v>22529.714285714326</v>
      </c>
      <c r="AR87" s="82">
        <f t="shared" ca="1" si="31"/>
        <v>22500.157142857097</v>
      </c>
      <c r="AS87" s="82">
        <f t="shared" ca="1" si="31"/>
        <v>17355.214285714203</v>
      </c>
      <c r="AT87" s="82">
        <f t="shared" ca="1" si="31"/>
        <v>77591.678571428667</v>
      </c>
      <c r="AU87" s="82">
        <f t="shared" ca="1" si="31"/>
        <v>20244.37142857138</v>
      </c>
      <c r="AV87" s="82">
        <f t="shared" ca="1" si="31"/>
        <v>56567.144285714327</v>
      </c>
      <c r="AW87" s="82">
        <f t="shared" ca="1" si="31"/>
        <v>10050.502380952472</v>
      </c>
      <c r="AX87" s="82">
        <f t="shared" ca="1" si="31"/>
        <v>-105534.18476190486</v>
      </c>
      <c r="AY87" s="82">
        <f t="shared" ca="1" si="31"/>
        <v>-31591.424999999959</v>
      </c>
      <c r="AZ87" s="82">
        <f t="shared" ca="1" si="31"/>
        <v>26735.46142857142</v>
      </c>
      <c r="BA87" s="82">
        <f t="shared" ca="1" si="31"/>
        <v>50351.803809523757</v>
      </c>
      <c r="BB87" s="82">
        <f t="shared" ca="1" si="31"/>
        <v>98704.788095238182</v>
      </c>
      <c r="BC87" s="83">
        <f t="shared" ca="1" si="31"/>
        <v>116630.24047619046</v>
      </c>
      <c r="BD87" s="83">
        <f t="shared" ca="1" si="31"/>
        <v>272620.33928571438</v>
      </c>
      <c r="BE87" s="83">
        <f t="shared" ca="1" si="31"/>
        <v>261785.5345238095</v>
      </c>
      <c r="BF87" s="83">
        <f t="shared" ca="1" si="31"/>
        <v>343963.40452380956</v>
      </c>
      <c r="BG87" s="83">
        <f t="shared" ca="1" si="31"/>
        <v>994999.5188095239</v>
      </c>
    </row>
    <row r="88" spans="1:59" ht="16.149999999999999" customHeight="1" x14ac:dyDescent="0.3">
      <c r="B88" s="12" t="s">
        <v>62</v>
      </c>
      <c r="C88" s="52">
        <f ca="1">-C71</f>
        <v>-10249.999999999998</v>
      </c>
      <c r="D88" s="52">
        <f t="shared" ref="D88:BG88" ca="1" si="32">-D71</f>
        <v>-4072.9166666666665</v>
      </c>
      <c r="E88" s="52">
        <f t="shared" ca="1" si="32"/>
        <v>0</v>
      </c>
      <c r="F88" s="52">
        <f t="shared" ca="1" si="32"/>
        <v>0</v>
      </c>
      <c r="G88" s="52">
        <f t="shared" ca="1" si="32"/>
        <v>-3854.1666666666665</v>
      </c>
      <c r="H88" s="52">
        <f t="shared" ca="1" si="32"/>
        <v>-14206.365031942376</v>
      </c>
      <c r="I88" s="52">
        <f t="shared" ca="1" si="32"/>
        <v>0</v>
      </c>
      <c r="J88" s="52">
        <f t="shared" ca="1" si="32"/>
        <v>0</v>
      </c>
      <c r="K88" s="52">
        <f t="shared" ca="1" si="32"/>
        <v>-3826.9104361872446</v>
      </c>
      <c r="L88" s="52">
        <f t="shared" ca="1" si="32"/>
        <v>-10150.927891749021</v>
      </c>
      <c r="M88" s="52">
        <f t="shared" ca="1" si="32"/>
        <v>-3937.8199329212807</v>
      </c>
      <c r="N88" s="52">
        <f t="shared" ca="1" si="32"/>
        <v>0</v>
      </c>
      <c r="O88" s="52">
        <f t="shared" ca="1" si="32"/>
        <v>-3799.4441055978764</v>
      </c>
      <c r="P88" s="52">
        <f t="shared" ca="1" si="32"/>
        <v>-10100.756257234016</v>
      </c>
      <c r="Q88" s="52">
        <f t="shared" ca="1" si="32"/>
        <v>-3869.2990147556284</v>
      </c>
      <c r="R88" s="52">
        <f t="shared" ca="1" si="32"/>
        <v>0</v>
      </c>
      <c r="S88" s="52">
        <f t="shared" ca="1" si="32"/>
        <v>0</v>
      </c>
      <c r="T88" s="52">
        <f t="shared" ca="1" si="32"/>
        <v>-3771.7660553768819</v>
      </c>
      <c r="U88" s="52">
        <f t="shared" ca="1" si="32"/>
        <v>-13850.277511131748</v>
      </c>
      <c r="V88" s="52">
        <f t="shared" ca="1" si="32"/>
        <v>0</v>
      </c>
      <c r="W88" s="52">
        <f t="shared" ca="1" si="32"/>
        <v>0</v>
      </c>
      <c r="X88" s="52">
        <f t="shared" ca="1" si="32"/>
        <v>-3743.8746535187674</v>
      </c>
      <c r="Y88" s="52">
        <f t="shared" ca="1" si="32"/>
        <v>-9999.123679543618</v>
      </c>
      <c r="Z88" s="52">
        <f t="shared" ca="1" si="32"/>
        <v>-3730.2809090469018</v>
      </c>
      <c r="AA88" s="52">
        <f t="shared" ca="1" si="32"/>
        <v>0</v>
      </c>
      <c r="AB88" s="52">
        <f t="shared" ca="1" si="32"/>
        <v>0</v>
      </c>
      <c r="AC88" s="52">
        <f t="shared" ca="1" si="32"/>
        <v>-14434.256972820687</v>
      </c>
      <c r="AD88" s="52">
        <f t="shared" ca="1" si="32"/>
        <v>-3659.7710752357866</v>
      </c>
      <c r="AE88" s="52">
        <f t="shared" ca="1" si="32"/>
        <v>0</v>
      </c>
      <c r="AF88" s="52">
        <f t="shared" ca="1" si="32"/>
        <v>0</v>
      </c>
      <c r="AG88" s="52">
        <f t="shared" ca="1" si="32"/>
        <v>-4452.8272911094691</v>
      </c>
      <c r="AH88" s="52">
        <f t="shared" ca="1" si="32"/>
        <v>-13484.332985715062</v>
      </c>
      <c r="AI88" s="52">
        <f t="shared" ca="1" si="32"/>
        <v>0</v>
      </c>
      <c r="AJ88" s="52">
        <f t="shared" ca="1" si="32"/>
        <v>0</v>
      </c>
      <c r="AK88" s="52">
        <f t="shared" ca="1" si="32"/>
        <v>-4418.7926499031319</v>
      </c>
      <c r="AL88" s="52">
        <f t="shared" ca="1" si="32"/>
        <v>-9843.3961628583802</v>
      </c>
      <c r="AM88" s="52">
        <f t="shared" ca="1" si="32"/>
        <v>-3516.7177742487625</v>
      </c>
      <c r="AN88" s="52">
        <f t="shared" ca="1" si="32"/>
        <v>0</v>
      </c>
      <c r="AO88" s="52">
        <f t="shared" ca="1" si="32"/>
        <v>0</v>
      </c>
      <c r="AP88" s="52">
        <f t="shared" ca="1" si="32"/>
        <v>-14175.093353163258</v>
      </c>
      <c r="AQ88" s="52">
        <f t="shared" ca="1" si="32"/>
        <v>-3444.1612937291648</v>
      </c>
      <c r="AR88" s="52">
        <f t="shared" ca="1" si="32"/>
        <v>0</v>
      </c>
      <c r="AS88" s="52">
        <f t="shared" ca="1" si="32"/>
        <v>0</v>
      </c>
      <c r="AT88" s="52">
        <f t="shared" ca="1" si="32"/>
        <v>-4349.9342941285386</v>
      </c>
      <c r="AU88" s="52">
        <f t="shared" ca="1" si="32"/>
        <v>-9737.3482398787055</v>
      </c>
      <c r="AV88" s="52">
        <f t="shared" ca="1" si="32"/>
        <v>-3370.9094802712548</v>
      </c>
      <c r="AW88" s="52">
        <f t="shared" ca="1" si="32"/>
        <v>0</v>
      </c>
      <c r="AX88" s="52">
        <f t="shared" ca="1" si="32"/>
        <v>-4315.1065194038065</v>
      </c>
      <c r="AY88" s="52">
        <f t="shared" ca="1" si="32"/>
        <v>-12183.643945837308</v>
      </c>
      <c r="AZ88" s="52">
        <f t="shared" ca="1" si="32"/>
        <v>-3296.9556702677055</v>
      </c>
      <c r="BA88" s="52">
        <f t="shared" ca="1" si="32"/>
        <v>0</v>
      </c>
      <c r="BB88" s="52">
        <f t="shared" ca="1" si="32"/>
        <v>0</v>
      </c>
      <c r="BC88" s="53">
        <f t="shared" ca="1" si="32"/>
        <v>-54098.550731731128</v>
      </c>
      <c r="BD88" s="53">
        <f t="shared" ca="1" si="32"/>
        <v>-49065.378080607559</v>
      </c>
      <c r="BE88" s="53">
        <f t="shared" ca="1" si="32"/>
        <v>-53810.094911891276</v>
      </c>
      <c r="BF88" s="53">
        <f t="shared" ca="1" si="32"/>
        <v>-54873.152796679744</v>
      </c>
      <c r="BG88" s="53">
        <f t="shared" ca="1" si="32"/>
        <v>-211847.17652090971</v>
      </c>
    </row>
    <row r="89" spans="1:59" ht="16.149999999999999" customHeight="1" x14ac:dyDescent="0.3">
      <c r="B89" s="12" t="s">
        <v>63</v>
      </c>
      <c r="C89" s="52">
        <f ca="1">OFFSET(BS!$B$37,0,COLUMN(C$68)-COLUMN($B$68)+1,1,1)-OFFSET(BS!$B$37,0,COLUMN(C$68)-COLUMN($B$68),1,1)-C72</f>
        <v>0</v>
      </c>
      <c r="D89" s="52">
        <f ca="1">OFFSET(BS!$B$37,0,COLUMN(D$68)-COLUMN($B$68)+1,1,1)-OFFSET(BS!$B$37,0,COLUMN(D$68)-COLUMN($B$68),1,1)-D72</f>
        <v>0</v>
      </c>
      <c r="E89" s="52">
        <f ca="1">OFFSET(BS!$B$37,0,COLUMN(E$68)-COLUMN($B$68)+1,1,1)-OFFSET(BS!$B$37,0,COLUMN(E$68)-COLUMN($B$68),1,1)-E72</f>
        <v>0</v>
      </c>
      <c r="F89" s="52">
        <f ca="1">OFFSET(BS!$B$37,0,COLUMN(F$68)-COLUMN($B$68)+1,1,1)-OFFSET(BS!$B$37,0,COLUMN(F$68)-COLUMN($B$68),1,1)-F72</f>
        <v>0</v>
      </c>
      <c r="G89" s="52">
        <f ca="1">OFFSET(BS!$B$37,0,COLUMN(G$68)-COLUMN($B$68)+1,1,1)-OFFSET(BS!$B$37,0,COLUMN(G$68)-COLUMN($B$68),1,1)-G72</f>
        <v>0</v>
      </c>
      <c r="H89" s="52">
        <f ca="1">OFFSET(BS!$B$37,0,COLUMN(H$68)-COLUMN($B$68)+1,1,1)-OFFSET(BS!$B$37,0,COLUMN(H$68)-COLUMN($B$68),1,1)-H72</f>
        <v>0</v>
      </c>
      <c r="I89" s="52">
        <f ca="1">OFFSET(BS!$B$37,0,COLUMN(I$68)-COLUMN($B$68)+1,1,1)-OFFSET(BS!$B$37,0,COLUMN(I$68)-COLUMN($B$68),1,1)-I72</f>
        <v>0</v>
      </c>
      <c r="J89" s="52">
        <f ca="1">OFFSET(BS!$B$37,0,COLUMN(J$68)-COLUMN($B$68)+1,1,1)-OFFSET(BS!$B$37,0,COLUMN(J$68)-COLUMN($B$68),1,1)-J72</f>
        <v>0</v>
      </c>
      <c r="K89" s="52">
        <f ca="1">OFFSET(BS!$B$37,0,COLUMN(K$68)-COLUMN($B$68)+1,1,1)-OFFSET(BS!$B$37,0,COLUMN(K$68)-COLUMN($B$68),1,1)-K72</f>
        <v>0</v>
      </c>
      <c r="L89" s="52">
        <f ca="1">OFFSET(BS!$B$37,0,COLUMN(L$68)-COLUMN($B$68)+1,1,1)-OFFSET(BS!$B$37,0,COLUMN(L$68)-COLUMN($B$68),1,1)-L72</f>
        <v>0</v>
      </c>
      <c r="M89" s="52">
        <f ca="1">OFFSET(BS!$B$37,0,COLUMN(M$68)-COLUMN($B$68)+1,1,1)-OFFSET(BS!$B$37,0,COLUMN(M$68)-COLUMN($B$68),1,1)-M72</f>
        <v>0</v>
      </c>
      <c r="N89" s="52">
        <f ca="1">OFFSET(BS!$B$37,0,COLUMN(N$68)-COLUMN($B$68)+1,1,1)-OFFSET(BS!$B$37,0,COLUMN(N$68)-COLUMN($B$68),1,1)-N72</f>
        <v>0</v>
      </c>
      <c r="O89" s="52">
        <f ca="1">OFFSET(BS!$B$37,0,COLUMN(O$68)-COLUMN($B$68)+1,1,1)-OFFSET(BS!$B$37,0,COLUMN(O$68)-COLUMN($B$68),1,1)-O72</f>
        <v>0</v>
      </c>
      <c r="P89" s="52">
        <f ca="1">OFFSET(BS!$B$37,0,COLUMN(P$68)-COLUMN($B$68)+1,1,1)-OFFSET(BS!$B$37,0,COLUMN(P$68)-COLUMN($B$68),1,1)-P72</f>
        <v>0</v>
      </c>
      <c r="Q89" s="52">
        <f ca="1">OFFSET(BS!$B$37,0,COLUMN(Q$68)-COLUMN($B$68)+1,1,1)-OFFSET(BS!$B$37,0,COLUMN(Q$68)-COLUMN($B$68),1,1)-Q72</f>
        <v>0</v>
      </c>
      <c r="R89" s="52">
        <f ca="1">OFFSET(BS!$B$37,0,COLUMN(R$68)-COLUMN($B$68)+1,1,1)-OFFSET(BS!$B$37,0,COLUMN(R$68)-COLUMN($B$68),1,1)-R72</f>
        <v>0</v>
      </c>
      <c r="S89" s="52">
        <f ca="1">OFFSET(BS!$B$37,0,COLUMN(S$68)-COLUMN($B$68)+1,1,1)-OFFSET(BS!$B$37,0,COLUMN(S$68)-COLUMN($B$68),1,1)-S72</f>
        <v>0</v>
      </c>
      <c r="T89" s="52">
        <f ca="1">OFFSET(BS!$B$37,0,COLUMN(T$68)-COLUMN($B$68)+1,1,1)-OFFSET(BS!$B$37,0,COLUMN(T$68)-COLUMN($B$68),1,1)-T72</f>
        <v>0</v>
      </c>
      <c r="U89" s="52">
        <f ca="1">OFFSET(BS!$B$37,0,COLUMN(U$68)-COLUMN($B$68)+1,1,1)-OFFSET(BS!$B$37,0,COLUMN(U$68)-COLUMN($B$68),1,1)-U72</f>
        <v>0</v>
      </c>
      <c r="V89" s="52">
        <f ca="1">OFFSET(BS!$B$37,0,COLUMN(V$68)-COLUMN($B$68)+1,1,1)-OFFSET(BS!$B$37,0,COLUMN(V$68)-COLUMN($B$68),1,1)-V72</f>
        <v>0</v>
      </c>
      <c r="W89" s="52">
        <f ca="1">OFFSET(BS!$B$37,0,COLUMN(W$68)-COLUMN($B$68)+1,1,1)-OFFSET(BS!$B$37,0,COLUMN(W$68)-COLUMN($B$68),1,1)-W72</f>
        <v>0</v>
      </c>
      <c r="X89" s="52">
        <f ca="1">OFFSET(BS!$B$37,0,COLUMN(X$68)-COLUMN($B$68)+1,1,1)-OFFSET(BS!$B$37,0,COLUMN(X$68)-COLUMN($B$68),1,1)-X72</f>
        <v>0</v>
      </c>
      <c r="Y89" s="52">
        <f ca="1">OFFSET(BS!$B$37,0,COLUMN(Y$68)-COLUMN($B$68)+1,1,1)-OFFSET(BS!$B$37,0,COLUMN(Y$68)-COLUMN($B$68),1,1)-Y72</f>
        <v>0</v>
      </c>
      <c r="Z89" s="52">
        <f ca="1">OFFSET(BS!$B$37,0,COLUMN(Z$68)-COLUMN($B$68)+1,1,1)-OFFSET(BS!$B$37,0,COLUMN(Z$68)-COLUMN($B$68),1,1)-Z72</f>
        <v>0</v>
      </c>
      <c r="AA89" s="52">
        <f ca="1">OFFSET(BS!$B$37,0,COLUMN(AA$68)-COLUMN($B$68)+1,1,1)-OFFSET(BS!$B$37,0,COLUMN(AA$68)-COLUMN($B$68),1,1)-AA72</f>
        <v>0</v>
      </c>
      <c r="AB89" s="52">
        <f ca="1">OFFSET(BS!$B$37,0,COLUMN(AB$68)-COLUMN($B$68)+1,1,1)-OFFSET(BS!$B$37,0,COLUMN(AB$68)-COLUMN($B$68),1,1)-AB72</f>
        <v>-71028.851932545193</v>
      </c>
      <c r="AC89" s="52">
        <f ca="1">OFFSET(BS!$B$37,0,COLUMN(AC$68)-COLUMN($B$68)+1,1,1)-OFFSET(BS!$B$37,0,COLUMN(AC$68)-COLUMN($B$68),1,1)-AC72</f>
        <v>-16145.080000000002</v>
      </c>
      <c r="AD89" s="52">
        <f ca="1">OFFSET(BS!$B$37,0,COLUMN(AD$68)-COLUMN($B$68)+1,1,1)-OFFSET(BS!$B$37,0,COLUMN(AD$68)-COLUMN($B$68),1,1)-AD72</f>
        <v>0</v>
      </c>
      <c r="AE89" s="52">
        <f ca="1">OFFSET(BS!$B$37,0,COLUMN(AE$68)-COLUMN($B$68)+1,1,1)-OFFSET(BS!$B$37,0,COLUMN(AE$68)-COLUMN($B$68),1,1)-AE72</f>
        <v>0</v>
      </c>
      <c r="AF89" s="52">
        <f ca="1">OFFSET(BS!$B$37,0,COLUMN(AF$68)-COLUMN($B$68)+1,1,1)-OFFSET(BS!$B$37,0,COLUMN(AF$68)-COLUMN($B$68),1,1)-AF72</f>
        <v>0</v>
      </c>
      <c r="AG89" s="52">
        <f ca="1">OFFSET(BS!$B$37,0,COLUMN(AG$68)-COLUMN($B$68)+1,1,1)-OFFSET(BS!$B$37,0,COLUMN(AG$68)-COLUMN($B$68),1,1)-AG72</f>
        <v>0</v>
      </c>
      <c r="AH89" s="52">
        <f ca="1">OFFSET(BS!$B$37,0,COLUMN(AH$68)-COLUMN($B$68)+1,1,1)-OFFSET(BS!$B$37,0,COLUMN(AH$68)-COLUMN($B$68),1,1)-AH72</f>
        <v>0</v>
      </c>
      <c r="AI89" s="52">
        <f ca="1">OFFSET(BS!$B$37,0,COLUMN(AI$68)-COLUMN($B$68)+1,1,1)-OFFSET(BS!$B$37,0,COLUMN(AI$68)-COLUMN($B$68),1,1)-AI72</f>
        <v>0</v>
      </c>
      <c r="AJ89" s="52">
        <f ca="1">OFFSET(BS!$B$37,0,COLUMN(AJ$68)-COLUMN($B$68)+1,1,1)-OFFSET(BS!$B$37,0,COLUMN(AJ$68)-COLUMN($B$68),1,1)-AJ72</f>
        <v>0</v>
      </c>
      <c r="AK89" s="52">
        <f ca="1">OFFSET(BS!$B$37,0,COLUMN(AK$68)-COLUMN($B$68)+1,1,1)-OFFSET(BS!$B$37,0,COLUMN(AK$68)-COLUMN($B$68),1,1)-AK72</f>
        <v>0</v>
      </c>
      <c r="AL89" s="52">
        <f ca="1">OFFSET(BS!$B$37,0,COLUMN(AL$68)-COLUMN($B$68)+1,1,1)-OFFSET(BS!$B$37,0,COLUMN(AL$68)-COLUMN($B$68),1,1)-AL72</f>
        <v>0</v>
      </c>
      <c r="AM89" s="52">
        <f ca="1">OFFSET(BS!$B$37,0,COLUMN(AM$68)-COLUMN($B$68)+1,1,1)-OFFSET(BS!$B$37,0,COLUMN(AM$68)-COLUMN($B$68),1,1)-AM72</f>
        <v>0</v>
      </c>
      <c r="AN89" s="52">
        <f ca="1">OFFSET(BS!$B$37,0,COLUMN(AN$68)-COLUMN($B$68)+1,1,1)-OFFSET(BS!$B$37,0,COLUMN(AN$68)-COLUMN($B$68),1,1)-AN72</f>
        <v>0</v>
      </c>
      <c r="AO89" s="52">
        <f ca="1">OFFSET(BS!$B$37,0,COLUMN(AO$68)-COLUMN($B$68)+1,1,1)-OFFSET(BS!$B$37,0,COLUMN(AO$68)-COLUMN($B$68),1,1)-AO72</f>
        <v>0</v>
      </c>
      <c r="AP89" s="52">
        <f ca="1">OFFSET(BS!$B$37,0,COLUMN(AP$68)-COLUMN($B$68)+1,1,1)-OFFSET(BS!$B$37,0,COLUMN(AP$68)-COLUMN($B$68),1,1)-AP72</f>
        <v>0</v>
      </c>
      <c r="AQ89" s="52">
        <f ca="1">OFFSET(BS!$B$37,0,COLUMN(AQ$68)-COLUMN($B$68)+1,1,1)-OFFSET(BS!$B$37,0,COLUMN(AQ$68)-COLUMN($B$68),1,1)-AQ72</f>
        <v>0</v>
      </c>
      <c r="AR89" s="52">
        <f ca="1">OFFSET(BS!$B$37,0,COLUMN(AR$68)-COLUMN($B$68)+1,1,1)-OFFSET(BS!$B$37,0,COLUMN(AR$68)-COLUMN($B$68),1,1)-AR72</f>
        <v>0</v>
      </c>
      <c r="AS89" s="52">
        <f ca="1">OFFSET(BS!$B$37,0,COLUMN(AS$68)-COLUMN($B$68)+1,1,1)-OFFSET(BS!$B$37,0,COLUMN(AS$68)-COLUMN($B$68),1,1)-AS72</f>
        <v>0</v>
      </c>
      <c r="AT89" s="52">
        <f ca="1">OFFSET(BS!$B$37,0,COLUMN(AT$68)-COLUMN($B$68)+1,1,1)-OFFSET(BS!$B$37,0,COLUMN(AT$68)-COLUMN($B$68),1,1)-AT72</f>
        <v>0</v>
      </c>
      <c r="AU89" s="52">
        <f ca="1">OFFSET(BS!$B$37,0,COLUMN(AU$68)-COLUMN($B$68)+1,1,1)-OFFSET(BS!$B$37,0,COLUMN(AU$68)-COLUMN($B$68),1,1)-AU72</f>
        <v>0</v>
      </c>
      <c r="AV89" s="52">
        <f ca="1">OFFSET(BS!$B$37,0,COLUMN(AV$68)-COLUMN($B$68)+1,1,1)-OFFSET(BS!$B$37,0,COLUMN(AV$68)-COLUMN($B$68),1,1)-AV72</f>
        <v>0</v>
      </c>
      <c r="AW89" s="52">
        <f ca="1">OFFSET(BS!$B$37,0,COLUMN(AW$68)-COLUMN($B$68)+1,1,1)-OFFSET(BS!$B$37,0,COLUMN(AW$68)-COLUMN($B$68),1,1)-AW72</f>
        <v>0</v>
      </c>
      <c r="AX89" s="52">
        <f ca="1">OFFSET(BS!$B$37,0,COLUMN(AX$68)-COLUMN($B$68)+1,1,1)-OFFSET(BS!$B$37,0,COLUMN(AX$68)-COLUMN($B$68),1,1)-AX72</f>
        <v>0</v>
      </c>
      <c r="AY89" s="52">
        <f ca="1">OFFSET(BS!$B$37,0,COLUMN(AY$68)-COLUMN($B$68)+1,1,1)-OFFSET(BS!$B$37,0,COLUMN(AY$68)-COLUMN($B$68),1,1)-AY72</f>
        <v>0</v>
      </c>
      <c r="AZ89" s="52">
        <f ca="1">OFFSET(BS!$B$37,0,COLUMN(AZ$68)-COLUMN($B$68)+1,1,1)-OFFSET(BS!$B$37,0,COLUMN(AZ$68)-COLUMN($B$68),1,1)-AZ72</f>
        <v>0</v>
      </c>
      <c r="BA89" s="52">
        <f ca="1">OFFSET(BS!$B$37,0,COLUMN(BA$68)-COLUMN($B$68)+1,1,1)-OFFSET(BS!$B$37,0,COLUMN(BA$68)-COLUMN($B$68),1,1)-BA72</f>
        <v>0</v>
      </c>
      <c r="BB89" s="52">
        <f ca="1">OFFSET(BS!$B$37,0,COLUMN(BB$68)-COLUMN($B$68)+1,1,1)-OFFSET(BS!$B$37,0,COLUMN(BB$68)-COLUMN($B$68),1,1)-BB72</f>
        <v>-79143.031974933445</v>
      </c>
      <c r="BC89" s="53">
        <f ca="1">SUM(OFFSET($B89,0,1,1,Assumptions!$C$8))</f>
        <v>0</v>
      </c>
      <c r="BD89" s="53">
        <f ca="1">SUM(OFFSET($B89,0,1+Assumptions!$C$8,1,SUM(Assumptions!$C$9)))</f>
        <v>-71028.851932545193</v>
      </c>
      <c r="BE89" s="53">
        <f ca="1">SUM(OFFSET($B89,0,1+SUM(Assumptions!$C$8:$C$9),1,SUM(Assumptions!$C$10)))</f>
        <v>-16145.080000000002</v>
      </c>
      <c r="BF89" s="53">
        <f ca="1">SUM(OFFSET($B89,0,1+SUM(Assumptions!$C$8:$C$10),1,SUM(Assumptions!$C$11)))</f>
        <v>-79143.031974933445</v>
      </c>
      <c r="BG89" s="53">
        <f ca="1">SUM(BC89:BF89)</f>
        <v>-166316.96390747864</v>
      </c>
    </row>
    <row r="90" spans="1:59" ht="16.149999999999999" customHeight="1" thickBot="1" x14ac:dyDescent="0.35">
      <c r="B90" s="6" t="s">
        <v>64</v>
      </c>
      <c r="C90" s="84">
        <f ca="1">SUM(C87:C89)</f>
        <v>-99860.833333333343</v>
      </c>
      <c r="D90" s="84">
        <f t="shared" ref="D90:BG90" ca="1" si="33">SUM(D87:D89)</f>
        <v>56132.150000000031</v>
      </c>
      <c r="E90" s="84">
        <f t="shared" ca="1" si="33"/>
        <v>50699.523809523787</v>
      </c>
      <c r="F90" s="84">
        <f t="shared" ca="1" si="33"/>
        <v>-22371.881904761889</v>
      </c>
      <c r="G90" s="84">
        <f t="shared" ca="1" si="33"/>
        <v>35805.103809523782</v>
      </c>
      <c r="H90" s="84">
        <f t="shared" ca="1" si="33"/>
        <v>-28168.155508132841</v>
      </c>
      <c r="I90" s="84">
        <f t="shared" ca="1" si="33"/>
        <v>49884.630952380961</v>
      </c>
      <c r="J90" s="84">
        <f t="shared" ca="1" si="33"/>
        <v>42982.840476190438</v>
      </c>
      <c r="K90" s="84">
        <f t="shared" ca="1" si="33"/>
        <v>-10636.885436187222</v>
      </c>
      <c r="L90" s="84">
        <f t="shared" ca="1" si="33"/>
        <v>-20760.486225082299</v>
      </c>
      <c r="M90" s="84">
        <f t="shared" ca="1" si="33"/>
        <v>31976.544352792989</v>
      </c>
      <c r="N90" s="84">
        <f t="shared" ca="1" si="33"/>
        <v>39297.571428571449</v>
      </c>
      <c r="O90" s="84">
        <f t="shared" ca="1" si="33"/>
        <v>-62448.432677026496</v>
      </c>
      <c r="P90" s="84">
        <f t="shared" ca="1" si="33"/>
        <v>-5921.6538762816035</v>
      </c>
      <c r="Q90" s="84">
        <f t="shared" ca="1" si="33"/>
        <v>49739.065270958628</v>
      </c>
      <c r="R90" s="84">
        <f t="shared" ca="1" si="33"/>
        <v>26315.488095238114</v>
      </c>
      <c r="S90" s="84">
        <f t="shared" ca="1" si="33"/>
        <v>-19147.309523809497</v>
      </c>
      <c r="T90" s="84">
        <f t="shared" ca="1" si="33"/>
        <v>49421.038706527877</v>
      </c>
      <c r="U90" s="84">
        <f t="shared" ca="1" si="33"/>
        <v>-9321.9275111317565</v>
      </c>
      <c r="V90" s="84">
        <f t="shared" ca="1" si="33"/>
        <v>49891.979761904797</v>
      </c>
      <c r="W90" s="84">
        <f t="shared" ca="1" si="33"/>
        <v>-7317.4321428571857</v>
      </c>
      <c r="X90" s="84">
        <f t="shared" ca="1" si="33"/>
        <v>736.60034648122746</v>
      </c>
      <c r="Y90" s="84">
        <f t="shared" ca="1" si="33"/>
        <v>5985.6501299802567</v>
      </c>
      <c r="Z90" s="84">
        <f t="shared" ca="1" si="33"/>
        <v>42317.730995715006</v>
      </c>
      <c r="AA90" s="84">
        <f t="shared" ca="1" si="33"/>
        <v>39852.850000000049</v>
      </c>
      <c r="AB90" s="84">
        <f t="shared" ca="1" si="33"/>
        <v>-70025.970980164246</v>
      </c>
      <c r="AC90" s="84">
        <f t="shared" ca="1" si="33"/>
        <v>-11180.263163296891</v>
      </c>
      <c r="AD90" s="84">
        <f t="shared" ca="1" si="33"/>
        <v>31189.786067621299</v>
      </c>
      <c r="AE90" s="84">
        <f t="shared" ca="1" si="33"/>
        <v>38328.942857142858</v>
      </c>
      <c r="AF90" s="84">
        <f t="shared" ca="1" si="33"/>
        <v>3988.5750000000771</v>
      </c>
      <c r="AG90" s="84">
        <f t="shared" ca="1" si="33"/>
        <v>-11347.493957776234</v>
      </c>
      <c r="AH90" s="84">
        <f t="shared" ca="1" si="33"/>
        <v>4978.0241571421702</v>
      </c>
      <c r="AI90" s="84">
        <f t="shared" ca="1" si="33"/>
        <v>59307.060714285653</v>
      </c>
      <c r="AJ90" s="84">
        <f t="shared" ca="1" si="33"/>
        <v>47121.464285714312</v>
      </c>
      <c r="AK90" s="84">
        <f t="shared" ca="1" si="33"/>
        <v>-5469.2688403793736</v>
      </c>
      <c r="AL90" s="84">
        <f t="shared" ca="1" si="33"/>
        <v>4904.0205038083641</v>
      </c>
      <c r="AM90" s="84">
        <f t="shared" ca="1" si="33"/>
        <v>36824.317940036948</v>
      </c>
      <c r="AN90" s="84">
        <f t="shared" ca="1" si="33"/>
        <v>57016.833333333285</v>
      </c>
      <c r="AO90" s="84">
        <f t="shared" ca="1" si="33"/>
        <v>-63831.639285714235</v>
      </c>
      <c r="AP90" s="84">
        <f t="shared" ca="1" si="33"/>
        <v>64283.085218265289</v>
      </c>
      <c r="AQ90" s="84">
        <f t="shared" ca="1" si="33"/>
        <v>19085.552991985161</v>
      </c>
      <c r="AR90" s="84">
        <f t="shared" ca="1" si="33"/>
        <v>22500.157142857097</v>
      </c>
      <c r="AS90" s="84">
        <f t="shared" ca="1" si="33"/>
        <v>17355.214285714203</v>
      </c>
      <c r="AT90" s="84">
        <f t="shared" ca="1" si="33"/>
        <v>73241.744277300124</v>
      </c>
      <c r="AU90" s="84">
        <f t="shared" ca="1" si="33"/>
        <v>10507.023188692674</v>
      </c>
      <c r="AV90" s="84">
        <f t="shared" ca="1" si="33"/>
        <v>53196.234805443069</v>
      </c>
      <c r="AW90" s="84">
        <f t="shared" ca="1" si="33"/>
        <v>10050.502380952472</v>
      </c>
      <c r="AX90" s="84">
        <f t="shared" ca="1" si="33"/>
        <v>-109849.29128130867</v>
      </c>
      <c r="AY90" s="84">
        <f t="shared" ca="1" si="33"/>
        <v>-43775.068945837265</v>
      </c>
      <c r="AZ90" s="84">
        <f t="shared" ca="1" si="33"/>
        <v>23438.505758303712</v>
      </c>
      <c r="BA90" s="84">
        <f t="shared" ca="1" si="33"/>
        <v>50351.803809523757</v>
      </c>
      <c r="BB90" s="84">
        <f t="shared" ca="1" si="33"/>
        <v>19561.756120304737</v>
      </c>
      <c r="BC90" s="85">
        <f t="shared" ca="1" si="33"/>
        <v>62531.689744459334</v>
      </c>
      <c r="BD90" s="85">
        <f t="shared" ca="1" si="33"/>
        <v>152526.10927256162</v>
      </c>
      <c r="BE90" s="85">
        <f t="shared" ca="1" si="33"/>
        <v>191830.35961191822</v>
      </c>
      <c r="BF90" s="85">
        <f t="shared" ca="1" si="33"/>
        <v>209947.21975219634</v>
      </c>
      <c r="BG90" s="85">
        <f t="shared" ca="1" si="33"/>
        <v>616835.37838113564</v>
      </c>
    </row>
    <row r="91" spans="1:59" ht="16.149999999999999" customHeight="1" x14ac:dyDescent="0.3">
      <c r="B91" s="3" t="s">
        <v>65</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3"/>
      <c r="BD91" s="53"/>
      <c r="BE91" s="53"/>
      <c r="BF91" s="53"/>
      <c r="BG91" s="53"/>
    </row>
    <row r="92" spans="1:59" ht="16.149999999999999" customHeight="1" x14ac:dyDescent="0.3">
      <c r="A92" s="318" t="s">
        <v>137</v>
      </c>
      <c r="B92" s="56" t="s">
        <v>66</v>
      </c>
      <c r="C92" s="52">
        <v>0</v>
      </c>
      <c r="D92" s="52">
        <v>0</v>
      </c>
      <c r="E92" s="52">
        <v>0</v>
      </c>
      <c r="F92" s="52">
        <v>0</v>
      </c>
      <c r="G92" s="52">
        <v>0</v>
      </c>
      <c r="H92" s="52">
        <v>0</v>
      </c>
      <c r="I92" s="52">
        <v>0</v>
      </c>
      <c r="J92" s="52">
        <v>0</v>
      </c>
      <c r="K92" s="52">
        <v>0</v>
      </c>
      <c r="L92" s="52">
        <v>0</v>
      </c>
      <c r="M92" s="52">
        <v>0</v>
      </c>
      <c r="N92" s="52">
        <v>0</v>
      </c>
      <c r="O92" s="52">
        <v>0</v>
      </c>
      <c r="P92" s="52">
        <v>0</v>
      </c>
      <c r="Q92" s="52">
        <v>0</v>
      </c>
      <c r="R92" s="52">
        <v>0</v>
      </c>
      <c r="S92" s="52">
        <v>0</v>
      </c>
      <c r="T92" s="52">
        <v>0</v>
      </c>
      <c r="U92" s="52">
        <v>0</v>
      </c>
      <c r="V92" s="52">
        <v>0</v>
      </c>
      <c r="W92" s="52">
        <v>0</v>
      </c>
      <c r="X92" s="52">
        <v>0</v>
      </c>
      <c r="Y92" s="52">
        <v>0</v>
      </c>
      <c r="Z92" s="52">
        <v>0</v>
      </c>
      <c r="AA92" s="52">
        <v>0</v>
      </c>
      <c r="AB92" s="52">
        <v>0</v>
      </c>
      <c r="AC92" s="52">
        <v>0</v>
      </c>
      <c r="AD92" s="52">
        <v>0</v>
      </c>
      <c r="AE92" s="52">
        <v>0</v>
      </c>
      <c r="AF92" s="52">
        <v>0</v>
      </c>
      <c r="AG92" s="52">
        <v>0</v>
      </c>
      <c r="AH92" s="52">
        <v>0</v>
      </c>
      <c r="AI92" s="52">
        <v>0</v>
      </c>
      <c r="AJ92" s="52">
        <v>0</v>
      </c>
      <c r="AK92" s="52">
        <v>0</v>
      </c>
      <c r="AL92" s="52">
        <v>0</v>
      </c>
      <c r="AM92" s="52">
        <v>0</v>
      </c>
      <c r="AN92" s="52">
        <v>0</v>
      </c>
      <c r="AO92" s="52">
        <v>0</v>
      </c>
      <c r="AP92" s="52">
        <v>0</v>
      </c>
      <c r="AQ92" s="52">
        <v>0</v>
      </c>
      <c r="AR92" s="52">
        <v>0</v>
      </c>
      <c r="AS92" s="52">
        <v>0</v>
      </c>
      <c r="AT92" s="52">
        <v>0</v>
      </c>
      <c r="AU92" s="52">
        <v>-240000</v>
      </c>
      <c r="AV92" s="52">
        <v>0</v>
      </c>
      <c r="AW92" s="52">
        <v>0</v>
      </c>
      <c r="AX92" s="52">
        <v>0</v>
      </c>
      <c r="AY92" s="52">
        <v>0</v>
      </c>
      <c r="AZ92" s="52">
        <v>0</v>
      </c>
      <c r="BA92" s="52">
        <v>0</v>
      </c>
      <c r="BB92" s="52">
        <v>0</v>
      </c>
      <c r="BC92" s="53">
        <f ca="1">SUM(OFFSET($B92,0,1,1,Assumptions!$C$8))</f>
        <v>0</v>
      </c>
      <c r="BD92" s="53">
        <f ca="1">SUM(OFFSET($B92,0,1+Assumptions!$C$8,1,SUM(Assumptions!$C$9)))</f>
        <v>0</v>
      </c>
      <c r="BE92" s="53">
        <f ca="1">SUM(OFFSET($B92,0,1+SUM(Assumptions!$C$8:$C$9),1,SUM(Assumptions!$C$10)))</f>
        <v>0</v>
      </c>
      <c r="BF92" s="53">
        <f ca="1">SUM(OFFSET($B92,0,1+SUM(Assumptions!$C$8:$C$10),1,SUM(Assumptions!$C$11)))</f>
        <v>-240000</v>
      </c>
      <c r="BG92" s="53">
        <f t="shared" ref="BG92:BG94" ca="1" si="34">SUM(BC92:BF92)</f>
        <v>-240000</v>
      </c>
    </row>
    <row r="93" spans="1:59" ht="16.149999999999999" customHeight="1" x14ac:dyDescent="0.3">
      <c r="A93" s="318" t="s">
        <v>138</v>
      </c>
      <c r="B93" s="56" t="s">
        <v>139</v>
      </c>
      <c r="C93" s="52">
        <v>0</v>
      </c>
      <c r="D93" s="52">
        <v>0</v>
      </c>
      <c r="E93" s="52">
        <v>0</v>
      </c>
      <c r="F93" s="52">
        <v>0</v>
      </c>
      <c r="G93" s="52">
        <v>0</v>
      </c>
      <c r="H93" s="52">
        <v>0</v>
      </c>
      <c r="I93" s="52">
        <v>0</v>
      </c>
      <c r="J93" s="52">
        <v>0</v>
      </c>
      <c r="K93" s="52">
        <v>0</v>
      </c>
      <c r="L93" s="52">
        <v>0</v>
      </c>
      <c r="M93" s="52">
        <v>0</v>
      </c>
      <c r="N93" s="52">
        <v>0</v>
      </c>
      <c r="O93" s="52">
        <v>0</v>
      </c>
      <c r="P93" s="52">
        <v>0</v>
      </c>
      <c r="Q93" s="52">
        <v>0</v>
      </c>
      <c r="R93" s="52">
        <v>0</v>
      </c>
      <c r="S93" s="52">
        <v>0</v>
      </c>
      <c r="T93" s="52">
        <v>0</v>
      </c>
      <c r="U93" s="52">
        <v>0</v>
      </c>
      <c r="V93" s="52">
        <v>0</v>
      </c>
      <c r="W93" s="52">
        <v>0</v>
      </c>
      <c r="X93" s="52">
        <v>0</v>
      </c>
      <c r="Y93" s="52">
        <v>0</v>
      </c>
      <c r="Z93" s="52">
        <v>0</v>
      </c>
      <c r="AA93" s="52">
        <v>0</v>
      </c>
      <c r="AB93" s="52">
        <v>0</v>
      </c>
      <c r="AC93" s="52">
        <v>0</v>
      </c>
      <c r="AD93" s="52">
        <v>0</v>
      </c>
      <c r="AE93" s="52">
        <v>0</v>
      </c>
      <c r="AF93" s="52">
        <v>0</v>
      </c>
      <c r="AG93" s="52">
        <v>0</v>
      </c>
      <c r="AH93" s="52">
        <v>0</v>
      </c>
      <c r="AI93" s="52">
        <v>0</v>
      </c>
      <c r="AJ93" s="52">
        <v>0</v>
      </c>
      <c r="AK93" s="52">
        <v>0</v>
      </c>
      <c r="AL93" s="52">
        <v>0</v>
      </c>
      <c r="AM93" s="52">
        <v>0</v>
      </c>
      <c r="AN93" s="52">
        <v>0</v>
      </c>
      <c r="AO93" s="52">
        <v>0</v>
      </c>
      <c r="AP93" s="52">
        <v>0</v>
      </c>
      <c r="AQ93" s="52">
        <v>0</v>
      </c>
      <c r="AR93" s="52">
        <v>0</v>
      </c>
      <c r="AS93" s="52">
        <v>0</v>
      </c>
      <c r="AT93" s="52">
        <v>0</v>
      </c>
      <c r="AU93" s="52">
        <v>0</v>
      </c>
      <c r="AV93" s="52">
        <v>0</v>
      </c>
      <c r="AW93" s="52">
        <v>0</v>
      </c>
      <c r="AX93" s="52">
        <v>0</v>
      </c>
      <c r="AY93" s="52">
        <v>0</v>
      </c>
      <c r="AZ93" s="52">
        <v>0</v>
      </c>
      <c r="BA93" s="52">
        <v>0</v>
      </c>
      <c r="BB93" s="52">
        <v>0</v>
      </c>
      <c r="BC93" s="53">
        <f ca="1">SUM(OFFSET($B93,0,1,1,Assumptions!$C$8))</f>
        <v>0</v>
      </c>
      <c r="BD93" s="53">
        <f ca="1">SUM(OFFSET($B93,0,1+Assumptions!$C$8,1,SUM(Assumptions!$C$9)))</f>
        <v>0</v>
      </c>
      <c r="BE93" s="53">
        <f ca="1">SUM(OFFSET($B93,0,1+SUM(Assumptions!$C$8:$C$9),1,SUM(Assumptions!$C$10)))</f>
        <v>0</v>
      </c>
      <c r="BF93" s="53">
        <f ca="1">SUM(OFFSET($B93,0,1+SUM(Assumptions!$C$8:$C$10),1,SUM(Assumptions!$C$11)))</f>
        <v>0</v>
      </c>
      <c r="BG93" s="53">
        <f t="shared" ca="1" si="34"/>
        <v>0</v>
      </c>
    </row>
    <row r="94" spans="1:59" ht="16.149999999999999" customHeight="1" x14ac:dyDescent="0.3">
      <c r="A94" s="318" t="s">
        <v>140</v>
      </c>
      <c r="B94" s="56" t="s">
        <v>141</v>
      </c>
      <c r="C94" s="52">
        <v>0</v>
      </c>
      <c r="D94" s="52">
        <v>0</v>
      </c>
      <c r="E94" s="52">
        <v>0</v>
      </c>
      <c r="F94" s="52">
        <v>0</v>
      </c>
      <c r="G94" s="52">
        <v>0</v>
      </c>
      <c r="H94" s="52">
        <v>0</v>
      </c>
      <c r="I94" s="52">
        <v>0</v>
      </c>
      <c r="J94" s="52">
        <v>0</v>
      </c>
      <c r="K94" s="52">
        <v>0</v>
      </c>
      <c r="L94" s="52">
        <v>0</v>
      </c>
      <c r="M94" s="52">
        <v>0</v>
      </c>
      <c r="N94" s="52">
        <v>0</v>
      </c>
      <c r="O94" s="52">
        <v>0</v>
      </c>
      <c r="P94" s="52">
        <v>0</v>
      </c>
      <c r="Q94" s="52">
        <v>0</v>
      </c>
      <c r="R94" s="52">
        <v>0</v>
      </c>
      <c r="S94" s="52">
        <v>0</v>
      </c>
      <c r="T94" s="52">
        <v>0</v>
      </c>
      <c r="U94" s="52">
        <v>0</v>
      </c>
      <c r="V94" s="52">
        <v>0</v>
      </c>
      <c r="W94" s="52">
        <v>0</v>
      </c>
      <c r="X94" s="52">
        <v>0</v>
      </c>
      <c r="Y94" s="52">
        <v>0</v>
      </c>
      <c r="Z94" s="52">
        <v>0</v>
      </c>
      <c r="AA94" s="52">
        <v>0</v>
      </c>
      <c r="AB94" s="52">
        <v>0</v>
      </c>
      <c r="AC94" s="52">
        <v>0</v>
      </c>
      <c r="AD94" s="52">
        <v>0</v>
      </c>
      <c r="AE94" s="52">
        <v>0</v>
      </c>
      <c r="AF94" s="52">
        <v>0</v>
      </c>
      <c r="AG94" s="52">
        <v>0</v>
      </c>
      <c r="AH94" s="52">
        <v>0</v>
      </c>
      <c r="AI94" s="52">
        <v>0</v>
      </c>
      <c r="AJ94" s="52">
        <v>0</v>
      </c>
      <c r="AK94" s="52">
        <v>0</v>
      </c>
      <c r="AL94" s="52">
        <v>0</v>
      </c>
      <c r="AM94" s="52">
        <v>0</v>
      </c>
      <c r="AN94" s="52">
        <v>0</v>
      </c>
      <c r="AO94" s="52">
        <v>0</v>
      </c>
      <c r="AP94" s="52">
        <v>0</v>
      </c>
      <c r="AQ94" s="52">
        <v>0</v>
      </c>
      <c r="AR94" s="52">
        <v>0</v>
      </c>
      <c r="AS94" s="52">
        <v>0</v>
      </c>
      <c r="AT94" s="52">
        <v>0</v>
      </c>
      <c r="AU94" s="52">
        <v>0</v>
      </c>
      <c r="AV94" s="52">
        <v>0</v>
      </c>
      <c r="AW94" s="52">
        <v>0</v>
      </c>
      <c r="AX94" s="52">
        <v>0</v>
      </c>
      <c r="AY94" s="52">
        <v>0</v>
      </c>
      <c r="AZ94" s="52">
        <v>0</v>
      </c>
      <c r="BA94" s="52">
        <v>0</v>
      </c>
      <c r="BB94" s="52">
        <v>0</v>
      </c>
      <c r="BC94" s="53">
        <f ca="1">SUM(OFFSET($B94,0,1,1,Assumptions!$C$8))</f>
        <v>0</v>
      </c>
      <c r="BD94" s="53">
        <f ca="1">SUM(OFFSET($B94,0,1+Assumptions!$C$8,1,SUM(Assumptions!$C$9)))</f>
        <v>0</v>
      </c>
      <c r="BE94" s="53">
        <f ca="1">SUM(OFFSET($B94,0,1+SUM(Assumptions!$C$8:$C$9),1,SUM(Assumptions!$C$10)))</f>
        <v>0</v>
      </c>
      <c r="BF94" s="53">
        <f ca="1">SUM(OFFSET($B94,0,1+SUM(Assumptions!$C$8:$C$10),1,SUM(Assumptions!$C$11)))</f>
        <v>0</v>
      </c>
      <c r="BG94" s="53">
        <f t="shared" ca="1" si="34"/>
        <v>0</v>
      </c>
    </row>
    <row r="95" spans="1:59" ht="16.149999999999999" customHeight="1" thickBot="1" x14ac:dyDescent="0.35">
      <c r="B95" s="6" t="s">
        <v>67</v>
      </c>
      <c r="C95" s="84">
        <f>SUM(C92:C94)</f>
        <v>0</v>
      </c>
      <c r="D95" s="84">
        <f t="shared" ref="D95:BG95" si="35">SUM(D92:D94)</f>
        <v>0</v>
      </c>
      <c r="E95" s="84">
        <f t="shared" si="35"/>
        <v>0</v>
      </c>
      <c r="F95" s="84">
        <f t="shared" si="35"/>
        <v>0</v>
      </c>
      <c r="G95" s="84">
        <f t="shared" si="35"/>
        <v>0</v>
      </c>
      <c r="H95" s="84">
        <f t="shared" si="35"/>
        <v>0</v>
      </c>
      <c r="I95" s="84">
        <f t="shared" si="35"/>
        <v>0</v>
      </c>
      <c r="J95" s="84">
        <f t="shared" si="35"/>
        <v>0</v>
      </c>
      <c r="K95" s="84">
        <f t="shared" si="35"/>
        <v>0</v>
      </c>
      <c r="L95" s="84">
        <f t="shared" si="35"/>
        <v>0</v>
      </c>
      <c r="M95" s="84">
        <f t="shared" si="35"/>
        <v>0</v>
      </c>
      <c r="N95" s="84">
        <f t="shared" si="35"/>
        <v>0</v>
      </c>
      <c r="O95" s="84">
        <f t="shared" si="35"/>
        <v>0</v>
      </c>
      <c r="P95" s="84">
        <f t="shared" si="35"/>
        <v>0</v>
      </c>
      <c r="Q95" s="84">
        <f t="shared" si="35"/>
        <v>0</v>
      </c>
      <c r="R95" s="84">
        <f t="shared" si="35"/>
        <v>0</v>
      </c>
      <c r="S95" s="84">
        <f t="shared" si="35"/>
        <v>0</v>
      </c>
      <c r="T95" s="84">
        <f t="shared" si="35"/>
        <v>0</v>
      </c>
      <c r="U95" s="84">
        <f t="shared" si="35"/>
        <v>0</v>
      </c>
      <c r="V95" s="84">
        <f t="shared" si="35"/>
        <v>0</v>
      </c>
      <c r="W95" s="84">
        <f t="shared" si="35"/>
        <v>0</v>
      </c>
      <c r="X95" s="84">
        <f t="shared" si="35"/>
        <v>0</v>
      </c>
      <c r="Y95" s="84">
        <f t="shared" si="35"/>
        <v>0</v>
      </c>
      <c r="Z95" s="84">
        <f t="shared" si="35"/>
        <v>0</v>
      </c>
      <c r="AA95" s="84">
        <f t="shared" si="35"/>
        <v>0</v>
      </c>
      <c r="AB95" s="84">
        <f t="shared" si="35"/>
        <v>0</v>
      </c>
      <c r="AC95" s="84">
        <f t="shared" si="35"/>
        <v>0</v>
      </c>
      <c r="AD95" s="84">
        <f t="shared" si="35"/>
        <v>0</v>
      </c>
      <c r="AE95" s="84">
        <f t="shared" si="35"/>
        <v>0</v>
      </c>
      <c r="AF95" s="84">
        <f t="shared" si="35"/>
        <v>0</v>
      </c>
      <c r="AG95" s="84">
        <f t="shared" si="35"/>
        <v>0</v>
      </c>
      <c r="AH95" s="84">
        <f t="shared" si="35"/>
        <v>0</v>
      </c>
      <c r="AI95" s="84">
        <f t="shared" si="35"/>
        <v>0</v>
      </c>
      <c r="AJ95" s="84">
        <f t="shared" si="35"/>
        <v>0</v>
      </c>
      <c r="AK95" s="84">
        <f t="shared" si="35"/>
        <v>0</v>
      </c>
      <c r="AL95" s="84">
        <f t="shared" si="35"/>
        <v>0</v>
      </c>
      <c r="AM95" s="84">
        <f t="shared" si="35"/>
        <v>0</v>
      </c>
      <c r="AN95" s="84">
        <f t="shared" si="35"/>
        <v>0</v>
      </c>
      <c r="AO95" s="84">
        <f t="shared" si="35"/>
        <v>0</v>
      </c>
      <c r="AP95" s="84">
        <f t="shared" si="35"/>
        <v>0</v>
      </c>
      <c r="AQ95" s="84">
        <f t="shared" si="35"/>
        <v>0</v>
      </c>
      <c r="AR95" s="84">
        <f t="shared" si="35"/>
        <v>0</v>
      </c>
      <c r="AS95" s="84">
        <f t="shared" si="35"/>
        <v>0</v>
      </c>
      <c r="AT95" s="84">
        <f t="shared" si="35"/>
        <v>0</v>
      </c>
      <c r="AU95" s="84">
        <f t="shared" si="35"/>
        <v>-240000</v>
      </c>
      <c r="AV95" s="84">
        <f t="shared" si="35"/>
        <v>0</v>
      </c>
      <c r="AW95" s="84">
        <f t="shared" si="35"/>
        <v>0</v>
      </c>
      <c r="AX95" s="84">
        <f t="shared" si="35"/>
        <v>0</v>
      </c>
      <c r="AY95" s="84">
        <f t="shared" si="35"/>
        <v>0</v>
      </c>
      <c r="AZ95" s="84">
        <f t="shared" si="35"/>
        <v>0</v>
      </c>
      <c r="BA95" s="84">
        <f t="shared" si="35"/>
        <v>0</v>
      </c>
      <c r="BB95" s="84">
        <f t="shared" si="35"/>
        <v>0</v>
      </c>
      <c r="BC95" s="85">
        <f t="shared" ca="1" si="35"/>
        <v>0</v>
      </c>
      <c r="BD95" s="85">
        <f t="shared" ca="1" si="35"/>
        <v>0</v>
      </c>
      <c r="BE95" s="85">
        <f t="shared" ca="1" si="35"/>
        <v>0</v>
      </c>
      <c r="BF95" s="85">
        <f t="shared" ca="1" si="35"/>
        <v>-240000</v>
      </c>
      <c r="BG95" s="85">
        <f t="shared" ca="1" si="35"/>
        <v>-240000</v>
      </c>
    </row>
    <row r="96" spans="1:59" ht="16.149999999999999" customHeight="1" x14ac:dyDescent="0.3">
      <c r="B96" s="3" t="s">
        <v>68</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row>
    <row r="97" spans="1:59" ht="16.149999999999999" customHeight="1" x14ac:dyDescent="0.3">
      <c r="A97" s="311" t="s">
        <v>142</v>
      </c>
      <c r="B97" s="56" t="s">
        <v>69</v>
      </c>
      <c r="C97" s="52">
        <v>0</v>
      </c>
      <c r="D97" s="52">
        <v>0</v>
      </c>
      <c r="E97" s="52">
        <v>0</v>
      </c>
      <c r="F97" s="52">
        <v>0</v>
      </c>
      <c r="G97" s="52">
        <v>0</v>
      </c>
      <c r="H97" s="52">
        <v>0</v>
      </c>
      <c r="I97" s="52">
        <v>0</v>
      </c>
      <c r="J97" s="52">
        <v>0</v>
      </c>
      <c r="K97" s="52">
        <v>0</v>
      </c>
      <c r="L97" s="52">
        <v>0</v>
      </c>
      <c r="M97" s="52">
        <v>0</v>
      </c>
      <c r="N97" s="52">
        <v>0</v>
      </c>
      <c r="O97" s="52">
        <v>0</v>
      </c>
      <c r="P97" s="52">
        <v>0</v>
      </c>
      <c r="Q97" s="52">
        <v>0</v>
      </c>
      <c r="R97" s="52">
        <v>0</v>
      </c>
      <c r="S97" s="52">
        <v>0</v>
      </c>
      <c r="T97" s="52">
        <v>0</v>
      </c>
      <c r="U97" s="52">
        <v>0</v>
      </c>
      <c r="V97" s="52">
        <v>0</v>
      </c>
      <c r="W97" s="52">
        <v>0</v>
      </c>
      <c r="X97" s="52">
        <v>0</v>
      </c>
      <c r="Y97" s="52">
        <v>0</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c r="AR97" s="52">
        <v>0</v>
      </c>
      <c r="AS97" s="52">
        <v>0</v>
      </c>
      <c r="AT97" s="52">
        <v>0</v>
      </c>
      <c r="AU97" s="52">
        <v>0</v>
      </c>
      <c r="AV97" s="52">
        <v>0</v>
      </c>
      <c r="AW97" s="52">
        <v>0</v>
      </c>
      <c r="AX97" s="52">
        <v>0</v>
      </c>
      <c r="AY97" s="52">
        <v>0</v>
      </c>
      <c r="AZ97" s="52">
        <v>0</v>
      </c>
      <c r="BA97" s="52">
        <v>0</v>
      </c>
      <c r="BB97" s="52">
        <v>0</v>
      </c>
      <c r="BC97" s="53">
        <f ca="1">SUM(OFFSET($B97,0,1,1,Assumptions!$C$8))</f>
        <v>0</v>
      </c>
      <c r="BD97" s="53">
        <f ca="1">SUM(OFFSET($B97,0,1+Assumptions!$C$8,1,SUM(Assumptions!$C$9)))</f>
        <v>0</v>
      </c>
      <c r="BE97" s="53">
        <f ca="1">SUM(OFFSET($B97,0,1+SUM(Assumptions!$C$8:$C$9),1,SUM(Assumptions!$C$10)))</f>
        <v>0</v>
      </c>
      <c r="BF97" s="53">
        <f ca="1">SUM(OFFSET($B97,0,1+SUM(Assumptions!$C$8:$C$10),1,SUM(Assumptions!$C$11)))</f>
        <v>0</v>
      </c>
      <c r="BG97" s="53">
        <f t="shared" ref="BG97:BG106" ca="1" si="36">SUM(BC97:BF97)</f>
        <v>0</v>
      </c>
    </row>
    <row r="98" spans="1:59" ht="16.149999999999999" customHeight="1" x14ac:dyDescent="0.3">
      <c r="A98" s="310" t="s">
        <v>276</v>
      </c>
      <c r="B98" s="56" t="s">
        <v>277</v>
      </c>
      <c r="C98" s="52">
        <f ca="1">BS!D38-BS!C38-Forecast!C60</f>
        <v>0</v>
      </c>
      <c r="D98" s="52">
        <f ca="1">BS!E38-BS!D38-Forecast!D60</f>
        <v>0</v>
      </c>
      <c r="E98" s="52">
        <f ca="1">BS!F38-BS!E38-Forecast!E60</f>
        <v>0</v>
      </c>
      <c r="F98" s="52">
        <f ca="1">BS!G38-BS!F38-Forecast!F60</f>
        <v>0</v>
      </c>
      <c r="G98" s="52">
        <f ca="1">BS!H38-BS!G38-Forecast!G60</f>
        <v>0</v>
      </c>
      <c r="H98" s="52">
        <f ca="1">BS!I38-BS!H38-Forecast!H60</f>
        <v>0</v>
      </c>
      <c r="I98" s="52">
        <f ca="1">BS!J38-BS!I38-Forecast!I60</f>
        <v>0</v>
      </c>
      <c r="J98" s="52">
        <f ca="1">BS!K38-BS!J38-Forecast!J60</f>
        <v>0</v>
      </c>
      <c r="K98" s="52">
        <f ca="1">BS!L38-BS!K38-Forecast!K60</f>
        <v>0</v>
      </c>
      <c r="L98" s="52">
        <f ca="1">BS!M38-BS!L38-Forecast!L60</f>
        <v>0</v>
      </c>
      <c r="M98" s="52">
        <f ca="1">BS!N38-BS!M38-Forecast!M60</f>
        <v>0</v>
      </c>
      <c r="N98" s="52">
        <f ca="1">BS!O38-BS!N38-Forecast!N60</f>
        <v>0</v>
      </c>
      <c r="O98" s="52">
        <f ca="1">BS!P38-BS!O38-Forecast!O60</f>
        <v>0</v>
      </c>
      <c r="P98" s="52">
        <f ca="1">BS!Q38-BS!P38-Forecast!P60</f>
        <v>0</v>
      </c>
      <c r="Q98" s="52">
        <f ca="1">BS!R38-BS!Q38-Forecast!Q60</f>
        <v>0</v>
      </c>
      <c r="R98" s="52">
        <f ca="1">BS!S38-BS!R38-Forecast!R60</f>
        <v>0</v>
      </c>
      <c r="S98" s="52">
        <f ca="1">BS!T38-BS!S38-Forecast!S60</f>
        <v>0</v>
      </c>
      <c r="T98" s="52">
        <f ca="1">BS!U38-BS!T38-Forecast!T60</f>
        <v>0</v>
      </c>
      <c r="U98" s="52">
        <f ca="1">BS!V38-BS!U38-Forecast!U60</f>
        <v>0</v>
      </c>
      <c r="V98" s="52">
        <f ca="1">BS!W38-BS!V38-Forecast!V60</f>
        <v>0</v>
      </c>
      <c r="W98" s="52">
        <f ca="1">BS!X38-BS!W38-Forecast!W60</f>
        <v>0</v>
      </c>
      <c r="X98" s="52">
        <f ca="1">BS!Y38-BS!X38-Forecast!X60</f>
        <v>0</v>
      </c>
      <c r="Y98" s="52">
        <f ca="1">BS!Z38-BS!Y38-Forecast!Y60</f>
        <v>0</v>
      </c>
      <c r="Z98" s="52">
        <f ca="1">BS!AA38-BS!Z38-Forecast!Z60</f>
        <v>0</v>
      </c>
      <c r="AA98" s="52">
        <f ca="1">BS!AB38-BS!AA38-Forecast!AA60</f>
        <v>0</v>
      </c>
      <c r="AB98" s="52">
        <f ca="1">BS!AC38-BS!AB38-Forecast!AB60</f>
        <v>0</v>
      </c>
      <c r="AC98" s="52">
        <f ca="1">BS!AD38-BS!AC38-Forecast!AC60</f>
        <v>0</v>
      </c>
      <c r="AD98" s="52">
        <f ca="1">BS!AE38-BS!AD38-Forecast!AD60</f>
        <v>0</v>
      </c>
      <c r="AE98" s="52">
        <f ca="1">BS!AF38-BS!AE38-Forecast!AE60</f>
        <v>0</v>
      </c>
      <c r="AF98" s="52">
        <f ca="1">BS!AG38-BS!AF38-Forecast!AF60</f>
        <v>0</v>
      </c>
      <c r="AG98" s="52">
        <f ca="1">BS!AH38-BS!AG38-Forecast!AG60</f>
        <v>0</v>
      </c>
      <c r="AH98" s="52">
        <f ca="1">BS!AI38-BS!AH38-Forecast!AH60</f>
        <v>0</v>
      </c>
      <c r="AI98" s="52">
        <f ca="1">BS!AJ38-BS!AI38-Forecast!AI60</f>
        <v>0</v>
      </c>
      <c r="AJ98" s="52">
        <f ca="1">BS!AK38-BS!AJ38-Forecast!AJ60</f>
        <v>0</v>
      </c>
      <c r="AK98" s="52">
        <f ca="1">BS!AL38-BS!AK38-Forecast!AK60</f>
        <v>0</v>
      </c>
      <c r="AL98" s="52">
        <f ca="1">BS!AM38-BS!AL38-Forecast!AL60</f>
        <v>0</v>
      </c>
      <c r="AM98" s="52">
        <f ca="1">BS!AN38-BS!AM38-Forecast!AM60</f>
        <v>0</v>
      </c>
      <c r="AN98" s="52">
        <f ca="1">BS!AO38-BS!AN38-Forecast!AN60</f>
        <v>0</v>
      </c>
      <c r="AO98" s="52">
        <f ca="1">BS!AP38-BS!AO38-Forecast!AO60</f>
        <v>0</v>
      </c>
      <c r="AP98" s="52">
        <f ca="1">BS!AQ38-BS!AP38-Forecast!AP60</f>
        <v>0</v>
      </c>
      <c r="AQ98" s="52">
        <f ca="1">BS!AR38-BS!AQ38-Forecast!AQ60</f>
        <v>0</v>
      </c>
      <c r="AR98" s="52">
        <f ca="1">BS!AS38-BS!AR38-Forecast!AR60</f>
        <v>0</v>
      </c>
      <c r="AS98" s="52">
        <f ca="1">BS!AT38-BS!AS38-Forecast!AS60</f>
        <v>0</v>
      </c>
      <c r="AT98" s="52">
        <f ca="1">BS!AU38-BS!AT38-Forecast!AT60</f>
        <v>0</v>
      </c>
      <c r="AU98" s="52">
        <f ca="1">BS!AV38-BS!AU38-Forecast!AU60</f>
        <v>0</v>
      </c>
      <c r="AV98" s="52">
        <f ca="1">BS!AW38-BS!AV38-Forecast!AV60</f>
        <v>0</v>
      </c>
      <c r="AW98" s="52">
        <f ca="1">BS!AX38-BS!AW38-Forecast!AW60</f>
        <v>0</v>
      </c>
      <c r="AX98" s="52">
        <f ca="1">BS!AY38-BS!AX38-Forecast!AX60</f>
        <v>0</v>
      </c>
      <c r="AY98" s="52">
        <f ca="1">BS!AZ38-BS!AY38-Forecast!AY60</f>
        <v>0</v>
      </c>
      <c r="AZ98" s="52">
        <f ca="1">BS!BA38-BS!AZ38-Forecast!AZ60</f>
        <v>0</v>
      </c>
      <c r="BA98" s="52">
        <f ca="1">BS!BB38-BS!BA38-Forecast!BA60</f>
        <v>0</v>
      </c>
      <c r="BB98" s="52">
        <f ca="1">BS!BC38-BS!BB38-Forecast!BB60</f>
        <v>0</v>
      </c>
      <c r="BC98" s="53">
        <f ca="1">SUM(OFFSET($B98,0,1,1,Assumptions!$C$8))</f>
        <v>0</v>
      </c>
      <c r="BD98" s="53">
        <f ca="1">SUM(OFFSET($B98,0,1+Assumptions!$C$8,1,SUM(Assumptions!$C$9)))</f>
        <v>0</v>
      </c>
      <c r="BE98" s="53">
        <f ca="1">SUM(OFFSET($B98,0,1+SUM(Assumptions!$C$8:$C$9),1,SUM(Assumptions!$C$10)))</f>
        <v>0</v>
      </c>
      <c r="BF98" s="53">
        <f ca="1">SUM(OFFSET($B98,0,1+SUM(Assumptions!$C$8:$C$10),1,SUM(Assumptions!$C$11)))</f>
        <v>0</v>
      </c>
      <c r="BG98" s="53">
        <f t="shared" ref="BG98" ca="1" si="37">SUM(BC98:BF98)</f>
        <v>0</v>
      </c>
    </row>
    <row r="99" spans="1:59" ht="16.149999999999999" customHeight="1" x14ac:dyDescent="0.3">
      <c r="A99" s="311" t="s">
        <v>143</v>
      </c>
      <c r="B99" s="56" t="s">
        <v>227</v>
      </c>
      <c r="C99" s="52">
        <v>0</v>
      </c>
      <c r="D99" s="52">
        <v>0</v>
      </c>
      <c r="E99" s="52">
        <v>0</v>
      </c>
      <c r="F99" s="52">
        <v>0</v>
      </c>
      <c r="G99" s="52">
        <v>0</v>
      </c>
      <c r="H99" s="52">
        <v>0</v>
      </c>
      <c r="I99" s="52">
        <v>0</v>
      </c>
      <c r="J99" s="52">
        <v>0</v>
      </c>
      <c r="K99" s="52">
        <v>0</v>
      </c>
      <c r="L99" s="52">
        <v>0</v>
      </c>
      <c r="M99" s="52">
        <v>0</v>
      </c>
      <c r="N99" s="52">
        <v>0</v>
      </c>
      <c r="O99" s="52">
        <v>0</v>
      </c>
      <c r="P99" s="52">
        <v>0</v>
      </c>
      <c r="Q99" s="52">
        <v>0</v>
      </c>
      <c r="R99" s="52">
        <v>0</v>
      </c>
      <c r="S99" s="52">
        <v>0</v>
      </c>
      <c r="T99" s="52">
        <v>0</v>
      </c>
      <c r="U99" s="52">
        <v>0</v>
      </c>
      <c r="V99" s="52">
        <v>0</v>
      </c>
      <c r="W99" s="52">
        <v>0</v>
      </c>
      <c r="X99" s="52">
        <v>0</v>
      </c>
      <c r="Y99" s="52">
        <v>0</v>
      </c>
      <c r="Z99" s="52">
        <v>0</v>
      </c>
      <c r="AA99" s="52">
        <v>0</v>
      </c>
      <c r="AB99" s="52">
        <v>0</v>
      </c>
      <c r="AC99" s="52">
        <v>0</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v>0</v>
      </c>
      <c r="AY99" s="52">
        <v>0</v>
      </c>
      <c r="AZ99" s="52">
        <v>0</v>
      </c>
      <c r="BA99" s="52">
        <v>0</v>
      </c>
      <c r="BB99" s="52">
        <v>0</v>
      </c>
      <c r="BC99" s="53">
        <f ca="1">SUM(OFFSET($B99,0,1,1,Assumptions!$C$8))</f>
        <v>0</v>
      </c>
      <c r="BD99" s="53">
        <f ca="1">SUM(OFFSET($B99,0,1+Assumptions!$C$8,1,SUM(Assumptions!$C$9)))</f>
        <v>0</v>
      </c>
      <c r="BE99" s="53">
        <f ca="1">SUM(OFFSET($B99,0,1+SUM(Assumptions!$C$8:$C$9),1,SUM(Assumptions!$C$10)))</f>
        <v>0</v>
      </c>
      <c r="BF99" s="53">
        <f ca="1">SUM(OFFSET($B99,0,1+SUM(Assumptions!$C$8:$C$10),1,SUM(Assumptions!$C$11)))</f>
        <v>0</v>
      </c>
      <c r="BG99" s="53">
        <f t="shared" ca="1" si="36"/>
        <v>0</v>
      </c>
    </row>
    <row r="100" spans="1:59" ht="16.149999999999999" customHeight="1" x14ac:dyDescent="0.3">
      <c r="A100" s="311" t="s">
        <v>145</v>
      </c>
      <c r="B100" s="56" t="s">
        <v>228</v>
      </c>
      <c r="C100" s="52">
        <v>0</v>
      </c>
      <c r="D100" s="52">
        <v>0</v>
      </c>
      <c r="E100" s="52">
        <v>0</v>
      </c>
      <c r="F100" s="52">
        <v>0</v>
      </c>
      <c r="G100" s="52">
        <v>0</v>
      </c>
      <c r="H100" s="52">
        <v>0</v>
      </c>
      <c r="I100" s="52">
        <v>0</v>
      </c>
      <c r="J100" s="52">
        <v>0</v>
      </c>
      <c r="K100" s="52">
        <v>0</v>
      </c>
      <c r="L100" s="52">
        <v>0</v>
      </c>
      <c r="M100" s="52">
        <v>0</v>
      </c>
      <c r="N100" s="52">
        <v>0</v>
      </c>
      <c r="O100" s="52">
        <v>0</v>
      </c>
      <c r="P100" s="52">
        <v>0</v>
      </c>
      <c r="Q100" s="52">
        <v>0</v>
      </c>
      <c r="R100" s="52">
        <v>0</v>
      </c>
      <c r="S100" s="52">
        <v>0</v>
      </c>
      <c r="T100" s="52">
        <v>0</v>
      </c>
      <c r="U100" s="52">
        <v>0</v>
      </c>
      <c r="V100" s="52">
        <v>0</v>
      </c>
      <c r="W100" s="52">
        <v>0</v>
      </c>
      <c r="X100" s="52">
        <v>0</v>
      </c>
      <c r="Y100" s="52">
        <v>100000</v>
      </c>
      <c r="Z100" s="52">
        <v>0</v>
      </c>
      <c r="AA100" s="52">
        <v>0</v>
      </c>
      <c r="AB100" s="52">
        <v>0</v>
      </c>
      <c r="AC100" s="52">
        <v>0</v>
      </c>
      <c r="AD100" s="52">
        <v>0</v>
      </c>
      <c r="AE100" s="52">
        <v>0</v>
      </c>
      <c r="AF100" s="52">
        <v>0</v>
      </c>
      <c r="AG100" s="52">
        <v>0</v>
      </c>
      <c r="AH100" s="52">
        <v>0</v>
      </c>
      <c r="AI100" s="52">
        <v>0</v>
      </c>
      <c r="AJ100" s="52">
        <v>0</v>
      </c>
      <c r="AK100" s="52">
        <v>0</v>
      </c>
      <c r="AL100" s="52">
        <v>0</v>
      </c>
      <c r="AM100" s="52">
        <v>0</v>
      </c>
      <c r="AN100" s="52">
        <v>0</v>
      </c>
      <c r="AO100" s="52">
        <v>0</v>
      </c>
      <c r="AP100" s="52">
        <v>0</v>
      </c>
      <c r="AQ100" s="52">
        <v>0</v>
      </c>
      <c r="AR100" s="52">
        <v>0</v>
      </c>
      <c r="AS100" s="52">
        <v>0</v>
      </c>
      <c r="AT100" s="52">
        <v>0</v>
      </c>
      <c r="AU100" s="52">
        <v>0</v>
      </c>
      <c r="AV100" s="52">
        <v>0</v>
      </c>
      <c r="AW100" s="52">
        <v>0</v>
      </c>
      <c r="AX100" s="52">
        <v>0</v>
      </c>
      <c r="AY100" s="52">
        <v>0</v>
      </c>
      <c r="AZ100" s="52">
        <v>0</v>
      </c>
      <c r="BA100" s="52">
        <v>0</v>
      </c>
      <c r="BB100" s="52">
        <v>0</v>
      </c>
      <c r="BC100" s="53">
        <f ca="1">SUM(OFFSET($B100,0,1,1,Assumptions!$C$8))</f>
        <v>0</v>
      </c>
      <c r="BD100" s="53">
        <f ca="1">SUM(OFFSET($B100,0,1+Assumptions!$C$8,1,SUM(Assumptions!$C$9)))</f>
        <v>100000</v>
      </c>
      <c r="BE100" s="53">
        <f ca="1">SUM(OFFSET($B100,0,1+SUM(Assumptions!$C$8:$C$9),1,SUM(Assumptions!$C$10)))</f>
        <v>0</v>
      </c>
      <c r="BF100" s="53">
        <f ca="1">SUM(OFFSET($B100,0,1+SUM(Assumptions!$C$8:$C$10),1,SUM(Assumptions!$C$11)))</f>
        <v>0</v>
      </c>
      <c r="BG100" s="53">
        <f t="shared" ca="1" si="36"/>
        <v>100000</v>
      </c>
    </row>
    <row r="101" spans="1:59" ht="16.149999999999999" customHeight="1" x14ac:dyDescent="0.3">
      <c r="A101" s="311" t="s">
        <v>147</v>
      </c>
      <c r="B101" s="56" t="s">
        <v>229</v>
      </c>
      <c r="C101" s="52">
        <v>0</v>
      </c>
      <c r="D101" s="52">
        <v>0</v>
      </c>
      <c r="E101" s="52">
        <v>0</v>
      </c>
      <c r="F101" s="52">
        <v>0</v>
      </c>
      <c r="G101" s="52">
        <v>0</v>
      </c>
      <c r="H101" s="52">
        <v>0</v>
      </c>
      <c r="I101" s="52">
        <v>0</v>
      </c>
      <c r="J101" s="52">
        <v>0</v>
      </c>
      <c r="K101" s="52">
        <v>0</v>
      </c>
      <c r="L101" s="52">
        <v>0</v>
      </c>
      <c r="M101" s="52">
        <v>0</v>
      </c>
      <c r="N101" s="52">
        <v>0</v>
      </c>
      <c r="O101" s="52">
        <v>0</v>
      </c>
      <c r="P101" s="52">
        <v>0</v>
      </c>
      <c r="Q101" s="52">
        <v>0</v>
      </c>
      <c r="R101" s="52">
        <v>0</v>
      </c>
      <c r="S101" s="52">
        <v>0</v>
      </c>
      <c r="T101" s="52">
        <v>0</v>
      </c>
      <c r="U101" s="52">
        <v>0</v>
      </c>
      <c r="V101" s="52">
        <v>0</v>
      </c>
      <c r="W101" s="52">
        <v>0</v>
      </c>
      <c r="X101" s="52">
        <v>0</v>
      </c>
      <c r="Y101" s="52">
        <v>0</v>
      </c>
      <c r="Z101" s="52">
        <v>0</v>
      </c>
      <c r="AA101" s="52">
        <v>0</v>
      </c>
      <c r="AB101" s="52">
        <v>0</v>
      </c>
      <c r="AC101" s="52">
        <v>0</v>
      </c>
      <c r="AD101" s="52">
        <v>0</v>
      </c>
      <c r="AE101" s="52">
        <v>0</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240000</v>
      </c>
      <c r="AV101" s="52">
        <v>0</v>
      </c>
      <c r="AW101" s="52">
        <v>0</v>
      </c>
      <c r="AX101" s="52">
        <v>0</v>
      </c>
      <c r="AY101" s="52">
        <v>0</v>
      </c>
      <c r="AZ101" s="52">
        <v>0</v>
      </c>
      <c r="BA101" s="52">
        <v>0</v>
      </c>
      <c r="BB101" s="52">
        <v>0</v>
      </c>
      <c r="BC101" s="53">
        <f ca="1">SUM(OFFSET($B101,0,1,1,Assumptions!$C$8))</f>
        <v>0</v>
      </c>
      <c r="BD101" s="53">
        <f ca="1">SUM(OFFSET($B101,0,1+Assumptions!$C$8,1,SUM(Assumptions!$C$9)))</f>
        <v>0</v>
      </c>
      <c r="BE101" s="53">
        <f ca="1">SUM(OFFSET($B101,0,1+SUM(Assumptions!$C$8:$C$9),1,SUM(Assumptions!$C$10)))</f>
        <v>0</v>
      </c>
      <c r="BF101" s="53">
        <f ca="1">SUM(OFFSET($B101,0,1+SUM(Assumptions!$C$8:$C$10),1,SUM(Assumptions!$C$11)))</f>
        <v>240000</v>
      </c>
      <c r="BG101" s="53">
        <f t="shared" ca="1" si="36"/>
        <v>240000</v>
      </c>
    </row>
    <row r="102" spans="1:59" ht="16.149999999999999" customHeight="1" x14ac:dyDescent="0.3">
      <c r="A102" s="311" t="s">
        <v>149</v>
      </c>
      <c r="B102" s="56" t="s">
        <v>230</v>
      </c>
      <c r="C102" s="52">
        <v>0</v>
      </c>
      <c r="D102" s="52">
        <v>0</v>
      </c>
      <c r="E102" s="52">
        <v>0</v>
      </c>
      <c r="F102" s="52">
        <v>0</v>
      </c>
      <c r="G102" s="52">
        <v>0</v>
      </c>
      <c r="H102" s="52">
        <v>0</v>
      </c>
      <c r="I102" s="52">
        <v>0</v>
      </c>
      <c r="J102" s="52">
        <v>0</v>
      </c>
      <c r="K102" s="52">
        <v>0</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0</v>
      </c>
      <c r="AC102" s="52">
        <v>0</v>
      </c>
      <c r="AD102" s="52">
        <v>0</v>
      </c>
      <c r="AE102" s="52">
        <v>0</v>
      </c>
      <c r="AF102" s="52">
        <v>0</v>
      </c>
      <c r="AG102" s="52">
        <v>0</v>
      </c>
      <c r="AH102" s="52">
        <v>0</v>
      </c>
      <c r="AI102" s="52">
        <v>0</v>
      </c>
      <c r="AJ102" s="52">
        <v>0</v>
      </c>
      <c r="AK102" s="52">
        <v>0</v>
      </c>
      <c r="AL102" s="52">
        <v>0</v>
      </c>
      <c r="AM102" s="52">
        <v>0</v>
      </c>
      <c r="AN102" s="52">
        <v>0</v>
      </c>
      <c r="AO102" s="52">
        <v>0</v>
      </c>
      <c r="AP102" s="52">
        <v>0</v>
      </c>
      <c r="AQ102" s="52">
        <v>0</v>
      </c>
      <c r="AR102" s="52">
        <v>0</v>
      </c>
      <c r="AS102" s="52">
        <v>0</v>
      </c>
      <c r="AT102" s="52">
        <v>0</v>
      </c>
      <c r="AU102" s="52">
        <v>0</v>
      </c>
      <c r="AV102" s="52">
        <v>0</v>
      </c>
      <c r="AW102" s="52">
        <v>0</v>
      </c>
      <c r="AX102" s="52">
        <v>0</v>
      </c>
      <c r="AY102" s="52">
        <v>0</v>
      </c>
      <c r="AZ102" s="52">
        <v>0</v>
      </c>
      <c r="BA102" s="52">
        <v>0</v>
      </c>
      <c r="BB102" s="52">
        <v>0</v>
      </c>
      <c r="BC102" s="53">
        <f ca="1">SUM(OFFSET($B102,0,1,1,Assumptions!$C$8))</f>
        <v>0</v>
      </c>
      <c r="BD102" s="53">
        <f ca="1">SUM(OFFSET($B102,0,1+Assumptions!$C$8,1,SUM(Assumptions!$C$9)))</f>
        <v>0</v>
      </c>
      <c r="BE102" s="53">
        <f ca="1">SUM(OFFSET($B102,0,1+SUM(Assumptions!$C$8:$C$9),1,SUM(Assumptions!$C$10)))</f>
        <v>0</v>
      </c>
      <c r="BF102" s="53">
        <f ca="1">SUM(OFFSET($B102,0,1+SUM(Assumptions!$C$8:$C$10),1,SUM(Assumptions!$C$11)))</f>
        <v>0</v>
      </c>
      <c r="BG102" s="53">
        <f t="shared" ca="1" si="36"/>
        <v>0</v>
      </c>
    </row>
    <row r="103" spans="1:59" ht="16.149999999999999" customHeight="1" x14ac:dyDescent="0.3">
      <c r="A103" s="310" t="s">
        <v>143</v>
      </c>
      <c r="B103" s="56" t="s">
        <v>231</v>
      </c>
      <c r="C103" s="52">
        <f ca="1">-OFFSET(Loans1!$G$9,COLUMN(C$4)-COLUMN($B$4),0,1,1)</f>
        <v>-5774.6802252131929</v>
      </c>
      <c r="D103" s="52">
        <f ca="1">-OFFSET(Loans1!$G$9,COLUMN(D$4)-COLUMN($B$4),0,1,1)</f>
        <v>0</v>
      </c>
      <c r="E103" s="52">
        <f ca="1">-OFFSET(Loans1!$G$9,COLUMN(E$4)-COLUMN($B$4),0,1,1)</f>
        <v>0</v>
      </c>
      <c r="F103" s="52">
        <f ca="1">-OFFSET(Loans1!$G$9,COLUMN(F$4)-COLUMN($B$4),0,1,1)</f>
        <v>0</v>
      </c>
      <c r="G103" s="52">
        <f ca="1">-OFFSET(Loans1!$G$9,COLUMN(G$4)-COLUMN($B$4),0,1,1)</f>
        <v>0</v>
      </c>
      <c r="H103" s="52">
        <f ca="1">-OFFSET(Loans1!$G$9,COLUMN(H$4)-COLUMN($B$4),0,1,1)</f>
        <v>-5824.005618803556</v>
      </c>
      <c r="I103" s="52">
        <f ca="1">-OFFSET(Loans1!$G$9,COLUMN(I$4)-COLUMN($B$4),0,1,1)</f>
        <v>0</v>
      </c>
      <c r="J103" s="52">
        <f ca="1">-OFFSET(Loans1!$G$9,COLUMN(J$4)-COLUMN($B$4),0,1,1)</f>
        <v>0</v>
      </c>
      <c r="K103" s="52">
        <f ca="1">-OFFSET(Loans1!$G$9,COLUMN(K$4)-COLUMN($B$4),0,1,1)</f>
        <v>0</v>
      </c>
      <c r="L103" s="52">
        <f ca="1">-OFFSET(Loans1!$G$9,COLUMN(L$4)-COLUMN($B$4),0,1,1)</f>
        <v>-5873.7523334641701</v>
      </c>
      <c r="M103" s="52">
        <f ca="1">-OFFSET(Loans1!$G$9,COLUMN(M$4)-COLUMN($B$4),0,1,1)</f>
        <v>0</v>
      </c>
      <c r="N103" s="52">
        <f ca="1">-OFFSET(Loans1!$G$9,COLUMN(N$4)-COLUMN($B$4),0,1,1)</f>
        <v>0</v>
      </c>
      <c r="O103" s="52">
        <f ca="1">-OFFSET(Loans1!$G$9,COLUMN(O$4)-COLUMN($B$4),0,1,1)</f>
        <v>0</v>
      </c>
      <c r="P103" s="52">
        <f ca="1">-OFFSET(Loans1!$G$9,COLUMN(P$4)-COLUMN($B$4),0,1,1)</f>
        <v>-5923.9239679791754</v>
      </c>
      <c r="Q103" s="52">
        <f ca="1">-OFFSET(Loans1!$G$9,COLUMN(Q$4)-COLUMN($B$4),0,1,1)</f>
        <v>0</v>
      </c>
      <c r="R103" s="52">
        <f ca="1">-OFFSET(Loans1!$G$9,COLUMN(R$4)-COLUMN($B$4),0,1,1)</f>
        <v>0</v>
      </c>
      <c r="S103" s="52">
        <f ca="1">-OFFSET(Loans1!$G$9,COLUMN(S$4)-COLUMN($B$4),0,1,1)</f>
        <v>0</v>
      </c>
      <c r="T103" s="52">
        <f ca="1">-OFFSET(Loans1!$G$9,COLUMN(T$4)-COLUMN($B$4),0,1,1)</f>
        <v>0</v>
      </c>
      <c r="U103" s="52">
        <f ca="1">-OFFSET(Loans1!$G$9,COLUMN(U$4)-COLUMN($B$4),0,1,1)</f>
        <v>-5974.5241518723305</v>
      </c>
      <c r="V103" s="52">
        <f ca="1">-OFFSET(Loans1!$G$9,COLUMN(V$4)-COLUMN($B$4),0,1,1)</f>
        <v>0</v>
      </c>
      <c r="W103" s="52">
        <f ca="1">-OFFSET(Loans1!$G$9,COLUMN(W$4)-COLUMN($B$4),0,1,1)</f>
        <v>0</v>
      </c>
      <c r="X103" s="52">
        <f ca="1">-OFFSET(Loans1!$G$9,COLUMN(X$4)-COLUMN($B$4),0,1,1)</f>
        <v>0</v>
      </c>
      <c r="Y103" s="52">
        <f ca="1">-OFFSET(Loans1!$G$9,COLUMN(Y$4)-COLUMN($B$4),0,1,1)</f>
        <v>-6025.5565456695731</v>
      </c>
      <c r="Z103" s="52">
        <f ca="1">-OFFSET(Loans1!$G$9,COLUMN(Z$4)-COLUMN($B$4),0,1,1)</f>
        <v>0</v>
      </c>
      <c r="AA103" s="52">
        <f ca="1">-OFFSET(Loans1!$G$9,COLUMN(AA$4)-COLUMN($B$4),0,1,1)</f>
        <v>0</v>
      </c>
      <c r="AB103" s="52">
        <f ca="1">-OFFSET(Loans1!$G$9,COLUMN(AB$4)-COLUMN($B$4),0,1,1)</f>
        <v>0</v>
      </c>
      <c r="AC103" s="52">
        <f ca="1">-OFFSET(Loans1!$G$9,COLUMN(AC$4)-COLUMN($B$4),0,1,1)</f>
        <v>-6077.0248411638349</v>
      </c>
      <c r="AD103" s="52">
        <f ca="1">-OFFSET(Loans1!$G$9,COLUMN(AD$4)-COLUMN($B$4),0,1,1)</f>
        <v>0</v>
      </c>
      <c r="AE103" s="52">
        <f ca="1">-OFFSET(Loans1!$G$9,COLUMN(AE$4)-COLUMN($B$4),0,1,1)</f>
        <v>0</v>
      </c>
      <c r="AF103" s="52">
        <f ca="1">-OFFSET(Loans1!$G$9,COLUMN(AF$4)-COLUMN($B$4),0,1,1)</f>
        <v>0</v>
      </c>
      <c r="AG103" s="52">
        <f ca="1">-OFFSET(Loans1!$G$9,COLUMN(AG$4)-COLUMN($B$4),0,1,1)</f>
        <v>0</v>
      </c>
      <c r="AH103" s="52">
        <f ca="1">-OFFSET(Loans1!$G$9,COLUMN(AH$4)-COLUMN($B$4),0,1,1)</f>
        <v>-6128.9327616821101</v>
      </c>
      <c r="AI103" s="52">
        <f ca="1">-OFFSET(Loans1!$G$9,COLUMN(AI$4)-COLUMN($B$4),0,1,1)</f>
        <v>0</v>
      </c>
      <c r="AJ103" s="52">
        <f ca="1">-OFFSET(Loans1!$G$9,COLUMN(AJ$4)-COLUMN($B$4),0,1,1)</f>
        <v>0</v>
      </c>
      <c r="AK103" s="52">
        <f ca="1">-OFFSET(Loans1!$G$9,COLUMN(AK$4)-COLUMN($B$4),0,1,1)</f>
        <v>0</v>
      </c>
      <c r="AL103" s="52">
        <f ca="1">-OFFSET(Loans1!$G$9,COLUMN(AL$4)-COLUMN($B$4),0,1,1)</f>
        <v>-6181.2840623548109</v>
      </c>
      <c r="AM103" s="52">
        <f ca="1">-OFFSET(Loans1!$G$9,COLUMN(AM$4)-COLUMN($B$4),0,1,1)</f>
        <v>0</v>
      </c>
      <c r="AN103" s="52">
        <f ca="1">-OFFSET(Loans1!$G$9,COLUMN(AN$4)-COLUMN($B$4),0,1,1)</f>
        <v>0</v>
      </c>
      <c r="AO103" s="52">
        <f ca="1">-OFFSET(Loans1!$G$9,COLUMN(AO$4)-COLUMN($B$4),0,1,1)</f>
        <v>0</v>
      </c>
      <c r="AP103" s="52">
        <f ca="1">-OFFSET(Loans1!$G$9,COLUMN(AP$4)-COLUMN($B$4),0,1,1)</f>
        <v>-6234.0825303874262</v>
      </c>
      <c r="AQ103" s="52">
        <f ca="1">-OFFSET(Loans1!$G$9,COLUMN(AQ$4)-COLUMN($B$4),0,1,1)</f>
        <v>0</v>
      </c>
      <c r="AR103" s="52">
        <f ca="1">-OFFSET(Loans1!$G$9,COLUMN(AR$4)-COLUMN($B$4),0,1,1)</f>
        <v>0</v>
      </c>
      <c r="AS103" s="52">
        <f ca="1">-OFFSET(Loans1!$G$9,COLUMN(AS$4)-COLUMN($B$4),0,1,1)</f>
        <v>0</v>
      </c>
      <c r="AT103" s="52">
        <f ca="1">-OFFSET(Loans1!$G$9,COLUMN(AT$4)-COLUMN($B$4),0,1,1)</f>
        <v>0</v>
      </c>
      <c r="AU103" s="52">
        <f ca="1">-OFFSET(Loans1!$G$9,COLUMN(AU$4)-COLUMN($B$4),0,1,1)</f>
        <v>-6287.3319853344856</v>
      </c>
      <c r="AV103" s="52">
        <f ca="1">-OFFSET(Loans1!$G$9,COLUMN(AV$4)-COLUMN($B$4),0,1,1)</f>
        <v>0</v>
      </c>
      <c r="AW103" s="52">
        <f ca="1">-OFFSET(Loans1!$G$9,COLUMN(AW$4)-COLUMN($B$4),0,1,1)</f>
        <v>0</v>
      </c>
      <c r="AX103" s="52">
        <f ca="1">-OFFSET(Loans1!$G$9,COLUMN(AX$4)-COLUMN($B$4),0,1,1)</f>
        <v>0</v>
      </c>
      <c r="AY103" s="52">
        <f ca="1">-OFFSET(Loans1!$G$9,COLUMN(AY$4)-COLUMN($B$4),0,1,1)</f>
        <v>-6341.0362793758832</v>
      </c>
      <c r="AZ103" s="52">
        <f ca="1">-OFFSET(Loans1!$G$9,COLUMN(AZ$4)-COLUMN($B$4),0,1,1)</f>
        <v>0</v>
      </c>
      <c r="BA103" s="52">
        <f ca="1">-OFFSET(Loans1!$G$9,COLUMN(BA$4)-COLUMN($B$4),0,1,1)</f>
        <v>0</v>
      </c>
      <c r="BB103" s="52">
        <f ca="1">-OFFSET(Loans1!$G$9,COLUMN(BB$4)-COLUMN($B$4),0,1,1)</f>
        <v>0</v>
      </c>
      <c r="BC103" s="53">
        <f ca="1">SUM(OFFSET($B103,0,1,1,Assumptions!$C$8))</f>
        <v>-17472.438177480919</v>
      </c>
      <c r="BD103" s="53">
        <f ca="1">SUM(OFFSET($B103,0,1+Assumptions!$C$8,1,SUM(Assumptions!$C$9)))</f>
        <v>-17924.004665521079</v>
      </c>
      <c r="BE103" s="53">
        <f ca="1">SUM(OFFSET($B103,0,1+SUM(Assumptions!$C$8:$C$9),1,SUM(Assumptions!$C$10)))</f>
        <v>-18387.241665200756</v>
      </c>
      <c r="BF103" s="53">
        <f ca="1">SUM(OFFSET($B103,0,1+SUM(Assumptions!$C$8:$C$10),1,SUM(Assumptions!$C$11)))</f>
        <v>-18862.450795097793</v>
      </c>
      <c r="BG103" s="53">
        <f t="shared" ca="1" si="36"/>
        <v>-72646.135303300543</v>
      </c>
    </row>
    <row r="104" spans="1:59" ht="16.149999999999999" customHeight="1" x14ac:dyDescent="0.3">
      <c r="A104" s="310" t="s">
        <v>145</v>
      </c>
      <c r="B104" s="56" t="s">
        <v>232</v>
      </c>
      <c r="C104" s="52">
        <f ca="1">-OFFSET(Loans2!$G$9,COLUMN(C$4)-COLUMN($B$4),0,1,1)</f>
        <v>0</v>
      </c>
      <c r="D104" s="52">
        <f ca="1">-OFFSET(Loans2!$G$9,COLUMN(D$4)-COLUMN($B$4),0,1,1)</f>
        <v>0</v>
      </c>
      <c r="E104" s="52">
        <f ca="1">-OFFSET(Loans2!$G$9,COLUMN(E$4)-COLUMN($B$4),0,1,1)</f>
        <v>0</v>
      </c>
      <c r="F104" s="52">
        <f ca="1">-OFFSET(Loans2!$G$9,COLUMN(F$4)-COLUMN($B$4),0,1,1)</f>
        <v>0</v>
      </c>
      <c r="G104" s="52">
        <f ca="1">-OFFSET(Loans2!$G$9,COLUMN(G$4)-COLUMN($B$4),0,1,1)</f>
        <v>-3535.9434135466868</v>
      </c>
      <c r="H104" s="52">
        <f ca="1">-OFFSET(Loans2!$G$9,COLUMN(H$4)-COLUMN($B$4),0,1,1)</f>
        <v>0</v>
      </c>
      <c r="I104" s="52">
        <f ca="1">-OFFSET(Loans2!$G$9,COLUMN(I$4)-COLUMN($B$4),0,1,1)</f>
        <v>0</v>
      </c>
      <c r="J104" s="52">
        <f ca="1">-OFFSET(Loans2!$G$9,COLUMN(J$4)-COLUMN($B$4),0,1,1)</f>
        <v>0</v>
      </c>
      <c r="K104" s="52">
        <f ca="1">-OFFSET(Loans2!$G$9,COLUMN(K$4)-COLUMN($B$4),0,1,1)</f>
        <v>-3563.1996440261087</v>
      </c>
      <c r="L104" s="52">
        <f ca="1">-OFFSET(Loans2!$G$9,COLUMN(L$4)-COLUMN($B$4),0,1,1)</f>
        <v>0</v>
      </c>
      <c r="M104" s="52">
        <f ca="1">-OFFSET(Loans2!$G$9,COLUMN(M$4)-COLUMN($B$4),0,1,1)</f>
        <v>0</v>
      </c>
      <c r="N104" s="52">
        <f ca="1">-OFFSET(Loans2!$G$9,COLUMN(N$4)-COLUMN($B$4),0,1,1)</f>
        <v>0</v>
      </c>
      <c r="O104" s="52">
        <f ca="1">-OFFSET(Loans2!$G$9,COLUMN(O$4)-COLUMN($B$4),0,1,1)</f>
        <v>-3590.6659746154769</v>
      </c>
      <c r="P104" s="52">
        <f ca="1">-OFFSET(Loans2!$G$9,COLUMN(P$4)-COLUMN($B$4),0,1,1)</f>
        <v>0</v>
      </c>
      <c r="Q104" s="52">
        <f ca="1">-OFFSET(Loans2!$G$9,COLUMN(Q$4)-COLUMN($B$4),0,1,1)</f>
        <v>0</v>
      </c>
      <c r="R104" s="52">
        <f ca="1">-OFFSET(Loans2!$G$9,COLUMN(R$4)-COLUMN($B$4),0,1,1)</f>
        <v>0</v>
      </c>
      <c r="S104" s="52">
        <f ca="1">-OFFSET(Loans2!$G$9,COLUMN(S$4)-COLUMN($B$4),0,1,1)</f>
        <v>0</v>
      </c>
      <c r="T104" s="52">
        <f ca="1">-OFFSET(Loans2!$G$9,COLUMN(T$4)-COLUMN($B$4),0,1,1)</f>
        <v>-3618.3440248364714</v>
      </c>
      <c r="U104" s="52">
        <f ca="1">-OFFSET(Loans2!$G$9,COLUMN(U$4)-COLUMN($B$4),0,1,1)</f>
        <v>0</v>
      </c>
      <c r="V104" s="52">
        <f ca="1">-OFFSET(Loans2!$G$9,COLUMN(V$4)-COLUMN($B$4),0,1,1)</f>
        <v>0</v>
      </c>
      <c r="W104" s="52">
        <f ca="1">-OFFSET(Loans2!$G$9,COLUMN(W$4)-COLUMN($B$4),0,1,1)</f>
        <v>0</v>
      </c>
      <c r="X104" s="52">
        <f ca="1">-OFFSET(Loans2!$G$9,COLUMN(X$4)-COLUMN($B$4),0,1,1)</f>
        <v>-3646.2354266945858</v>
      </c>
      <c r="Y104" s="52">
        <f ca="1">-OFFSET(Loans2!$G$9,COLUMN(Y$4)-COLUMN($B$4),0,1,1)</f>
        <v>0</v>
      </c>
      <c r="Z104" s="52">
        <f ca="1">-OFFSET(Loans2!$G$9,COLUMN(Z$4)-COLUMN($B$4),0,1,1)</f>
        <v>0</v>
      </c>
      <c r="AA104" s="52">
        <f ca="1">-OFFSET(Loans2!$G$9,COLUMN(AA$4)-COLUMN($B$4),0,1,1)</f>
        <v>0</v>
      </c>
      <c r="AB104" s="52">
        <f ca="1">-OFFSET(Loans2!$G$9,COLUMN(AB$4)-COLUMN($B$4),0,1,1)</f>
        <v>0</v>
      </c>
      <c r="AC104" s="52">
        <f ca="1">-OFFSET(Loans2!$G$9,COLUMN(AC$4)-COLUMN($B$4),0,1,1)</f>
        <v>-4381.5305074846938</v>
      </c>
      <c r="AD104" s="52">
        <f ca="1">-OFFSET(Loans2!$G$9,COLUMN(AD$4)-COLUMN($B$4),0,1,1)</f>
        <v>0</v>
      </c>
      <c r="AE104" s="52">
        <f ca="1">-OFFSET(Loans2!$G$9,COLUMN(AE$4)-COLUMN($B$4),0,1,1)</f>
        <v>0</v>
      </c>
      <c r="AF104" s="52">
        <f ca="1">-OFFSET(Loans2!$G$9,COLUMN(AF$4)-COLUMN($B$4),0,1,1)</f>
        <v>0</v>
      </c>
      <c r="AG104" s="52">
        <f ca="1">-OFFSET(Loans2!$G$9,COLUMN(AG$4)-COLUMN($B$4),0,1,1)</f>
        <v>-4415.3048051465548</v>
      </c>
      <c r="AH104" s="52">
        <f ca="1">-OFFSET(Loans2!$G$9,COLUMN(AH$4)-COLUMN($B$4),0,1,1)</f>
        <v>0</v>
      </c>
      <c r="AI104" s="52">
        <f ca="1">-OFFSET(Loans2!$G$9,COLUMN(AI$4)-COLUMN($B$4),0,1,1)</f>
        <v>0</v>
      </c>
      <c r="AJ104" s="52">
        <f ca="1">-OFFSET(Loans2!$G$9,COLUMN(AJ$4)-COLUMN($B$4),0,1,1)</f>
        <v>0</v>
      </c>
      <c r="AK104" s="52">
        <f ca="1">-OFFSET(Loans2!$G$9,COLUMN(AK$4)-COLUMN($B$4),0,1,1)</f>
        <v>-4449.3394463528921</v>
      </c>
      <c r="AL104" s="52">
        <f ca="1">-OFFSET(Loans2!$G$9,COLUMN(AL$4)-COLUMN($B$4),0,1,1)</f>
        <v>0</v>
      </c>
      <c r="AM104" s="52">
        <f ca="1">-OFFSET(Loans2!$G$9,COLUMN(AM$4)-COLUMN($B$4),0,1,1)</f>
        <v>0</v>
      </c>
      <c r="AN104" s="52">
        <f ca="1">-OFFSET(Loans2!$G$9,COLUMN(AN$4)-COLUMN($B$4),0,1,1)</f>
        <v>0</v>
      </c>
      <c r="AO104" s="52">
        <f ca="1">-OFFSET(Loans2!$G$9,COLUMN(AO$4)-COLUMN($B$4),0,1,1)</f>
        <v>0</v>
      </c>
      <c r="AP104" s="52">
        <f ca="1">-OFFSET(Loans2!$G$9,COLUMN(AP$4)-COLUMN($B$4),0,1,1)</f>
        <v>-4483.6364379185297</v>
      </c>
      <c r="AQ104" s="52">
        <f ca="1">-OFFSET(Loans2!$G$9,COLUMN(AQ$4)-COLUMN($B$4),0,1,1)</f>
        <v>0</v>
      </c>
      <c r="AR104" s="52">
        <f ca="1">-OFFSET(Loans2!$G$9,COLUMN(AR$4)-COLUMN($B$4),0,1,1)</f>
        <v>0</v>
      </c>
      <c r="AS104" s="52">
        <f ca="1">-OFFSET(Loans2!$G$9,COLUMN(AS$4)-COLUMN($B$4),0,1,1)</f>
        <v>0</v>
      </c>
      <c r="AT104" s="52">
        <f ca="1">-OFFSET(Loans2!$G$9,COLUMN(AT$4)-COLUMN($B$4),0,1,1)</f>
        <v>-4518.1978021274854</v>
      </c>
      <c r="AU104" s="52">
        <f ca="1">-OFFSET(Loans2!$G$9,COLUMN(AU$4)-COLUMN($B$4),0,1,1)</f>
        <v>0</v>
      </c>
      <c r="AV104" s="52">
        <f ca="1">-OFFSET(Loans2!$G$9,COLUMN(AV$4)-COLUMN($B$4),0,1,1)</f>
        <v>0</v>
      </c>
      <c r="AW104" s="52">
        <f ca="1">-OFFSET(Loans2!$G$9,COLUMN(AW$4)-COLUMN($B$4),0,1,1)</f>
        <v>0</v>
      </c>
      <c r="AX104" s="52">
        <f ca="1">-OFFSET(Loans2!$G$9,COLUMN(AX$4)-COLUMN($B$4),0,1,1)</f>
        <v>-4553.0255768522175</v>
      </c>
      <c r="AY104" s="52">
        <f ca="1">-OFFSET(Loans2!$G$9,COLUMN(AY$4)-COLUMN($B$4),0,1,1)</f>
        <v>0</v>
      </c>
      <c r="AZ104" s="52">
        <f ca="1">-OFFSET(Loans2!$G$9,COLUMN(AZ$4)-COLUMN($B$4),0,1,1)</f>
        <v>0</v>
      </c>
      <c r="BA104" s="52">
        <f ca="1">-OFFSET(Loans2!$G$9,COLUMN(BA$4)-COLUMN($B$4),0,1,1)</f>
        <v>0</v>
      </c>
      <c r="BB104" s="52">
        <f ca="1">-OFFSET(Loans2!$G$9,COLUMN(BB$4)-COLUMN($B$4),0,1,1)</f>
        <v>0</v>
      </c>
      <c r="BC104" s="53">
        <f ca="1">SUM(OFFSET($B104,0,1,1,Assumptions!$C$8))</f>
        <v>-10689.809032188272</v>
      </c>
      <c r="BD104" s="53">
        <f ca="1">SUM(OFFSET($B104,0,1+Assumptions!$C$8,1,SUM(Assumptions!$C$9)))</f>
        <v>-7264.5794515310572</v>
      </c>
      <c r="BE104" s="53">
        <f ca="1">SUM(OFFSET($B104,0,1+SUM(Assumptions!$C$8:$C$9),1,SUM(Assumptions!$C$10)))</f>
        <v>-13246.17475898414</v>
      </c>
      <c r="BF104" s="53">
        <f ca="1">SUM(OFFSET($B104,0,1+SUM(Assumptions!$C$8:$C$10),1,SUM(Assumptions!$C$11)))</f>
        <v>-13554.859816898232</v>
      </c>
      <c r="BG104" s="53">
        <f t="shared" ca="1" si="36"/>
        <v>-44755.423059601701</v>
      </c>
    </row>
    <row r="105" spans="1:59" ht="16.149999999999999" customHeight="1" x14ac:dyDescent="0.3">
      <c r="A105" s="310" t="s">
        <v>147</v>
      </c>
      <c r="B105" s="56" t="s">
        <v>233</v>
      </c>
      <c r="C105" s="52">
        <f ca="1">-OFFSET(Loans3!$G$9,COLUMN(C$4)-COLUMN($B$4),0,1,1)</f>
        <v>0</v>
      </c>
      <c r="D105" s="52">
        <f ca="1">-OFFSET(Loans3!$G$9,COLUMN(D$4)-COLUMN($B$4),0,1,1)</f>
        <v>0</v>
      </c>
      <c r="E105" s="52">
        <f ca="1">-OFFSET(Loans3!$G$9,COLUMN(E$4)-COLUMN($B$4),0,1,1)</f>
        <v>0</v>
      </c>
      <c r="F105" s="52">
        <f ca="1">-OFFSET(Loans3!$G$9,COLUMN(F$4)-COLUMN($B$4),0,1,1)</f>
        <v>0</v>
      </c>
      <c r="G105" s="52">
        <f ca="1">-OFFSET(Loans3!$G$9,COLUMN(G$4)-COLUMN($B$4),0,1,1)</f>
        <v>0</v>
      </c>
      <c r="H105" s="52">
        <f ca="1">-OFFSET(Loans3!$G$9,COLUMN(H$4)-COLUMN($B$4),0,1,1)</f>
        <v>0</v>
      </c>
      <c r="I105" s="52">
        <f ca="1">-OFFSET(Loans3!$G$9,COLUMN(I$4)-COLUMN($B$4),0,1,1)</f>
        <v>0</v>
      </c>
      <c r="J105" s="52">
        <f ca="1">-OFFSET(Loans3!$G$9,COLUMN(J$4)-COLUMN($B$4),0,1,1)</f>
        <v>0</v>
      </c>
      <c r="K105" s="52">
        <f ca="1">-OFFSET(Loans3!$G$9,COLUMN(K$4)-COLUMN($B$4),0,1,1)</f>
        <v>0</v>
      </c>
      <c r="L105" s="52">
        <f ca="1">-OFFSET(Loans3!$G$9,COLUMN(L$4)-COLUMN($B$4),0,1,1)</f>
        <v>0</v>
      </c>
      <c r="M105" s="52">
        <f ca="1">-OFFSET(Loans3!$G$9,COLUMN(M$4)-COLUMN($B$4),0,1,1)</f>
        <v>0</v>
      </c>
      <c r="N105" s="52">
        <f ca="1">-OFFSET(Loans3!$G$9,COLUMN(N$4)-COLUMN($B$4),0,1,1)</f>
        <v>0</v>
      </c>
      <c r="O105" s="52">
        <f ca="1">-OFFSET(Loans3!$G$9,COLUMN(O$4)-COLUMN($B$4),0,1,1)</f>
        <v>0</v>
      </c>
      <c r="P105" s="52">
        <f ca="1">-OFFSET(Loans3!$G$9,COLUMN(P$4)-COLUMN($B$4),0,1,1)</f>
        <v>0</v>
      </c>
      <c r="Q105" s="52">
        <f ca="1">-OFFSET(Loans3!$G$9,COLUMN(Q$4)-COLUMN($B$4),0,1,1)</f>
        <v>0</v>
      </c>
      <c r="R105" s="52">
        <f ca="1">-OFFSET(Loans3!$G$9,COLUMN(R$4)-COLUMN($B$4),0,1,1)</f>
        <v>0</v>
      </c>
      <c r="S105" s="52">
        <f ca="1">-OFFSET(Loans3!$G$9,COLUMN(S$4)-COLUMN($B$4),0,1,1)</f>
        <v>0</v>
      </c>
      <c r="T105" s="52">
        <f ca="1">-OFFSET(Loans3!$G$9,COLUMN(T$4)-COLUMN($B$4),0,1,1)</f>
        <v>0</v>
      </c>
      <c r="U105" s="52">
        <f ca="1">-OFFSET(Loans3!$G$9,COLUMN(U$4)-COLUMN($B$4),0,1,1)</f>
        <v>0</v>
      </c>
      <c r="V105" s="52">
        <f ca="1">-OFFSET(Loans3!$G$9,COLUMN(V$4)-COLUMN($B$4),0,1,1)</f>
        <v>0</v>
      </c>
      <c r="W105" s="52">
        <f ca="1">-OFFSET(Loans3!$G$9,COLUMN(W$4)-COLUMN($B$4),0,1,1)</f>
        <v>0</v>
      </c>
      <c r="X105" s="52">
        <f ca="1">-OFFSET(Loans3!$G$9,COLUMN(X$4)-COLUMN($B$4),0,1,1)</f>
        <v>0</v>
      </c>
      <c r="Y105" s="52">
        <f ca="1">-OFFSET(Loans3!$G$9,COLUMN(Y$4)-COLUMN($B$4),0,1,1)</f>
        <v>0</v>
      </c>
      <c r="Z105" s="52">
        <f ca="1">-OFFSET(Loans3!$G$9,COLUMN(Z$4)-COLUMN($B$4),0,1,1)</f>
        <v>0</v>
      </c>
      <c r="AA105" s="52">
        <f ca="1">-OFFSET(Loans3!$G$9,COLUMN(AA$4)-COLUMN($B$4),0,1,1)</f>
        <v>0</v>
      </c>
      <c r="AB105" s="52">
        <f ca="1">-OFFSET(Loans3!$G$9,COLUMN(AB$4)-COLUMN($B$4),0,1,1)</f>
        <v>0</v>
      </c>
      <c r="AC105" s="52">
        <f ca="1">-OFFSET(Loans3!$G$9,COLUMN(AC$4)-COLUMN($B$4),0,1,1)</f>
        <v>0</v>
      </c>
      <c r="AD105" s="52">
        <f ca="1">-OFFSET(Loans3!$G$9,COLUMN(AD$4)-COLUMN($B$4),0,1,1)</f>
        <v>0</v>
      </c>
      <c r="AE105" s="52">
        <f ca="1">-OFFSET(Loans3!$G$9,COLUMN(AE$4)-COLUMN($B$4),0,1,1)</f>
        <v>0</v>
      </c>
      <c r="AF105" s="52">
        <f ca="1">-OFFSET(Loans3!$G$9,COLUMN(AF$4)-COLUMN($B$4),0,1,1)</f>
        <v>0</v>
      </c>
      <c r="AG105" s="52">
        <f ca="1">-OFFSET(Loans3!$G$9,COLUMN(AG$4)-COLUMN($B$4),0,1,1)</f>
        <v>0</v>
      </c>
      <c r="AH105" s="52">
        <f ca="1">-OFFSET(Loans3!$G$9,COLUMN(AH$4)-COLUMN($B$4),0,1,1)</f>
        <v>0</v>
      </c>
      <c r="AI105" s="52">
        <f ca="1">-OFFSET(Loans3!$G$9,COLUMN(AI$4)-COLUMN($B$4),0,1,1)</f>
        <v>0</v>
      </c>
      <c r="AJ105" s="52">
        <f ca="1">-OFFSET(Loans3!$G$9,COLUMN(AJ$4)-COLUMN($B$4),0,1,1)</f>
        <v>0</v>
      </c>
      <c r="AK105" s="52">
        <f ca="1">-OFFSET(Loans3!$G$9,COLUMN(AK$4)-COLUMN($B$4),0,1,1)</f>
        <v>0</v>
      </c>
      <c r="AL105" s="52">
        <f ca="1">-OFFSET(Loans3!$G$9,COLUMN(AL$4)-COLUMN($B$4),0,1,1)</f>
        <v>0</v>
      </c>
      <c r="AM105" s="52">
        <f ca="1">-OFFSET(Loans3!$G$9,COLUMN(AM$4)-COLUMN($B$4),0,1,1)</f>
        <v>0</v>
      </c>
      <c r="AN105" s="52">
        <f ca="1">-OFFSET(Loans3!$G$9,COLUMN(AN$4)-COLUMN($B$4),0,1,1)</f>
        <v>0</v>
      </c>
      <c r="AO105" s="52">
        <f ca="1">-OFFSET(Loans3!$G$9,COLUMN(AO$4)-COLUMN($B$4),0,1,1)</f>
        <v>0</v>
      </c>
      <c r="AP105" s="52">
        <f ca="1">-OFFSET(Loans3!$G$9,COLUMN(AP$4)-COLUMN($B$4),0,1,1)</f>
        <v>0</v>
      </c>
      <c r="AQ105" s="52">
        <f ca="1">-OFFSET(Loans3!$G$9,COLUMN(AQ$4)-COLUMN($B$4),0,1,1)</f>
        <v>0</v>
      </c>
      <c r="AR105" s="52">
        <f ca="1">-OFFSET(Loans3!$G$9,COLUMN(AR$4)-COLUMN($B$4),0,1,1)</f>
        <v>0</v>
      </c>
      <c r="AS105" s="52">
        <f ca="1">-OFFSET(Loans3!$G$9,COLUMN(AS$4)-COLUMN($B$4),0,1,1)</f>
        <v>0</v>
      </c>
      <c r="AT105" s="52">
        <f ca="1">-OFFSET(Loans3!$G$9,COLUMN(AT$4)-COLUMN($B$4),0,1,1)</f>
        <v>0</v>
      </c>
      <c r="AU105" s="52">
        <f ca="1">-OFFSET(Loans3!$G$9,COLUMN(AU$4)-COLUMN($B$4),0,1,1)</f>
        <v>0</v>
      </c>
      <c r="AV105" s="52">
        <f ca="1">-OFFSET(Loans3!$G$9,COLUMN(AV$4)-COLUMN($B$4),0,1,1)</f>
        <v>0</v>
      </c>
      <c r="AW105" s="52">
        <f ca="1">-OFFSET(Loans3!$G$9,COLUMN(AW$4)-COLUMN($B$4),0,1,1)</f>
        <v>0</v>
      </c>
      <c r="AX105" s="52">
        <f ca="1">-OFFSET(Loans3!$G$9,COLUMN(AX$4)-COLUMN($B$4),0,1,1)</f>
        <v>0</v>
      </c>
      <c r="AY105" s="52">
        <f ca="1">-OFFSET(Loans3!$G$9,COLUMN(AY$4)-COLUMN($B$4),0,1,1)</f>
        <v>-2899.5051740998015</v>
      </c>
      <c r="AZ105" s="52">
        <f ca="1">-OFFSET(Loans3!$G$9,COLUMN(AZ$4)-COLUMN($B$4),0,1,1)</f>
        <v>0</v>
      </c>
      <c r="BA105" s="52">
        <f ca="1">-OFFSET(Loans3!$G$9,COLUMN(BA$4)-COLUMN($B$4),0,1,1)</f>
        <v>0</v>
      </c>
      <c r="BB105" s="52">
        <f ca="1">-OFFSET(Loans3!$G$9,COLUMN(BB$4)-COLUMN($B$4),0,1,1)</f>
        <v>0</v>
      </c>
      <c r="BC105" s="53">
        <f ca="1">SUM(OFFSET($B105,0,1,1,Assumptions!$C$8))</f>
        <v>0</v>
      </c>
      <c r="BD105" s="53">
        <f ca="1">SUM(OFFSET($B105,0,1+Assumptions!$C$8,1,SUM(Assumptions!$C$9)))</f>
        <v>0</v>
      </c>
      <c r="BE105" s="53">
        <f ca="1">SUM(OFFSET($B105,0,1+SUM(Assumptions!$C$8:$C$9),1,SUM(Assumptions!$C$10)))</f>
        <v>0</v>
      </c>
      <c r="BF105" s="53">
        <f ca="1">SUM(OFFSET($B105,0,1+SUM(Assumptions!$C$8:$C$10),1,SUM(Assumptions!$C$11)))</f>
        <v>-2899.5051740998015</v>
      </c>
      <c r="BG105" s="53">
        <f t="shared" ca="1" si="36"/>
        <v>-2899.5051740998015</v>
      </c>
    </row>
    <row r="106" spans="1:59" ht="16.149999999999999" customHeight="1" x14ac:dyDescent="0.3">
      <c r="A106" s="310" t="s">
        <v>149</v>
      </c>
      <c r="B106" s="56" t="s">
        <v>234</v>
      </c>
      <c r="C106" s="52">
        <f ca="1">-OFFSET(Leases!$G$9,COLUMN(C$4)-COLUMN($B$4),0,1,1)</f>
        <v>0</v>
      </c>
      <c r="D106" s="52">
        <f ca="1">-OFFSET(Leases!$G$9,COLUMN(D$4)-COLUMN($B$4),0,1,1)</f>
        <v>-7014.9121183227235</v>
      </c>
      <c r="E106" s="52">
        <f ca="1">-OFFSET(Leases!$G$9,COLUMN(E$4)-COLUMN($B$4),0,1,1)</f>
        <v>0</v>
      </c>
      <c r="F106" s="52">
        <f ca="1">-OFFSET(Leases!$G$9,COLUMN(F$4)-COLUMN($B$4),0,1,1)</f>
        <v>0</v>
      </c>
      <c r="G106" s="52">
        <f ca="1">-OFFSET(Leases!$G$9,COLUMN(G$4)-COLUMN($B$4),0,1,1)</f>
        <v>0</v>
      </c>
      <c r="H106" s="52">
        <f ca="1">-OFFSET(Leases!$G$9,COLUMN(H$4)-COLUMN($B$4),0,1,1)</f>
        <v>-7082.1383594566487</v>
      </c>
      <c r="I106" s="52">
        <f ca="1">-OFFSET(Leases!$G$9,COLUMN(I$4)-COLUMN($B$4),0,1,1)</f>
        <v>0</v>
      </c>
      <c r="J106" s="52">
        <f ca="1">-OFFSET(Leases!$G$9,COLUMN(J$4)-COLUMN($B$4),0,1,1)</f>
        <v>0</v>
      </c>
      <c r="K106" s="52">
        <f ca="1">-OFFSET(Leases!$G$9,COLUMN(K$4)-COLUMN($B$4),0,1,1)</f>
        <v>0</v>
      </c>
      <c r="L106" s="52">
        <f ca="1">-OFFSET(Leases!$G$9,COLUMN(L$4)-COLUMN($B$4),0,1,1)</f>
        <v>0</v>
      </c>
      <c r="M106" s="52">
        <f ca="1">-OFFSET(Leases!$G$9,COLUMN(M$4)-COLUMN($B$4),0,1,1)</f>
        <v>-7150.0088520681093</v>
      </c>
      <c r="N106" s="52">
        <f ca="1">-OFFSET(Leases!$G$9,COLUMN(N$4)-COLUMN($B$4),0,1,1)</f>
        <v>0</v>
      </c>
      <c r="O106" s="52">
        <f ca="1">-OFFSET(Leases!$G$9,COLUMN(O$4)-COLUMN($B$4),0,1,1)</f>
        <v>0</v>
      </c>
      <c r="P106" s="52">
        <f ca="1">-OFFSET(Leases!$G$9,COLUMN(P$4)-COLUMN($B$4),0,1,1)</f>
        <v>0</v>
      </c>
      <c r="Q106" s="52">
        <f ca="1">-OFFSET(Leases!$G$9,COLUMN(Q$4)-COLUMN($B$4),0,1,1)</f>
        <v>-7218.5297702337612</v>
      </c>
      <c r="R106" s="52">
        <f ca="1">-OFFSET(Leases!$G$9,COLUMN(R$4)-COLUMN($B$4),0,1,1)</f>
        <v>0</v>
      </c>
      <c r="S106" s="52">
        <f ca="1">-OFFSET(Leases!$G$9,COLUMN(S$4)-COLUMN($B$4),0,1,1)</f>
        <v>0</v>
      </c>
      <c r="T106" s="52">
        <f ca="1">-OFFSET(Leases!$G$9,COLUMN(T$4)-COLUMN($B$4),0,1,1)</f>
        <v>0</v>
      </c>
      <c r="U106" s="52">
        <f ca="1">-OFFSET(Leases!$G$9,COLUMN(U$4)-COLUMN($B$4),0,1,1)</f>
        <v>-7287.7073471985022</v>
      </c>
      <c r="V106" s="52">
        <f ca="1">-OFFSET(Leases!$G$9,COLUMN(V$4)-COLUMN($B$4),0,1,1)</f>
        <v>0</v>
      </c>
      <c r="W106" s="52">
        <f ca="1">-OFFSET(Leases!$G$9,COLUMN(W$4)-COLUMN($B$4),0,1,1)</f>
        <v>0</v>
      </c>
      <c r="X106" s="52">
        <f ca="1">-OFFSET(Leases!$G$9,COLUMN(X$4)-COLUMN($B$4),0,1,1)</f>
        <v>0</v>
      </c>
      <c r="Y106" s="52">
        <f ca="1">-OFFSET(Leases!$G$9,COLUMN(Y$4)-COLUMN($B$4),0,1,1)</f>
        <v>0</v>
      </c>
      <c r="Z106" s="52">
        <f ca="1">-OFFSET(Leases!$G$9,COLUMN(Z$4)-COLUMN($B$4),0,1,1)</f>
        <v>-7357.5478759424877</v>
      </c>
      <c r="AA106" s="52">
        <f ca="1">-OFFSET(Leases!$G$9,COLUMN(AA$4)-COLUMN($B$4),0,1,1)</f>
        <v>0</v>
      </c>
      <c r="AB106" s="52">
        <f ca="1">-OFFSET(Leases!$G$9,COLUMN(AB$4)-COLUMN($B$4),0,1,1)</f>
        <v>0</v>
      </c>
      <c r="AC106" s="52">
        <f ca="1">-OFFSET(Leases!$G$9,COLUMN(AC$4)-COLUMN($B$4),0,1,1)</f>
        <v>0</v>
      </c>
      <c r="AD106" s="52">
        <f ca="1">-OFFSET(Leases!$G$9,COLUMN(AD$4)-COLUMN($B$4),0,1,1)</f>
        <v>-7428.0577097536025</v>
      </c>
      <c r="AE106" s="52">
        <f ca="1">-OFFSET(Leases!$G$9,COLUMN(AE$4)-COLUMN($B$4),0,1,1)</f>
        <v>0</v>
      </c>
      <c r="AF106" s="52">
        <f ca="1">-OFFSET(Leases!$G$9,COLUMN(AF$4)-COLUMN($B$4),0,1,1)</f>
        <v>0</v>
      </c>
      <c r="AG106" s="52">
        <f ca="1">-OFFSET(Leases!$G$9,COLUMN(AG$4)-COLUMN($B$4),0,1,1)</f>
        <v>0</v>
      </c>
      <c r="AH106" s="52">
        <f ca="1">-OFFSET(Leases!$G$9,COLUMN(AH$4)-COLUMN($B$4),0,1,1)</f>
        <v>-7499.2432628054084</v>
      </c>
      <c r="AI106" s="52">
        <f ca="1">-OFFSET(Leases!$G$9,COLUMN(AI$4)-COLUMN($B$4),0,1,1)</f>
        <v>0</v>
      </c>
      <c r="AJ106" s="52">
        <f ca="1">-OFFSET(Leases!$G$9,COLUMN(AJ$4)-COLUMN($B$4),0,1,1)</f>
        <v>0</v>
      </c>
      <c r="AK106" s="52">
        <f ca="1">-OFFSET(Leases!$G$9,COLUMN(AK$4)-COLUMN($B$4),0,1,1)</f>
        <v>0</v>
      </c>
      <c r="AL106" s="52">
        <f ca="1">-OFFSET(Leases!$G$9,COLUMN(AL$4)-COLUMN($B$4),0,1,1)</f>
        <v>0</v>
      </c>
      <c r="AM106" s="52">
        <f ca="1">-OFFSET(Leases!$G$9,COLUMN(AM$4)-COLUMN($B$4),0,1,1)</f>
        <v>-7571.1110107406275</v>
      </c>
      <c r="AN106" s="52">
        <f ca="1">-OFFSET(Leases!$G$9,COLUMN(AN$4)-COLUMN($B$4),0,1,1)</f>
        <v>0</v>
      </c>
      <c r="AO106" s="52">
        <f ca="1">-OFFSET(Leases!$G$9,COLUMN(AO$4)-COLUMN($B$4),0,1,1)</f>
        <v>0</v>
      </c>
      <c r="AP106" s="52">
        <f ca="1">-OFFSET(Leases!$G$9,COLUMN(AP$4)-COLUMN($B$4),0,1,1)</f>
        <v>0</v>
      </c>
      <c r="AQ106" s="52">
        <f ca="1">-OFFSET(Leases!$G$9,COLUMN(AQ$4)-COLUMN($B$4),0,1,1)</f>
        <v>-7643.6674912602248</v>
      </c>
      <c r="AR106" s="52">
        <f ca="1">-OFFSET(Leases!$G$9,COLUMN(AR$4)-COLUMN($B$4),0,1,1)</f>
        <v>0</v>
      </c>
      <c r="AS106" s="52">
        <f ca="1">-OFFSET(Leases!$G$9,COLUMN(AS$4)-COLUMN($B$4),0,1,1)</f>
        <v>0</v>
      </c>
      <c r="AT106" s="52">
        <f ca="1">-OFFSET(Leases!$G$9,COLUMN(AT$4)-COLUMN($B$4),0,1,1)</f>
        <v>0</v>
      </c>
      <c r="AU106" s="52">
        <f ca="1">-OFFSET(Leases!$G$9,COLUMN(AU$4)-COLUMN($B$4),0,1,1)</f>
        <v>0</v>
      </c>
      <c r="AV106" s="52">
        <f ca="1">-OFFSET(Leases!$G$9,COLUMN(AV$4)-COLUMN($B$4),0,1,1)</f>
        <v>-7716.9193047181343</v>
      </c>
      <c r="AW106" s="52">
        <f ca="1">-OFFSET(Leases!$G$9,COLUMN(AW$4)-COLUMN($B$4),0,1,1)</f>
        <v>0</v>
      </c>
      <c r="AX106" s="52">
        <f ca="1">-OFFSET(Leases!$G$9,COLUMN(AX$4)-COLUMN($B$4),0,1,1)</f>
        <v>0</v>
      </c>
      <c r="AY106" s="52">
        <f ca="1">-OFFSET(Leases!$G$9,COLUMN(AY$4)-COLUMN($B$4),0,1,1)</f>
        <v>0</v>
      </c>
      <c r="AZ106" s="52">
        <f ca="1">-OFFSET(Leases!$G$9,COLUMN(AZ$4)-COLUMN($B$4),0,1,1)</f>
        <v>-7790.873114721684</v>
      </c>
      <c r="BA106" s="52">
        <f ca="1">-OFFSET(Leases!$G$9,COLUMN(BA$4)-COLUMN($B$4),0,1,1)</f>
        <v>0</v>
      </c>
      <c r="BB106" s="52">
        <f ca="1">-OFFSET(Leases!$G$9,COLUMN(BB$4)-COLUMN($B$4),0,1,1)</f>
        <v>0</v>
      </c>
      <c r="BC106" s="53">
        <f ca="1">SUM(OFFSET($B106,0,1,1,Assumptions!$C$8))</f>
        <v>-21247.059329847481</v>
      </c>
      <c r="BD106" s="53">
        <f ca="1">SUM(OFFSET($B106,0,1+Assumptions!$C$8,1,SUM(Assumptions!$C$9)))</f>
        <v>-21863.784993374749</v>
      </c>
      <c r="BE106" s="53">
        <f ca="1">SUM(OFFSET($B106,0,1+SUM(Assumptions!$C$8:$C$9),1,SUM(Assumptions!$C$10)))</f>
        <v>-22498.411983299637</v>
      </c>
      <c r="BF106" s="53">
        <f ca="1">SUM(OFFSET($B106,0,1+SUM(Assumptions!$C$8:$C$10),1,SUM(Assumptions!$C$11)))</f>
        <v>-23151.459910700043</v>
      </c>
      <c r="BG106" s="53">
        <f t="shared" ca="1" si="36"/>
        <v>-88760.71621722191</v>
      </c>
    </row>
    <row r="107" spans="1:59" ht="16.149999999999999" customHeight="1" thickBot="1" x14ac:dyDescent="0.3">
      <c r="A107" s="309"/>
      <c r="B107" s="86" t="s">
        <v>70</v>
      </c>
      <c r="C107" s="84">
        <f ca="1">SUM(C97:C106)</f>
        <v>-5774.6802252131929</v>
      </c>
      <c r="D107" s="84">
        <f t="shared" ref="D107:BG107" ca="1" si="38">SUM(D97:D106)</f>
        <v>-7014.9121183227235</v>
      </c>
      <c r="E107" s="84">
        <f t="shared" ca="1" si="38"/>
        <v>0</v>
      </c>
      <c r="F107" s="84">
        <f t="shared" ca="1" si="38"/>
        <v>0</v>
      </c>
      <c r="G107" s="84">
        <f t="shared" ca="1" si="38"/>
        <v>-3535.9434135466868</v>
      </c>
      <c r="H107" s="84">
        <f t="shared" ca="1" si="38"/>
        <v>-12906.143978260205</v>
      </c>
      <c r="I107" s="84">
        <f t="shared" ca="1" si="38"/>
        <v>0</v>
      </c>
      <c r="J107" s="84">
        <f t="shared" ca="1" si="38"/>
        <v>0</v>
      </c>
      <c r="K107" s="84">
        <f t="shared" ca="1" si="38"/>
        <v>-3563.1996440261087</v>
      </c>
      <c r="L107" s="84">
        <f t="shared" ca="1" si="38"/>
        <v>-5873.7523334641701</v>
      </c>
      <c r="M107" s="84">
        <f t="shared" ca="1" si="38"/>
        <v>-7150.0088520681093</v>
      </c>
      <c r="N107" s="84">
        <f t="shared" ca="1" si="38"/>
        <v>0</v>
      </c>
      <c r="O107" s="84">
        <f t="shared" ca="1" si="38"/>
        <v>-3590.6659746154769</v>
      </c>
      <c r="P107" s="84">
        <f t="shared" ca="1" si="38"/>
        <v>-5923.9239679791754</v>
      </c>
      <c r="Q107" s="84">
        <f t="shared" ca="1" si="38"/>
        <v>-7218.5297702337612</v>
      </c>
      <c r="R107" s="84">
        <f t="shared" ca="1" si="38"/>
        <v>0</v>
      </c>
      <c r="S107" s="84">
        <f t="shared" ca="1" si="38"/>
        <v>0</v>
      </c>
      <c r="T107" s="84">
        <f t="shared" ca="1" si="38"/>
        <v>-3618.3440248364714</v>
      </c>
      <c r="U107" s="84">
        <f t="shared" ca="1" si="38"/>
        <v>-13262.231499070833</v>
      </c>
      <c r="V107" s="84">
        <f t="shared" ca="1" si="38"/>
        <v>0</v>
      </c>
      <c r="W107" s="84">
        <f t="shared" ca="1" si="38"/>
        <v>0</v>
      </c>
      <c r="X107" s="84">
        <f t="shared" ca="1" si="38"/>
        <v>-3646.2354266945858</v>
      </c>
      <c r="Y107" s="84">
        <f t="shared" ca="1" si="38"/>
        <v>93974.443454330423</v>
      </c>
      <c r="Z107" s="84">
        <f t="shared" ca="1" si="38"/>
        <v>-7357.5478759424877</v>
      </c>
      <c r="AA107" s="84">
        <f t="shared" ca="1" si="38"/>
        <v>0</v>
      </c>
      <c r="AB107" s="84">
        <f t="shared" ca="1" si="38"/>
        <v>0</v>
      </c>
      <c r="AC107" s="84">
        <f t="shared" ca="1" si="38"/>
        <v>-10458.55534864853</v>
      </c>
      <c r="AD107" s="84">
        <f t="shared" ca="1" si="38"/>
        <v>-7428.0577097536025</v>
      </c>
      <c r="AE107" s="84">
        <f t="shared" ca="1" si="38"/>
        <v>0</v>
      </c>
      <c r="AF107" s="84">
        <f t="shared" ca="1" si="38"/>
        <v>0</v>
      </c>
      <c r="AG107" s="84">
        <f t="shared" ca="1" si="38"/>
        <v>-4415.3048051465548</v>
      </c>
      <c r="AH107" s="84">
        <f t="shared" ca="1" si="38"/>
        <v>-13628.176024487519</v>
      </c>
      <c r="AI107" s="84">
        <f t="shared" ca="1" si="38"/>
        <v>0</v>
      </c>
      <c r="AJ107" s="84">
        <f t="shared" ca="1" si="38"/>
        <v>0</v>
      </c>
      <c r="AK107" s="84">
        <f t="shared" ca="1" si="38"/>
        <v>-4449.3394463528921</v>
      </c>
      <c r="AL107" s="84">
        <f t="shared" ca="1" si="38"/>
        <v>-6181.2840623548109</v>
      </c>
      <c r="AM107" s="84">
        <f t="shared" ca="1" si="38"/>
        <v>-7571.1110107406275</v>
      </c>
      <c r="AN107" s="84">
        <f t="shared" ca="1" si="38"/>
        <v>0</v>
      </c>
      <c r="AO107" s="84">
        <f t="shared" ca="1" si="38"/>
        <v>0</v>
      </c>
      <c r="AP107" s="84">
        <f t="shared" ca="1" si="38"/>
        <v>-10717.718968305955</v>
      </c>
      <c r="AQ107" s="84">
        <f t="shared" ca="1" si="38"/>
        <v>-7643.6674912602248</v>
      </c>
      <c r="AR107" s="84">
        <f t="shared" ca="1" si="38"/>
        <v>0</v>
      </c>
      <c r="AS107" s="84">
        <f t="shared" ca="1" si="38"/>
        <v>0</v>
      </c>
      <c r="AT107" s="84">
        <f t="shared" ca="1" si="38"/>
        <v>-4518.1978021274854</v>
      </c>
      <c r="AU107" s="84">
        <f t="shared" ca="1" si="38"/>
        <v>233712.66801466551</v>
      </c>
      <c r="AV107" s="84">
        <f t="shared" ca="1" si="38"/>
        <v>-7716.9193047181343</v>
      </c>
      <c r="AW107" s="84">
        <f t="shared" ca="1" si="38"/>
        <v>0</v>
      </c>
      <c r="AX107" s="84">
        <f t="shared" ca="1" si="38"/>
        <v>-4553.0255768522175</v>
      </c>
      <c r="AY107" s="84">
        <f t="shared" ca="1" si="38"/>
        <v>-9240.5414534756856</v>
      </c>
      <c r="AZ107" s="84">
        <f t="shared" ca="1" si="38"/>
        <v>-7790.873114721684</v>
      </c>
      <c r="BA107" s="84">
        <f t="shared" ca="1" si="38"/>
        <v>0</v>
      </c>
      <c r="BB107" s="84">
        <f t="shared" ca="1" si="38"/>
        <v>0</v>
      </c>
      <c r="BC107" s="85">
        <f t="shared" ca="1" si="38"/>
        <v>-49409.306539516678</v>
      </c>
      <c r="BD107" s="85">
        <f t="shared" ca="1" si="38"/>
        <v>52947.63088957312</v>
      </c>
      <c r="BE107" s="85">
        <f t="shared" ca="1" si="38"/>
        <v>-54131.828407484529</v>
      </c>
      <c r="BF107" s="85">
        <f t="shared" ca="1" si="38"/>
        <v>181531.72430320413</v>
      </c>
      <c r="BG107" s="85">
        <f t="shared" ca="1" si="38"/>
        <v>130938.22024577604</v>
      </c>
    </row>
    <row r="108" spans="1:59" ht="16.149999999999999" customHeight="1" x14ac:dyDescent="0.3">
      <c r="B108" s="12" t="s">
        <v>71</v>
      </c>
      <c r="C108" s="52">
        <f t="shared" ref="C108:AH108" ca="1" si="39">SUM(C90,C95,C107)</f>
        <v>-105635.51355854653</v>
      </c>
      <c r="D108" s="52">
        <f t="shared" ca="1" si="39"/>
        <v>49117.237881677305</v>
      </c>
      <c r="E108" s="52">
        <f t="shared" ca="1" si="39"/>
        <v>50699.523809523787</v>
      </c>
      <c r="F108" s="52">
        <f t="shared" ca="1" si="39"/>
        <v>-22371.881904761889</v>
      </c>
      <c r="G108" s="52">
        <f t="shared" ca="1" si="39"/>
        <v>32269.160395977095</v>
      </c>
      <c r="H108" s="52">
        <f t="shared" ca="1" si="39"/>
        <v>-41074.299486393043</v>
      </c>
      <c r="I108" s="52">
        <f t="shared" ca="1" si="39"/>
        <v>49884.630952380961</v>
      </c>
      <c r="J108" s="52">
        <f t="shared" ca="1" si="39"/>
        <v>42982.840476190438</v>
      </c>
      <c r="K108" s="52">
        <f t="shared" ca="1" si="39"/>
        <v>-14200.08508021333</v>
      </c>
      <c r="L108" s="52">
        <f t="shared" ca="1" si="39"/>
        <v>-26634.238558546469</v>
      </c>
      <c r="M108" s="52">
        <f t="shared" ca="1" si="39"/>
        <v>24826.53550072488</v>
      </c>
      <c r="N108" s="52">
        <f t="shared" ca="1" si="39"/>
        <v>39297.571428571449</v>
      </c>
      <c r="O108" s="52">
        <f t="shared" ca="1" si="39"/>
        <v>-66039.09865164198</v>
      </c>
      <c r="P108" s="52">
        <f t="shared" ca="1" si="39"/>
        <v>-11845.577844260779</v>
      </c>
      <c r="Q108" s="52">
        <f t="shared" ca="1" si="39"/>
        <v>42520.535500724865</v>
      </c>
      <c r="R108" s="52">
        <f t="shared" ca="1" si="39"/>
        <v>26315.488095238114</v>
      </c>
      <c r="S108" s="52">
        <f t="shared" ca="1" si="39"/>
        <v>-19147.309523809497</v>
      </c>
      <c r="T108" s="52">
        <f t="shared" ca="1" si="39"/>
        <v>45802.694681691406</v>
      </c>
      <c r="U108" s="52">
        <f t="shared" ca="1" si="39"/>
        <v>-22584.159010202588</v>
      </c>
      <c r="V108" s="52">
        <f t="shared" ca="1" si="39"/>
        <v>49891.979761904797</v>
      </c>
      <c r="W108" s="52">
        <f t="shared" ca="1" si="39"/>
        <v>-7317.4321428571857</v>
      </c>
      <c r="X108" s="52">
        <f t="shared" ca="1" si="39"/>
        <v>-2909.6350802133584</v>
      </c>
      <c r="Y108" s="52">
        <f t="shared" ca="1" si="39"/>
        <v>99960.093584310685</v>
      </c>
      <c r="Z108" s="52">
        <f t="shared" ca="1" si="39"/>
        <v>34960.183119772519</v>
      </c>
      <c r="AA108" s="52">
        <f t="shared" ca="1" si="39"/>
        <v>39852.850000000049</v>
      </c>
      <c r="AB108" s="52">
        <f t="shared" ca="1" si="39"/>
        <v>-70025.970980164246</v>
      </c>
      <c r="AC108" s="52">
        <f t="shared" ca="1" si="39"/>
        <v>-21638.818511945421</v>
      </c>
      <c r="AD108" s="52">
        <f t="shared" ca="1" si="39"/>
        <v>23761.728357867694</v>
      </c>
      <c r="AE108" s="52">
        <f t="shared" ca="1" si="39"/>
        <v>38328.942857142858</v>
      </c>
      <c r="AF108" s="52">
        <f t="shared" ca="1" si="39"/>
        <v>3988.5750000000771</v>
      </c>
      <c r="AG108" s="52">
        <f t="shared" ca="1" si="39"/>
        <v>-15762.79876292279</v>
      </c>
      <c r="AH108" s="52">
        <f t="shared" ca="1" si="39"/>
        <v>-8650.1518673453484</v>
      </c>
      <c r="AI108" s="52">
        <f t="shared" ref="AI108:BG108" ca="1" si="40">SUM(AI90,AI95,AI107)</f>
        <v>59307.060714285653</v>
      </c>
      <c r="AJ108" s="52">
        <f t="shared" ca="1" si="40"/>
        <v>47121.464285714312</v>
      </c>
      <c r="AK108" s="52">
        <f t="shared" ca="1" si="40"/>
        <v>-9918.6082867322657</v>
      </c>
      <c r="AL108" s="52">
        <f t="shared" ca="1" si="40"/>
        <v>-1277.2635585464468</v>
      </c>
      <c r="AM108" s="52">
        <f t="shared" ca="1" si="40"/>
        <v>29253.206929296321</v>
      </c>
      <c r="AN108" s="52">
        <f t="shared" ca="1" si="40"/>
        <v>57016.833333333285</v>
      </c>
      <c r="AO108" s="52">
        <f t="shared" ca="1" si="40"/>
        <v>-63831.639285714235</v>
      </c>
      <c r="AP108" s="52">
        <f t="shared" ca="1" si="40"/>
        <v>53565.366249959334</v>
      </c>
      <c r="AQ108" s="52">
        <f t="shared" ca="1" si="40"/>
        <v>11441.885500724937</v>
      </c>
      <c r="AR108" s="52">
        <f t="shared" ca="1" si="40"/>
        <v>22500.157142857097</v>
      </c>
      <c r="AS108" s="52">
        <f t="shared" ca="1" si="40"/>
        <v>17355.214285714203</v>
      </c>
      <c r="AT108" s="52">
        <f t="shared" ca="1" si="40"/>
        <v>68723.546475172639</v>
      </c>
      <c r="AU108" s="52">
        <f t="shared" ca="1" si="40"/>
        <v>4219.6912033581757</v>
      </c>
      <c r="AV108" s="52">
        <f t="shared" ca="1" si="40"/>
        <v>45479.315500724937</v>
      </c>
      <c r="AW108" s="52">
        <f t="shared" ca="1" si="40"/>
        <v>10050.502380952472</v>
      </c>
      <c r="AX108" s="52">
        <f t="shared" ca="1" si="40"/>
        <v>-114402.31685816089</v>
      </c>
      <c r="AY108" s="52">
        <f t="shared" ca="1" si="40"/>
        <v>-53015.610399312951</v>
      </c>
      <c r="AZ108" s="52">
        <f t="shared" ca="1" si="40"/>
        <v>15647.632643582028</v>
      </c>
      <c r="BA108" s="52">
        <f t="shared" ca="1" si="40"/>
        <v>50351.803809523757</v>
      </c>
      <c r="BB108" s="52">
        <f t="shared" ca="1" si="40"/>
        <v>19561.756120304737</v>
      </c>
      <c r="BC108" s="53">
        <f t="shared" ca="1" si="40"/>
        <v>13122.383204942656</v>
      </c>
      <c r="BD108" s="53">
        <f t="shared" ca="1" si="40"/>
        <v>205473.74016213475</v>
      </c>
      <c r="BE108" s="53">
        <f t="shared" ca="1" si="40"/>
        <v>137698.5312044337</v>
      </c>
      <c r="BF108" s="53">
        <f t="shared" ca="1" si="40"/>
        <v>151478.94405540047</v>
      </c>
      <c r="BG108" s="53">
        <f t="shared" ca="1" si="40"/>
        <v>507773.5986269117</v>
      </c>
    </row>
    <row r="109" spans="1:59" ht="16.149999999999999" customHeight="1" x14ac:dyDescent="0.3">
      <c r="B109" s="12" t="s">
        <v>72</v>
      </c>
      <c r="C109" s="52">
        <f ca="1">OFFSET(BS!$B$16,0,COLUMN(C$4)-COLUMN($B$4),1,1)-OFFSET(BS!$B$32,0,COLUMN(C$4)-COLUMN($B$4),1,1)</f>
        <v>171000</v>
      </c>
      <c r="D109" s="52">
        <f ca="1">OFFSET(BS!$B$16,0,COLUMN(D$4)-COLUMN($B$4),1,1)-OFFSET(BS!$B$32,0,COLUMN(D$4)-COLUMN($B$4),1,1)</f>
        <v>65364.486441453468</v>
      </c>
      <c r="E109" s="52">
        <f ca="1">OFFSET(BS!$B$16,0,COLUMN(E$4)-COLUMN($B$4),1,1)-OFFSET(BS!$B$32,0,COLUMN(E$4)-COLUMN($B$4),1,1)</f>
        <v>114481.72432313077</v>
      </c>
      <c r="F109" s="52">
        <f ca="1">OFFSET(BS!$B$16,0,COLUMN(F$4)-COLUMN($B$4),1,1)-OFFSET(BS!$B$32,0,COLUMN(F$4)-COLUMN($B$4),1,1)</f>
        <v>165181.24813265455</v>
      </c>
      <c r="G109" s="52">
        <f ca="1">OFFSET(BS!$B$16,0,COLUMN(G$4)-COLUMN($B$4),1,1)-OFFSET(BS!$B$32,0,COLUMN(G$4)-COLUMN($B$4),1,1)</f>
        <v>142809.36622789266</v>
      </c>
      <c r="H109" s="52">
        <f ca="1">OFFSET(BS!$B$16,0,COLUMN(H$4)-COLUMN($B$4),1,1)-OFFSET(BS!$B$32,0,COLUMN(H$4)-COLUMN($B$4),1,1)</f>
        <v>175078.52662386975</v>
      </c>
      <c r="I109" s="52">
        <f ca="1">OFFSET(BS!$B$16,0,COLUMN(I$4)-COLUMN($B$4),1,1)-OFFSET(BS!$B$32,0,COLUMN(I$4)-COLUMN($B$4),1,1)</f>
        <v>134004.2271374767</v>
      </c>
      <c r="J109" s="52">
        <f ca="1">OFFSET(BS!$B$16,0,COLUMN(J$4)-COLUMN($B$4),1,1)-OFFSET(BS!$B$32,0,COLUMN(J$4)-COLUMN($B$4),1,1)</f>
        <v>183888.85808985768</v>
      </c>
      <c r="K109" s="52">
        <f ca="1">OFFSET(BS!$B$16,0,COLUMN(K$4)-COLUMN($B$4),1,1)-OFFSET(BS!$B$32,0,COLUMN(K$4)-COLUMN($B$4),1,1)</f>
        <v>226871.69856604812</v>
      </c>
      <c r="L109" s="52">
        <f ca="1">OFFSET(BS!$B$16,0,COLUMN(L$4)-COLUMN($B$4),1,1)-OFFSET(BS!$B$32,0,COLUMN(L$4)-COLUMN($B$4),1,1)</f>
        <v>212671.61348583479</v>
      </c>
      <c r="M109" s="52">
        <f ca="1">OFFSET(BS!$B$16,0,COLUMN(M$4)-COLUMN($B$4),1,1)-OFFSET(BS!$B$32,0,COLUMN(M$4)-COLUMN($B$4),1,1)</f>
        <v>186037.37492728833</v>
      </c>
      <c r="N109" s="52">
        <f ca="1">OFFSET(BS!$B$16,0,COLUMN(N$4)-COLUMN($B$4),1,1)-OFFSET(BS!$B$32,0,COLUMN(N$4)-COLUMN($B$4),1,1)</f>
        <v>210863.91042801322</v>
      </c>
      <c r="O109" s="52">
        <f ca="1">OFFSET(BS!$B$16,0,COLUMN(O$4)-COLUMN($B$4),1,1)-OFFSET(BS!$B$32,0,COLUMN(O$4)-COLUMN($B$4),1,1)</f>
        <v>250161.48185658467</v>
      </c>
      <c r="P109" s="52">
        <f ca="1">OFFSET(BS!$B$16,0,COLUMN(P$4)-COLUMN($B$4),1,1)-OFFSET(BS!$B$32,0,COLUMN(P$4)-COLUMN($B$4),1,1)</f>
        <v>184122.38320494269</v>
      </c>
      <c r="Q109" s="52">
        <f ca="1">OFFSET(BS!$B$16,0,COLUMN(Q$4)-COLUMN($B$4),1,1)-OFFSET(BS!$B$32,0,COLUMN(Q$4)-COLUMN($B$4),1,1)</f>
        <v>172276.8053606819</v>
      </c>
      <c r="R109" s="52">
        <f ca="1">OFFSET(BS!$B$16,0,COLUMN(R$4)-COLUMN($B$4),1,1)-OFFSET(BS!$B$32,0,COLUMN(R$4)-COLUMN($B$4),1,1)</f>
        <v>214797.34086140676</v>
      </c>
      <c r="S109" s="52">
        <f ca="1">OFFSET(BS!$B$16,0,COLUMN(S$4)-COLUMN($B$4),1,1)-OFFSET(BS!$B$32,0,COLUMN(S$4)-COLUMN($B$4),1,1)</f>
        <v>241112.82895664487</v>
      </c>
      <c r="T109" s="52">
        <f ca="1">OFFSET(BS!$B$16,0,COLUMN(T$4)-COLUMN($B$4),1,1)-OFFSET(BS!$B$32,0,COLUMN(T$4)-COLUMN($B$4),1,1)</f>
        <v>221965.51943283537</v>
      </c>
      <c r="U109" s="52">
        <f ca="1">OFFSET(BS!$B$16,0,COLUMN(U$4)-COLUMN($B$4),1,1)-OFFSET(BS!$B$32,0,COLUMN(U$4)-COLUMN($B$4),1,1)</f>
        <v>267768.21411452675</v>
      </c>
      <c r="V109" s="52">
        <f ca="1">OFFSET(BS!$B$16,0,COLUMN(V$4)-COLUMN($B$4),1,1)-OFFSET(BS!$B$32,0,COLUMN(V$4)-COLUMN($B$4),1,1)</f>
        <v>245184.05510432416</v>
      </c>
      <c r="W109" s="52">
        <f ca="1">OFFSET(BS!$B$16,0,COLUMN(W$4)-COLUMN($B$4),1,1)-OFFSET(BS!$B$32,0,COLUMN(W$4)-COLUMN($B$4),1,1)</f>
        <v>295076.03486622893</v>
      </c>
      <c r="X109" s="52">
        <f ca="1">OFFSET(BS!$B$16,0,COLUMN(X$4)-COLUMN($B$4),1,1)-OFFSET(BS!$B$32,0,COLUMN(X$4)-COLUMN($B$4),1,1)</f>
        <v>287758.60272337176</v>
      </c>
      <c r="Y109" s="52">
        <f ca="1">OFFSET(BS!$B$16,0,COLUMN(Y$4)-COLUMN($B$4),1,1)-OFFSET(BS!$B$32,0,COLUMN(Y$4)-COLUMN($B$4),1,1)</f>
        <v>284848.96764315839</v>
      </c>
      <c r="Z109" s="52">
        <f ca="1">OFFSET(BS!$B$16,0,COLUMN(Z$4)-COLUMN($B$4),1,1)-OFFSET(BS!$B$32,0,COLUMN(Z$4)-COLUMN($B$4),1,1)</f>
        <v>384809.06122746906</v>
      </c>
      <c r="AA109" s="52">
        <f ca="1">OFFSET(BS!$B$16,0,COLUMN(AA$4)-COLUMN($B$4),1,1)-OFFSET(BS!$B$32,0,COLUMN(AA$4)-COLUMN($B$4),1,1)</f>
        <v>419769.24434724159</v>
      </c>
      <c r="AB109" s="52">
        <f ca="1">OFFSET(BS!$B$16,0,COLUMN(AB$4)-COLUMN($B$4),1,1)-OFFSET(BS!$B$32,0,COLUMN(AB$4)-COLUMN($B$4),1,1)</f>
        <v>459622.09434724163</v>
      </c>
      <c r="AC109" s="52">
        <f ca="1">OFFSET(BS!$B$16,0,COLUMN(AC$4)-COLUMN($B$4),1,1)-OFFSET(BS!$B$32,0,COLUMN(AC$4)-COLUMN($B$4),1,1)</f>
        <v>389596.12336707738</v>
      </c>
      <c r="AD109" s="52">
        <f ca="1">OFFSET(BS!$B$16,0,COLUMN(AD$4)-COLUMN($B$4),1,1)-OFFSET(BS!$B$32,0,COLUMN(AD$4)-COLUMN($B$4),1,1)</f>
        <v>367957.30485513195</v>
      </c>
      <c r="AE109" s="52">
        <f ca="1">OFFSET(BS!$B$16,0,COLUMN(AE$4)-COLUMN($B$4),1,1)-OFFSET(BS!$B$32,0,COLUMN(AE$4)-COLUMN($B$4),1,1)</f>
        <v>391719.03321299964</v>
      </c>
      <c r="AF109" s="52">
        <f ca="1">OFFSET(BS!$B$16,0,COLUMN(AF$4)-COLUMN($B$4),1,1)-OFFSET(BS!$B$32,0,COLUMN(AF$4)-COLUMN($B$4),1,1)</f>
        <v>430047.97607014247</v>
      </c>
      <c r="AG109" s="52">
        <f ca="1">OFFSET(BS!$B$16,0,COLUMN(AG$4)-COLUMN($B$4),1,1)-OFFSET(BS!$B$32,0,COLUMN(AG$4)-COLUMN($B$4),1,1)</f>
        <v>434036.55107014254</v>
      </c>
      <c r="AH109" s="52">
        <f ca="1">OFFSET(BS!$B$16,0,COLUMN(AH$4)-COLUMN($B$4),1,1)-OFFSET(BS!$B$32,0,COLUMN(AH$4)-COLUMN($B$4),1,1)</f>
        <v>418273.75230721972</v>
      </c>
      <c r="AI109" s="52">
        <f ca="1">OFFSET(BS!$B$16,0,COLUMN(AI$4)-COLUMN($B$4),1,1)-OFFSET(BS!$B$32,0,COLUMN(AI$4)-COLUMN($B$4),1,1)</f>
        <v>409623.6004398744</v>
      </c>
      <c r="AJ109" s="52">
        <f ca="1">OFFSET(BS!$B$16,0,COLUMN(AJ$4)-COLUMN($B$4),1,1)-OFFSET(BS!$B$32,0,COLUMN(AJ$4)-COLUMN($B$4),1,1)</f>
        <v>468930.66115416004</v>
      </c>
      <c r="AK109" s="52">
        <f ca="1">OFFSET(BS!$B$16,0,COLUMN(AK$4)-COLUMN($B$4),1,1)-OFFSET(BS!$B$32,0,COLUMN(AK$4)-COLUMN($B$4),1,1)</f>
        <v>516052.12543987436</v>
      </c>
      <c r="AL109" s="52">
        <f ca="1">OFFSET(BS!$B$16,0,COLUMN(AL$4)-COLUMN($B$4),1,1)-OFFSET(BS!$B$32,0,COLUMN(AL$4)-COLUMN($B$4),1,1)</f>
        <v>506133.51715314208</v>
      </c>
      <c r="AM109" s="52">
        <f ca="1">OFFSET(BS!$B$16,0,COLUMN(AM$4)-COLUMN($B$4),1,1)-OFFSET(BS!$B$32,0,COLUMN(AM$4)-COLUMN($B$4),1,1)</f>
        <v>504856.25359459565</v>
      </c>
      <c r="AN109" s="52">
        <f ca="1">OFFSET(BS!$B$16,0,COLUMN(AN$4)-COLUMN($B$4),1,1)-OFFSET(BS!$B$32,0,COLUMN(AN$4)-COLUMN($B$4),1,1)</f>
        <v>534109.46052389196</v>
      </c>
      <c r="AO109" s="52">
        <f ca="1">OFFSET(BS!$B$16,0,COLUMN(AO$4)-COLUMN($B$4),1,1)-OFFSET(BS!$B$32,0,COLUMN(AO$4)-COLUMN($B$4),1,1)</f>
        <v>591126.29385722522</v>
      </c>
      <c r="AP109" s="52">
        <f ca="1">OFFSET(BS!$B$16,0,COLUMN(AP$4)-COLUMN($B$4),1,1)-OFFSET(BS!$B$32,0,COLUMN(AP$4)-COLUMN($B$4),1,1)</f>
        <v>527294.65457151097</v>
      </c>
      <c r="AQ109" s="52">
        <f ca="1">OFFSET(BS!$B$16,0,COLUMN(AQ$4)-COLUMN($B$4),1,1)-OFFSET(BS!$B$32,0,COLUMN(AQ$4)-COLUMN($B$4),1,1)</f>
        <v>580860.0208214703</v>
      </c>
      <c r="AR109" s="52">
        <f ca="1">OFFSET(BS!$B$16,0,COLUMN(AR$4)-COLUMN($B$4),1,1)-OFFSET(BS!$B$32,0,COLUMN(AR$4)-COLUMN($B$4),1,1)</f>
        <v>592301.90632219519</v>
      </c>
      <c r="AS109" s="52">
        <f ca="1">OFFSET(BS!$B$16,0,COLUMN(AS$4)-COLUMN($B$4),1,1)-OFFSET(BS!$B$32,0,COLUMN(AS$4)-COLUMN($B$4),1,1)</f>
        <v>614802.06346505228</v>
      </c>
      <c r="AT109" s="52">
        <f ca="1">OFFSET(BS!$B$16,0,COLUMN(AT$4)-COLUMN($B$4),1,1)-OFFSET(BS!$B$32,0,COLUMN(AT$4)-COLUMN($B$4),1,1)</f>
        <v>632157.27775076649</v>
      </c>
      <c r="AU109" s="52">
        <f ca="1">OFFSET(BS!$B$16,0,COLUMN(AU$4)-COLUMN($B$4),1,1)-OFFSET(BS!$B$32,0,COLUMN(AU$4)-COLUMN($B$4),1,1)</f>
        <v>700880.82422593911</v>
      </c>
      <c r="AV109" s="52">
        <f ca="1">OFFSET(BS!$B$16,0,COLUMN(AV$4)-COLUMN($B$4),1,1)-OFFSET(BS!$B$32,0,COLUMN(AV$4)-COLUMN($B$4),1,1)</f>
        <v>705100.51542929723</v>
      </c>
      <c r="AW109" s="52">
        <f ca="1">OFFSET(BS!$B$16,0,COLUMN(AW$4)-COLUMN($B$4),1,1)-OFFSET(BS!$B$32,0,COLUMN(AW$4)-COLUMN($B$4),1,1)</f>
        <v>750579.83093002217</v>
      </c>
      <c r="AX109" s="52">
        <f ca="1">OFFSET(BS!$B$16,0,COLUMN(AX$4)-COLUMN($B$4),1,1)-OFFSET(BS!$B$32,0,COLUMN(AX$4)-COLUMN($B$4),1,1)</f>
        <v>760630.33331097465</v>
      </c>
      <c r="AY109" s="52">
        <f ca="1">OFFSET(BS!$B$16,0,COLUMN(AY$4)-COLUMN($B$4),1,1)-OFFSET(BS!$B$32,0,COLUMN(AY$4)-COLUMN($B$4),1,1)</f>
        <v>646228.01645281375</v>
      </c>
      <c r="AZ109" s="52">
        <f ca="1">OFFSET(BS!$B$16,0,COLUMN(AZ$4)-COLUMN($B$4),1,1)-OFFSET(BS!$B$32,0,COLUMN(AZ$4)-COLUMN($B$4),1,1)</f>
        <v>593212.40605350083</v>
      </c>
      <c r="BA109" s="52">
        <f ca="1">OFFSET(BS!$B$16,0,COLUMN(BA$4)-COLUMN($B$4),1,1)-OFFSET(BS!$B$32,0,COLUMN(BA$4)-COLUMN($B$4),1,1)</f>
        <v>608860.0386970829</v>
      </c>
      <c r="BB109" s="52">
        <f ca="1">OFFSET(BS!$B$16,0,COLUMN(BB$4)-COLUMN($B$4),1,1)-OFFSET(BS!$B$32,0,COLUMN(BB$4)-COLUMN($B$4),1,1)</f>
        <v>659211.8425066066</v>
      </c>
      <c r="BC109" s="53">
        <f ca="1">OFFSET($B$109,0,1,1,1)</f>
        <v>171000</v>
      </c>
      <c r="BD109" s="53">
        <f ca="1">BC110</f>
        <v>184122.38320494266</v>
      </c>
      <c r="BE109" s="53">
        <f ca="1">BD110</f>
        <v>389596.12336707744</v>
      </c>
      <c r="BF109" s="53">
        <f ca="1">BE110</f>
        <v>527294.65457151108</v>
      </c>
      <c r="BG109" s="53">
        <f ca="1">OFFSET($B$109,0,1,1,1)</f>
        <v>171000</v>
      </c>
    </row>
    <row r="110" spans="1:59" ht="16.149999999999999" customHeight="1" thickBot="1" x14ac:dyDescent="0.35">
      <c r="B110" s="3" t="s">
        <v>73</v>
      </c>
      <c r="C110" s="87">
        <f t="shared" ref="C110:AH110" ca="1" si="41">SUM(C108,C109)</f>
        <v>65364.486441453468</v>
      </c>
      <c r="D110" s="87">
        <f t="shared" ca="1" si="41"/>
        <v>114481.72432313077</v>
      </c>
      <c r="E110" s="87">
        <f t="shared" ca="1" si="41"/>
        <v>165181.24813265455</v>
      </c>
      <c r="F110" s="87">
        <f t="shared" ca="1" si="41"/>
        <v>142809.36622789266</v>
      </c>
      <c r="G110" s="87">
        <f t="shared" ca="1" si="41"/>
        <v>175078.52662386975</v>
      </c>
      <c r="H110" s="87">
        <f t="shared" ca="1" si="41"/>
        <v>134004.2271374767</v>
      </c>
      <c r="I110" s="87">
        <f t="shared" ca="1" si="41"/>
        <v>183888.85808985768</v>
      </c>
      <c r="J110" s="87">
        <f t="shared" ca="1" si="41"/>
        <v>226871.69856604812</v>
      </c>
      <c r="K110" s="87">
        <f t="shared" ca="1" si="41"/>
        <v>212671.61348583479</v>
      </c>
      <c r="L110" s="87">
        <f t="shared" ca="1" si="41"/>
        <v>186037.37492728833</v>
      </c>
      <c r="M110" s="87">
        <f t="shared" ca="1" si="41"/>
        <v>210863.91042801322</v>
      </c>
      <c r="N110" s="87">
        <f t="shared" ca="1" si="41"/>
        <v>250161.48185658467</v>
      </c>
      <c r="O110" s="87">
        <f t="shared" ca="1" si="41"/>
        <v>184122.38320494269</v>
      </c>
      <c r="P110" s="87">
        <f t="shared" ca="1" si="41"/>
        <v>172276.8053606819</v>
      </c>
      <c r="Q110" s="87">
        <f t="shared" ca="1" si="41"/>
        <v>214797.34086140676</v>
      </c>
      <c r="R110" s="87">
        <f t="shared" ca="1" si="41"/>
        <v>241112.82895664487</v>
      </c>
      <c r="S110" s="87">
        <f t="shared" ca="1" si="41"/>
        <v>221965.51943283537</v>
      </c>
      <c r="T110" s="87">
        <f t="shared" ca="1" si="41"/>
        <v>267768.21411452675</v>
      </c>
      <c r="U110" s="87">
        <f t="shared" ca="1" si="41"/>
        <v>245184.05510432416</v>
      </c>
      <c r="V110" s="87">
        <f t="shared" ca="1" si="41"/>
        <v>295076.03486622893</v>
      </c>
      <c r="W110" s="87">
        <f t="shared" ca="1" si="41"/>
        <v>287758.60272337176</v>
      </c>
      <c r="X110" s="87">
        <f t="shared" ca="1" si="41"/>
        <v>284848.96764315839</v>
      </c>
      <c r="Y110" s="87">
        <f t="shared" ca="1" si="41"/>
        <v>384809.06122746906</v>
      </c>
      <c r="Z110" s="87">
        <f t="shared" ca="1" si="41"/>
        <v>419769.24434724159</v>
      </c>
      <c r="AA110" s="87">
        <f t="shared" ca="1" si="41"/>
        <v>459622.09434724163</v>
      </c>
      <c r="AB110" s="87">
        <f t="shared" ca="1" si="41"/>
        <v>389596.12336707738</v>
      </c>
      <c r="AC110" s="87">
        <f t="shared" ca="1" si="41"/>
        <v>367957.30485513195</v>
      </c>
      <c r="AD110" s="87">
        <f t="shared" ca="1" si="41"/>
        <v>391719.03321299964</v>
      </c>
      <c r="AE110" s="87">
        <f t="shared" ca="1" si="41"/>
        <v>430047.97607014247</v>
      </c>
      <c r="AF110" s="87">
        <f t="shared" ca="1" si="41"/>
        <v>434036.55107014254</v>
      </c>
      <c r="AG110" s="87">
        <f t="shared" ca="1" si="41"/>
        <v>418273.75230721972</v>
      </c>
      <c r="AH110" s="87">
        <f t="shared" ca="1" si="41"/>
        <v>409623.6004398744</v>
      </c>
      <c r="AI110" s="87">
        <f t="shared" ref="AI110:BG110" ca="1" si="42">SUM(AI108,AI109)</f>
        <v>468930.66115416004</v>
      </c>
      <c r="AJ110" s="87">
        <f t="shared" ca="1" si="42"/>
        <v>516052.12543987436</v>
      </c>
      <c r="AK110" s="87">
        <f t="shared" ca="1" si="42"/>
        <v>506133.51715314208</v>
      </c>
      <c r="AL110" s="87">
        <f t="shared" ca="1" si="42"/>
        <v>504856.25359459565</v>
      </c>
      <c r="AM110" s="87">
        <f t="shared" ca="1" si="42"/>
        <v>534109.46052389196</v>
      </c>
      <c r="AN110" s="87">
        <f t="shared" ca="1" si="42"/>
        <v>591126.29385722522</v>
      </c>
      <c r="AO110" s="87">
        <f t="shared" ca="1" si="42"/>
        <v>527294.65457151097</v>
      </c>
      <c r="AP110" s="87">
        <f t="shared" ca="1" si="42"/>
        <v>580860.0208214703</v>
      </c>
      <c r="AQ110" s="87">
        <f t="shared" ca="1" si="42"/>
        <v>592301.90632219519</v>
      </c>
      <c r="AR110" s="87">
        <f t="shared" ca="1" si="42"/>
        <v>614802.06346505228</v>
      </c>
      <c r="AS110" s="87">
        <f t="shared" ca="1" si="42"/>
        <v>632157.27775076649</v>
      </c>
      <c r="AT110" s="87">
        <f t="shared" ca="1" si="42"/>
        <v>700880.82422593911</v>
      </c>
      <c r="AU110" s="87">
        <f t="shared" ca="1" si="42"/>
        <v>705100.51542929723</v>
      </c>
      <c r="AV110" s="87">
        <f t="shared" ca="1" si="42"/>
        <v>750579.83093002217</v>
      </c>
      <c r="AW110" s="87">
        <f t="shared" ca="1" si="42"/>
        <v>760630.33331097465</v>
      </c>
      <c r="AX110" s="87">
        <f t="shared" ca="1" si="42"/>
        <v>646228.01645281375</v>
      </c>
      <c r="AY110" s="87">
        <f t="shared" ca="1" si="42"/>
        <v>593212.40605350083</v>
      </c>
      <c r="AZ110" s="87">
        <f t="shared" ca="1" si="42"/>
        <v>608860.0386970829</v>
      </c>
      <c r="BA110" s="87">
        <f t="shared" ca="1" si="42"/>
        <v>659211.8425066066</v>
      </c>
      <c r="BB110" s="87">
        <f t="shared" ca="1" si="42"/>
        <v>678773.59862691129</v>
      </c>
      <c r="BC110" s="87">
        <f t="shared" ca="1" si="42"/>
        <v>184122.38320494266</v>
      </c>
      <c r="BD110" s="87">
        <f t="shared" ca="1" si="42"/>
        <v>389596.12336707744</v>
      </c>
      <c r="BE110" s="87">
        <f t="shared" ca="1" si="42"/>
        <v>527294.65457151108</v>
      </c>
      <c r="BF110" s="87">
        <f t="shared" ca="1" si="42"/>
        <v>678773.59862691152</v>
      </c>
      <c r="BG110" s="87">
        <f t="shared" ca="1" si="42"/>
        <v>678773.59862691164</v>
      </c>
    </row>
    <row r="111" spans="1:59" ht="16.149999999999999" customHeight="1" thickTop="1" x14ac:dyDescent="0.3">
      <c r="B111" s="2"/>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2"/>
      <c r="BD111" s="72"/>
      <c r="BE111" s="72"/>
      <c r="BF111" s="72"/>
      <c r="BG111" s="72"/>
    </row>
    <row r="112" spans="1:59" ht="16.149999999999999" customHeight="1" x14ac:dyDescent="0.3">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row>
    <row r="113" spans="8:54" ht="16.149999999999999" customHeight="1" x14ac:dyDescent="0.3">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row>
  </sheetData>
  <phoneticPr fontId="3" type="noConversion"/>
  <pageMargins left="0.59055118110236227" right="0.59055118110236227" top="0.59055118110236227" bottom="0.59055118110236227" header="0.39370078740157483" footer="0.39370078740157483"/>
  <pageSetup paperSize="9" scale="54" fitToWidth="0" fitToHeight="2" orientation="landscape"/>
  <headerFooter alignWithMargins="0">
    <oddFooter>&amp;C&amp;9Page &amp;P of &amp;N</oddFooter>
  </headerFooter>
  <rowBreaks count="1" manualBreakCount="1">
    <brk id="64" min="1" max="58" man="1"/>
  </rowBreaks>
  <colBreaks count="4" manualBreakCount="4">
    <brk id="15" max="109" man="1"/>
    <brk id="28" max="109" man="1"/>
    <brk id="41" max="109" man="1"/>
    <brk id="54" max="1048575" man="1"/>
  </colBreaks>
  <ignoredErrors>
    <ignoredError sqref="C60:BB60"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G113"/>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40625" defaultRowHeight="16.149999999999999" customHeight="1" x14ac:dyDescent="0.3"/>
  <cols>
    <col min="1" max="1" width="5.7109375" style="291" customWidth="1"/>
    <col min="2" max="2" width="44.140625" style="12" customWidth="1"/>
    <col min="3" max="7" width="12.7109375" style="17" customWidth="1"/>
    <col min="8" max="54" width="12.7109375" style="2" customWidth="1"/>
    <col min="55" max="59" width="14.7109375" style="10" customWidth="1"/>
    <col min="60" max="16384" width="9.140625" style="2"/>
  </cols>
  <sheetData>
    <row r="1" spans="1:59" ht="16.149999999999999" customHeight="1" x14ac:dyDescent="0.3">
      <c r="B1" s="290" t="str">
        <f>IF(ISBLANK(Assumptions!$C$4),"Example Limited",Assumptions!$C$4)</f>
        <v>Example (Pty) Limited</v>
      </c>
    </row>
    <row r="2" spans="1:59" ht="16.149999999999999" customHeight="1" x14ac:dyDescent="0.3">
      <c r="B2" s="6" t="s">
        <v>100</v>
      </c>
    </row>
    <row r="3" spans="1:59" s="41" customFormat="1" ht="16.149999999999999" customHeight="1" x14ac:dyDescent="0.25">
      <c r="A3" s="301"/>
      <c r="B3" s="38" t="s">
        <v>50</v>
      </c>
      <c r="C3" s="25" t="str">
        <f>IF(COLUMN(C4)-2&lt;=Assumptions!$C$8,"Q1",IF(COLUMN(C4)-2&lt;=SUM(Assumptions!$C$8:$C$9),"Q2",IF(COLUMN(C4)-2&lt;=SUM(Assumptions!$C$8:$C$10),"Q3","Q4")))</f>
        <v>Q1</v>
      </c>
      <c r="D3" s="25" t="str">
        <f>IF(COLUMN(D4)-2&lt;=Assumptions!$C$8,"Q1",IF(COLUMN(D4)-2&lt;=SUM(Assumptions!$C$8:$C$9),"Q2",IF(COLUMN(D4)-2&lt;=SUM(Assumptions!$C$8:$C$10),"Q3","Q4")))</f>
        <v>Q1</v>
      </c>
      <c r="E3" s="25" t="str">
        <f>IF(COLUMN(E4)-2&lt;=Assumptions!$C$8,"Q1",IF(COLUMN(E4)-2&lt;=SUM(Assumptions!$C$8:$C$9),"Q2",IF(COLUMN(E4)-2&lt;=SUM(Assumptions!$C$8:$C$10),"Q3","Q4")))</f>
        <v>Q1</v>
      </c>
      <c r="F3" s="25" t="str">
        <f>IF(COLUMN(F4)-2&lt;=Assumptions!$C$8,"Q1",IF(COLUMN(F4)-2&lt;=SUM(Assumptions!$C$8:$C$9),"Q2",IF(COLUMN(F4)-2&lt;=SUM(Assumptions!$C$8:$C$10),"Q3","Q4")))</f>
        <v>Q1</v>
      </c>
      <c r="G3" s="25" t="str">
        <f>IF(COLUMN(G4)-2&lt;=Assumptions!$C$8,"Q1",IF(COLUMN(G4)-2&lt;=SUM(Assumptions!$C$8:$C$9),"Q2",IF(COLUMN(G4)-2&lt;=SUM(Assumptions!$C$8:$C$10),"Q3","Q4")))</f>
        <v>Q1</v>
      </c>
      <c r="H3" s="25" t="str">
        <f>IF(COLUMN(H4)-2&lt;=Assumptions!$C$8,"Q1",IF(COLUMN(H4)-2&lt;=SUM(Assumptions!$C$8:$C$9),"Q2",IF(COLUMN(H4)-2&lt;=SUM(Assumptions!$C$8:$C$10),"Q3","Q4")))</f>
        <v>Q1</v>
      </c>
      <c r="I3" s="25" t="str">
        <f>IF(COLUMN(I4)-2&lt;=Assumptions!$C$8,"Q1",IF(COLUMN(I4)-2&lt;=SUM(Assumptions!$C$8:$C$9),"Q2",IF(COLUMN(I4)-2&lt;=SUM(Assumptions!$C$8:$C$10),"Q3","Q4")))</f>
        <v>Q1</v>
      </c>
      <c r="J3" s="25" t="str">
        <f>IF(COLUMN(J4)-2&lt;=Assumptions!$C$8,"Q1",IF(COLUMN(J4)-2&lt;=SUM(Assumptions!$C$8:$C$9),"Q2",IF(COLUMN(J4)-2&lt;=SUM(Assumptions!$C$8:$C$10),"Q3","Q4")))</f>
        <v>Q1</v>
      </c>
      <c r="K3" s="25" t="str">
        <f>IF(COLUMN(K4)-2&lt;=Assumptions!$C$8,"Q1",IF(COLUMN(K4)-2&lt;=SUM(Assumptions!$C$8:$C$9),"Q2",IF(COLUMN(K4)-2&lt;=SUM(Assumptions!$C$8:$C$10),"Q3","Q4")))</f>
        <v>Q1</v>
      </c>
      <c r="L3" s="25" t="str">
        <f>IF(COLUMN(L4)-2&lt;=Assumptions!$C$8,"Q1",IF(COLUMN(L4)-2&lt;=SUM(Assumptions!$C$8:$C$9),"Q2",IF(COLUMN(L4)-2&lt;=SUM(Assumptions!$C$8:$C$10),"Q3","Q4")))</f>
        <v>Q1</v>
      </c>
      <c r="M3" s="25" t="str">
        <f>IF(COLUMN(M4)-2&lt;=Assumptions!$C$8,"Q1",IF(COLUMN(M4)-2&lt;=SUM(Assumptions!$C$8:$C$9),"Q2",IF(COLUMN(M4)-2&lt;=SUM(Assumptions!$C$8:$C$10),"Q3","Q4")))</f>
        <v>Q1</v>
      </c>
      <c r="N3" s="25" t="str">
        <f>IF(COLUMN(N4)-2&lt;=Assumptions!$C$8,"Q1",IF(COLUMN(N4)-2&lt;=SUM(Assumptions!$C$8:$C$9),"Q2",IF(COLUMN(N4)-2&lt;=SUM(Assumptions!$C$8:$C$10),"Q3","Q4")))</f>
        <v>Q1</v>
      </c>
      <c r="O3" s="25" t="str">
        <f>IF(COLUMN(O4)-2&lt;=Assumptions!$C$8,"Q1",IF(COLUMN(O4)-2&lt;=SUM(Assumptions!$C$8:$C$9),"Q2",IF(COLUMN(O4)-2&lt;=SUM(Assumptions!$C$8:$C$10),"Q3","Q4")))</f>
        <v>Q1</v>
      </c>
      <c r="P3" s="25" t="str">
        <f>IF(COLUMN(P4)-2&lt;=Assumptions!$C$8,"Q1",IF(COLUMN(P4)-2&lt;=SUM(Assumptions!$C$8:$C$9),"Q2",IF(COLUMN(P4)-2&lt;=SUM(Assumptions!$C$8:$C$10),"Q3","Q4")))</f>
        <v>Q2</v>
      </c>
      <c r="Q3" s="25" t="str">
        <f>IF(COLUMN(Q4)-2&lt;=Assumptions!$C$8,"Q1",IF(COLUMN(Q4)-2&lt;=SUM(Assumptions!$C$8:$C$9),"Q2",IF(COLUMN(Q4)-2&lt;=SUM(Assumptions!$C$8:$C$10),"Q3","Q4")))</f>
        <v>Q2</v>
      </c>
      <c r="R3" s="25" t="str">
        <f>IF(COLUMN(R4)-2&lt;=Assumptions!$C$8,"Q1",IF(COLUMN(R4)-2&lt;=SUM(Assumptions!$C$8:$C$9),"Q2",IF(COLUMN(R4)-2&lt;=SUM(Assumptions!$C$8:$C$10),"Q3","Q4")))</f>
        <v>Q2</v>
      </c>
      <c r="S3" s="25" t="str">
        <f>IF(COLUMN(S4)-2&lt;=Assumptions!$C$8,"Q1",IF(COLUMN(S4)-2&lt;=SUM(Assumptions!$C$8:$C$9),"Q2",IF(COLUMN(S4)-2&lt;=SUM(Assumptions!$C$8:$C$10),"Q3","Q4")))</f>
        <v>Q2</v>
      </c>
      <c r="T3" s="25" t="str">
        <f>IF(COLUMN(T4)-2&lt;=Assumptions!$C$8,"Q1",IF(COLUMN(T4)-2&lt;=SUM(Assumptions!$C$8:$C$9),"Q2",IF(COLUMN(T4)-2&lt;=SUM(Assumptions!$C$8:$C$10),"Q3","Q4")))</f>
        <v>Q2</v>
      </c>
      <c r="U3" s="25" t="str">
        <f>IF(COLUMN(U4)-2&lt;=Assumptions!$C$8,"Q1",IF(COLUMN(U4)-2&lt;=SUM(Assumptions!$C$8:$C$9),"Q2",IF(COLUMN(U4)-2&lt;=SUM(Assumptions!$C$8:$C$10),"Q3","Q4")))</f>
        <v>Q2</v>
      </c>
      <c r="V3" s="25" t="str">
        <f>IF(COLUMN(V4)-2&lt;=Assumptions!$C$8,"Q1",IF(COLUMN(V4)-2&lt;=SUM(Assumptions!$C$8:$C$9),"Q2",IF(COLUMN(V4)-2&lt;=SUM(Assumptions!$C$8:$C$10),"Q3","Q4")))</f>
        <v>Q2</v>
      </c>
      <c r="W3" s="25" t="str">
        <f>IF(COLUMN(W4)-2&lt;=Assumptions!$C$8,"Q1",IF(COLUMN(W4)-2&lt;=SUM(Assumptions!$C$8:$C$9),"Q2",IF(COLUMN(W4)-2&lt;=SUM(Assumptions!$C$8:$C$10),"Q3","Q4")))</f>
        <v>Q2</v>
      </c>
      <c r="X3" s="25" t="str">
        <f>IF(COLUMN(X4)-2&lt;=Assumptions!$C$8,"Q1",IF(COLUMN(X4)-2&lt;=SUM(Assumptions!$C$8:$C$9),"Q2",IF(COLUMN(X4)-2&lt;=SUM(Assumptions!$C$8:$C$10),"Q3","Q4")))</f>
        <v>Q2</v>
      </c>
      <c r="Y3" s="25" t="str">
        <f>IF(COLUMN(Y4)-2&lt;=Assumptions!$C$8,"Q1",IF(COLUMN(Y4)-2&lt;=SUM(Assumptions!$C$8:$C$9),"Q2",IF(COLUMN(Y4)-2&lt;=SUM(Assumptions!$C$8:$C$10),"Q3","Q4")))</f>
        <v>Q2</v>
      </c>
      <c r="Z3" s="25" t="str">
        <f>IF(COLUMN(Z4)-2&lt;=Assumptions!$C$8,"Q1",IF(COLUMN(Z4)-2&lt;=SUM(Assumptions!$C$8:$C$9),"Q2",IF(COLUMN(Z4)-2&lt;=SUM(Assumptions!$C$8:$C$10),"Q3","Q4")))</f>
        <v>Q2</v>
      </c>
      <c r="AA3" s="25" t="str">
        <f>IF(COLUMN(AA4)-2&lt;=Assumptions!$C$8,"Q1",IF(COLUMN(AA4)-2&lt;=SUM(Assumptions!$C$8:$C$9),"Q2",IF(COLUMN(AA4)-2&lt;=SUM(Assumptions!$C$8:$C$10),"Q3","Q4")))</f>
        <v>Q2</v>
      </c>
      <c r="AB3" s="25" t="str">
        <f>IF(COLUMN(AB4)-2&lt;=Assumptions!$C$8,"Q1",IF(COLUMN(AB4)-2&lt;=SUM(Assumptions!$C$8:$C$9),"Q2",IF(COLUMN(AB4)-2&lt;=SUM(Assumptions!$C$8:$C$10),"Q3","Q4")))</f>
        <v>Q2</v>
      </c>
      <c r="AC3" s="25" t="str">
        <f>IF(COLUMN(AC4)-2&lt;=Assumptions!$C$8,"Q1",IF(COLUMN(AC4)-2&lt;=SUM(Assumptions!$C$8:$C$9),"Q2",IF(COLUMN(AC4)-2&lt;=SUM(Assumptions!$C$8:$C$10),"Q3","Q4")))</f>
        <v>Q3</v>
      </c>
      <c r="AD3" s="25" t="str">
        <f>IF(COLUMN(AD4)-2&lt;=Assumptions!$C$8,"Q1",IF(COLUMN(AD4)-2&lt;=SUM(Assumptions!$C$8:$C$9),"Q2",IF(COLUMN(AD4)-2&lt;=SUM(Assumptions!$C$8:$C$10),"Q3","Q4")))</f>
        <v>Q3</v>
      </c>
      <c r="AE3" s="25" t="str">
        <f>IF(COLUMN(AE4)-2&lt;=Assumptions!$C$8,"Q1",IF(COLUMN(AE4)-2&lt;=SUM(Assumptions!$C$8:$C$9),"Q2",IF(COLUMN(AE4)-2&lt;=SUM(Assumptions!$C$8:$C$10),"Q3","Q4")))</f>
        <v>Q3</v>
      </c>
      <c r="AF3" s="25" t="str">
        <f>IF(COLUMN(AF4)-2&lt;=Assumptions!$C$8,"Q1",IF(COLUMN(AF4)-2&lt;=SUM(Assumptions!$C$8:$C$9),"Q2",IF(COLUMN(AF4)-2&lt;=SUM(Assumptions!$C$8:$C$10),"Q3","Q4")))</f>
        <v>Q3</v>
      </c>
      <c r="AG3" s="25" t="str">
        <f>IF(COLUMN(AG4)-2&lt;=Assumptions!$C$8,"Q1",IF(COLUMN(AG4)-2&lt;=SUM(Assumptions!$C$8:$C$9),"Q2",IF(COLUMN(AG4)-2&lt;=SUM(Assumptions!$C$8:$C$10),"Q3","Q4")))</f>
        <v>Q3</v>
      </c>
      <c r="AH3" s="25" t="str">
        <f>IF(COLUMN(AH4)-2&lt;=Assumptions!$C$8,"Q1",IF(COLUMN(AH4)-2&lt;=SUM(Assumptions!$C$8:$C$9),"Q2",IF(COLUMN(AH4)-2&lt;=SUM(Assumptions!$C$8:$C$10),"Q3","Q4")))</f>
        <v>Q3</v>
      </c>
      <c r="AI3" s="25" t="str">
        <f>IF(COLUMN(AI4)-2&lt;=Assumptions!$C$8,"Q1",IF(COLUMN(AI4)-2&lt;=SUM(Assumptions!$C$8:$C$9),"Q2",IF(COLUMN(AI4)-2&lt;=SUM(Assumptions!$C$8:$C$10),"Q3","Q4")))</f>
        <v>Q3</v>
      </c>
      <c r="AJ3" s="25" t="str">
        <f>IF(COLUMN(AJ4)-2&lt;=Assumptions!$C$8,"Q1",IF(COLUMN(AJ4)-2&lt;=SUM(Assumptions!$C$8:$C$9),"Q2",IF(COLUMN(AJ4)-2&lt;=SUM(Assumptions!$C$8:$C$10),"Q3","Q4")))</f>
        <v>Q3</v>
      </c>
      <c r="AK3" s="25" t="str">
        <f>IF(COLUMN(AK4)-2&lt;=Assumptions!$C$8,"Q1",IF(COLUMN(AK4)-2&lt;=SUM(Assumptions!$C$8:$C$9),"Q2",IF(COLUMN(AK4)-2&lt;=SUM(Assumptions!$C$8:$C$10),"Q3","Q4")))</f>
        <v>Q3</v>
      </c>
      <c r="AL3" s="25" t="str">
        <f>IF(COLUMN(AL4)-2&lt;=Assumptions!$C$8,"Q1",IF(COLUMN(AL4)-2&lt;=SUM(Assumptions!$C$8:$C$9),"Q2",IF(COLUMN(AL4)-2&lt;=SUM(Assumptions!$C$8:$C$10),"Q3","Q4")))</f>
        <v>Q3</v>
      </c>
      <c r="AM3" s="25" t="str">
        <f>IF(COLUMN(AM4)-2&lt;=Assumptions!$C$8,"Q1",IF(COLUMN(AM4)-2&lt;=SUM(Assumptions!$C$8:$C$9),"Q2",IF(COLUMN(AM4)-2&lt;=SUM(Assumptions!$C$8:$C$10),"Q3","Q4")))</f>
        <v>Q3</v>
      </c>
      <c r="AN3" s="25" t="str">
        <f>IF(COLUMN(AN4)-2&lt;=Assumptions!$C$8,"Q1",IF(COLUMN(AN4)-2&lt;=SUM(Assumptions!$C$8:$C$9),"Q2",IF(COLUMN(AN4)-2&lt;=SUM(Assumptions!$C$8:$C$10),"Q3","Q4")))</f>
        <v>Q3</v>
      </c>
      <c r="AO3" s="25" t="str">
        <f>IF(COLUMN(AO4)-2&lt;=Assumptions!$C$8,"Q1",IF(COLUMN(AO4)-2&lt;=SUM(Assumptions!$C$8:$C$9),"Q2",IF(COLUMN(AO4)-2&lt;=SUM(Assumptions!$C$8:$C$10),"Q3","Q4")))</f>
        <v>Q3</v>
      </c>
      <c r="AP3" s="25" t="str">
        <f>IF(COLUMN(AP4)-2&lt;=Assumptions!$C$8,"Q1",IF(COLUMN(AP4)-2&lt;=SUM(Assumptions!$C$8:$C$9),"Q2",IF(COLUMN(AP4)-2&lt;=SUM(Assumptions!$C$8:$C$10),"Q3","Q4")))</f>
        <v>Q4</v>
      </c>
      <c r="AQ3" s="25" t="str">
        <f>IF(COLUMN(AQ4)-2&lt;=Assumptions!$C$8,"Q1",IF(COLUMN(AQ4)-2&lt;=SUM(Assumptions!$C$8:$C$9),"Q2",IF(COLUMN(AQ4)-2&lt;=SUM(Assumptions!$C$8:$C$10),"Q3","Q4")))</f>
        <v>Q4</v>
      </c>
      <c r="AR3" s="25" t="str">
        <f>IF(COLUMN(AR4)-2&lt;=Assumptions!$C$8,"Q1",IF(COLUMN(AR4)-2&lt;=SUM(Assumptions!$C$8:$C$9),"Q2",IF(COLUMN(AR4)-2&lt;=SUM(Assumptions!$C$8:$C$10),"Q3","Q4")))</f>
        <v>Q4</v>
      </c>
      <c r="AS3" s="25" t="str">
        <f>IF(COLUMN(AS4)-2&lt;=Assumptions!$C$8,"Q1",IF(COLUMN(AS4)-2&lt;=SUM(Assumptions!$C$8:$C$9),"Q2",IF(COLUMN(AS4)-2&lt;=SUM(Assumptions!$C$8:$C$10),"Q3","Q4")))</f>
        <v>Q4</v>
      </c>
      <c r="AT3" s="25" t="str">
        <f>IF(COLUMN(AT4)-2&lt;=Assumptions!$C$8,"Q1",IF(COLUMN(AT4)-2&lt;=SUM(Assumptions!$C$8:$C$9),"Q2",IF(COLUMN(AT4)-2&lt;=SUM(Assumptions!$C$8:$C$10),"Q3","Q4")))</f>
        <v>Q4</v>
      </c>
      <c r="AU3" s="25" t="str">
        <f>IF(COLUMN(AU4)-2&lt;=Assumptions!$C$8,"Q1",IF(COLUMN(AU4)-2&lt;=SUM(Assumptions!$C$8:$C$9),"Q2",IF(COLUMN(AU4)-2&lt;=SUM(Assumptions!$C$8:$C$10),"Q3","Q4")))</f>
        <v>Q4</v>
      </c>
      <c r="AV3" s="25" t="str">
        <f>IF(COLUMN(AV4)-2&lt;=Assumptions!$C$8,"Q1",IF(COLUMN(AV4)-2&lt;=SUM(Assumptions!$C$8:$C$9),"Q2",IF(COLUMN(AV4)-2&lt;=SUM(Assumptions!$C$8:$C$10),"Q3","Q4")))</f>
        <v>Q4</v>
      </c>
      <c r="AW3" s="25" t="str">
        <f>IF(COLUMN(AW4)-2&lt;=Assumptions!$C$8,"Q1",IF(COLUMN(AW4)-2&lt;=SUM(Assumptions!$C$8:$C$9),"Q2",IF(COLUMN(AW4)-2&lt;=SUM(Assumptions!$C$8:$C$10),"Q3","Q4")))</f>
        <v>Q4</v>
      </c>
      <c r="AX3" s="25" t="str">
        <f>IF(COLUMN(AX4)-2&lt;=Assumptions!$C$8,"Q1",IF(COLUMN(AX4)-2&lt;=SUM(Assumptions!$C$8:$C$9),"Q2",IF(COLUMN(AX4)-2&lt;=SUM(Assumptions!$C$8:$C$10),"Q3","Q4")))</f>
        <v>Q4</v>
      </c>
      <c r="AY3" s="25" t="str">
        <f>IF(COLUMN(AY4)-2&lt;=Assumptions!$C$8,"Q1",IF(COLUMN(AY4)-2&lt;=SUM(Assumptions!$C$8:$C$9),"Q2",IF(COLUMN(AY4)-2&lt;=SUM(Assumptions!$C$8:$C$10),"Q3","Q4")))</f>
        <v>Q4</v>
      </c>
      <c r="AZ3" s="25" t="str">
        <f>IF(COLUMN(AZ4)-2&lt;=Assumptions!$C$8,"Q1",IF(COLUMN(AZ4)-2&lt;=SUM(Assumptions!$C$8:$C$9),"Q2",IF(COLUMN(AZ4)-2&lt;=SUM(Assumptions!$C$8:$C$10),"Q3","Q4")))</f>
        <v>Q4</v>
      </c>
      <c r="BA3" s="25" t="str">
        <f>IF(COLUMN(BA4)-2&lt;=Assumptions!$C$8,"Q1",IF(COLUMN(BA4)-2&lt;=SUM(Assumptions!$C$8:$C$9),"Q2",IF(COLUMN(BA4)-2&lt;=SUM(Assumptions!$C$8:$C$10),"Q3","Q4")))</f>
        <v>Q4</v>
      </c>
      <c r="BB3" s="25" t="str">
        <f>IF(COLUMN(BB4)-2&lt;=Assumptions!$C$8,"Q1",IF(COLUMN(BB4)-2&lt;=SUM(Assumptions!$C$8:$C$9),"Q2",IF(COLUMN(BB4)-2&lt;=SUM(Assumptions!$C$8:$C$10),"Q3","Q4")))</f>
        <v>Q4</v>
      </c>
      <c r="BC3" s="39" t="s">
        <v>90</v>
      </c>
      <c r="BD3" s="39" t="s">
        <v>91</v>
      </c>
      <c r="BE3" s="39" t="s">
        <v>92</v>
      </c>
      <c r="BF3" s="39" t="s">
        <v>93</v>
      </c>
      <c r="BG3" s="40"/>
    </row>
    <row r="4" spans="1:59" s="45" customFormat="1" ht="18" customHeight="1" x14ac:dyDescent="0.25">
      <c r="A4" s="293"/>
      <c r="B4" s="88"/>
      <c r="C4" s="43">
        <f ca="1">IF(ISBLANK(Assumptions!$C$5)=TRUE,DATE(YEAR(TODAY()),MONTH(TODAY()),7),DATE(YEAR(Assumptions!$C$5),MONTH(Assumptions!$C$5),DAY(Assumptions!$C$5)+6))</f>
        <v>43897</v>
      </c>
      <c r="D4" s="43">
        <f ca="1">DATE(YEAR(OFFSET(D3,1,-1,1,1)),MONTH(OFFSET(D3,1,-1,1,1)),DAY(OFFSET(D3,1,-1,1,1))+7)</f>
        <v>43904</v>
      </c>
      <c r="E4" s="43">
        <f t="shared" ref="E4:BB4" ca="1" si="0">DATE(YEAR(OFFSET(E3,1,-1,1,1)),MONTH(OFFSET(E3,1,-1,1,1)),DAY(OFFSET(E3,1,-1,1,1))+7)</f>
        <v>43911</v>
      </c>
      <c r="F4" s="43">
        <f t="shared" ca="1" si="0"/>
        <v>43918</v>
      </c>
      <c r="G4" s="43">
        <f t="shared" ca="1" si="0"/>
        <v>43925</v>
      </c>
      <c r="H4" s="43">
        <f t="shared" ca="1" si="0"/>
        <v>43932</v>
      </c>
      <c r="I4" s="43">
        <f t="shared" ca="1" si="0"/>
        <v>43939</v>
      </c>
      <c r="J4" s="43">
        <f t="shared" ca="1" si="0"/>
        <v>43946</v>
      </c>
      <c r="K4" s="43">
        <f t="shared" ca="1" si="0"/>
        <v>43953</v>
      </c>
      <c r="L4" s="43">
        <f t="shared" ca="1" si="0"/>
        <v>43960</v>
      </c>
      <c r="M4" s="43">
        <f t="shared" ca="1" si="0"/>
        <v>43967</v>
      </c>
      <c r="N4" s="43">
        <f t="shared" ca="1" si="0"/>
        <v>43974</v>
      </c>
      <c r="O4" s="43">
        <f t="shared" ca="1" si="0"/>
        <v>43981</v>
      </c>
      <c r="P4" s="43">
        <f t="shared" ca="1" si="0"/>
        <v>43988</v>
      </c>
      <c r="Q4" s="43">
        <f t="shared" ca="1" si="0"/>
        <v>43995</v>
      </c>
      <c r="R4" s="43">
        <f t="shared" ca="1" si="0"/>
        <v>44002</v>
      </c>
      <c r="S4" s="43">
        <f t="shared" ca="1" si="0"/>
        <v>44009</v>
      </c>
      <c r="T4" s="43">
        <f t="shared" ca="1" si="0"/>
        <v>44016</v>
      </c>
      <c r="U4" s="43">
        <f t="shared" ca="1" si="0"/>
        <v>44023</v>
      </c>
      <c r="V4" s="43">
        <f t="shared" ca="1" si="0"/>
        <v>44030</v>
      </c>
      <c r="W4" s="43">
        <f t="shared" ca="1" si="0"/>
        <v>44037</v>
      </c>
      <c r="X4" s="43">
        <f t="shared" ca="1" si="0"/>
        <v>44044</v>
      </c>
      <c r="Y4" s="43">
        <f t="shared" ca="1" si="0"/>
        <v>44051</v>
      </c>
      <c r="Z4" s="43">
        <f t="shared" ca="1" si="0"/>
        <v>44058</v>
      </c>
      <c r="AA4" s="43">
        <f t="shared" ca="1" si="0"/>
        <v>44065</v>
      </c>
      <c r="AB4" s="43">
        <f t="shared" ca="1" si="0"/>
        <v>44072</v>
      </c>
      <c r="AC4" s="43">
        <f t="shared" ca="1" si="0"/>
        <v>44079</v>
      </c>
      <c r="AD4" s="43">
        <f t="shared" ca="1" si="0"/>
        <v>44086</v>
      </c>
      <c r="AE4" s="43">
        <f t="shared" ca="1" si="0"/>
        <v>44093</v>
      </c>
      <c r="AF4" s="43">
        <f t="shared" ca="1" si="0"/>
        <v>44100</v>
      </c>
      <c r="AG4" s="43">
        <f t="shared" ca="1" si="0"/>
        <v>44107</v>
      </c>
      <c r="AH4" s="43">
        <f t="shared" ca="1" si="0"/>
        <v>44114</v>
      </c>
      <c r="AI4" s="43">
        <f t="shared" ca="1" si="0"/>
        <v>44121</v>
      </c>
      <c r="AJ4" s="43">
        <f t="shared" ca="1" si="0"/>
        <v>44128</v>
      </c>
      <c r="AK4" s="43">
        <f t="shared" ca="1" si="0"/>
        <v>44135</v>
      </c>
      <c r="AL4" s="43">
        <f t="shared" ca="1" si="0"/>
        <v>44142</v>
      </c>
      <c r="AM4" s="43">
        <f t="shared" ca="1" si="0"/>
        <v>44149</v>
      </c>
      <c r="AN4" s="43">
        <f t="shared" ca="1" si="0"/>
        <v>44156</v>
      </c>
      <c r="AO4" s="43">
        <f t="shared" ca="1" si="0"/>
        <v>44163</v>
      </c>
      <c r="AP4" s="43">
        <f t="shared" ca="1" si="0"/>
        <v>44170</v>
      </c>
      <c r="AQ4" s="43">
        <f t="shared" ca="1" si="0"/>
        <v>44177</v>
      </c>
      <c r="AR4" s="43">
        <f t="shared" ca="1" si="0"/>
        <v>44184</v>
      </c>
      <c r="AS4" s="43">
        <f t="shared" ca="1" si="0"/>
        <v>44191</v>
      </c>
      <c r="AT4" s="43">
        <f t="shared" ca="1" si="0"/>
        <v>44198</v>
      </c>
      <c r="AU4" s="43">
        <f t="shared" ca="1" si="0"/>
        <v>44205</v>
      </c>
      <c r="AV4" s="43">
        <f t="shared" ca="1" si="0"/>
        <v>44212</v>
      </c>
      <c r="AW4" s="43">
        <f t="shared" ca="1" si="0"/>
        <v>44219</v>
      </c>
      <c r="AX4" s="43">
        <f t="shared" ca="1" si="0"/>
        <v>44226</v>
      </c>
      <c r="AY4" s="43">
        <f t="shared" ca="1" si="0"/>
        <v>44233</v>
      </c>
      <c r="AZ4" s="43">
        <f t="shared" ca="1" si="0"/>
        <v>44240</v>
      </c>
      <c r="BA4" s="43">
        <f t="shared" ca="1" si="0"/>
        <v>44247</v>
      </c>
      <c r="BB4" s="43">
        <f t="shared" ca="1" si="0"/>
        <v>44254</v>
      </c>
      <c r="BC4" s="44" t="s">
        <v>76</v>
      </c>
      <c r="BD4" s="44" t="s">
        <v>77</v>
      </c>
      <c r="BE4" s="44" t="s">
        <v>78</v>
      </c>
      <c r="BF4" s="44" t="s">
        <v>79</v>
      </c>
      <c r="BG4" s="44" t="str">
        <f ca="1">"Total "&amp;YEAR(OFFSET($BC$4,0,-1,1,1))</f>
        <v>Total 2021</v>
      </c>
    </row>
    <row r="5" spans="1:59" s="50" customFormat="1" ht="16.149999999999999" customHeight="1" x14ac:dyDescent="0.3">
      <c r="A5" s="302"/>
      <c r="B5" s="46" t="s">
        <v>198</v>
      </c>
      <c r="C5" s="47">
        <v>64000</v>
      </c>
      <c r="D5" s="48">
        <v>52000</v>
      </c>
      <c r="E5" s="48">
        <v>60000</v>
      </c>
      <c r="F5" s="48">
        <v>68000</v>
      </c>
      <c r="G5" s="48">
        <v>64000</v>
      </c>
      <c r="H5" s="48">
        <v>62800</v>
      </c>
      <c r="I5" s="48">
        <v>55400</v>
      </c>
      <c r="J5" s="48">
        <v>64000</v>
      </c>
      <c r="K5" s="48">
        <v>65600</v>
      </c>
      <c r="L5" s="48">
        <v>68000</v>
      </c>
      <c r="M5" s="48">
        <v>66400</v>
      </c>
      <c r="N5" s="48">
        <v>64000</v>
      </c>
      <c r="O5" s="48">
        <v>60000</v>
      </c>
      <c r="P5" s="48">
        <v>72000</v>
      </c>
      <c r="Q5" s="48">
        <v>68000</v>
      </c>
      <c r="R5" s="48">
        <v>66000</v>
      </c>
      <c r="S5" s="48">
        <v>66720</v>
      </c>
      <c r="T5" s="48">
        <v>64800</v>
      </c>
      <c r="U5" s="48">
        <v>67440</v>
      </c>
      <c r="V5" s="48">
        <v>72000</v>
      </c>
      <c r="W5" s="48">
        <v>68800</v>
      </c>
      <c r="X5" s="48">
        <v>69880</v>
      </c>
      <c r="Y5" s="48">
        <v>65936</v>
      </c>
      <c r="Z5" s="48">
        <v>76544</v>
      </c>
      <c r="AA5" s="48">
        <v>72000</v>
      </c>
      <c r="AB5" s="48">
        <v>74400</v>
      </c>
      <c r="AC5" s="48">
        <v>67680</v>
      </c>
      <c r="AD5" s="48">
        <v>74800</v>
      </c>
      <c r="AE5" s="48">
        <v>78400</v>
      </c>
      <c r="AF5" s="48">
        <v>80960</v>
      </c>
      <c r="AG5" s="48">
        <v>84320</v>
      </c>
      <c r="AH5" s="48">
        <v>86880</v>
      </c>
      <c r="AI5" s="48">
        <v>79120</v>
      </c>
      <c r="AJ5" s="48">
        <v>79680</v>
      </c>
      <c r="AK5" s="48">
        <v>82120</v>
      </c>
      <c r="AL5" s="48">
        <v>82800</v>
      </c>
      <c r="AM5" s="48">
        <v>83760</v>
      </c>
      <c r="AN5" s="48">
        <v>79856</v>
      </c>
      <c r="AO5" s="48">
        <v>71632</v>
      </c>
      <c r="AP5" s="48">
        <v>74168</v>
      </c>
      <c r="AQ5" s="48">
        <v>66080</v>
      </c>
      <c r="AR5" s="48">
        <v>57680</v>
      </c>
      <c r="AS5" s="48">
        <v>53040</v>
      </c>
      <c r="AT5" s="48">
        <v>44640</v>
      </c>
      <c r="AU5" s="48">
        <v>40080</v>
      </c>
      <c r="AV5" s="48">
        <v>71440</v>
      </c>
      <c r="AW5" s="48">
        <v>84624</v>
      </c>
      <c r="AX5" s="48">
        <v>84624</v>
      </c>
      <c r="AY5" s="48">
        <v>88160</v>
      </c>
      <c r="AZ5" s="48">
        <v>87120</v>
      </c>
      <c r="BA5" s="48">
        <v>79760</v>
      </c>
      <c r="BB5" s="48">
        <v>83552</v>
      </c>
      <c r="BC5" s="49">
        <f ca="1">SUM(OFFSET($B5,0,1,1,Assumptions!$C$8))</f>
        <v>814200</v>
      </c>
      <c r="BD5" s="49">
        <f ca="1">SUM(OFFSET($B5,0,1+Assumptions!$C$8,1,SUM(Assumptions!$C$9)))</f>
        <v>904520</v>
      </c>
      <c r="BE5" s="49">
        <f ca="1">SUM(OFFSET($B5,0,1+SUM(Assumptions!$C$8:$C$9),1,SUM(Assumptions!$C$10)))</f>
        <v>1032008</v>
      </c>
      <c r="BF5" s="49">
        <f ca="1">SUM(OFFSET($B5,0,1+SUM(Assumptions!$C$8:$C$10),1,SUM(Assumptions!$C$11)))</f>
        <v>914968</v>
      </c>
      <c r="BG5" s="49">
        <f t="shared" ref="BG5:BG6" ca="1" si="1">SUM(BC5:BF5)</f>
        <v>3665696</v>
      </c>
    </row>
    <row r="6" spans="1:59" s="50" customFormat="1" ht="16.149999999999999" customHeight="1" x14ac:dyDescent="0.3">
      <c r="A6" s="302"/>
      <c r="B6" s="46" t="s">
        <v>199</v>
      </c>
      <c r="C6" s="51">
        <v>24250.000000000004</v>
      </c>
      <c r="D6" s="52">
        <v>21844.853333333333</v>
      </c>
      <c r="E6" s="52">
        <v>28074.666666666672</v>
      </c>
      <c r="F6" s="52">
        <v>29694.933333333334</v>
      </c>
      <c r="G6" s="52">
        <v>27504.350000000002</v>
      </c>
      <c r="H6" s="52">
        <v>26318.958333333339</v>
      </c>
      <c r="I6" s="52">
        <v>25675.65</v>
      </c>
      <c r="J6" s="52">
        <v>27825</v>
      </c>
      <c r="K6" s="52">
        <v>23750</v>
      </c>
      <c r="L6" s="52">
        <v>24024</v>
      </c>
      <c r="M6" s="52">
        <v>29130.75</v>
      </c>
      <c r="N6" s="52">
        <v>30416.533333333336</v>
      </c>
      <c r="O6" s="52">
        <v>30974.166666666672</v>
      </c>
      <c r="P6" s="52">
        <v>33366.666666666672</v>
      </c>
      <c r="Q6" s="52">
        <v>32200.000000000007</v>
      </c>
      <c r="R6" s="52">
        <v>25506.233333333337</v>
      </c>
      <c r="S6" s="52">
        <v>31593.375000000004</v>
      </c>
      <c r="T6" s="52">
        <v>30975</v>
      </c>
      <c r="U6" s="52">
        <v>33725.508333333339</v>
      </c>
      <c r="V6" s="52">
        <v>29566.250000000004</v>
      </c>
      <c r="W6" s="52">
        <v>28381.5</v>
      </c>
      <c r="X6" s="52">
        <v>34335.000000000007</v>
      </c>
      <c r="Y6" s="52">
        <v>29259.533333333333</v>
      </c>
      <c r="Z6" s="52">
        <v>32851.5</v>
      </c>
      <c r="AA6" s="52">
        <v>27405.7</v>
      </c>
      <c r="AB6" s="52">
        <v>28240</v>
      </c>
      <c r="AC6" s="52">
        <v>28380.800000000003</v>
      </c>
      <c r="AD6" s="52">
        <v>30231.200000000001</v>
      </c>
      <c r="AE6" s="52">
        <v>30922.5</v>
      </c>
      <c r="AF6" s="52">
        <v>33896.625</v>
      </c>
      <c r="AG6" s="52">
        <v>33651.5</v>
      </c>
      <c r="AH6" s="52">
        <v>32699.333333333336</v>
      </c>
      <c r="AI6" s="52">
        <v>28949.65</v>
      </c>
      <c r="AJ6" s="52">
        <v>36410.400000000001</v>
      </c>
      <c r="AK6" s="52">
        <v>32884.800000000003</v>
      </c>
      <c r="AL6" s="52">
        <v>32528.000000000004</v>
      </c>
      <c r="AM6" s="52">
        <v>32070.5</v>
      </c>
      <c r="AN6" s="52">
        <v>30724.100000000002</v>
      </c>
      <c r="AO6" s="52">
        <v>36465</v>
      </c>
      <c r="AP6" s="52">
        <v>28359.24</v>
      </c>
      <c r="AQ6" s="52">
        <v>26811.820000000003</v>
      </c>
      <c r="AR6" s="52">
        <v>28005.119999999999</v>
      </c>
      <c r="AS6" s="52">
        <v>17870.080000000002</v>
      </c>
      <c r="AT6" s="52">
        <v>15940.348666666669</v>
      </c>
      <c r="AU6" s="52">
        <v>17116.008000000002</v>
      </c>
      <c r="AV6" s="52">
        <v>26776.750000000004</v>
      </c>
      <c r="AW6" s="52">
        <v>37789.024000000005</v>
      </c>
      <c r="AX6" s="52">
        <v>39694.166666666679</v>
      </c>
      <c r="AY6" s="52">
        <v>34616.066666666673</v>
      </c>
      <c r="AZ6" s="52">
        <v>31167.266666666666</v>
      </c>
      <c r="BA6" s="52">
        <v>32537.999999999996</v>
      </c>
      <c r="BB6" s="52">
        <v>33315.840000000004</v>
      </c>
      <c r="BC6" s="53">
        <f ca="1">SUM(OFFSET($B6,0,1,1,Assumptions!$C$8))</f>
        <v>349483.86166666669</v>
      </c>
      <c r="BD6" s="53">
        <f ca="1">SUM(OFFSET($B6,0,1+Assumptions!$C$8,1,SUM(Assumptions!$C$9)))</f>
        <v>397406.26666666672</v>
      </c>
      <c r="BE6" s="53">
        <f ca="1">SUM(OFFSET($B6,0,1+SUM(Assumptions!$C$8:$C$9),1,SUM(Assumptions!$C$10)))</f>
        <v>419814.40833333333</v>
      </c>
      <c r="BF6" s="53">
        <f ca="1">SUM(OFFSET($B6,0,1+SUM(Assumptions!$C$8:$C$10),1,SUM(Assumptions!$C$11)))</f>
        <v>369999.73066666676</v>
      </c>
      <c r="BG6" s="53">
        <f t="shared" ca="1" si="1"/>
        <v>1536704.2673333334</v>
      </c>
    </row>
    <row r="7" spans="1:59" s="90" customFormat="1" ht="16.149999999999999" customHeight="1" thickBot="1" x14ac:dyDescent="0.35">
      <c r="A7" s="291"/>
      <c r="B7" s="89" t="s">
        <v>200</v>
      </c>
      <c r="C7" s="55">
        <f ca="1">SUM(OFFSET(C4,1,0,ROW($B7)-ROW($B4)-1,1))</f>
        <v>88250</v>
      </c>
      <c r="D7" s="55">
        <f t="shared" ref="D7:BG7" ca="1" si="2">SUM(OFFSET(D4,1,0,ROW($B7)-ROW($B4)-1,1))</f>
        <v>73844.853333333333</v>
      </c>
      <c r="E7" s="55">
        <f t="shared" ca="1" si="2"/>
        <v>88074.666666666672</v>
      </c>
      <c r="F7" s="55">
        <f t="shared" ca="1" si="2"/>
        <v>97694.933333333334</v>
      </c>
      <c r="G7" s="55">
        <f t="shared" ca="1" si="2"/>
        <v>91504.35</v>
      </c>
      <c r="H7" s="55">
        <f t="shared" ca="1" si="2"/>
        <v>89118.958333333343</v>
      </c>
      <c r="I7" s="55">
        <f t="shared" ca="1" si="2"/>
        <v>81075.649999999994</v>
      </c>
      <c r="J7" s="55">
        <f t="shared" ca="1" si="2"/>
        <v>91825</v>
      </c>
      <c r="K7" s="55">
        <f t="shared" ca="1" si="2"/>
        <v>89350</v>
      </c>
      <c r="L7" s="55">
        <f t="shared" ca="1" si="2"/>
        <v>92024</v>
      </c>
      <c r="M7" s="55">
        <f t="shared" ca="1" si="2"/>
        <v>95530.75</v>
      </c>
      <c r="N7" s="55">
        <f t="shared" ca="1" si="2"/>
        <v>94416.53333333334</v>
      </c>
      <c r="O7" s="55">
        <f t="shared" ca="1" si="2"/>
        <v>90974.166666666672</v>
      </c>
      <c r="P7" s="55">
        <f t="shared" ca="1" si="2"/>
        <v>105366.66666666667</v>
      </c>
      <c r="Q7" s="55">
        <f t="shared" ca="1" si="2"/>
        <v>100200</v>
      </c>
      <c r="R7" s="55">
        <f t="shared" ca="1" si="2"/>
        <v>91506.233333333337</v>
      </c>
      <c r="S7" s="55">
        <f t="shared" ca="1" si="2"/>
        <v>98313.375</v>
      </c>
      <c r="T7" s="55">
        <f t="shared" ca="1" si="2"/>
        <v>95775</v>
      </c>
      <c r="U7" s="55">
        <f t="shared" ca="1" si="2"/>
        <v>101165.50833333333</v>
      </c>
      <c r="V7" s="55">
        <f t="shared" ca="1" si="2"/>
        <v>101566.25</v>
      </c>
      <c r="W7" s="55">
        <f t="shared" ca="1" si="2"/>
        <v>97181.5</v>
      </c>
      <c r="X7" s="55">
        <f t="shared" ca="1" si="2"/>
        <v>104215</v>
      </c>
      <c r="Y7" s="55">
        <f t="shared" ca="1" si="2"/>
        <v>95195.533333333326</v>
      </c>
      <c r="Z7" s="55">
        <f t="shared" ca="1" si="2"/>
        <v>109395.5</v>
      </c>
      <c r="AA7" s="55">
        <f t="shared" ca="1" si="2"/>
        <v>99405.7</v>
      </c>
      <c r="AB7" s="55">
        <f t="shared" ca="1" si="2"/>
        <v>102640</v>
      </c>
      <c r="AC7" s="55">
        <f t="shared" ca="1" si="2"/>
        <v>96060.800000000003</v>
      </c>
      <c r="AD7" s="55">
        <f t="shared" ca="1" si="2"/>
        <v>105031.2</v>
      </c>
      <c r="AE7" s="55">
        <f t="shared" ca="1" si="2"/>
        <v>109322.5</v>
      </c>
      <c r="AF7" s="55">
        <f t="shared" ca="1" si="2"/>
        <v>114856.625</v>
      </c>
      <c r="AG7" s="55">
        <f t="shared" ca="1" si="2"/>
        <v>117971.5</v>
      </c>
      <c r="AH7" s="55">
        <f t="shared" ca="1" si="2"/>
        <v>119579.33333333334</v>
      </c>
      <c r="AI7" s="55">
        <f t="shared" ca="1" si="2"/>
        <v>108069.65</v>
      </c>
      <c r="AJ7" s="55">
        <f t="shared" ca="1" si="2"/>
        <v>116090.4</v>
      </c>
      <c r="AK7" s="55">
        <f t="shared" ca="1" si="2"/>
        <v>115004.8</v>
      </c>
      <c r="AL7" s="55">
        <f t="shared" ca="1" si="2"/>
        <v>115328</v>
      </c>
      <c r="AM7" s="55">
        <f t="shared" ca="1" si="2"/>
        <v>115830.5</v>
      </c>
      <c r="AN7" s="55">
        <f t="shared" ca="1" si="2"/>
        <v>110580.1</v>
      </c>
      <c r="AO7" s="55">
        <f t="shared" ca="1" si="2"/>
        <v>108097</v>
      </c>
      <c r="AP7" s="55">
        <f t="shared" ca="1" si="2"/>
        <v>102527.24</v>
      </c>
      <c r="AQ7" s="55">
        <f t="shared" ca="1" si="2"/>
        <v>92891.82</v>
      </c>
      <c r="AR7" s="55">
        <f t="shared" ca="1" si="2"/>
        <v>85685.119999999995</v>
      </c>
      <c r="AS7" s="55">
        <f t="shared" ca="1" si="2"/>
        <v>70910.080000000002</v>
      </c>
      <c r="AT7" s="55">
        <f t="shared" ca="1" si="2"/>
        <v>60580.348666666672</v>
      </c>
      <c r="AU7" s="55">
        <f t="shared" ca="1" si="2"/>
        <v>57196.008000000002</v>
      </c>
      <c r="AV7" s="55">
        <f t="shared" ca="1" si="2"/>
        <v>98216.75</v>
      </c>
      <c r="AW7" s="55">
        <f t="shared" ca="1" si="2"/>
        <v>122413.024</v>
      </c>
      <c r="AX7" s="55">
        <f t="shared" ca="1" si="2"/>
        <v>124318.16666666669</v>
      </c>
      <c r="AY7" s="55">
        <f t="shared" ca="1" si="2"/>
        <v>122776.06666666668</v>
      </c>
      <c r="AZ7" s="55">
        <f t="shared" ca="1" si="2"/>
        <v>118287.26666666666</v>
      </c>
      <c r="BA7" s="55">
        <f t="shared" ca="1" si="2"/>
        <v>112298</v>
      </c>
      <c r="BB7" s="55">
        <f t="shared" ca="1" si="2"/>
        <v>116867.84</v>
      </c>
      <c r="BC7" s="55">
        <f t="shared" ca="1" si="2"/>
        <v>1163683.8616666668</v>
      </c>
      <c r="BD7" s="55">
        <f t="shared" ca="1" si="2"/>
        <v>1301926.2666666666</v>
      </c>
      <c r="BE7" s="55">
        <f t="shared" ca="1" si="2"/>
        <v>1451822.4083333332</v>
      </c>
      <c r="BF7" s="55">
        <f t="shared" ca="1" si="2"/>
        <v>1284967.7306666668</v>
      </c>
      <c r="BG7" s="55">
        <f t="shared" ca="1" si="2"/>
        <v>5202400.2673333334</v>
      </c>
    </row>
    <row r="8" spans="1:59" s="50" customFormat="1" ht="16.149999999999999" customHeight="1" x14ac:dyDescent="0.3">
      <c r="A8" s="291"/>
      <c r="B8" s="46" t="s">
        <v>201</v>
      </c>
      <c r="C8" s="51">
        <f t="shared" ref="C8:BB9" si="3">C5-C11</f>
        <v>41600</v>
      </c>
      <c r="D8" s="52">
        <f t="shared" si="3"/>
        <v>33020</v>
      </c>
      <c r="E8" s="52">
        <f t="shared" si="3"/>
        <v>38100</v>
      </c>
      <c r="F8" s="52">
        <f t="shared" si="3"/>
        <v>43180</v>
      </c>
      <c r="G8" s="52">
        <f t="shared" si="3"/>
        <v>40448</v>
      </c>
      <c r="H8" s="52">
        <f t="shared" si="3"/>
        <v>39689.600000000006</v>
      </c>
      <c r="I8" s="52">
        <f t="shared" si="3"/>
        <v>35012.800000000003</v>
      </c>
      <c r="J8" s="52">
        <f t="shared" si="3"/>
        <v>40448</v>
      </c>
      <c r="K8" s="52">
        <f t="shared" si="3"/>
        <v>41459.199999999997</v>
      </c>
      <c r="L8" s="52">
        <f t="shared" si="3"/>
        <v>42976</v>
      </c>
      <c r="M8" s="52">
        <f t="shared" si="3"/>
        <v>41964.800000000003</v>
      </c>
      <c r="N8" s="52">
        <f t="shared" si="3"/>
        <v>40448</v>
      </c>
      <c r="O8" s="52">
        <f t="shared" si="3"/>
        <v>37620</v>
      </c>
      <c r="P8" s="52">
        <f t="shared" si="3"/>
        <v>45144</v>
      </c>
      <c r="Q8" s="52">
        <f t="shared" si="3"/>
        <v>42636</v>
      </c>
      <c r="R8" s="52">
        <f t="shared" si="3"/>
        <v>41382</v>
      </c>
      <c r="S8" s="52">
        <f t="shared" si="3"/>
        <v>41833.440000000002</v>
      </c>
      <c r="T8" s="52">
        <f t="shared" si="3"/>
        <v>40629.599999999999</v>
      </c>
      <c r="U8" s="52">
        <f t="shared" si="3"/>
        <v>42284.880000000005</v>
      </c>
      <c r="V8" s="52">
        <f t="shared" si="3"/>
        <v>45144</v>
      </c>
      <c r="W8" s="52">
        <f t="shared" si="3"/>
        <v>43137.599999999999</v>
      </c>
      <c r="X8" s="52">
        <f t="shared" si="3"/>
        <v>43814.759999999995</v>
      </c>
      <c r="Y8" s="52">
        <f t="shared" si="3"/>
        <v>41341.872000000003</v>
      </c>
      <c r="Z8" s="52">
        <f t="shared" si="3"/>
        <v>46385.663999999997</v>
      </c>
      <c r="AA8" s="52">
        <f t="shared" si="3"/>
        <v>43632</v>
      </c>
      <c r="AB8" s="52">
        <f t="shared" si="3"/>
        <v>45086.399999999994</v>
      </c>
      <c r="AC8" s="52">
        <f t="shared" si="3"/>
        <v>41014.080000000002</v>
      </c>
      <c r="AD8" s="52">
        <f t="shared" si="3"/>
        <v>45328.800000000003</v>
      </c>
      <c r="AE8" s="52">
        <f t="shared" si="3"/>
        <v>47510.399999999994</v>
      </c>
      <c r="AF8" s="52">
        <f t="shared" si="3"/>
        <v>49061.759999999995</v>
      </c>
      <c r="AG8" s="52">
        <f t="shared" si="3"/>
        <v>51097.919999999998</v>
      </c>
      <c r="AH8" s="52">
        <f t="shared" si="3"/>
        <v>52649.279999999999</v>
      </c>
      <c r="AI8" s="52">
        <f t="shared" si="3"/>
        <v>47630.239999999998</v>
      </c>
      <c r="AJ8" s="52">
        <f t="shared" si="3"/>
        <v>47967.360000000001</v>
      </c>
      <c r="AK8" s="52">
        <f t="shared" si="3"/>
        <v>49436.24</v>
      </c>
      <c r="AL8" s="52">
        <f t="shared" si="3"/>
        <v>49845.599999999999</v>
      </c>
      <c r="AM8" s="52">
        <f t="shared" si="3"/>
        <v>50423.519999999997</v>
      </c>
      <c r="AN8" s="52">
        <f t="shared" si="3"/>
        <v>48073.311999999998</v>
      </c>
      <c r="AO8" s="52">
        <f t="shared" si="3"/>
        <v>43122.464</v>
      </c>
      <c r="AP8" s="52">
        <f t="shared" si="3"/>
        <v>44649.135999999999</v>
      </c>
      <c r="AQ8" s="52">
        <f t="shared" si="3"/>
        <v>39317.599999999999</v>
      </c>
      <c r="AR8" s="52">
        <f t="shared" si="3"/>
        <v>34319.599999999999</v>
      </c>
      <c r="AS8" s="52">
        <f t="shared" si="3"/>
        <v>31558.799999999999</v>
      </c>
      <c r="AT8" s="52">
        <f t="shared" si="3"/>
        <v>26560.799999999999</v>
      </c>
      <c r="AU8" s="52">
        <f t="shared" si="3"/>
        <v>23847.599999999999</v>
      </c>
      <c r="AV8" s="52">
        <f t="shared" si="3"/>
        <v>42506.8</v>
      </c>
      <c r="AW8" s="52">
        <f t="shared" si="3"/>
        <v>50351.28</v>
      </c>
      <c r="AX8" s="52">
        <f t="shared" si="3"/>
        <v>50351.28</v>
      </c>
      <c r="AY8" s="52">
        <f t="shared" si="3"/>
        <v>52455.199999999997</v>
      </c>
      <c r="AZ8" s="52">
        <f t="shared" si="3"/>
        <v>51836.399999999994</v>
      </c>
      <c r="BA8" s="52">
        <f t="shared" si="3"/>
        <v>47457.2</v>
      </c>
      <c r="BB8" s="52">
        <f t="shared" si="3"/>
        <v>49713.439999999995</v>
      </c>
      <c r="BC8" s="53">
        <f ca="1">SUM(OFFSET($B8,0,1,1,Assumptions!$C$8))</f>
        <v>515966.4</v>
      </c>
      <c r="BD8" s="53">
        <f ca="1">SUM(OFFSET($B8,0,1+Assumptions!$C$8,1,SUM(Assumptions!$C$9)))</f>
        <v>562452.21600000001</v>
      </c>
      <c r="BE8" s="53">
        <f ca="1">SUM(OFFSET($B8,0,1+SUM(Assumptions!$C$8:$C$9),1,SUM(Assumptions!$C$10)))</f>
        <v>623160.97600000002</v>
      </c>
      <c r="BF8" s="53">
        <f ca="1">SUM(OFFSET($B8,0,1+SUM(Assumptions!$C$8:$C$10),1,SUM(Assumptions!$C$11)))</f>
        <v>544925.13600000006</v>
      </c>
      <c r="BG8" s="53">
        <f t="shared" ref="BG8:BG9" ca="1" si="4">SUM(BC8:BF8)</f>
        <v>2246504.7280000001</v>
      </c>
    </row>
    <row r="9" spans="1:59" s="17" customFormat="1" ht="16.149999999999999" customHeight="1" x14ac:dyDescent="0.3">
      <c r="A9" s="303"/>
      <c r="B9" s="56" t="s">
        <v>203</v>
      </c>
      <c r="C9" s="52">
        <f t="shared" si="3"/>
        <v>0</v>
      </c>
      <c r="D9" s="52">
        <f t="shared" si="3"/>
        <v>0</v>
      </c>
      <c r="E9" s="52">
        <f t="shared" si="3"/>
        <v>0</v>
      </c>
      <c r="F9" s="52">
        <f t="shared" si="3"/>
        <v>0</v>
      </c>
      <c r="G9" s="52">
        <f t="shared" si="3"/>
        <v>0</v>
      </c>
      <c r="H9" s="52">
        <f t="shared" si="3"/>
        <v>0</v>
      </c>
      <c r="I9" s="52">
        <f t="shared" si="3"/>
        <v>0</v>
      </c>
      <c r="J9" s="52">
        <f t="shared" si="3"/>
        <v>0</v>
      </c>
      <c r="K9" s="52">
        <f t="shared" si="3"/>
        <v>0</v>
      </c>
      <c r="L9" s="52">
        <f t="shared" si="3"/>
        <v>0</v>
      </c>
      <c r="M9" s="52">
        <f t="shared" si="3"/>
        <v>0</v>
      </c>
      <c r="N9" s="52">
        <f t="shared" si="3"/>
        <v>0</v>
      </c>
      <c r="O9" s="52">
        <f t="shared" si="3"/>
        <v>0</v>
      </c>
      <c r="P9" s="52">
        <f t="shared" si="3"/>
        <v>0</v>
      </c>
      <c r="Q9" s="52">
        <f t="shared" si="3"/>
        <v>0</v>
      </c>
      <c r="R9" s="52">
        <f t="shared" si="3"/>
        <v>0</v>
      </c>
      <c r="S9" s="52">
        <f t="shared" si="3"/>
        <v>0</v>
      </c>
      <c r="T9" s="52">
        <f t="shared" si="3"/>
        <v>0</v>
      </c>
      <c r="U9" s="52">
        <f t="shared" si="3"/>
        <v>0</v>
      </c>
      <c r="V9" s="52">
        <f t="shared" si="3"/>
        <v>0</v>
      </c>
      <c r="W9" s="52">
        <f t="shared" si="3"/>
        <v>0</v>
      </c>
      <c r="X9" s="52">
        <f t="shared" si="3"/>
        <v>0</v>
      </c>
      <c r="Y9" s="52">
        <f t="shared" si="3"/>
        <v>0</v>
      </c>
      <c r="Z9" s="52">
        <f t="shared" si="3"/>
        <v>0</v>
      </c>
      <c r="AA9" s="52">
        <f t="shared" si="3"/>
        <v>0</v>
      </c>
      <c r="AB9" s="52">
        <f t="shared" si="3"/>
        <v>0</v>
      </c>
      <c r="AC9" s="52">
        <f t="shared" si="3"/>
        <v>0</v>
      </c>
      <c r="AD9" s="52">
        <f t="shared" si="3"/>
        <v>0</v>
      </c>
      <c r="AE9" s="52">
        <f t="shared" si="3"/>
        <v>0</v>
      </c>
      <c r="AF9" s="52">
        <f t="shared" si="3"/>
        <v>0</v>
      </c>
      <c r="AG9" s="52">
        <f t="shared" si="3"/>
        <v>0</v>
      </c>
      <c r="AH9" s="52">
        <f t="shared" si="3"/>
        <v>0</v>
      </c>
      <c r="AI9" s="52">
        <f t="shared" si="3"/>
        <v>0</v>
      </c>
      <c r="AJ9" s="52">
        <f t="shared" si="3"/>
        <v>0</v>
      </c>
      <c r="AK9" s="52">
        <f t="shared" si="3"/>
        <v>0</v>
      </c>
      <c r="AL9" s="52">
        <f t="shared" si="3"/>
        <v>0</v>
      </c>
      <c r="AM9" s="52">
        <f t="shared" si="3"/>
        <v>0</v>
      </c>
      <c r="AN9" s="52">
        <f t="shared" si="3"/>
        <v>0</v>
      </c>
      <c r="AO9" s="52">
        <f t="shared" si="3"/>
        <v>0</v>
      </c>
      <c r="AP9" s="52">
        <f t="shared" si="3"/>
        <v>0</v>
      </c>
      <c r="AQ9" s="52">
        <f t="shared" si="3"/>
        <v>0</v>
      </c>
      <c r="AR9" s="52">
        <f t="shared" si="3"/>
        <v>0</v>
      </c>
      <c r="AS9" s="52">
        <f t="shared" si="3"/>
        <v>0</v>
      </c>
      <c r="AT9" s="52">
        <f t="shared" si="3"/>
        <v>0</v>
      </c>
      <c r="AU9" s="52">
        <f t="shared" si="3"/>
        <v>0</v>
      </c>
      <c r="AV9" s="52">
        <f t="shared" si="3"/>
        <v>0</v>
      </c>
      <c r="AW9" s="52">
        <f t="shared" si="3"/>
        <v>0</v>
      </c>
      <c r="AX9" s="52">
        <f t="shared" si="3"/>
        <v>0</v>
      </c>
      <c r="AY9" s="52">
        <f t="shared" si="3"/>
        <v>0</v>
      </c>
      <c r="AZ9" s="52">
        <f t="shared" si="3"/>
        <v>0</v>
      </c>
      <c r="BA9" s="52">
        <f t="shared" si="3"/>
        <v>0</v>
      </c>
      <c r="BB9" s="52">
        <f t="shared" si="3"/>
        <v>0</v>
      </c>
      <c r="BC9" s="53">
        <f ca="1">SUM(OFFSET($B9,0,1,1,Assumptions!$C$8))</f>
        <v>0</v>
      </c>
      <c r="BD9" s="53">
        <f ca="1">SUM(OFFSET($B9,0,1+Assumptions!$C$8,1,SUM(Assumptions!$C$9)))</f>
        <v>0</v>
      </c>
      <c r="BE9" s="53">
        <f ca="1">SUM(OFFSET($B9,0,1+SUM(Assumptions!$C$8:$C$9),1,SUM(Assumptions!$C$10)))</f>
        <v>0</v>
      </c>
      <c r="BF9" s="53">
        <f ca="1">SUM(OFFSET($B9,0,1+SUM(Assumptions!$C$8:$C$10),1,SUM(Assumptions!$C$11)))</f>
        <v>0</v>
      </c>
      <c r="BG9" s="53">
        <f t="shared" ca="1" si="4"/>
        <v>0</v>
      </c>
    </row>
    <row r="10" spans="1:59" s="4" customFormat="1" ht="16.149999999999999" customHeight="1" thickBot="1" x14ac:dyDescent="0.35">
      <c r="A10" s="303"/>
      <c r="B10" s="54" t="s">
        <v>204</v>
      </c>
      <c r="C10" s="57">
        <f ca="1">SUM(OFFSET(C7,1,0,ROW($B10)-ROW($B7)-1,1))</f>
        <v>41600</v>
      </c>
      <c r="D10" s="57">
        <f t="shared" ref="D10:BG10" ca="1" si="5">SUM(OFFSET(D7,1,0,ROW($B10)-ROW($B7)-1,1))</f>
        <v>33020</v>
      </c>
      <c r="E10" s="57">
        <f t="shared" ca="1" si="5"/>
        <v>38100</v>
      </c>
      <c r="F10" s="57">
        <f t="shared" ca="1" si="5"/>
        <v>43180</v>
      </c>
      <c r="G10" s="57">
        <f t="shared" ca="1" si="5"/>
        <v>40448</v>
      </c>
      <c r="H10" s="57">
        <f t="shared" ca="1" si="5"/>
        <v>39689.600000000006</v>
      </c>
      <c r="I10" s="57">
        <f t="shared" ca="1" si="5"/>
        <v>35012.800000000003</v>
      </c>
      <c r="J10" s="57">
        <f t="shared" ca="1" si="5"/>
        <v>40448</v>
      </c>
      <c r="K10" s="57">
        <f t="shared" ca="1" si="5"/>
        <v>41459.199999999997</v>
      </c>
      <c r="L10" s="57">
        <f t="shared" ca="1" si="5"/>
        <v>42976</v>
      </c>
      <c r="M10" s="57">
        <f t="shared" ca="1" si="5"/>
        <v>41964.800000000003</v>
      </c>
      <c r="N10" s="57">
        <f t="shared" ca="1" si="5"/>
        <v>40448</v>
      </c>
      <c r="O10" s="57">
        <f t="shared" ca="1" si="5"/>
        <v>37620</v>
      </c>
      <c r="P10" s="57">
        <f t="shared" ca="1" si="5"/>
        <v>45144</v>
      </c>
      <c r="Q10" s="57">
        <f t="shared" ca="1" si="5"/>
        <v>42636</v>
      </c>
      <c r="R10" s="57">
        <f t="shared" ca="1" si="5"/>
        <v>41382</v>
      </c>
      <c r="S10" s="57">
        <f t="shared" ca="1" si="5"/>
        <v>41833.440000000002</v>
      </c>
      <c r="T10" s="57">
        <f t="shared" ca="1" si="5"/>
        <v>40629.599999999999</v>
      </c>
      <c r="U10" s="57">
        <f t="shared" ca="1" si="5"/>
        <v>42284.880000000005</v>
      </c>
      <c r="V10" s="57">
        <f t="shared" ca="1" si="5"/>
        <v>45144</v>
      </c>
      <c r="W10" s="57">
        <f t="shared" ca="1" si="5"/>
        <v>43137.599999999999</v>
      </c>
      <c r="X10" s="57">
        <f t="shared" ca="1" si="5"/>
        <v>43814.759999999995</v>
      </c>
      <c r="Y10" s="57">
        <f t="shared" ca="1" si="5"/>
        <v>41341.872000000003</v>
      </c>
      <c r="Z10" s="57">
        <f t="shared" ca="1" si="5"/>
        <v>46385.663999999997</v>
      </c>
      <c r="AA10" s="57">
        <f t="shared" ca="1" si="5"/>
        <v>43632</v>
      </c>
      <c r="AB10" s="57">
        <f t="shared" ca="1" si="5"/>
        <v>45086.399999999994</v>
      </c>
      <c r="AC10" s="57">
        <f t="shared" ca="1" si="5"/>
        <v>41014.080000000002</v>
      </c>
      <c r="AD10" s="57">
        <f t="shared" ca="1" si="5"/>
        <v>45328.800000000003</v>
      </c>
      <c r="AE10" s="57">
        <f t="shared" ca="1" si="5"/>
        <v>47510.399999999994</v>
      </c>
      <c r="AF10" s="57">
        <f t="shared" ca="1" si="5"/>
        <v>49061.759999999995</v>
      </c>
      <c r="AG10" s="57">
        <f t="shared" ca="1" si="5"/>
        <v>51097.919999999998</v>
      </c>
      <c r="AH10" s="57">
        <f t="shared" ca="1" si="5"/>
        <v>52649.279999999999</v>
      </c>
      <c r="AI10" s="57">
        <f t="shared" ca="1" si="5"/>
        <v>47630.239999999998</v>
      </c>
      <c r="AJ10" s="57">
        <f t="shared" ca="1" si="5"/>
        <v>47967.360000000001</v>
      </c>
      <c r="AK10" s="57">
        <f t="shared" ca="1" si="5"/>
        <v>49436.24</v>
      </c>
      <c r="AL10" s="57">
        <f t="shared" ca="1" si="5"/>
        <v>49845.599999999999</v>
      </c>
      <c r="AM10" s="57">
        <f t="shared" ca="1" si="5"/>
        <v>50423.519999999997</v>
      </c>
      <c r="AN10" s="57">
        <f t="shared" ca="1" si="5"/>
        <v>48073.311999999998</v>
      </c>
      <c r="AO10" s="57">
        <f t="shared" ca="1" si="5"/>
        <v>43122.464</v>
      </c>
      <c r="AP10" s="57">
        <f t="shared" ca="1" si="5"/>
        <v>44649.135999999999</v>
      </c>
      <c r="AQ10" s="57">
        <f t="shared" ca="1" si="5"/>
        <v>39317.599999999999</v>
      </c>
      <c r="AR10" s="57">
        <f t="shared" ca="1" si="5"/>
        <v>34319.599999999999</v>
      </c>
      <c r="AS10" s="57">
        <f t="shared" ca="1" si="5"/>
        <v>31558.799999999999</v>
      </c>
      <c r="AT10" s="57">
        <f t="shared" ca="1" si="5"/>
        <v>26560.799999999999</v>
      </c>
      <c r="AU10" s="57">
        <f t="shared" ca="1" si="5"/>
        <v>23847.599999999999</v>
      </c>
      <c r="AV10" s="57">
        <f t="shared" ca="1" si="5"/>
        <v>42506.8</v>
      </c>
      <c r="AW10" s="57">
        <f t="shared" ca="1" si="5"/>
        <v>50351.28</v>
      </c>
      <c r="AX10" s="57">
        <f t="shared" ca="1" si="5"/>
        <v>50351.28</v>
      </c>
      <c r="AY10" s="57">
        <f t="shared" ca="1" si="5"/>
        <v>52455.199999999997</v>
      </c>
      <c r="AZ10" s="57">
        <f t="shared" ca="1" si="5"/>
        <v>51836.399999999994</v>
      </c>
      <c r="BA10" s="57">
        <f t="shared" ca="1" si="5"/>
        <v>47457.2</v>
      </c>
      <c r="BB10" s="57">
        <f t="shared" ca="1" si="5"/>
        <v>49713.439999999995</v>
      </c>
      <c r="BC10" s="57">
        <f t="shared" ca="1" si="5"/>
        <v>515966.4</v>
      </c>
      <c r="BD10" s="57">
        <f t="shared" ca="1" si="5"/>
        <v>562452.21600000001</v>
      </c>
      <c r="BE10" s="57">
        <f t="shared" ca="1" si="5"/>
        <v>623160.97600000002</v>
      </c>
      <c r="BF10" s="57">
        <f t="shared" ca="1" si="5"/>
        <v>544925.13600000006</v>
      </c>
      <c r="BG10" s="57">
        <f t="shared" ca="1" si="5"/>
        <v>2246504.7280000001</v>
      </c>
    </row>
    <row r="11" spans="1:59" s="17" customFormat="1" ht="16.149999999999999" customHeight="1" x14ac:dyDescent="0.3">
      <c r="A11" s="303"/>
      <c r="B11" s="56" t="s">
        <v>201</v>
      </c>
      <c r="C11" s="52">
        <f t="shared" ref="C11:BB12" si="6">C5*C14</f>
        <v>22400</v>
      </c>
      <c r="D11" s="52">
        <f t="shared" si="6"/>
        <v>18980</v>
      </c>
      <c r="E11" s="52">
        <f t="shared" si="6"/>
        <v>21900</v>
      </c>
      <c r="F11" s="52">
        <f t="shared" si="6"/>
        <v>24820</v>
      </c>
      <c r="G11" s="52">
        <f t="shared" si="6"/>
        <v>23552</v>
      </c>
      <c r="H11" s="52">
        <f t="shared" si="6"/>
        <v>23110.399999999998</v>
      </c>
      <c r="I11" s="52">
        <f t="shared" si="6"/>
        <v>20387.2</v>
      </c>
      <c r="J11" s="52">
        <f t="shared" si="6"/>
        <v>23552</v>
      </c>
      <c r="K11" s="52">
        <f t="shared" si="6"/>
        <v>24140.799999999999</v>
      </c>
      <c r="L11" s="52">
        <f t="shared" si="6"/>
        <v>25024</v>
      </c>
      <c r="M11" s="52">
        <f t="shared" si="6"/>
        <v>24435.200000000001</v>
      </c>
      <c r="N11" s="52">
        <f t="shared" si="6"/>
        <v>23552</v>
      </c>
      <c r="O11" s="52">
        <f t="shared" si="6"/>
        <v>22380</v>
      </c>
      <c r="P11" s="52">
        <f t="shared" si="6"/>
        <v>26856</v>
      </c>
      <c r="Q11" s="52">
        <f t="shared" si="6"/>
        <v>25364</v>
      </c>
      <c r="R11" s="52">
        <f t="shared" si="6"/>
        <v>24618</v>
      </c>
      <c r="S11" s="52">
        <f t="shared" si="6"/>
        <v>24886.560000000001</v>
      </c>
      <c r="T11" s="52">
        <f t="shared" si="6"/>
        <v>24170.400000000001</v>
      </c>
      <c r="U11" s="52">
        <f t="shared" si="6"/>
        <v>25155.119999999999</v>
      </c>
      <c r="V11" s="52">
        <f t="shared" si="6"/>
        <v>26856</v>
      </c>
      <c r="W11" s="52">
        <f t="shared" si="6"/>
        <v>25662.400000000001</v>
      </c>
      <c r="X11" s="52">
        <f t="shared" si="6"/>
        <v>26065.24</v>
      </c>
      <c r="Y11" s="52">
        <f t="shared" si="6"/>
        <v>24594.128000000001</v>
      </c>
      <c r="Z11" s="52">
        <f t="shared" si="6"/>
        <v>30158.336000000003</v>
      </c>
      <c r="AA11" s="52">
        <f t="shared" si="6"/>
        <v>28368</v>
      </c>
      <c r="AB11" s="52">
        <f t="shared" si="6"/>
        <v>29313.600000000002</v>
      </c>
      <c r="AC11" s="52">
        <f t="shared" si="6"/>
        <v>26665.920000000002</v>
      </c>
      <c r="AD11" s="52">
        <f t="shared" si="6"/>
        <v>29471.200000000001</v>
      </c>
      <c r="AE11" s="52">
        <f t="shared" si="6"/>
        <v>30889.600000000002</v>
      </c>
      <c r="AF11" s="52">
        <f t="shared" si="6"/>
        <v>31898.240000000002</v>
      </c>
      <c r="AG11" s="52">
        <f t="shared" si="6"/>
        <v>33222.080000000002</v>
      </c>
      <c r="AH11" s="52">
        <f t="shared" si="6"/>
        <v>34230.720000000001</v>
      </c>
      <c r="AI11" s="52">
        <f t="shared" si="6"/>
        <v>31489.760000000002</v>
      </c>
      <c r="AJ11" s="52">
        <f t="shared" si="6"/>
        <v>31712.640000000003</v>
      </c>
      <c r="AK11" s="52">
        <f t="shared" si="6"/>
        <v>32683.760000000002</v>
      </c>
      <c r="AL11" s="52">
        <f t="shared" si="6"/>
        <v>32954.400000000001</v>
      </c>
      <c r="AM11" s="52">
        <f t="shared" si="6"/>
        <v>33336.480000000003</v>
      </c>
      <c r="AN11" s="52">
        <f t="shared" si="6"/>
        <v>31782.688000000002</v>
      </c>
      <c r="AO11" s="52">
        <f t="shared" si="6"/>
        <v>28509.536</v>
      </c>
      <c r="AP11" s="52">
        <f t="shared" si="6"/>
        <v>29518.864000000001</v>
      </c>
      <c r="AQ11" s="52">
        <f t="shared" si="6"/>
        <v>26762.400000000001</v>
      </c>
      <c r="AR11" s="52">
        <f t="shared" si="6"/>
        <v>23360.400000000001</v>
      </c>
      <c r="AS11" s="52">
        <f t="shared" si="6"/>
        <v>21481.200000000001</v>
      </c>
      <c r="AT11" s="52">
        <f t="shared" si="6"/>
        <v>18079.2</v>
      </c>
      <c r="AU11" s="52">
        <f t="shared" si="6"/>
        <v>16232.400000000001</v>
      </c>
      <c r="AV11" s="52">
        <f t="shared" si="6"/>
        <v>28933.200000000001</v>
      </c>
      <c r="AW11" s="52">
        <f t="shared" si="6"/>
        <v>34272.720000000001</v>
      </c>
      <c r="AX11" s="52">
        <f t="shared" si="6"/>
        <v>34272.720000000001</v>
      </c>
      <c r="AY11" s="52">
        <f t="shared" si="6"/>
        <v>35704.800000000003</v>
      </c>
      <c r="AZ11" s="52">
        <f t="shared" si="6"/>
        <v>35283.600000000006</v>
      </c>
      <c r="BA11" s="52">
        <f t="shared" si="6"/>
        <v>32302.800000000003</v>
      </c>
      <c r="BB11" s="52">
        <f t="shared" si="6"/>
        <v>33838.560000000005</v>
      </c>
      <c r="BC11" s="53">
        <f ca="1">SUM(OFFSET($B11,0,1,1,Assumptions!$C$8))</f>
        <v>298233.59999999998</v>
      </c>
      <c r="BD11" s="53">
        <f ca="1">SUM(OFFSET($B11,0,1+Assumptions!$C$8,1,SUM(Assumptions!$C$9)))</f>
        <v>342067.78399999993</v>
      </c>
      <c r="BE11" s="53">
        <f ca="1">SUM(OFFSET($B11,0,1+SUM(Assumptions!$C$8:$C$9),1,SUM(Assumptions!$C$10)))</f>
        <v>408847.02400000009</v>
      </c>
      <c r="BF11" s="53">
        <f ca="1">SUM(OFFSET($B11,0,1+SUM(Assumptions!$C$8:$C$10),1,SUM(Assumptions!$C$11)))</f>
        <v>370042.86400000006</v>
      </c>
      <c r="BG11" s="53">
        <f t="shared" ref="BG11:BG12" ca="1" si="7">SUM(BC11:BF11)</f>
        <v>1419191.2719999999</v>
      </c>
    </row>
    <row r="12" spans="1:59" s="17" customFormat="1" ht="16.149999999999999" customHeight="1" x14ac:dyDescent="0.3">
      <c r="A12" s="303"/>
      <c r="B12" s="56" t="s">
        <v>203</v>
      </c>
      <c r="C12" s="52">
        <f t="shared" si="6"/>
        <v>24250.000000000004</v>
      </c>
      <c r="D12" s="52">
        <f t="shared" si="6"/>
        <v>21844.853333333333</v>
      </c>
      <c r="E12" s="52">
        <f t="shared" si="6"/>
        <v>28074.666666666672</v>
      </c>
      <c r="F12" s="52">
        <f t="shared" si="6"/>
        <v>29694.933333333334</v>
      </c>
      <c r="G12" s="52">
        <f t="shared" si="6"/>
        <v>27504.350000000002</v>
      </c>
      <c r="H12" s="52">
        <f t="shared" si="6"/>
        <v>26318.958333333339</v>
      </c>
      <c r="I12" s="52">
        <f t="shared" si="6"/>
        <v>25675.65</v>
      </c>
      <c r="J12" s="52">
        <f t="shared" si="6"/>
        <v>27825</v>
      </c>
      <c r="K12" s="52">
        <f t="shared" si="6"/>
        <v>23750</v>
      </c>
      <c r="L12" s="52">
        <f t="shared" si="6"/>
        <v>24024</v>
      </c>
      <c r="M12" s="52">
        <f t="shared" si="6"/>
        <v>29130.75</v>
      </c>
      <c r="N12" s="52">
        <f t="shared" si="6"/>
        <v>30416.533333333336</v>
      </c>
      <c r="O12" s="52">
        <f t="shared" si="6"/>
        <v>30974.166666666672</v>
      </c>
      <c r="P12" s="52">
        <f t="shared" si="6"/>
        <v>33366.666666666672</v>
      </c>
      <c r="Q12" s="52">
        <f t="shared" si="6"/>
        <v>32200.000000000007</v>
      </c>
      <c r="R12" s="52">
        <f t="shared" si="6"/>
        <v>25506.233333333337</v>
      </c>
      <c r="S12" s="52">
        <f t="shared" si="6"/>
        <v>31593.375000000004</v>
      </c>
      <c r="T12" s="52">
        <f t="shared" si="6"/>
        <v>30975</v>
      </c>
      <c r="U12" s="52">
        <f t="shared" si="6"/>
        <v>33725.508333333339</v>
      </c>
      <c r="V12" s="52">
        <f t="shared" si="6"/>
        <v>29566.250000000004</v>
      </c>
      <c r="W12" s="52">
        <f t="shared" si="6"/>
        <v>28381.5</v>
      </c>
      <c r="X12" s="52">
        <f t="shared" si="6"/>
        <v>34335.000000000007</v>
      </c>
      <c r="Y12" s="52">
        <f t="shared" si="6"/>
        <v>29259.533333333333</v>
      </c>
      <c r="Z12" s="52">
        <f t="shared" si="6"/>
        <v>32851.5</v>
      </c>
      <c r="AA12" s="52">
        <f t="shared" si="6"/>
        <v>27405.7</v>
      </c>
      <c r="AB12" s="52">
        <f t="shared" si="6"/>
        <v>28240</v>
      </c>
      <c r="AC12" s="52">
        <f t="shared" si="6"/>
        <v>28380.800000000003</v>
      </c>
      <c r="AD12" s="52">
        <f t="shared" si="6"/>
        <v>30231.200000000001</v>
      </c>
      <c r="AE12" s="52">
        <f t="shared" si="6"/>
        <v>30922.5</v>
      </c>
      <c r="AF12" s="52">
        <f t="shared" si="6"/>
        <v>33896.625</v>
      </c>
      <c r="AG12" s="52">
        <f t="shared" si="6"/>
        <v>33651.5</v>
      </c>
      <c r="AH12" s="52">
        <f t="shared" si="6"/>
        <v>32699.333333333336</v>
      </c>
      <c r="AI12" s="52">
        <f t="shared" si="6"/>
        <v>28949.65</v>
      </c>
      <c r="AJ12" s="52">
        <f t="shared" si="6"/>
        <v>36410.400000000001</v>
      </c>
      <c r="AK12" s="52">
        <f t="shared" si="6"/>
        <v>32884.800000000003</v>
      </c>
      <c r="AL12" s="52">
        <f t="shared" si="6"/>
        <v>32528.000000000004</v>
      </c>
      <c r="AM12" s="52">
        <f t="shared" si="6"/>
        <v>32070.5</v>
      </c>
      <c r="AN12" s="52">
        <f t="shared" si="6"/>
        <v>30724.100000000002</v>
      </c>
      <c r="AO12" s="52">
        <f t="shared" si="6"/>
        <v>36465</v>
      </c>
      <c r="AP12" s="52">
        <f t="shared" si="6"/>
        <v>28359.24</v>
      </c>
      <c r="AQ12" s="52">
        <f t="shared" si="6"/>
        <v>26811.820000000003</v>
      </c>
      <c r="AR12" s="52">
        <f t="shared" si="6"/>
        <v>28005.119999999999</v>
      </c>
      <c r="AS12" s="52">
        <f t="shared" si="6"/>
        <v>17870.080000000002</v>
      </c>
      <c r="AT12" s="52">
        <f t="shared" si="6"/>
        <v>15940.348666666669</v>
      </c>
      <c r="AU12" s="52">
        <f t="shared" si="6"/>
        <v>17116.008000000002</v>
      </c>
      <c r="AV12" s="52">
        <f t="shared" si="6"/>
        <v>26776.750000000004</v>
      </c>
      <c r="AW12" s="52">
        <f t="shared" si="6"/>
        <v>37789.024000000005</v>
      </c>
      <c r="AX12" s="52">
        <f t="shared" si="6"/>
        <v>39694.166666666679</v>
      </c>
      <c r="AY12" s="52">
        <f t="shared" si="6"/>
        <v>34616.066666666673</v>
      </c>
      <c r="AZ12" s="52">
        <f t="shared" si="6"/>
        <v>31167.266666666666</v>
      </c>
      <c r="BA12" s="52">
        <f t="shared" si="6"/>
        <v>32537.999999999996</v>
      </c>
      <c r="BB12" s="52">
        <f t="shared" si="6"/>
        <v>33315.840000000004</v>
      </c>
      <c r="BC12" s="53">
        <f ca="1">SUM(OFFSET($B12,0,1,1,Assumptions!$C$8))</f>
        <v>349483.86166666669</v>
      </c>
      <c r="BD12" s="53">
        <f ca="1">SUM(OFFSET($B12,0,1+Assumptions!$C$8,1,SUM(Assumptions!$C$9)))</f>
        <v>397406.26666666672</v>
      </c>
      <c r="BE12" s="53">
        <f ca="1">SUM(OFFSET($B12,0,1+SUM(Assumptions!$C$8:$C$9),1,SUM(Assumptions!$C$10)))</f>
        <v>419814.40833333333</v>
      </c>
      <c r="BF12" s="53">
        <f ca="1">SUM(OFFSET($B12,0,1+SUM(Assumptions!$C$8:$C$10),1,SUM(Assumptions!$C$11)))</f>
        <v>369999.73066666676</v>
      </c>
      <c r="BG12" s="53">
        <f t="shared" ca="1" si="7"/>
        <v>1536704.2673333334</v>
      </c>
    </row>
    <row r="13" spans="1:59" s="4" customFormat="1" ht="16.149999999999999" customHeight="1" thickBot="1" x14ac:dyDescent="0.35">
      <c r="A13" s="303"/>
      <c r="B13" s="54" t="s">
        <v>205</v>
      </c>
      <c r="C13" s="57">
        <f ca="1">SUM(OFFSET(C10,1,0,ROW($B13)-ROW($B10)-1,1))</f>
        <v>46650</v>
      </c>
      <c r="D13" s="57">
        <f t="shared" ref="D13:BG13" ca="1" si="8">SUM(OFFSET(D10,1,0,ROW($B13)-ROW($B10)-1,1))</f>
        <v>40824.853333333333</v>
      </c>
      <c r="E13" s="57">
        <f t="shared" ca="1" si="8"/>
        <v>49974.666666666672</v>
      </c>
      <c r="F13" s="57">
        <f t="shared" ca="1" si="8"/>
        <v>54514.933333333334</v>
      </c>
      <c r="G13" s="57">
        <f t="shared" ca="1" si="8"/>
        <v>51056.350000000006</v>
      </c>
      <c r="H13" s="57">
        <f t="shared" ca="1" si="8"/>
        <v>49429.358333333337</v>
      </c>
      <c r="I13" s="57">
        <f t="shared" ca="1" si="8"/>
        <v>46062.850000000006</v>
      </c>
      <c r="J13" s="57">
        <f t="shared" ca="1" si="8"/>
        <v>51377</v>
      </c>
      <c r="K13" s="57">
        <f t="shared" ca="1" si="8"/>
        <v>47890.8</v>
      </c>
      <c r="L13" s="57">
        <f t="shared" ca="1" si="8"/>
        <v>49048</v>
      </c>
      <c r="M13" s="57">
        <f t="shared" ca="1" si="8"/>
        <v>53565.95</v>
      </c>
      <c r="N13" s="57">
        <f t="shared" ca="1" si="8"/>
        <v>53968.53333333334</v>
      </c>
      <c r="O13" s="57">
        <f t="shared" ca="1" si="8"/>
        <v>53354.166666666672</v>
      </c>
      <c r="P13" s="57">
        <f t="shared" ca="1" si="8"/>
        <v>60222.666666666672</v>
      </c>
      <c r="Q13" s="57">
        <f t="shared" ca="1" si="8"/>
        <v>57564.000000000007</v>
      </c>
      <c r="R13" s="57">
        <f t="shared" ca="1" si="8"/>
        <v>50124.233333333337</v>
      </c>
      <c r="S13" s="57">
        <f t="shared" ca="1" si="8"/>
        <v>56479.935000000005</v>
      </c>
      <c r="T13" s="57">
        <f t="shared" ca="1" si="8"/>
        <v>55145.4</v>
      </c>
      <c r="U13" s="57">
        <f t="shared" ca="1" si="8"/>
        <v>58880.628333333341</v>
      </c>
      <c r="V13" s="57">
        <f t="shared" ca="1" si="8"/>
        <v>56422.25</v>
      </c>
      <c r="W13" s="57">
        <f t="shared" ca="1" si="8"/>
        <v>54043.9</v>
      </c>
      <c r="X13" s="57">
        <f t="shared" ca="1" si="8"/>
        <v>60400.240000000005</v>
      </c>
      <c r="Y13" s="57">
        <f t="shared" ca="1" si="8"/>
        <v>53853.661333333337</v>
      </c>
      <c r="Z13" s="57">
        <f t="shared" ca="1" si="8"/>
        <v>63009.836000000003</v>
      </c>
      <c r="AA13" s="57">
        <f t="shared" ca="1" si="8"/>
        <v>55773.7</v>
      </c>
      <c r="AB13" s="57">
        <f t="shared" ca="1" si="8"/>
        <v>57553.600000000006</v>
      </c>
      <c r="AC13" s="57">
        <f t="shared" ca="1" si="8"/>
        <v>55046.720000000001</v>
      </c>
      <c r="AD13" s="57">
        <f t="shared" ca="1" si="8"/>
        <v>59702.400000000001</v>
      </c>
      <c r="AE13" s="57">
        <f t="shared" ca="1" si="8"/>
        <v>61812.100000000006</v>
      </c>
      <c r="AF13" s="57">
        <f t="shared" ca="1" si="8"/>
        <v>65794.865000000005</v>
      </c>
      <c r="AG13" s="57">
        <f t="shared" ca="1" si="8"/>
        <v>66873.58</v>
      </c>
      <c r="AH13" s="57">
        <f t="shared" ca="1" si="8"/>
        <v>66930.053333333344</v>
      </c>
      <c r="AI13" s="57">
        <f t="shared" ca="1" si="8"/>
        <v>60439.41</v>
      </c>
      <c r="AJ13" s="57">
        <f t="shared" ca="1" si="8"/>
        <v>68123.040000000008</v>
      </c>
      <c r="AK13" s="57">
        <f t="shared" ca="1" si="8"/>
        <v>65568.56</v>
      </c>
      <c r="AL13" s="57">
        <f t="shared" ca="1" si="8"/>
        <v>65482.400000000009</v>
      </c>
      <c r="AM13" s="57">
        <f t="shared" ca="1" si="8"/>
        <v>65406.98</v>
      </c>
      <c r="AN13" s="57">
        <f t="shared" ca="1" si="8"/>
        <v>62506.788</v>
      </c>
      <c r="AO13" s="57">
        <f t="shared" ca="1" si="8"/>
        <v>64974.536</v>
      </c>
      <c r="AP13" s="57">
        <f t="shared" ca="1" si="8"/>
        <v>57878.104000000007</v>
      </c>
      <c r="AQ13" s="57">
        <f t="shared" ca="1" si="8"/>
        <v>53574.22</v>
      </c>
      <c r="AR13" s="57">
        <f t="shared" ca="1" si="8"/>
        <v>51365.520000000004</v>
      </c>
      <c r="AS13" s="57">
        <f t="shared" ca="1" si="8"/>
        <v>39351.279999999999</v>
      </c>
      <c r="AT13" s="57">
        <f t="shared" ca="1" si="8"/>
        <v>34019.548666666669</v>
      </c>
      <c r="AU13" s="57">
        <f t="shared" ca="1" si="8"/>
        <v>33348.408000000003</v>
      </c>
      <c r="AV13" s="57">
        <f t="shared" ca="1" si="8"/>
        <v>55709.950000000004</v>
      </c>
      <c r="AW13" s="57">
        <f t="shared" ca="1" si="8"/>
        <v>72061.744000000006</v>
      </c>
      <c r="AX13" s="57">
        <f t="shared" ca="1" si="8"/>
        <v>73966.886666666687</v>
      </c>
      <c r="AY13" s="57">
        <f t="shared" ca="1" si="8"/>
        <v>70320.866666666669</v>
      </c>
      <c r="AZ13" s="57">
        <f t="shared" ca="1" si="8"/>
        <v>66450.866666666669</v>
      </c>
      <c r="BA13" s="57">
        <f t="shared" ca="1" si="8"/>
        <v>64840.800000000003</v>
      </c>
      <c r="BB13" s="57">
        <f t="shared" ca="1" si="8"/>
        <v>67154.400000000009</v>
      </c>
      <c r="BC13" s="57">
        <f t="shared" ca="1" si="8"/>
        <v>647717.46166666667</v>
      </c>
      <c r="BD13" s="57">
        <f t="shared" ca="1" si="8"/>
        <v>739474.05066666659</v>
      </c>
      <c r="BE13" s="57">
        <f t="shared" ca="1" si="8"/>
        <v>828661.43233333342</v>
      </c>
      <c r="BF13" s="57">
        <f t="shared" ca="1" si="8"/>
        <v>740042.59466666682</v>
      </c>
      <c r="BG13" s="57">
        <f t="shared" ca="1" si="8"/>
        <v>2955895.5393333333</v>
      </c>
    </row>
    <row r="14" spans="1:59" s="58" customFormat="1" ht="16.149999999999999" customHeight="1" x14ac:dyDescent="0.3">
      <c r="A14" s="302"/>
      <c r="B14" s="91" t="s">
        <v>201</v>
      </c>
      <c r="C14" s="59">
        <v>0.35</v>
      </c>
      <c r="D14" s="59">
        <v>0.36499999999999999</v>
      </c>
      <c r="E14" s="59">
        <v>0.36499999999999999</v>
      </c>
      <c r="F14" s="59">
        <v>0.36499999999999999</v>
      </c>
      <c r="G14" s="59">
        <v>0.36799999999999999</v>
      </c>
      <c r="H14" s="59">
        <v>0.36799999999999999</v>
      </c>
      <c r="I14" s="59">
        <v>0.36799999999999999</v>
      </c>
      <c r="J14" s="59">
        <v>0.36799999999999999</v>
      </c>
      <c r="K14" s="59">
        <v>0.36799999999999999</v>
      </c>
      <c r="L14" s="59">
        <v>0.36799999999999999</v>
      </c>
      <c r="M14" s="59">
        <v>0.36799999999999999</v>
      </c>
      <c r="N14" s="59">
        <v>0.36799999999999999</v>
      </c>
      <c r="O14" s="59">
        <v>0.373</v>
      </c>
      <c r="P14" s="59">
        <v>0.373</v>
      </c>
      <c r="Q14" s="59">
        <v>0.373</v>
      </c>
      <c r="R14" s="59">
        <v>0.373</v>
      </c>
      <c r="S14" s="59">
        <v>0.373</v>
      </c>
      <c r="T14" s="59">
        <v>0.373</v>
      </c>
      <c r="U14" s="59">
        <v>0.373</v>
      </c>
      <c r="V14" s="59">
        <v>0.373</v>
      </c>
      <c r="W14" s="59">
        <v>0.373</v>
      </c>
      <c r="X14" s="59">
        <v>0.373</v>
      </c>
      <c r="Y14" s="59">
        <v>0.373</v>
      </c>
      <c r="Z14" s="59">
        <v>0.39400000000000002</v>
      </c>
      <c r="AA14" s="59">
        <v>0.39400000000000002</v>
      </c>
      <c r="AB14" s="59">
        <v>0.39400000000000002</v>
      </c>
      <c r="AC14" s="59">
        <v>0.39400000000000002</v>
      </c>
      <c r="AD14" s="59">
        <v>0.39400000000000002</v>
      </c>
      <c r="AE14" s="59">
        <v>0.39400000000000002</v>
      </c>
      <c r="AF14" s="59">
        <v>0.39400000000000002</v>
      </c>
      <c r="AG14" s="59">
        <v>0.39400000000000002</v>
      </c>
      <c r="AH14" s="59">
        <v>0.39400000000000002</v>
      </c>
      <c r="AI14" s="59">
        <v>0.39800000000000002</v>
      </c>
      <c r="AJ14" s="59">
        <v>0.39800000000000002</v>
      </c>
      <c r="AK14" s="59">
        <v>0.39800000000000002</v>
      </c>
      <c r="AL14" s="59">
        <v>0.39800000000000002</v>
      </c>
      <c r="AM14" s="59">
        <v>0.39800000000000002</v>
      </c>
      <c r="AN14" s="59">
        <v>0.39800000000000002</v>
      </c>
      <c r="AO14" s="59">
        <v>0.39800000000000002</v>
      </c>
      <c r="AP14" s="59">
        <v>0.39800000000000002</v>
      </c>
      <c r="AQ14" s="59">
        <v>0.40500000000000003</v>
      </c>
      <c r="AR14" s="59">
        <v>0.40500000000000003</v>
      </c>
      <c r="AS14" s="59">
        <v>0.40500000000000003</v>
      </c>
      <c r="AT14" s="59">
        <v>0.40500000000000003</v>
      </c>
      <c r="AU14" s="59">
        <v>0.40500000000000003</v>
      </c>
      <c r="AV14" s="59">
        <v>0.40500000000000003</v>
      </c>
      <c r="AW14" s="59">
        <v>0.40500000000000003</v>
      </c>
      <c r="AX14" s="59">
        <v>0.40500000000000003</v>
      </c>
      <c r="AY14" s="59">
        <v>0.40500000000000003</v>
      </c>
      <c r="AZ14" s="59">
        <v>0.40500000000000003</v>
      </c>
      <c r="BA14" s="59">
        <v>0.40500000000000003</v>
      </c>
      <c r="BB14" s="59">
        <v>0.40500000000000003</v>
      </c>
      <c r="BC14" s="60">
        <f t="shared" ref="BC14:BG14" ca="1" si="9">IF(BC5=0,0,BC11/BC5)</f>
        <v>0.36629034635224755</v>
      </c>
      <c r="BD14" s="60">
        <f t="shared" ca="1" si="9"/>
        <v>0.37817603148631312</v>
      </c>
      <c r="BE14" s="60">
        <f t="shared" ca="1" si="9"/>
        <v>0.39616652584088502</v>
      </c>
      <c r="BF14" s="60">
        <f t="shared" ca="1" si="9"/>
        <v>0.4044325746911368</v>
      </c>
      <c r="BG14" s="60">
        <f t="shared" ca="1" si="9"/>
        <v>0.3871546554869798</v>
      </c>
    </row>
    <row r="15" spans="1:59" s="58" customFormat="1" ht="16.149999999999999" customHeight="1" x14ac:dyDescent="0.3">
      <c r="A15" s="302"/>
      <c r="B15" s="91" t="s">
        <v>203</v>
      </c>
      <c r="C15" s="59">
        <v>1</v>
      </c>
      <c r="D15" s="59">
        <v>1</v>
      </c>
      <c r="E15" s="59">
        <v>1</v>
      </c>
      <c r="F15" s="59">
        <v>1</v>
      </c>
      <c r="G15" s="59">
        <v>1</v>
      </c>
      <c r="H15" s="59">
        <v>1</v>
      </c>
      <c r="I15" s="59">
        <v>1</v>
      </c>
      <c r="J15" s="59">
        <v>1</v>
      </c>
      <c r="K15" s="59">
        <v>1</v>
      </c>
      <c r="L15" s="59">
        <v>1</v>
      </c>
      <c r="M15" s="59">
        <v>1</v>
      </c>
      <c r="N15" s="59">
        <v>1</v>
      </c>
      <c r="O15" s="59">
        <v>1</v>
      </c>
      <c r="P15" s="59">
        <v>1</v>
      </c>
      <c r="Q15" s="59">
        <v>1</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59">
        <v>1</v>
      </c>
      <c r="AI15" s="59">
        <v>1</v>
      </c>
      <c r="AJ15" s="59">
        <v>1</v>
      </c>
      <c r="AK15" s="59">
        <v>1</v>
      </c>
      <c r="AL15" s="59">
        <v>1</v>
      </c>
      <c r="AM15" s="59">
        <v>1</v>
      </c>
      <c r="AN15" s="59">
        <v>1</v>
      </c>
      <c r="AO15" s="59">
        <v>1</v>
      </c>
      <c r="AP15" s="59">
        <v>1</v>
      </c>
      <c r="AQ15" s="59">
        <v>1</v>
      </c>
      <c r="AR15" s="59">
        <v>1</v>
      </c>
      <c r="AS15" s="59">
        <v>1</v>
      </c>
      <c r="AT15" s="59">
        <v>1</v>
      </c>
      <c r="AU15" s="59">
        <v>1</v>
      </c>
      <c r="AV15" s="59">
        <v>1</v>
      </c>
      <c r="AW15" s="59">
        <v>1</v>
      </c>
      <c r="AX15" s="59">
        <v>1</v>
      </c>
      <c r="AY15" s="59">
        <v>1</v>
      </c>
      <c r="AZ15" s="59">
        <v>1</v>
      </c>
      <c r="BA15" s="59">
        <v>1</v>
      </c>
      <c r="BB15" s="59">
        <v>1</v>
      </c>
      <c r="BC15" s="60">
        <f t="shared" ref="BC15:BG15" ca="1" si="10">IF(BC6=0,0,BC12/BC6)</f>
        <v>1</v>
      </c>
      <c r="BD15" s="60">
        <f t="shared" ca="1" si="10"/>
        <v>1</v>
      </c>
      <c r="BE15" s="60">
        <f t="shared" ca="1" si="10"/>
        <v>1</v>
      </c>
      <c r="BF15" s="60">
        <f t="shared" ca="1" si="10"/>
        <v>1</v>
      </c>
      <c r="BG15" s="60">
        <f t="shared" ca="1" si="10"/>
        <v>1</v>
      </c>
    </row>
    <row r="16" spans="1:59" s="93" customFormat="1" ht="16.149999999999999" customHeight="1" thickBot="1" x14ac:dyDescent="0.35">
      <c r="A16" s="304"/>
      <c r="B16" s="92" t="s">
        <v>2</v>
      </c>
      <c r="C16" s="63">
        <f t="shared" ref="C16:BG16" ca="1" si="11">IF(C7=0,0,C13/C7)</f>
        <v>0.52861189801699715</v>
      </c>
      <c r="D16" s="63">
        <f t="shared" ca="1" si="11"/>
        <v>0.55284629179302769</v>
      </c>
      <c r="E16" s="63">
        <f t="shared" ca="1" si="11"/>
        <v>0.56741249848613295</v>
      </c>
      <c r="F16" s="63">
        <f t="shared" ca="1" si="11"/>
        <v>0.55801187915579387</v>
      </c>
      <c r="G16" s="63">
        <f t="shared" ca="1" si="11"/>
        <v>0.55796636990481874</v>
      </c>
      <c r="H16" s="63">
        <f t="shared" ca="1" si="11"/>
        <v>0.55464470476025718</v>
      </c>
      <c r="I16" s="63">
        <f t="shared" ca="1" si="11"/>
        <v>0.56814653968238316</v>
      </c>
      <c r="J16" s="63">
        <f t="shared" ca="1" si="11"/>
        <v>0.55950993738088761</v>
      </c>
      <c r="K16" s="63">
        <f t="shared" ca="1" si="11"/>
        <v>0.53599104644655848</v>
      </c>
      <c r="L16" s="63">
        <f t="shared" ca="1" si="11"/>
        <v>0.53299139354950886</v>
      </c>
      <c r="M16" s="63">
        <f t="shared" ca="1" si="11"/>
        <v>0.56071945420715319</v>
      </c>
      <c r="N16" s="63">
        <f t="shared" ca="1" si="11"/>
        <v>0.57160045415774641</v>
      </c>
      <c r="O16" s="63">
        <f t="shared" ca="1" si="11"/>
        <v>0.58647601425313045</v>
      </c>
      <c r="P16" s="63">
        <f t="shared" ca="1" si="11"/>
        <v>0.57155330591584941</v>
      </c>
      <c r="Q16" s="63">
        <f t="shared" ca="1" si="11"/>
        <v>0.57449101796407198</v>
      </c>
      <c r="R16" s="63">
        <f t="shared" ca="1" si="11"/>
        <v>0.54776851267327142</v>
      </c>
      <c r="S16" s="63">
        <f t="shared" ca="1" si="11"/>
        <v>0.5744888220956712</v>
      </c>
      <c r="T16" s="63">
        <f t="shared" ca="1" si="11"/>
        <v>0.57578073610023495</v>
      </c>
      <c r="U16" s="63">
        <f t="shared" ca="1" si="11"/>
        <v>0.58202275956866401</v>
      </c>
      <c r="V16" s="63">
        <f t="shared" ca="1" si="11"/>
        <v>0.55552164227782364</v>
      </c>
      <c r="W16" s="63">
        <f t="shared" ca="1" si="11"/>
        <v>0.55611304620735424</v>
      </c>
      <c r="X16" s="63">
        <f t="shared" ca="1" si="11"/>
        <v>0.5795733819507749</v>
      </c>
      <c r="Y16" s="63">
        <f t="shared" ca="1" si="11"/>
        <v>0.56571626259775498</v>
      </c>
      <c r="Z16" s="63">
        <f t="shared" ca="1" si="11"/>
        <v>0.57598197366436465</v>
      </c>
      <c r="AA16" s="63">
        <f t="shared" ca="1" si="11"/>
        <v>0.56107144761316508</v>
      </c>
      <c r="AB16" s="63">
        <f t="shared" ca="1" si="11"/>
        <v>0.56073265783320347</v>
      </c>
      <c r="AC16" s="63">
        <f t="shared" ca="1" si="11"/>
        <v>0.57304040774176357</v>
      </c>
      <c r="AD16" s="63">
        <f t="shared" ca="1" si="11"/>
        <v>0.56842538217215455</v>
      </c>
      <c r="AE16" s="63">
        <f t="shared" ca="1" si="11"/>
        <v>0.56541059708660157</v>
      </c>
      <c r="AF16" s="63">
        <f t="shared" ca="1" si="11"/>
        <v>0.57284344721081615</v>
      </c>
      <c r="AG16" s="63">
        <f t="shared" ca="1" si="11"/>
        <v>0.56686216586209381</v>
      </c>
      <c r="AH16" s="63">
        <f t="shared" ca="1" si="11"/>
        <v>0.55971254787616598</v>
      </c>
      <c r="AI16" s="63">
        <f t="shared" ca="1" si="11"/>
        <v>0.55926349349701798</v>
      </c>
      <c r="AJ16" s="63">
        <f t="shared" ca="1" si="11"/>
        <v>0.58681027888610959</v>
      </c>
      <c r="AK16" s="63">
        <f t="shared" ca="1" si="11"/>
        <v>0.57013759425693533</v>
      </c>
      <c r="AL16" s="63">
        <f t="shared" ca="1" si="11"/>
        <v>0.56779273029966715</v>
      </c>
      <c r="AM16" s="63">
        <f t="shared" ca="1" si="11"/>
        <v>0.56467838781668045</v>
      </c>
      <c r="AN16" s="63">
        <f t="shared" ca="1" si="11"/>
        <v>0.56526253819629391</v>
      </c>
      <c r="AO16" s="63">
        <f t="shared" ca="1" si="11"/>
        <v>0.60107621858145921</v>
      </c>
      <c r="AP16" s="63">
        <f t="shared" ca="1" si="11"/>
        <v>0.56451440612270465</v>
      </c>
      <c r="AQ16" s="63">
        <f t="shared" ca="1" si="11"/>
        <v>0.57673775796404891</v>
      </c>
      <c r="AR16" s="63">
        <f t="shared" ca="1" si="11"/>
        <v>0.59946837910713091</v>
      </c>
      <c r="AS16" s="63">
        <f t="shared" ca="1" si="11"/>
        <v>0.55494620792981753</v>
      </c>
      <c r="AT16" s="63">
        <f t="shared" ca="1" si="11"/>
        <v>0.56156079348195231</v>
      </c>
      <c r="AU16" s="63">
        <f t="shared" ca="1" si="11"/>
        <v>0.58305481739215093</v>
      </c>
      <c r="AV16" s="63">
        <f t="shared" ca="1" si="11"/>
        <v>0.5672143498944936</v>
      </c>
      <c r="AW16" s="63">
        <f t="shared" ca="1" si="11"/>
        <v>0.58867710024057573</v>
      </c>
      <c r="AX16" s="63">
        <f t="shared" ca="1" si="11"/>
        <v>0.59498051370877691</v>
      </c>
      <c r="AY16" s="63">
        <f t="shared" ca="1" si="11"/>
        <v>0.57275712258795275</v>
      </c>
      <c r="AZ16" s="63">
        <f t="shared" ca="1" si="11"/>
        <v>0.5617753164753152</v>
      </c>
      <c r="BA16" s="63">
        <f t="shared" ca="1" si="11"/>
        <v>0.57739941940194839</v>
      </c>
      <c r="BB16" s="63">
        <f t="shared" ca="1" si="11"/>
        <v>0.57461830388924795</v>
      </c>
      <c r="BC16" s="63">
        <f t="shared" ca="1" si="11"/>
        <v>0.55660947358931667</v>
      </c>
      <c r="BD16" s="63">
        <f t="shared" ca="1" si="11"/>
        <v>0.56798458530216811</v>
      </c>
      <c r="BE16" s="63">
        <f t="shared" ca="1" si="11"/>
        <v>0.57077327610931583</v>
      </c>
      <c r="BF16" s="63">
        <f t="shared" ca="1" si="11"/>
        <v>0.57592309674789888</v>
      </c>
      <c r="BG16" s="63">
        <f t="shared" ca="1" si="11"/>
        <v>0.56817918411504265</v>
      </c>
    </row>
    <row r="17" spans="1:59" s="17" customFormat="1" ht="16.149999999999999" customHeight="1" x14ac:dyDescent="0.3">
      <c r="A17" s="302"/>
      <c r="B17" s="56" t="s">
        <v>279</v>
      </c>
      <c r="C17" s="52">
        <v>0</v>
      </c>
      <c r="D17" s="52">
        <v>0</v>
      </c>
      <c r="E17" s="52">
        <v>0</v>
      </c>
      <c r="F17" s="52">
        <v>0</v>
      </c>
      <c r="G17" s="52">
        <v>500</v>
      </c>
      <c r="H17" s="52">
        <v>0</v>
      </c>
      <c r="I17" s="52">
        <v>0</v>
      </c>
      <c r="J17" s="52">
        <v>0</v>
      </c>
      <c r="K17" s="52">
        <v>500</v>
      </c>
      <c r="L17" s="52">
        <v>0</v>
      </c>
      <c r="M17" s="52">
        <v>0</v>
      </c>
      <c r="N17" s="52">
        <v>0</v>
      </c>
      <c r="O17" s="52">
        <v>500</v>
      </c>
      <c r="P17" s="52">
        <v>0</v>
      </c>
      <c r="Q17" s="52">
        <v>0</v>
      </c>
      <c r="R17" s="52">
        <v>0</v>
      </c>
      <c r="S17" s="52">
        <v>0</v>
      </c>
      <c r="T17" s="52">
        <v>500</v>
      </c>
      <c r="U17" s="52">
        <v>0</v>
      </c>
      <c r="V17" s="52">
        <v>0</v>
      </c>
      <c r="W17" s="52">
        <v>0</v>
      </c>
      <c r="X17" s="52">
        <v>500</v>
      </c>
      <c r="Y17" s="52">
        <v>0</v>
      </c>
      <c r="Z17" s="52">
        <v>0</v>
      </c>
      <c r="AA17" s="52">
        <v>0</v>
      </c>
      <c r="AB17" s="52">
        <v>500</v>
      </c>
      <c r="AC17" s="52">
        <v>0</v>
      </c>
      <c r="AD17" s="52">
        <v>0</v>
      </c>
      <c r="AE17" s="52">
        <v>0</v>
      </c>
      <c r="AF17" s="52">
        <v>0</v>
      </c>
      <c r="AG17" s="52">
        <v>500</v>
      </c>
      <c r="AH17" s="52">
        <v>0</v>
      </c>
      <c r="AI17" s="52">
        <v>0</v>
      </c>
      <c r="AJ17" s="52">
        <v>0</v>
      </c>
      <c r="AK17" s="52">
        <v>500</v>
      </c>
      <c r="AL17" s="52">
        <v>0</v>
      </c>
      <c r="AM17" s="52">
        <v>0</v>
      </c>
      <c r="AN17" s="52">
        <v>0</v>
      </c>
      <c r="AO17" s="52">
        <v>500</v>
      </c>
      <c r="AP17" s="52">
        <v>0</v>
      </c>
      <c r="AQ17" s="52">
        <v>0</v>
      </c>
      <c r="AR17" s="52">
        <v>0</v>
      </c>
      <c r="AS17" s="52">
        <v>0</v>
      </c>
      <c r="AT17" s="52">
        <v>500</v>
      </c>
      <c r="AU17" s="52">
        <v>0</v>
      </c>
      <c r="AV17" s="52">
        <v>0</v>
      </c>
      <c r="AW17" s="52">
        <v>0</v>
      </c>
      <c r="AX17" s="52">
        <v>500</v>
      </c>
      <c r="AY17" s="52">
        <v>0</v>
      </c>
      <c r="AZ17" s="52">
        <v>0</v>
      </c>
      <c r="BA17" s="52">
        <v>0</v>
      </c>
      <c r="BB17" s="52">
        <v>500</v>
      </c>
      <c r="BC17" s="53">
        <f ca="1">SUM(OFFSET($B17,0,1,1,Assumptions!$C$8))</f>
        <v>1500</v>
      </c>
      <c r="BD17" s="53">
        <f ca="1">SUM(OFFSET($B17,0,1+Assumptions!$C$8,1,SUM(Assumptions!$C$9)))</f>
        <v>1500</v>
      </c>
      <c r="BE17" s="53">
        <f ca="1">SUM(OFFSET($B17,0,1+SUM(Assumptions!$C$8:$C$9),1,SUM(Assumptions!$C$10)))</f>
        <v>1500</v>
      </c>
      <c r="BF17" s="53">
        <f ca="1">SUM(OFFSET($B17,0,1+SUM(Assumptions!$C$8:$C$10),1,SUM(Assumptions!$C$11)))</f>
        <v>1500</v>
      </c>
      <c r="BG17" s="53">
        <f t="shared" ref="BG17" ca="1" si="12">SUM(BC17:BF17)</f>
        <v>6000</v>
      </c>
    </row>
    <row r="18" spans="1:59" ht="16.149999999999999" customHeight="1" x14ac:dyDescent="0.3">
      <c r="B18" s="3" t="s">
        <v>121</v>
      </c>
      <c r="C18" s="52"/>
      <c r="D18" s="52"/>
      <c r="E18" s="52"/>
      <c r="F18" s="52"/>
      <c r="G18" s="5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5"/>
      <c r="BD18" s="65"/>
      <c r="BE18" s="65"/>
      <c r="BF18" s="65"/>
      <c r="BG18" s="65"/>
    </row>
    <row r="19" spans="1:59" s="17" customFormat="1" ht="16.149999999999999" customHeight="1" x14ac:dyDescent="0.3">
      <c r="A19" s="302"/>
      <c r="B19" s="56" t="s">
        <v>3</v>
      </c>
      <c r="C19" s="52">
        <v>0</v>
      </c>
      <c r="D19" s="52">
        <v>0</v>
      </c>
      <c r="E19" s="52">
        <v>0</v>
      </c>
      <c r="F19" s="52">
        <v>0</v>
      </c>
      <c r="G19" s="52">
        <v>2000</v>
      </c>
      <c r="H19" s="52">
        <v>0</v>
      </c>
      <c r="I19" s="52">
        <v>0</v>
      </c>
      <c r="J19" s="52">
        <v>0</v>
      </c>
      <c r="K19" s="52">
        <v>2000</v>
      </c>
      <c r="L19" s="52">
        <v>0</v>
      </c>
      <c r="M19" s="52">
        <v>0</v>
      </c>
      <c r="N19" s="52">
        <v>0</v>
      </c>
      <c r="O19" s="52">
        <v>2120</v>
      </c>
      <c r="P19" s="52">
        <v>0</v>
      </c>
      <c r="Q19" s="52">
        <v>0</v>
      </c>
      <c r="R19" s="52">
        <v>0</v>
      </c>
      <c r="S19" s="52">
        <v>0</v>
      </c>
      <c r="T19" s="52">
        <v>2120</v>
      </c>
      <c r="U19" s="52">
        <v>0</v>
      </c>
      <c r="V19" s="52">
        <v>0</v>
      </c>
      <c r="W19" s="52">
        <v>0</v>
      </c>
      <c r="X19" s="52">
        <v>2120</v>
      </c>
      <c r="Y19" s="52">
        <v>0</v>
      </c>
      <c r="Z19" s="52">
        <v>0</v>
      </c>
      <c r="AA19" s="52">
        <v>0</v>
      </c>
      <c r="AB19" s="52">
        <v>2120</v>
      </c>
      <c r="AC19" s="52">
        <v>0</v>
      </c>
      <c r="AD19" s="52">
        <v>0</v>
      </c>
      <c r="AE19" s="52">
        <v>0</v>
      </c>
      <c r="AF19" s="52">
        <v>0</v>
      </c>
      <c r="AG19" s="52">
        <v>2120</v>
      </c>
      <c r="AH19" s="52">
        <v>0</v>
      </c>
      <c r="AI19" s="52">
        <v>0</v>
      </c>
      <c r="AJ19" s="52">
        <v>0</v>
      </c>
      <c r="AK19" s="52">
        <v>2120</v>
      </c>
      <c r="AL19" s="52">
        <v>0</v>
      </c>
      <c r="AM19" s="52">
        <v>0</v>
      </c>
      <c r="AN19" s="52">
        <v>0</v>
      </c>
      <c r="AO19" s="52">
        <v>2120</v>
      </c>
      <c r="AP19" s="52">
        <v>0</v>
      </c>
      <c r="AQ19" s="52">
        <v>0</v>
      </c>
      <c r="AR19" s="52">
        <v>0</v>
      </c>
      <c r="AS19" s="52">
        <v>0</v>
      </c>
      <c r="AT19" s="52">
        <v>2120</v>
      </c>
      <c r="AU19" s="52">
        <v>0</v>
      </c>
      <c r="AV19" s="52">
        <v>0</v>
      </c>
      <c r="AW19" s="52">
        <v>0</v>
      </c>
      <c r="AX19" s="52">
        <v>2120</v>
      </c>
      <c r="AY19" s="52">
        <v>0</v>
      </c>
      <c r="AZ19" s="52">
        <v>0</v>
      </c>
      <c r="BA19" s="52">
        <v>0</v>
      </c>
      <c r="BB19" s="52">
        <v>2120</v>
      </c>
      <c r="BC19" s="53">
        <f ca="1">SUM(OFFSET($B19,0,1,1,Assumptions!$C$8))</f>
        <v>6120</v>
      </c>
      <c r="BD19" s="53">
        <f ca="1">SUM(OFFSET($B19,0,1+Assumptions!$C$8,1,SUM(Assumptions!$C$9)))</f>
        <v>6360</v>
      </c>
      <c r="BE19" s="53">
        <f ca="1">SUM(OFFSET($B19,0,1+SUM(Assumptions!$C$8:$C$9),1,SUM(Assumptions!$C$10)))</f>
        <v>6360</v>
      </c>
      <c r="BF19" s="53">
        <f ca="1">SUM(OFFSET($B19,0,1+SUM(Assumptions!$C$8:$C$10),1,SUM(Assumptions!$C$11)))</f>
        <v>6360</v>
      </c>
      <c r="BG19" s="53">
        <f t="shared" ref="BG19:BG40" ca="1" si="13">SUM(BC19:BF19)</f>
        <v>25200</v>
      </c>
    </row>
    <row r="20" spans="1:59" s="17" customFormat="1" ht="16.149999999999999" customHeight="1" x14ac:dyDescent="0.3">
      <c r="A20" s="302"/>
      <c r="B20" s="56" t="s">
        <v>15</v>
      </c>
      <c r="C20" s="52">
        <v>0</v>
      </c>
      <c r="D20" s="52">
        <v>0</v>
      </c>
      <c r="E20" s="52">
        <v>0</v>
      </c>
      <c r="F20" s="52">
        <v>0</v>
      </c>
      <c r="G20" s="52">
        <v>3800</v>
      </c>
      <c r="H20" s="52">
        <v>0</v>
      </c>
      <c r="I20" s="52">
        <v>0</v>
      </c>
      <c r="J20" s="52">
        <v>0</v>
      </c>
      <c r="K20" s="52">
        <v>6800</v>
      </c>
      <c r="L20" s="52">
        <v>0</v>
      </c>
      <c r="M20" s="52">
        <v>0</v>
      </c>
      <c r="N20" s="52">
        <v>0</v>
      </c>
      <c r="O20" s="52">
        <v>23500</v>
      </c>
      <c r="P20" s="52">
        <v>0</v>
      </c>
      <c r="Q20" s="52">
        <v>0</v>
      </c>
      <c r="R20" s="52">
        <v>0</v>
      </c>
      <c r="S20" s="52">
        <v>0</v>
      </c>
      <c r="T20" s="52">
        <v>0</v>
      </c>
      <c r="U20" s="52">
        <v>7000</v>
      </c>
      <c r="V20" s="52">
        <v>0</v>
      </c>
      <c r="W20" s="52">
        <v>0</v>
      </c>
      <c r="X20" s="52">
        <v>6500</v>
      </c>
      <c r="Y20" s="52">
        <v>0</v>
      </c>
      <c r="Z20" s="52">
        <v>0</v>
      </c>
      <c r="AA20" s="52">
        <v>0</v>
      </c>
      <c r="AB20" s="52">
        <v>15000</v>
      </c>
      <c r="AC20" s="52">
        <v>0</v>
      </c>
      <c r="AD20" s="52">
        <v>0</v>
      </c>
      <c r="AE20" s="52">
        <v>0</v>
      </c>
      <c r="AF20" s="52">
        <v>0</v>
      </c>
      <c r="AG20" s="52">
        <v>3000</v>
      </c>
      <c r="AH20" s="52">
        <v>0</v>
      </c>
      <c r="AI20" s="52">
        <v>0</v>
      </c>
      <c r="AJ20" s="52">
        <v>0</v>
      </c>
      <c r="AK20" s="52">
        <v>10200</v>
      </c>
      <c r="AL20" s="52">
        <v>0</v>
      </c>
      <c r="AM20" s="52">
        <v>0</v>
      </c>
      <c r="AN20" s="52">
        <v>0</v>
      </c>
      <c r="AO20" s="52">
        <v>25300</v>
      </c>
      <c r="AP20" s="52">
        <v>0</v>
      </c>
      <c r="AQ20" s="52">
        <v>0</v>
      </c>
      <c r="AR20" s="52">
        <v>0</v>
      </c>
      <c r="AS20" s="52">
        <v>0</v>
      </c>
      <c r="AT20" s="52">
        <v>3050</v>
      </c>
      <c r="AU20" s="52">
        <v>0</v>
      </c>
      <c r="AV20" s="52">
        <v>0</v>
      </c>
      <c r="AW20" s="52">
        <v>0</v>
      </c>
      <c r="AX20" s="52">
        <v>10100</v>
      </c>
      <c r="AY20" s="52">
        <v>0</v>
      </c>
      <c r="AZ20" s="52">
        <v>0</v>
      </c>
      <c r="BA20" s="52">
        <v>0</v>
      </c>
      <c r="BB20" s="52">
        <v>18300</v>
      </c>
      <c r="BC20" s="53">
        <f ca="1">SUM(OFFSET($B20,0,1,1,Assumptions!$C$8))</f>
        <v>34100</v>
      </c>
      <c r="BD20" s="53">
        <f ca="1">SUM(OFFSET($B20,0,1+Assumptions!$C$8,1,SUM(Assumptions!$C$9)))</f>
        <v>28500</v>
      </c>
      <c r="BE20" s="53">
        <f ca="1">SUM(OFFSET($B20,0,1+SUM(Assumptions!$C$8:$C$9),1,SUM(Assumptions!$C$10)))</f>
        <v>38500</v>
      </c>
      <c r="BF20" s="53">
        <f ca="1">SUM(OFFSET($B20,0,1+SUM(Assumptions!$C$8:$C$10),1,SUM(Assumptions!$C$11)))</f>
        <v>31450</v>
      </c>
      <c r="BG20" s="53">
        <f t="shared" ca="1" si="13"/>
        <v>132550</v>
      </c>
    </row>
    <row r="21" spans="1:59" s="17" customFormat="1" ht="16.149999999999999" customHeight="1" x14ac:dyDescent="0.3">
      <c r="A21" s="302"/>
      <c r="B21" s="56" t="s">
        <v>4</v>
      </c>
      <c r="C21" s="52">
        <v>0</v>
      </c>
      <c r="D21" s="52">
        <v>0</v>
      </c>
      <c r="E21" s="52">
        <v>0</v>
      </c>
      <c r="F21" s="52">
        <v>0</v>
      </c>
      <c r="G21" s="52">
        <v>260</v>
      </c>
      <c r="H21" s="52">
        <v>0</v>
      </c>
      <c r="I21" s="52">
        <v>0</v>
      </c>
      <c r="J21" s="52">
        <v>0</v>
      </c>
      <c r="K21" s="52">
        <v>270</v>
      </c>
      <c r="L21" s="52">
        <v>0</v>
      </c>
      <c r="M21" s="52">
        <v>0</v>
      </c>
      <c r="N21" s="52">
        <v>0</v>
      </c>
      <c r="O21" s="52">
        <v>250</v>
      </c>
      <c r="P21" s="52">
        <v>0</v>
      </c>
      <c r="Q21" s="52">
        <v>0</v>
      </c>
      <c r="R21" s="52">
        <v>0</v>
      </c>
      <c r="S21" s="52">
        <v>0</v>
      </c>
      <c r="T21" s="52">
        <v>450</v>
      </c>
      <c r="U21" s="52">
        <v>0</v>
      </c>
      <c r="V21" s="52">
        <v>0</v>
      </c>
      <c r="W21" s="52">
        <v>0</v>
      </c>
      <c r="X21" s="52">
        <v>450</v>
      </c>
      <c r="Y21" s="52">
        <v>0</v>
      </c>
      <c r="Z21" s="52">
        <v>0</v>
      </c>
      <c r="AA21" s="52">
        <v>0</v>
      </c>
      <c r="AB21" s="52">
        <v>480</v>
      </c>
      <c r="AC21" s="52">
        <v>0</v>
      </c>
      <c r="AD21" s="52">
        <v>0</v>
      </c>
      <c r="AE21" s="52">
        <v>0</v>
      </c>
      <c r="AF21" s="52">
        <v>0</v>
      </c>
      <c r="AG21" s="52">
        <v>480</v>
      </c>
      <c r="AH21" s="52">
        <v>0</v>
      </c>
      <c r="AI21" s="52">
        <v>0</v>
      </c>
      <c r="AJ21" s="52">
        <v>0</v>
      </c>
      <c r="AK21" s="52">
        <v>480</v>
      </c>
      <c r="AL21" s="52">
        <v>0</v>
      </c>
      <c r="AM21" s="52">
        <v>0</v>
      </c>
      <c r="AN21" s="52">
        <v>0</v>
      </c>
      <c r="AO21" s="52">
        <v>480</v>
      </c>
      <c r="AP21" s="52">
        <v>0</v>
      </c>
      <c r="AQ21" s="52">
        <v>0</v>
      </c>
      <c r="AR21" s="52">
        <v>0</v>
      </c>
      <c r="AS21" s="52">
        <v>0</v>
      </c>
      <c r="AT21" s="52">
        <v>480</v>
      </c>
      <c r="AU21" s="52">
        <v>0</v>
      </c>
      <c r="AV21" s="52">
        <v>0</v>
      </c>
      <c r="AW21" s="52">
        <v>0</v>
      </c>
      <c r="AX21" s="52">
        <v>480</v>
      </c>
      <c r="AY21" s="52">
        <v>0</v>
      </c>
      <c r="AZ21" s="52">
        <v>0</v>
      </c>
      <c r="BA21" s="52">
        <v>0</v>
      </c>
      <c r="BB21" s="52">
        <v>480</v>
      </c>
      <c r="BC21" s="53">
        <f ca="1">SUM(OFFSET($B21,0,1,1,Assumptions!$C$8))</f>
        <v>780</v>
      </c>
      <c r="BD21" s="53">
        <f ca="1">SUM(OFFSET($B21,0,1+Assumptions!$C$8,1,SUM(Assumptions!$C$9)))</f>
        <v>1380</v>
      </c>
      <c r="BE21" s="53">
        <f ca="1">SUM(OFFSET($B21,0,1+SUM(Assumptions!$C$8:$C$9),1,SUM(Assumptions!$C$10)))</f>
        <v>1440</v>
      </c>
      <c r="BF21" s="53">
        <f ca="1">SUM(OFFSET($B21,0,1+SUM(Assumptions!$C$8:$C$10),1,SUM(Assumptions!$C$11)))</f>
        <v>1440</v>
      </c>
      <c r="BG21" s="53">
        <f t="shared" ca="1" si="13"/>
        <v>5040</v>
      </c>
    </row>
    <row r="22" spans="1:59" s="17" customFormat="1" ht="16.149999999999999" customHeight="1" x14ac:dyDescent="0.3">
      <c r="A22" s="302"/>
      <c r="B22" s="56" t="s">
        <v>16</v>
      </c>
      <c r="C22" s="52">
        <v>0</v>
      </c>
      <c r="D22" s="52">
        <v>0</v>
      </c>
      <c r="E22" s="52">
        <v>0</v>
      </c>
      <c r="F22" s="52">
        <v>0</v>
      </c>
      <c r="G22" s="52">
        <v>0</v>
      </c>
      <c r="H22" s="52">
        <v>0</v>
      </c>
      <c r="I22" s="52">
        <v>0</v>
      </c>
      <c r="J22" s="52">
        <v>900</v>
      </c>
      <c r="K22" s="52">
        <v>0</v>
      </c>
      <c r="L22" s="52">
        <v>0</v>
      </c>
      <c r="M22" s="52">
        <v>860</v>
      </c>
      <c r="N22" s="52">
        <v>0</v>
      </c>
      <c r="O22" s="52">
        <v>0</v>
      </c>
      <c r="P22" s="52">
        <v>0</v>
      </c>
      <c r="Q22" s="52">
        <v>0</v>
      </c>
      <c r="R22" s="52">
        <v>920</v>
      </c>
      <c r="S22" s="52">
        <v>0</v>
      </c>
      <c r="T22" s="52">
        <v>0</v>
      </c>
      <c r="U22" s="52">
        <v>0</v>
      </c>
      <c r="V22" s="52">
        <v>1030</v>
      </c>
      <c r="W22" s="52">
        <v>0</v>
      </c>
      <c r="X22" s="52">
        <v>0</v>
      </c>
      <c r="Y22" s="52">
        <v>0</v>
      </c>
      <c r="Z22" s="52">
        <v>850</v>
      </c>
      <c r="AA22" s="52">
        <v>0</v>
      </c>
      <c r="AB22" s="52">
        <v>0</v>
      </c>
      <c r="AC22" s="52">
        <v>0</v>
      </c>
      <c r="AD22" s="52">
        <v>0</v>
      </c>
      <c r="AE22" s="52">
        <v>970</v>
      </c>
      <c r="AF22" s="52">
        <v>0</v>
      </c>
      <c r="AG22" s="52">
        <v>0</v>
      </c>
      <c r="AH22" s="52">
        <v>0</v>
      </c>
      <c r="AI22" s="52">
        <v>970</v>
      </c>
      <c r="AJ22" s="52">
        <v>0</v>
      </c>
      <c r="AK22" s="52">
        <v>0</v>
      </c>
      <c r="AL22" s="52">
        <v>0</v>
      </c>
      <c r="AM22" s="52">
        <v>970</v>
      </c>
      <c r="AN22" s="52">
        <v>0</v>
      </c>
      <c r="AO22" s="52">
        <v>0</v>
      </c>
      <c r="AP22" s="52">
        <v>0</v>
      </c>
      <c r="AQ22" s="52">
        <v>0</v>
      </c>
      <c r="AR22" s="52">
        <v>970</v>
      </c>
      <c r="AS22" s="52">
        <v>0</v>
      </c>
      <c r="AT22" s="52">
        <v>0</v>
      </c>
      <c r="AU22" s="52">
        <v>0</v>
      </c>
      <c r="AV22" s="52">
        <v>970</v>
      </c>
      <c r="AW22" s="52">
        <v>0</v>
      </c>
      <c r="AX22" s="52">
        <v>0</v>
      </c>
      <c r="AY22" s="52">
        <v>0</v>
      </c>
      <c r="AZ22" s="52">
        <v>970</v>
      </c>
      <c r="BA22" s="52">
        <v>0</v>
      </c>
      <c r="BB22" s="52">
        <v>0</v>
      </c>
      <c r="BC22" s="53">
        <f ca="1">SUM(OFFSET($B22,0,1,1,Assumptions!$C$8))</f>
        <v>1760</v>
      </c>
      <c r="BD22" s="53">
        <f ca="1">SUM(OFFSET($B22,0,1+Assumptions!$C$8,1,SUM(Assumptions!$C$9)))</f>
        <v>2800</v>
      </c>
      <c r="BE22" s="53">
        <f ca="1">SUM(OFFSET($B22,0,1+SUM(Assumptions!$C$8:$C$9),1,SUM(Assumptions!$C$10)))</f>
        <v>2910</v>
      </c>
      <c r="BF22" s="53">
        <f ca="1">SUM(OFFSET($B22,0,1+SUM(Assumptions!$C$8:$C$10),1,SUM(Assumptions!$C$11)))</f>
        <v>2910</v>
      </c>
      <c r="BG22" s="53">
        <f t="shared" ca="1" si="13"/>
        <v>10380</v>
      </c>
    </row>
    <row r="23" spans="1:59" s="17" customFormat="1" ht="16.149999999999999" customHeight="1" x14ac:dyDescent="0.3">
      <c r="A23" s="302"/>
      <c r="B23" s="56" t="s">
        <v>5</v>
      </c>
      <c r="C23" s="52">
        <v>0</v>
      </c>
      <c r="D23" s="52">
        <v>0</v>
      </c>
      <c r="E23" s="52">
        <v>0</v>
      </c>
      <c r="F23" s="52">
        <v>0</v>
      </c>
      <c r="G23" s="52">
        <v>3000</v>
      </c>
      <c r="H23" s="52">
        <v>0</v>
      </c>
      <c r="I23" s="52">
        <v>0</v>
      </c>
      <c r="J23" s="52">
        <v>0</v>
      </c>
      <c r="K23" s="52">
        <v>0</v>
      </c>
      <c r="L23" s="52">
        <v>0</v>
      </c>
      <c r="M23" s="52">
        <v>0</v>
      </c>
      <c r="N23" s="52">
        <v>0</v>
      </c>
      <c r="O23" s="52">
        <v>0</v>
      </c>
      <c r="P23" s="52">
        <v>0</v>
      </c>
      <c r="Q23" s="52">
        <v>0</v>
      </c>
      <c r="R23" s="52">
        <v>0</v>
      </c>
      <c r="S23" s="52">
        <v>0</v>
      </c>
      <c r="T23" s="52">
        <v>0</v>
      </c>
      <c r="U23" s="52">
        <v>0</v>
      </c>
      <c r="V23" s="52">
        <v>0</v>
      </c>
      <c r="W23" s="52">
        <v>0</v>
      </c>
      <c r="X23" s="52">
        <v>0</v>
      </c>
      <c r="Y23" s="52">
        <v>0</v>
      </c>
      <c r="Z23" s="52">
        <v>0</v>
      </c>
      <c r="AA23" s="52">
        <v>0</v>
      </c>
      <c r="AB23" s="52">
        <v>0</v>
      </c>
      <c r="AC23" s="52">
        <v>0</v>
      </c>
      <c r="AD23" s="52">
        <v>0</v>
      </c>
      <c r="AE23" s="52">
        <v>0</v>
      </c>
      <c r="AF23" s="52">
        <v>2000</v>
      </c>
      <c r="AG23" s="52">
        <v>0</v>
      </c>
      <c r="AH23" s="52">
        <v>0</v>
      </c>
      <c r="AI23" s="52">
        <v>0</v>
      </c>
      <c r="AJ23" s="52">
        <v>0</v>
      </c>
      <c r="AK23" s="52">
        <v>0</v>
      </c>
      <c r="AL23" s="52">
        <v>0</v>
      </c>
      <c r="AM23" s="52">
        <v>0</v>
      </c>
      <c r="AN23" s="52">
        <v>0</v>
      </c>
      <c r="AO23" s="52">
        <v>0</v>
      </c>
      <c r="AP23" s="52">
        <v>0</v>
      </c>
      <c r="AQ23" s="52">
        <v>0</v>
      </c>
      <c r="AR23" s="52">
        <v>0</v>
      </c>
      <c r="AS23" s="52">
        <v>0</v>
      </c>
      <c r="AT23" s="52">
        <v>0</v>
      </c>
      <c r="AU23" s="52">
        <v>0</v>
      </c>
      <c r="AV23" s="52">
        <v>0</v>
      </c>
      <c r="AW23" s="52">
        <v>0</v>
      </c>
      <c r="AX23" s="52">
        <v>3500</v>
      </c>
      <c r="AY23" s="52">
        <v>0</v>
      </c>
      <c r="AZ23" s="52">
        <v>0</v>
      </c>
      <c r="BA23" s="52">
        <v>0</v>
      </c>
      <c r="BB23" s="52">
        <v>0</v>
      </c>
      <c r="BC23" s="53">
        <f ca="1">SUM(OFFSET($B23,0,1,1,Assumptions!$C$8))</f>
        <v>3000</v>
      </c>
      <c r="BD23" s="53">
        <f ca="1">SUM(OFFSET($B23,0,1+Assumptions!$C$8,1,SUM(Assumptions!$C$9)))</f>
        <v>0</v>
      </c>
      <c r="BE23" s="53">
        <f ca="1">SUM(OFFSET($B23,0,1+SUM(Assumptions!$C$8:$C$9),1,SUM(Assumptions!$C$10)))</f>
        <v>2000</v>
      </c>
      <c r="BF23" s="53">
        <f ca="1">SUM(OFFSET($B23,0,1+SUM(Assumptions!$C$8:$C$10),1,SUM(Assumptions!$C$11)))</f>
        <v>3500</v>
      </c>
      <c r="BG23" s="53">
        <f t="shared" ca="1" si="13"/>
        <v>8500</v>
      </c>
    </row>
    <row r="24" spans="1:59" s="17" customFormat="1" ht="16.149999999999999" customHeight="1" x14ac:dyDescent="0.3">
      <c r="A24" s="302"/>
      <c r="B24" s="56" t="s">
        <v>22</v>
      </c>
      <c r="C24" s="52">
        <v>900</v>
      </c>
      <c r="D24" s="52">
        <v>0</v>
      </c>
      <c r="E24" s="52">
        <v>0</v>
      </c>
      <c r="F24" s="52">
        <v>0</v>
      </c>
      <c r="G24" s="52">
        <v>0</v>
      </c>
      <c r="H24" s="52">
        <v>0</v>
      </c>
      <c r="I24" s="52">
        <v>0</v>
      </c>
      <c r="J24" s="52">
        <v>0</v>
      </c>
      <c r="K24" s="52">
        <v>0</v>
      </c>
      <c r="L24" s="52">
        <v>0</v>
      </c>
      <c r="M24" s="52">
        <v>820</v>
      </c>
      <c r="N24" s="52">
        <v>0</v>
      </c>
      <c r="O24" s="52">
        <v>0</v>
      </c>
      <c r="P24" s="52">
        <v>0</v>
      </c>
      <c r="Q24" s="52">
        <v>0</v>
      </c>
      <c r="R24" s="52">
        <v>0</v>
      </c>
      <c r="S24" s="52">
        <v>0</v>
      </c>
      <c r="T24" s="52">
        <v>0</v>
      </c>
      <c r="U24" s="52">
        <v>0</v>
      </c>
      <c r="V24" s="52">
        <v>0</v>
      </c>
      <c r="W24" s="52">
        <v>0</v>
      </c>
      <c r="X24" s="52">
        <v>0</v>
      </c>
      <c r="Y24" s="52">
        <v>0</v>
      </c>
      <c r="Z24" s="52">
        <v>0</v>
      </c>
      <c r="AA24" s="52">
        <v>0</v>
      </c>
      <c r="AB24" s="52">
        <v>0</v>
      </c>
      <c r="AC24" s="52">
        <v>0</v>
      </c>
      <c r="AD24" s="52">
        <v>0</v>
      </c>
      <c r="AE24" s="52">
        <v>0</v>
      </c>
      <c r="AF24" s="52">
        <v>0</v>
      </c>
      <c r="AG24" s="52">
        <v>0</v>
      </c>
      <c r="AH24" s="52">
        <v>0</v>
      </c>
      <c r="AI24" s="52">
        <v>850</v>
      </c>
      <c r="AJ24" s="52">
        <v>0</v>
      </c>
      <c r="AK24" s="52">
        <v>0</v>
      </c>
      <c r="AL24" s="52">
        <v>0</v>
      </c>
      <c r="AM24" s="52">
        <v>0</v>
      </c>
      <c r="AN24" s="52">
        <v>0</v>
      </c>
      <c r="AO24" s="52">
        <v>0</v>
      </c>
      <c r="AP24" s="52">
        <v>0</v>
      </c>
      <c r="AQ24" s="52">
        <v>0</v>
      </c>
      <c r="AR24" s="52">
        <v>0</v>
      </c>
      <c r="AS24" s="52">
        <v>820</v>
      </c>
      <c r="AT24" s="52">
        <v>0</v>
      </c>
      <c r="AU24" s="52">
        <v>0</v>
      </c>
      <c r="AV24" s="52">
        <v>0</v>
      </c>
      <c r="AW24" s="52">
        <v>0</v>
      </c>
      <c r="AX24" s="52">
        <v>0</v>
      </c>
      <c r="AY24" s="52">
        <v>0</v>
      </c>
      <c r="AZ24" s="52">
        <v>0</v>
      </c>
      <c r="BA24" s="52">
        <v>0</v>
      </c>
      <c r="BB24" s="52">
        <v>900</v>
      </c>
      <c r="BC24" s="53">
        <f ca="1">SUM(OFFSET($B24,0,1,1,Assumptions!$C$8))</f>
        <v>1720</v>
      </c>
      <c r="BD24" s="53">
        <f ca="1">SUM(OFFSET($B24,0,1+Assumptions!$C$8,1,SUM(Assumptions!$C$9)))</f>
        <v>0</v>
      </c>
      <c r="BE24" s="53">
        <f ca="1">SUM(OFFSET($B24,0,1+SUM(Assumptions!$C$8:$C$9),1,SUM(Assumptions!$C$10)))</f>
        <v>850</v>
      </c>
      <c r="BF24" s="53">
        <f ca="1">SUM(OFFSET($B24,0,1+SUM(Assumptions!$C$8:$C$10),1,SUM(Assumptions!$C$11)))</f>
        <v>1720</v>
      </c>
      <c r="BG24" s="53">
        <f t="shared" ca="1" si="13"/>
        <v>4290</v>
      </c>
    </row>
    <row r="25" spans="1:59" s="17" customFormat="1" ht="16.149999999999999" customHeight="1" x14ac:dyDescent="0.3">
      <c r="A25" s="302"/>
      <c r="B25" s="56" t="s">
        <v>7</v>
      </c>
      <c r="C25" s="52">
        <v>0</v>
      </c>
      <c r="D25" s="52">
        <v>0</v>
      </c>
      <c r="E25" s="52">
        <v>0</v>
      </c>
      <c r="F25" s="52">
        <v>0</v>
      </c>
      <c r="G25" s="52">
        <v>1150</v>
      </c>
      <c r="H25" s="52">
        <v>0</v>
      </c>
      <c r="I25" s="52">
        <v>0</v>
      </c>
      <c r="J25" s="52">
        <v>0</v>
      </c>
      <c r="K25" s="52">
        <v>1150</v>
      </c>
      <c r="L25" s="52">
        <v>0</v>
      </c>
      <c r="M25" s="52">
        <v>0</v>
      </c>
      <c r="N25" s="52">
        <v>0</v>
      </c>
      <c r="O25" s="52">
        <v>1150</v>
      </c>
      <c r="P25" s="52">
        <v>0</v>
      </c>
      <c r="Q25" s="52">
        <v>0</v>
      </c>
      <c r="R25" s="52">
        <v>0</v>
      </c>
      <c r="S25" s="52">
        <v>0</v>
      </c>
      <c r="T25" s="52">
        <v>1150</v>
      </c>
      <c r="U25" s="52">
        <v>0</v>
      </c>
      <c r="V25" s="52">
        <v>0</v>
      </c>
      <c r="W25" s="52">
        <v>0</v>
      </c>
      <c r="X25" s="52">
        <v>1150</v>
      </c>
      <c r="Y25" s="52">
        <v>0</v>
      </c>
      <c r="Z25" s="52">
        <v>0</v>
      </c>
      <c r="AA25" s="52">
        <v>0</v>
      </c>
      <c r="AB25" s="52">
        <v>1150</v>
      </c>
      <c r="AC25" s="52">
        <v>0</v>
      </c>
      <c r="AD25" s="52">
        <v>0</v>
      </c>
      <c r="AE25" s="52">
        <v>0</v>
      </c>
      <c r="AF25" s="52">
        <v>0</v>
      </c>
      <c r="AG25" s="52">
        <v>1150</v>
      </c>
      <c r="AH25" s="52">
        <v>0</v>
      </c>
      <c r="AI25" s="52">
        <v>0</v>
      </c>
      <c r="AJ25" s="52">
        <v>0</v>
      </c>
      <c r="AK25" s="52">
        <v>1150</v>
      </c>
      <c r="AL25" s="52">
        <v>0</v>
      </c>
      <c r="AM25" s="52">
        <v>0</v>
      </c>
      <c r="AN25" s="52">
        <v>0</v>
      </c>
      <c r="AO25" s="52">
        <v>1150</v>
      </c>
      <c r="AP25" s="52">
        <v>0</v>
      </c>
      <c r="AQ25" s="52">
        <v>0</v>
      </c>
      <c r="AR25" s="52">
        <v>0</v>
      </c>
      <c r="AS25" s="52">
        <v>0</v>
      </c>
      <c r="AT25" s="52">
        <v>1150</v>
      </c>
      <c r="AU25" s="52">
        <v>0</v>
      </c>
      <c r="AV25" s="52">
        <v>0</v>
      </c>
      <c r="AW25" s="52">
        <v>0</v>
      </c>
      <c r="AX25" s="52">
        <v>1150</v>
      </c>
      <c r="AY25" s="52">
        <v>0</v>
      </c>
      <c r="AZ25" s="52">
        <v>0</v>
      </c>
      <c r="BA25" s="52">
        <v>0</v>
      </c>
      <c r="BB25" s="52">
        <v>1150</v>
      </c>
      <c r="BC25" s="53">
        <f ca="1">SUM(OFFSET($B25,0,1,1,Assumptions!$C$8))</f>
        <v>3450</v>
      </c>
      <c r="BD25" s="53">
        <f ca="1">SUM(OFFSET($B25,0,1+Assumptions!$C$8,1,SUM(Assumptions!$C$9)))</f>
        <v>3450</v>
      </c>
      <c r="BE25" s="53">
        <f ca="1">SUM(OFFSET($B25,0,1+SUM(Assumptions!$C$8:$C$9),1,SUM(Assumptions!$C$10)))</f>
        <v>3450</v>
      </c>
      <c r="BF25" s="53">
        <f ca="1">SUM(OFFSET($B25,0,1+SUM(Assumptions!$C$8:$C$10),1,SUM(Assumptions!$C$11)))</f>
        <v>3450</v>
      </c>
      <c r="BG25" s="53">
        <f t="shared" ca="1" si="13"/>
        <v>13800</v>
      </c>
    </row>
    <row r="26" spans="1:59" s="17" customFormat="1" ht="16.149999999999999" customHeight="1" x14ac:dyDescent="0.3">
      <c r="A26" s="302"/>
      <c r="B26" s="56" t="s">
        <v>8</v>
      </c>
      <c r="C26" s="52">
        <v>0</v>
      </c>
      <c r="D26" s="52">
        <v>0</v>
      </c>
      <c r="E26" s="52">
        <v>0</v>
      </c>
      <c r="F26" s="52">
        <v>0</v>
      </c>
      <c r="G26" s="52">
        <v>0</v>
      </c>
      <c r="H26" s="52">
        <v>0</v>
      </c>
      <c r="I26" s="52">
        <v>0</v>
      </c>
      <c r="J26" s="52">
        <v>0</v>
      </c>
      <c r="K26" s="52">
        <v>0</v>
      </c>
      <c r="L26" s="52">
        <v>0</v>
      </c>
      <c r="M26" s="52">
        <v>0</v>
      </c>
      <c r="N26" s="52">
        <v>0</v>
      </c>
      <c r="O26" s="52">
        <v>0</v>
      </c>
      <c r="P26" s="52">
        <v>0</v>
      </c>
      <c r="Q26" s="52">
        <v>0</v>
      </c>
      <c r="R26" s="52">
        <v>0</v>
      </c>
      <c r="S26" s="52">
        <v>13800</v>
      </c>
      <c r="T26" s="52"/>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18540</v>
      </c>
      <c r="AS26" s="52">
        <v>0</v>
      </c>
      <c r="AT26" s="52">
        <v>0</v>
      </c>
      <c r="AU26" s="52">
        <v>0</v>
      </c>
      <c r="AV26" s="52">
        <v>0</v>
      </c>
      <c r="AW26" s="52">
        <v>0</v>
      </c>
      <c r="AX26" s="52">
        <v>0</v>
      </c>
      <c r="AY26" s="52">
        <v>0</v>
      </c>
      <c r="AZ26" s="52">
        <v>0</v>
      </c>
      <c r="BA26" s="52">
        <v>0</v>
      </c>
      <c r="BB26" s="52">
        <v>0</v>
      </c>
      <c r="BC26" s="53">
        <f ca="1">SUM(OFFSET($B26,0,1,1,Assumptions!$C$8))</f>
        <v>0</v>
      </c>
      <c r="BD26" s="53">
        <f ca="1">SUM(OFFSET($B26,0,1+Assumptions!$C$8,1,SUM(Assumptions!$C$9)))</f>
        <v>13800</v>
      </c>
      <c r="BE26" s="53">
        <f ca="1">SUM(OFFSET($B26,0,1+SUM(Assumptions!$C$8:$C$9),1,SUM(Assumptions!$C$10)))</f>
        <v>0</v>
      </c>
      <c r="BF26" s="53">
        <f ca="1">SUM(OFFSET($B26,0,1+SUM(Assumptions!$C$8:$C$10),1,SUM(Assumptions!$C$11)))</f>
        <v>18540</v>
      </c>
      <c r="BG26" s="53">
        <f t="shared" ca="1" si="13"/>
        <v>32340</v>
      </c>
    </row>
    <row r="27" spans="1:59" s="17" customFormat="1" ht="16.149999999999999" customHeight="1" x14ac:dyDescent="0.3">
      <c r="A27" s="302"/>
      <c r="B27" s="56" t="s">
        <v>20</v>
      </c>
      <c r="C27" s="52">
        <v>0</v>
      </c>
      <c r="D27" s="52">
        <v>0</v>
      </c>
      <c r="E27" s="52">
        <v>0</v>
      </c>
      <c r="F27" s="52">
        <v>0</v>
      </c>
      <c r="G27" s="52">
        <v>0</v>
      </c>
      <c r="H27" s="52">
        <v>8000</v>
      </c>
      <c r="I27" s="52">
        <v>0</v>
      </c>
      <c r="J27" s="52">
        <v>0</v>
      </c>
      <c r="K27" s="52">
        <v>0</v>
      </c>
      <c r="L27" s="52">
        <v>0</v>
      </c>
      <c r="M27" s="52">
        <v>0</v>
      </c>
      <c r="N27" s="52">
        <v>0</v>
      </c>
      <c r="O27" s="52">
        <v>0</v>
      </c>
      <c r="P27" s="52">
        <v>0</v>
      </c>
      <c r="Q27" s="52">
        <v>0</v>
      </c>
      <c r="R27" s="52">
        <v>0</v>
      </c>
      <c r="S27" s="52">
        <v>0</v>
      </c>
      <c r="T27" s="52">
        <v>0</v>
      </c>
      <c r="U27" s="52">
        <v>0</v>
      </c>
      <c r="V27" s="52">
        <v>0</v>
      </c>
      <c r="W27" s="52">
        <v>0</v>
      </c>
      <c r="X27" s="52">
        <v>0</v>
      </c>
      <c r="Y27" s="52">
        <v>0</v>
      </c>
      <c r="Z27" s="52">
        <v>0</v>
      </c>
      <c r="AA27" s="52">
        <v>0</v>
      </c>
      <c r="AB27" s="52">
        <v>0</v>
      </c>
      <c r="AC27" s="52">
        <v>0</v>
      </c>
      <c r="AD27" s="52">
        <v>0</v>
      </c>
      <c r="AE27" s="52">
        <v>0</v>
      </c>
      <c r="AF27" s="52">
        <v>0</v>
      </c>
      <c r="AG27" s="52">
        <v>0</v>
      </c>
      <c r="AH27" s="52">
        <v>9200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v>0</v>
      </c>
      <c r="AY27" s="52">
        <v>0</v>
      </c>
      <c r="AZ27" s="52">
        <v>0</v>
      </c>
      <c r="BA27" s="52">
        <v>0</v>
      </c>
      <c r="BB27" s="52">
        <v>0</v>
      </c>
      <c r="BC27" s="53">
        <f ca="1">SUM(OFFSET($B27,0,1,1,Assumptions!$C$8))</f>
        <v>8000</v>
      </c>
      <c r="BD27" s="53">
        <f ca="1">SUM(OFFSET($B27,0,1+Assumptions!$C$8,1,SUM(Assumptions!$C$9)))</f>
        <v>0</v>
      </c>
      <c r="BE27" s="53">
        <f ca="1">SUM(OFFSET($B27,0,1+SUM(Assumptions!$C$8:$C$9),1,SUM(Assumptions!$C$10)))</f>
        <v>9200</v>
      </c>
      <c r="BF27" s="53">
        <f ca="1">SUM(OFFSET($B27,0,1+SUM(Assumptions!$C$8:$C$10),1,SUM(Assumptions!$C$11)))</f>
        <v>0</v>
      </c>
      <c r="BG27" s="53">
        <f t="shared" ca="1" si="13"/>
        <v>17200</v>
      </c>
    </row>
    <row r="28" spans="1:59" s="17" customFormat="1" ht="16.149999999999999" customHeight="1" x14ac:dyDescent="0.3">
      <c r="A28" s="302"/>
      <c r="B28" s="56" t="s">
        <v>9</v>
      </c>
      <c r="C28" s="52">
        <v>2000</v>
      </c>
      <c r="D28" s="52">
        <v>0</v>
      </c>
      <c r="E28" s="52">
        <v>0</v>
      </c>
      <c r="F28" s="52">
        <v>0</v>
      </c>
      <c r="G28" s="52">
        <v>0</v>
      </c>
      <c r="H28" s="52">
        <v>2000</v>
      </c>
      <c r="I28" s="52">
        <v>0</v>
      </c>
      <c r="J28" s="52">
        <v>0</v>
      </c>
      <c r="K28" s="52">
        <v>0</v>
      </c>
      <c r="L28" s="52">
        <v>2000</v>
      </c>
      <c r="M28" s="52">
        <v>0</v>
      </c>
      <c r="N28" s="52">
        <v>0</v>
      </c>
      <c r="O28" s="52">
        <v>0</v>
      </c>
      <c r="P28" s="52">
        <v>2000</v>
      </c>
      <c r="Q28" s="52">
        <v>0</v>
      </c>
      <c r="R28" s="52">
        <v>0</v>
      </c>
      <c r="S28" s="52">
        <v>0</v>
      </c>
      <c r="T28" s="52">
        <v>0</v>
      </c>
      <c r="U28" s="52">
        <v>2000</v>
      </c>
      <c r="V28" s="52">
        <v>0</v>
      </c>
      <c r="W28" s="52">
        <v>0</v>
      </c>
      <c r="X28" s="52">
        <v>0</v>
      </c>
      <c r="Y28" s="52">
        <v>2000</v>
      </c>
      <c r="Z28" s="52">
        <v>0</v>
      </c>
      <c r="AA28" s="52">
        <v>0</v>
      </c>
      <c r="AB28" s="52">
        <v>0</v>
      </c>
      <c r="AC28" s="52">
        <v>2200</v>
      </c>
      <c r="AD28" s="52">
        <v>0</v>
      </c>
      <c r="AE28" s="52">
        <v>0</v>
      </c>
      <c r="AF28" s="52">
        <v>0</v>
      </c>
      <c r="AG28" s="52">
        <v>0</v>
      </c>
      <c r="AH28" s="52">
        <v>2200</v>
      </c>
      <c r="AI28" s="52">
        <v>0</v>
      </c>
      <c r="AJ28" s="52">
        <v>0</v>
      </c>
      <c r="AK28" s="52">
        <v>0</v>
      </c>
      <c r="AL28" s="52">
        <v>2200</v>
      </c>
      <c r="AM28" s="52">
        <v>0</v>
      </c>
      <c r="AN28" s="52">
        <v>0</v>
      </c>
      <c r="AO28" s="52">
        <v>0</v>
      </c>
      <c r="AP28" s="52">
        <v>0</v>
      </c>
      <c r="AQ28" s="52">
        <v>2200</v>
      </c>
      <c r="AR28" s="52">
        <v>0</v>
      </c>
      <c r="AS28" s="52">
        <v>0</v>
      </c>
      <c r="AT28" s="52">
        <v>0</v>
      </c>
      <c r="AU28" s="52">
        <v>2200</v>
      </c>
      <c r="AV28" s="52">
        <v>0</v>
      </c>
      <c r="AW28" s="52">
        <v>0</v>
      </c>
      <c r="AX28" s="52">
        <v>0</v>
      </c>
      <c r="AY28" s="52">
        <v>2200</v>
      </c>
      <c r="AZ28" s="52">
        <v>0</v>
      </c>
      <c r="BA28" s="52">
        <v>0</v>
      </c>
      <c r="BB28" s="52">
        <v>0</v>
      </c>
      <c r="BC28" s="53">
        <f ca="1">SUM(OFFSET($B28,0,1,1,Assumptions!$C$8))</f>
        <v>6000</v>
      </c>
      <c r="BD28" s="53">
        <f ca="1">SUM(OFFSET($B28,0,1+Assumptions!$C$8,1,SUM(Assumptions!$C$9)))</f>
        <v>6000</v>
      </c>
      <c r="BE28" s="53">
        <f ca="1">SUM(OFFSET($B28,0,1+SUM(Assumptions!$C$8:$C$9),1,SUM(Assumptions!$C$10)))</f>
        <v>6600</v>
      </c>
      <c r="BF28" s="53">
        <f ca="1">SUM(OFFSET($B28,0,1+SUM(Assumptions!$C$8:$C$10),1,SUM(Assumptions!$C$11)))</f>
        <v>6600</v>
      </c>
      <c r="BG28" s="53">
        <f t="shared" ca="1" si="13"/>
        <v>25200</v>
      </c>
    </row>
    <row r="29" spans="1:59" s="17" customFormat="1" ht="16.149999999999999" customHeight="1" x14ac:dyDescent="0.3">
      <c r="A29" s="302"/>
      <c r="B29" s="56" t="s">
        <v>23</v>
      </c>
      <c r="C29" s="52">
        <v>0</v>
      </c>
      <c r="D29" s="52">
        <v>0</v>
      </c>
      <c r="E29" s="52">
        <v>0</v>
      </c>
      <c r="F29" s="52">
        <v>0</v>
      </c>
      <c r="G29" s="52">
        <v>0</v>
      </c>
      <c r="H29" s="52">
        <v>0</v>
      </c>
      <c r="I29" s="52">
        <v>0</v>
      </c>
      <c r="J29" s="52">
        <v>0</v>
      </c>
      <c r="K29" s="52">
        <v>0</v>
      </c>
      <c r="L29" s="52">
        <v>0</v>
      </c>
      <c r="M29" s="52">
        <v>0</v>
      </c>
      <c r="N29" s="52">
        <v>0</v>
      </c>
      <c r="O29" s="52">
        <v>0</v>
      </c>
      <c r="P29" s="52">
        <v>0</v>
      </c>
      <c r="Q29" s="52">
        <v>0</v>
      </c>
      <c r="R29" s="52">
        <v>0</v>
      </c>
      <c r="S29" s="52">
        <v>0</v>
      </c>
      <c r="T29" s="52">
        <v>0</v>
      </c>
      <c r="U29" s="52">
        <v>0</v>
      </c>
      <c r="V29" s="52">
        <v>0</v>
      </c>
      <c r="W29" s="52">
        <v>0</v>
      </c>
      <c r="X29" s="52">
        <v>0</v>
      </c>
      <c r="Y29" s="52">
        <v>0</v>
      </c>
      <c r="Z29" s="52">
        <v>15400</v>
      </c>
      <c r="AA29" s="52">
        <v>0</v>
      </c>
      <c r="AB29" s="52">
        <v>0</v>
      </c>
      <c r="AC29" s="52">
        <v>0</v>
      </c>
      <c r="AD29" s="52">
        <v>0</v>
      </c>
      <c r="AE29" s="52">
        <v>0</v>
      </c>
      <c r="AF29" s="52">
        <v>0</v>
      </c>
      <c r="AG29" s="52">
        <v>0</v>
      </c>
      <c r="AH29" s="52">
        <v>0</v>
      </c>
      <c r="AI29" s="52">
        <v>0</v>
      </c>
      <c r="AJ29" s="52">
        <v>7520</v>
      </c>
      <c r="AK29" s="52">
        <v>0</v>
      </c>
      <c r="AL29" s="52">
        <v>0</v>
      </c>
      <c r="AM29" s="52">
        <v>0</v>
      </c>
      <c r="AN29" s="52">
        <v>0</v>
      </c>
      <c r="AO29" s="52">
        <v>0</v>
      </c>
      <c r="AP29" s="52">
        <v>0</v>
      </c>
      <c r="AQ29" s="52">
        <v>0</v>
      </c>
      <c r="AR29" s="52">
        <v>0</v>
      </c>
      <c r="AS29" s="52">
        <v>0</v>
      </c>
      <c r="AT29" s="52">
        <v>0</v>
      </c>
      <c r="AU29" s="52">
        <v>0</v>
      </c>
      <c r="AV29" s="52">
        <v>0</v>
      </c>
      <c r="AW29" s="52">
        <v>0</v>
      </c>
      <c r="AX29" s="52">
        <v>0</v>
      </c>
      <c r="AY29" s="52">
        <v>0</v>
      </c>
      <c r="AZ29" s="52">
        <v>0</v>
      </c>
      <c r="BA29" s="52">
        <v>0</v>
      </c>
      <c r="BB29" s="52">
        <v>0</v>
      </c>
      <c r="BC29" s="53">
        <f ca="1">SUM(OFFSET($B29,0,1,1,Assumptions!$C$8))</f>
        <v>0</v>
      </c>
      <c r="BD29" s="53">
        <f ca="1">SUM(OFFSET($B29,0,1+Assumptions!$C$8,1,SUM(Assumptions!$C$9)))</f>
        <v>15400</v>
      </c>
      <c r="BE29" s="53">
        <f ca="1">SUM(OFFSET($B29,0,1+SUM(Assumptions!$C$8:$C$9),1,SUM(Assumptions!$C$10)))</f>
        <v>7520</v>
      </c>
      <c r="BF29" s="53">
        <f ca="1">SUM(OFFSET($B29,0,1+SUM(Assumptions!$C$8:$C$10),1,SUM(Assumptions!$C$11)))</f>
        <v>0</v>
      </c>
      <c r="BG29" s="53">
        <f t="shared" ca="1" si="13"/>
        <v>22920</v>
      </c>
    </row>
    <row r="30" spans="1:59" s="17" customFormat="1" ht="16.149999999999999" customHeight="1" x14ac:dyDescent="0.3">
      <c r="A30" s="302"/>
      <c r="B30" s="56" t="s">
        <v>19</v>
      </c>
      <c r="C30" s="52">
        <v>0</v>
      </c>
      <c r="D30" s="52">
        <v>0</v>
      </c>
      <c r="E30" s="52">
        <v>0</v>
      </c>
      <c r="F30" s="52">
        <v>0</v>
      </c>
      <c r="G30" s="52">
        <v>0</v>
      </c>
      <c r="H30" s="52">
        <v>0</v>
      </c>
      <c r="I30" s="52">
        <v>0</v>
      </c>
      <c r="J30" s="52">
        <v>0</v>
      </c>
      <c r="K30" s="52">
        <v>0</v>
      </c>
      <c r="L30" s="52">
        <v>0</v>
      </c>
      <c r="M30" s="52">
        <v>0</v>
      </c>
      <c r="N30" s="52">
        <v>0</v>
      </c>
      <c r="O30" s="52">
        <v>0</v>
      </c>
      <c r="P30" s="52">
        <v>0</v>
      </c>
      <c r="Q30" s="52">
        <v>0</v>
      </c>
      <c r="R30" s="52">
        <v>0</v>
      </c>
      <c r="S30" s="52">
        <v>0</v>
      </c>
      <c r="T30" s="52">
        <v>0</v>
      </c>
      <c r="U30" s="52">
        <v>0</v>
      </c>
      <c r="V30" s="52">
        <v>0</v>
      </c>
      <c r="W30" s="52">
        <v>13520</v>
      </c>
      <c r="X30" s="52">
        <v>0</v>
      </c>
      <c r="Y30" s="52">
        <v>0</v>
      </c>
      <c r="Z30" s="52">
        <v>0</v>
      </c>
      <c r="AA30" s="52">
        <v>0</v>
      </c>
      <c r="AB30" s="52">
        <v>0</v>
      </c>
      <c r="AC30" s="52">
        <v>0</v>
      </c>
      <c r="AD30" s="52">
        <v>0</v>
      </c>
      <c r="AE30" s="52">
        <v>0</v>
      </c>
      <c r="AF30" s="52">
        <v>0</v>
      </c>
      <c r="AG30" s="52">
        <v>0</v>
      </c>
      <c r="AH30" s="52">
        <v>0</v>
      </c>
      <c r="AI30" s="52">
        <v>0</v>
      </c>
      <c r="AJ30" s="52">
        <v>0</v>
      </c>
      <c r="AK30" s="52">
        <v>0</v>
      </c>
      <c r="AL30" s="52">
        <v>0</v>
      </c>
      <c r="AM30" s="52">
        <v>0</v>
      </c>
      <c r="AN30" s="52">
        <v>0</v>
      </c>
      <c r="AO30" s="52">
        <v>0</v>
      </c>
      <c r="AP30" s="52">
        <v>0</v>
      </c>
      <c r="AQ30" s="52">
        <v>0</v>
      </c>
      <c r="AR30" s="52">
        <v>0</v>
      </c>
      <c r="AS30" s="52">
        <v>0</v>
      </c>
      <c r="AT30" s="52">
        <v>0</v>
      </c>
      <c r="AU30" s="52">
        <v>0</v>
      </c>
      <c r="AV30" s="52">
        <v>0</v>
      </c>
      <c r="AW30" s="52">
        <v>0</v>
      </c>
      <c r="AX30" s="52">
        <v>4000</v>
      </c>
      <c r="AY30" s="52">
        <v>0</v>
      </c>
      <c r="AZ30" s="52">
        <v>0</v>
      </c>
      <c r="BA30" s="52">
        <v>0</v>
      </c>
      <c r="BB30" s="52">
        <v>0</v>
      </c>
      <c r="BC30" s="53">
        <f ca="1">SUM(OFFSET($B30,0,1,1,Assumptions!$C$8))</f>
        <v>0</v>
      </c>
      <c r="BD30" s="53">
        <f ca="1">SUM(OFFSET($B30,0,1+Assumptions!$C$8,1,SUM(Assumptions!$C$9)))</f>
        <v>13520</v>
      </c>
      <c r="BE30" s="53">
        <f ca="1">SUM(OFFSET($B30,0,1+SUM(Assumptions!$C$8:$C$9),1,SUM(Assumptions!$C$10)))</f>
        <v>0</v>
      </c>
      <c r="BF30" s="53">
        <f ca="1">SUM(OFFSET($B30,0,1+SUM(Assumptions!$C$8:$C$10),1,SUM(Assumptions!$C$11)))</f>
        <v>4000</v>
      </c>
      <c r="BG30" s="53">
        <f t="shared" ca="1" si="13"/>
        <v>17520</v>
      </c>
    </row>
    <row r="31" spans="1:59" s="17" customFormat="1" ht="16.149999999999999" customHeight="1" x14ac:dyDescent="0.3">
      <c r="A31" s="302"/>
      <c r="B31" s="56" t="s">
        <v>18</v>
      </c>
      <c r="C31" s="52">
        <v>0</v>
      </c>
      <c r="D31" s="52">
        <v>0</v>
      </c>
      <c r="E31" s="52">
        <v>0</v>
      </c>
      <c r="F31" s="52">
        <v>0</v>
      </c>
      <c r="G31" s="52">
        <v>125</v>
      </c>
      <c r="H31" s="52">
        <v>0</v>
      </c>
      <c r="I31" s="52">
        <v>0</v>
      </c>
      <c r="J31" s="52">
        <v>0</v>
      </c>
      <c r="K31" s="52">
        <v>125</v>
      </c>
      <c r="L31" s="52">
        <v>0</v>
      </c>
      <c r="M31" s="52">
        <v>0</v>
      </c>
      <c r="N31" s="52">
        <v>0</v>
      </c>
      <c r="O31" s="52">
        <v>125</v>
      </c>
      <c r="P31" s="52">
        <v>0</v>
      </c>
      <c r="Q31" s="52">
        <v>0</v>
      </c>
      <c r="R31" s="52">
        <v>0</v>
      </c>
      <c r="S31" s="52">
        <v>0</v>
      </c>
      <c r="T31" s="52">
        <v>125</v>
      </c>
      <c r="U31" s="52">
        <v>0</v>
      </c>
      <c r="V31" s="52">
        <v>0</v>
      </c>
      <c r="W31" s="52">
        <v>0</v>
      </c>
      <c r="X31" s="52">
        <v>125</v>
      </c>
      <c r="Y31" s="52">
        <v>0</v>
      </c>
      <c r="Z31" s="52">
        <v>0</v>
      </c>
      <c r="AA31" s="52">
        <v>0</v>
      </c>
      <c r="AB31" s="52">
        <v>125</v>
      </c>
      <c r="AC31" s="52">
        <v>0</v>
      </c>
      <c r="AD31" s="52">
        <v>0</v>
      </c>
      <c r="AE31" s="52">
        <v>0</v>
      </c>
      <c r="AF31" s="52">
        <v>0</v>
      </c>
      <c r="AG31" s="52">
        <v>125</v>
      </c>
      <c r="AH31" s="52">
        <v>0</v>
      </c>
      <c r="AI31" s="52">
        <v>0</v>
      </c>
      <c r="AJ31" s="52">
        <v>0</v>
      </c>
      <c r="AK31" s="52">
        <v>125</v>
      </c>
      <c r="AL31" s="52">
        <v>0</v>
      </c>
      <c r="AM31" s="52">
        <v>0</v>
      </c>
      <c r="AN31" s="52">
        <v>0</v>
      </c>
      <c r="AO31" s="52">
        <v>125</v>
      </c>
      <c r="AP31" s="52">
        <v>0</v>
      </c>
      <c r="AQ31" s="52">
        <v>0</v>
      </c>
      <c r="AR31" s="52">
        <v>0</v>
      </c>
      <c r="AS31" s="52">
        <v>0</v>
      </c>
      <c r="AT31" s="52">
        <v>125</v>
      </c>
      <c r="AU31" s="52">
        <v>0</v>
      </c>
      <c r="AV31" s="52">
        <v>0</v>
      </c>
      <c r="AW31" s="52">
        <v>0</v>
      </c>
      <c r="AX31" s="52">
        <v>125</v>
      </c>
      <c r="AY31" s="52">
        <v>0</v>
      </c>
      <c r="AZ31" s="52">
        <v>0</v>
      </c>
      <c r="BA31" s="52">
        <v>0</v>
      </c>
      <c r="BB31" s="52">
        <v>125</v>
      </c>
      <c r="BC31" s="53">
        <f ca="1">SUM(OFFSET($B31,0,1,1,Assumptions!$C$8))</f>
        <v>375</v>
      </c>
      <c r="BD31" s="53">
        <f ca="1">SUM(OFFSET($B31,0,1+Assumptions!$C$8,1,SUM(Assumptions!$C$9)))</f>
        <v>375</v>
      </c>
      <c r="BE31" s="53">
        <f ca="1">SUM(OFFSET($B31,0,1+SUM(Assumptions!$C$8:$C$9),1,SUM(Assumptions!$C$10)))</f>
        <v>375</v>
      </c>
      <c r="BF31" s="53">
        <f ca="1">SUM(OFFSET($B31,0,1+SUM(Assumptions!$C$8:$C$10),1,SUM(Assumptions!$C$11)))</f>
        <v>375</v>
      </c>
      <c r="BG31" s="53">
        <f t="shared" ca="1" si="13"/>
        <v>1500</v>
      </c>
    </row>
    <row r="32" spans="1:59" s="17" customFormat="1" ht="16.149999999999999" customHeight="1" x14ac:dyDescent="0.3">
      <c r="A32" s="302"/>
      <c r="B32" s="56" t="s">
        <v>10</v>
      </c>
      <c r="C32" s="52">
        <v>0</v>
      </c>
      <c r="D32" s="52">
        <v>0</v>
      </c>
      <c r="E32" s="52">
        <v>0</v>
      </c>
      <c r="F32" s="52">
        <v>0</v>
      </c>
      <c r="G32" s="52">
        <v>184</v>
      </c>
      <c r="H32" s="52">
        <v>0</v>
      </c>
      <c r="I32" s="52">
        <v>0</v>
      </c>
      <c r="J32" s="52">
        <v>0</v>
      </c>
      <c r="K32" s="52">
        <v>184</v>
      </c>
      <c r="L32" s="52">
        <v>0</v>
      </c>
      <c r="M32" s="52">
        <v>0</v>
      </c>
      <c r="N32" s="52">
        <v>0</v>
      </c>
      <c r="O32" s="52">
        <v>184</v>
      </c>
      <c r="P32" s="52">
        <v>0</v>
      </c>
      <c r="Q32" s="52">
        <v>0</v>
      </c>
      <c r="R32" s="52">
        <v>0</v>
      </c>
      <c r="S32" s="52">
        <v>0</v>
      </c>
      <c r="T32" s="52">
        <v>184</v>
      </c>
      <c r="U32" s="52">
        <v>0</v>
      </c>
      <c r="V32" s="52">
        <v>0</v>
      </c>
      <c r="W32" s="52">
        <v>0</v>
      </c>
      <c r="X32" s="52">
        <v>184</v>
      </c>
      <c r="Y32" s="52">
        <v>0</v>
      </c>
      <c r="Z32" s="52">
        <v>0</v>
      </c>
      <c r="AA32" s="52">
        <v>0</v>
      </c>
      <c r="AB32" s="52">
        <v>184</v>
      </c>
      <c r="AC32" s="52">
        <v>0</v>
      </c>
      <c r="AD32" s="52">
        <v>0</v>
      </c>
      <c r="AE32" s="52">
        <v>0</v>
      </c>
      <c r="AF32" s="52">
        <v>0</v>
      </c>
      <c r="AG32" s="52">
        <v>184</v>
      </c>
      <c r="AH32" s="52">
        <v>0</v>
      </c>
      <c r="AI32" s="52">
        <v>0</v>
      </c>
      <c r="AJ32" s="52">
        <v>0</v>
      </c>
      <c r="AK32" s="52">
        <v>184</v>
      </c>
      <c r="AL32" s="52">
        <v>0</v>
      </c>
      <c r="AM32" s="52">
        <v>0</v>
      </c>
      <c r="AN32" s="52">
        <v>0</v>
      </c>
      <c r="AO32" s="52">
        <v>184</v>
      </c>
      <c r="AP32" s="52">
        <v>0</v>
      </c>
      <c r="AQ32" s="52">
        <v>0</v>
      </c>
      <c r="AR32" s="52">
        <v>0</v>
      </c>
      <c r="AS32" s="52">
        <v>0</v>
      </c>
      <c r="AT32" s="52">
        <v>184</v>
      </c>
      <c r="AU32" s="52">
        <v>0</v>
      </c>
      <c r="AV32" s="52">
        <v>0</v>
      </c>
      <c r="AW32" s="52">
        <v>0</v>
      </c>
      <c r="AX32" s="52">
        <v>184</v>
      </c>
      <c r="AY32" s="52">
        <v>0</v>
      </c>
      <c r="AZ32" s="52">
        <v>0</v>
      </c>
      <c r="BA32" s="52">
        <v>0</v>
      </c>
      <c r="BB32" s="52">
        <v>184</v>
      </c>
      <c r="BC32" s="53">
        <f ca="1">SUM(OFFSET($B32,0,1,1,Assumptions!$C$8))</f>
        <v>552</v>
      </c>
      <c r="BD32" s="53">
        <f ca="1">SUM(OFFSET($B32,0,1+Assumptions!$C$8,1,SUM(Assumptions!$C$9)))</f>
        <v>552</v>
      </c>
      <c r="BE32" s="53">
        <f ca="1">SUM(OFFSET($B32,0,1+SUM(Assumptions!$C$8:$C$9),1,SUM(Assumptions!$C$10)))</f>
        <v>552</v>
      </c>
      <c r="BF32" s="53">
        <f ca="1">SUM(OFFSET($B32,0,1+SUM(Assumptions!$C$8:$C$10),1,SUM(Assumptions!$C$11)))</f>
        <v>552</v>
      </c>
      <c r="BG32" s="53">
        <f t="shared" ca="1" si="13"/>
        <v>2208</v>
      </c>
    </row>
    <row r="33" spans="1:59" s="17" customFormat="1" ht="16.149999999999999" customHeight="1" x14ac:dyDescent="0.3">
      <c r="A33" s="302"/>
      <c r="B33" s="56" t="s">
        <v>17</v>
      </c>
      <c r="C33" s="52">
        <v>0</v>
      </c>
      <c r="D33" s="52">
        <v>0</v>
      </c>
      <c r="E33" s="52">
        <v>0</v>
      </c>
      <c r="F33" s="52">
        <v>0</v>
      </c>
      <c r="G33" s="52">
        <v>0</v>
      </c>
      <c r="H33" s="52">
        <v>0</v>
      </c>
      <c r="I33" s="52">
        <v>0</v>
      </c>
      <c r="J33" s="52">
        <v>13520</v>
      </c>
      <c r="K33" s="52">
        <v>0</v>
      </c>
      <c r="L33" s="52">
        <v>0</v>
      </c>
      <c r="M33" s="52">
        <v>0</v>
      </c>
      <c r="N33" s="52">
        <v>0</v>
      </c>
      <c r="O33" s="52">
        <v>0</v>
      </c>
      <c r="P33" s="52">
        <v>0</v>
      </c>
      <c r="Q33" s="52">
        <v>0</v>
      </c>
      <c r="R33" s="52">
        <v>0</v>
      </c>
      <c r="S33" s="52">
        <v>0</v>
      </c>
      <c r="T33" s="52">
        <v>0</v>
      </c>
      <c r="U33" s="52">
        <v>0</v>
      </c>
      <c r="V33" s="52">
        <v>0</v>
      </c>
      <c r="W33" s="52">
        <v>0</v>
      </c>
      <c r="X33" s="52">
        <v>0</v>
      </c>
      <c r="Y33" s="52">
        <v>0</v>
      </c>
      <c r="Z33" s="52">
        <v>0</v>
      </c>
      <c r="AA33" s="52">
        <v>0</v>
      </c>
      <c r="AB33" s="52">
        <v>0</v>
      </c>
      <c r="AC33" s="52">
        <v>0</v>
      </c>
      <c r="AD33" s="52">
        <v>0</v>
      </c>
      <c r="AE33" s="52">
        <v>0</v>
      </c>
      <c r="AF33" s="52">
        <v>0</v>
      </c>
      <c r="AG33" s="52">
        <v>0</v>
      </c>
      <c r="AH33" s="52">
        <v>0</v>
      </c>
      <c r="AI33" s="52">
        <v>0</v>
      </c>
      <c r="AJ33" s="52">
        <v>0</v>
      </c>
      <c r="AK33" s="52">
        <v>5580</v>
      </c>
      <c r="AL33" s="52">
        <v>0</v>
      </c>
      <c r="AM33" s="52">
        <v>0</v>
      </c>
      <c r="AN33" s="52">
        <v>0</v>
      </c>
      <c r="AO33" s="52">
        <v>0</v>
      </c>
      <c r="AP33" s="52">
        <v>0</v>
      </c>
      <c r="AQ33" s="52">
        <v>0</v>
      </c>
      <c r="AR33" s="52">
        <v>0</v>
      </c>
      <c r="AS33" s="52">
        <v>0</v>
      </c>
      <c r="AT33" s="52">
        <v>0</v>
      </c>
      <c r="AU33" s="52">
        <v>0</v>
      </c>
      <c r="AV33" s="52">
        <v>0</v>
      </c>
      <c r="AW33" s="52">
        <v>0</v>
      </c>
      <c r="AX33" s="52">
        <v>0</v>
      </c>
      <c r="AY33" s="52">
        <v>0</v>
      </c>
      <c r="AZ33" s="52">
        <v>0</v>
      </c>
      <c r="BA33" s="52">
        <v>4853</v>
      </c>
      <c r="BB33" s="52">
        <v>0</v>
      </c>
      <c r="BC33" s="53">
        <f ca="1">SUM(OFFSET($B33,0,1,1,Assumptions!$C$8))</f>
        <v>13520</v>
      </c>
      <c r="BD33" s="53">
        <f ca="1">SUM(OFFSET($B33,0,1+Assumptions!$C$8,1,SUM(Assumptions!$C$9)))</f>
        <v>0</v>
      </c>
      <c r="BE33" s="53">
        <f ca="1">SUM(OFFSET($B33,0,1+SUM(Assumptions!$C$8:$C$9),1,SUM(Assumptions!$C$10)))</f>
        <v>5580</v>
      </c>
      <c r="BF33" s="53">
        <f ca="1">SUM(OFFSET($B33,0,1+SUM(Assumptions!$C$8:$C$10),1,SUM(Assumptions!$C$11)))</f>
        <v>4853</v>
      </c>
      <c r="BG33" s="53">
        <f t="shared" ca="1" si="13"/>
        <v>23953</v>
      </c>
    </row>
    <row r="34" spans="1:59" s="17" customFormat="1" ht="16.149999999999999" customHeight="1" x14ac:dyDescent="0.3">
      <c r="A34" s="302"/>
      <c r="B34" s="56" t="s">
        <v>11</v>
      </c>
      <c r="C34" s="52">
        <v>20000</v>
      </c>
      <c r="D34" s="52">
        <v>0</v>
      </c>
      <c r="E34" s="52">
        <v>0</v>
      </c>
      <c r="F34" s="52">
        <v>0</v>
      </c>
      <c r="G34" s="52">
        <v>0</v>
      </c>
      <c r="H34" s="52">
        <v>20000</v>
      </c>
      <c r="I34" s="52">
        <v>0</v>
      </c>
      <c r="J34" s="52">
        <v>0</v>
      </c>
      <c r="K34" s="52">
        <v>0</v>
      </c>
      <c r="L34" s="52">
        <v>20000</v>
      </c>
      <c r="M34" s="52">
        <v>0</v>
      </c>
      <c r="N34" s="52">
        <v>0</v>
      </c>
      <c r="O34" s="52">
        <v>0</v>
      </c>
      <c r="P34" s="52">
        <v>20000</v>
      </c>
      <c r="Q34" s="52">
        <v>0</v>
      </c>
      <c r="R34" s="52">
        <v>0</v>
      </c>
      <c r="S34" s="52">
        <v>0</v>
      </c>
      <c r="T34" s="52">
        <v>0</v>
      </c>
      <c r="U34" s="52">
        <v>20000</v>
      </c>
      <c r="V34" s="52">
        <v>0</v>
      </c>
      <c r="W34" s="52">
        <v>0</v>
      </c>
      <c r="X34" s="52">
        <v>0</v>
      </c>
      <c r="Y34" s="52">
        <v>20000</v>
      </c>
      <c r="Z34" s="52">
        <v>0</v>
      </c>
      <c r="AA34" s="52">
        <v>0</v>
      </c>
      <c r="AB34" s="52">
        <v>0</v>
      </c>
      <c r="AC34" s="52">
        <v>20000</v>
      </c>
      <c r="AD34" s="52">
        <v>0</v>
      </c>
      <c r="AE34" s="52">
        <v>0</v>
      </c>
      <c r="AF34" s="52">
        <v>0</v>
      </c>
      <c r="AG34" s="52">
        <v>0</v>
      </c>
      <c r="AH34" s="52">
        <v>21500</v>
      </c>
      <c r="AI34" s="52">
        <v>0</v>
      </c>
      <c r="AJ34" s="52">
        <v>0</v>
      </c>
      <c r="AK34" s="52">
        <v>0</v>
      </c>
      <c r="AL34" s="52">
        <v>21500</v>
      </c>
      <c r="AM34" s="52">
        <v>0</v>
      </c>
      <c r="AN34" s="52">
        <v>0</v>
      </c>
      <c r="AO34" s="52">
        <v>0</v>
      </c>
      <c r="AP34" s="52">
        <v>0</v>
      </c>
      <c r="AQ34" s="52">
        <v>21500</v>
      </c>
      <c r="AR34" s="52">
        <v>0</v>
      </c>
      <c r="AS34" s="52">
        <v>0</v>
      </c>
      <c r="AT34" s="52">
        <v>0</v>
      </c>
      <c r="AU34" s="52">
        <v>21500</v>
      </c>
      <c r="AV34" s="52">
        <v>0</v>
      </c>
      <c r="AW34" s="52">
        <v>0</v>
      </c>
      <c r="AX34" s="52">
        <v>0</v>
      </c>
      <c r="AY34" s="52">
        <v>21500</v>
      </c>
      <c r="AZ34" s="52">
        <v>0</v>
      </c>
      <c r="BA34" s="52">
        <v>0</v>
      </c>
      <c r="BB34" s="52">
        <v>0</v>
      </c>
      <c r="BC34" s="53">
        <f ca="1">SUM(OFFSET($B34,0,1,1,Assumptions!$C$8))</f>
        <v>60000</v>
      </c>
      <c r="BD34" s="53">
        <f ca="1">SUM(OFFSET($B34,0,1+Assumptions!$C$8,1,SUM(Assumptions!$C$9)))</f>
        <v>60000</v>
      </c>
      <c r="BE34" s="53">
        <f ca="1">SUM(OFFSET($B34,0,1+SUM(Assumptions!$C$8:$C$9),1,SUM(Assumptions!$C$10)))</f>
        <v>63000</v>
      </c>
      <c r="BF34" s="53">
        <f ca="1">SUM(OFFSET($B34,0,1+SUM(Assumptions!$C$8:$C$10),1,SUM(Assumptions!$C$11)))</f>
        <v>64500</v>
      </c>
      <c r="BG34" s="53">
        <f t="shared" ca="1" si="13"/>
        <v>247500</v>
      </c>
    </row>
    <row r="35" spans="1:59" s="17" customFormat="1" ht="16.149999999999999" customHeight="1" x14ac:dyDescent="0.3">
      <c r="A35" s="302"/>
      <c r="B35" s="56" t="s">
        <v>21</v>
      </c>
      <c r="C35" s="52">
        <v>0</v>
      </c>
      <c r="D35" s="52">
        <v>0</v>
      </c>
      <c r="E35" s="52">
        <v>0</v>
      </c>
      <c r="F35" s="52">
        <v>0</v>
      </c>
      <c r="G35" s="52">
        <v>0</v>
      </c>
      <c r="H35" s="52">
        <v>0</v>
      </c>
      <c r="I35" s="52">
        <v>0</v>
      </c>
      <c r="J35" s="52">
        <v>0</v>
      </c>
      <c r="K35" s="52">
        <v>0</v>
      </c>
      <c r="L35" s="52">
        <v>4300</v>
      </c>
      <c r="M35" s="52">
        <v>0</v>
      </c>
      <c r="N35" s="52">
        <v>0</v>
      </c>
      <c r="O35" s="52">
        <v>0</v>
      </c>
      <c r="P35" s="52">
        <v>0</v>
      </c>
      <c r="Q35" s="52">
        <v>0</v>
      </c>
      <c r="R35" s="52">
        <v>0</v>
      </c>
      <c r="S35" s="52">
        <v>0</v>
      </c>
      <c r="T35" s="52">
        <v>2100</v>
      </c>
      <c r="U35" s="52">
        <v>0</v>
      </c>
      <c r="V35" s="52">
        <v>0</v>
      </c>
      <c r="W35" s="52">
        <v>0</v>
      </c>
      <c r="X35" s="52">
        <v>0</v>
      </c>
      <c r="Y35" s="52">
        <v>0</v>
      </c>
      <c r="Z35" s="52">
        <v>0</v>
      </c>
      <c r="AA35" s="52">
        <v>0</v>
      </c>
      <c r="AB35" s="52">
        <v>0</v>
      </c>
      <c r="AC35" s="52">
        <v>0</v>
      </c>
      <c r="AD35" s="52">
        <v>1900</v>
      </c>
      <c r="AE35" s="52">
        <v>0</v>
      </c>
      <c r="AF35" s="52">
        <v>0</v>
      </c>
      <c r="AG35" s="52">
        <v>0</v>
      </c>
      <c r="AH35" s="52">
        <v>0</v>
      </c>
      <c r="AI35" s="52">
        <v>0</v>
      </c>
      <c r="AJ35" s="52">
        <v>0</v>
      </c>
      <c r="AK35" s="52">
        <v>0</v>
      </c>
      <c r="AL35" s="52">
        <v>0</v>
      </c>
      <c r="AM35" s="52">
        <v>0</v>
      </c>
      <c r="AN35" s="52">
        <v>0</v>
      </c>
      <c r="AO35" s="52">
        <v>0</v>
      </c>
      <c r="AP35" s="52">
        <v>0</v>
      </c>
      <c r="AQ35" s="52">
        <v>0</v>
      </c>
      <c r="AR35" s="52">
        <v>0</v>
      </c>
      <c r="AS35" s="52">
        <v>3100</v>
      </c>
      <c r="AT35" s="52">
        <v>0</v>
      </c>
      <c r="AU35" s="52">
        <v>0</v>
      </c>
      <c r="AV35" s="52">
        <v>0</v>
      </c>
      <c r="AW35" s="52">
        <v>0</v>
      </c>
      <c r="AX35" s="52">
        <v>0</v>
      </c>
      <c r="AY35" s="52">
        <v>0</v>
      </c>
      <c r="AZ35" s="52">
        <v>0</v>
      </c>
      <c r="BA35" s="52">
        <v>0</v>
      </c>
      <c r="BB35" s="52">
        <v>0</v>
      </c>
      <c r="BC35" s="53">
        <f ca="1">SUM(OFFSET($B35,0,1,1,Assumptions!$C$8))</f>
        <v>4300</v>
      </c>
      <c r="BD35" s="53">
        <f ca="1">SUM(OFFSET($B35,0,1+Assumptions!$C$8,1,SUM(Assumptions!$C$9)))</f>
        <v>2100</v>
      </c>
      <c r="BE35" s="53">
        <f ca="1">SUM(OFFSET($B35,0,1+SUM(Assumptions!$C$8:$C$9),1,SUM(Assumptions!$C$10)))</f>
        <v>1900</v>
      </c>
      <c r="BF35" s="53">
        <f ca="1">SUM(OFFSET($B35,0,1+SUM(Assumptions!$C$8:$C$10),1,SUM(Assumptions!$C$11)))</f>
        <v>3100</v>
      </c>
      <c r="BG35" s="53">
        <f t="shared" ca="1" si="13"/>
        <v>11400</v>
      </c>
    </row>
    <row r="36" spans="1:59" s="17" customFormat="1" ht="16.149999999999999" customHeight="1" x14ac:dyDescent="0.3">
      <c r="A36" s="302"/>
      <c r="B36" s="56" t="s">
        <v>12</v>
      </c>
      <c r="C36" s="52">
        <v>0</v>
      </c>
      <c r="D36" s="52">
        <v>0</v>
      </c>
      <c r="E36" s="52">
        <v>0</v>
      </c>
      <c r="F36" s="52">
        <v>0</v>
      </c>
      <c r="G36" s="52">
        <v>325</v>
      </c>
      <c r="H36" s="52">
        <v>0</v>
      </c>
      <c r="I36" s="52">
        <v>0</v>
      </c>
      <c r="J36" s="52">
        <v>0</v>
      </c>
      <c r="K36" s="52">
        <v>325</v>
      </c>
      <c r="L36" s="52">
        <v>0</v>
      </c>
      <c r="M36" s="52">
        <v>0</v>
      </c>
      <c r="N36" s="52">
        <v>0</v>
      </c>
      <c r="O36" s="52">
        <v>325</v>
      </c>
      <c r="P36" s="52">
        <v>0</v>
      </c>
      <c r="Q36" s="52">
        <v>0</v>
      </c>
      <c r="R36" s="52">
        <v>0</v>
      </c>
      <c r="S36" s="52">
        <v>0</v>
      </c>
      <c r="T36" s="52">
        <v>325</v>
      </c>
      <c r="U36" s="52">
        <v>0</v>
      </c>
      <c r="V36" s="52">
        <v>0</v>
      </c>
      <c r="W36" s="52">
        <v>0</v>
      </c>
      <c r="X36" s="52">
        <v>325</v>
      </c>
      <c r="Y36" s="52">
        <v>0</v>
      </c>
      <c r="Z36" s="52">
        <v>0</v>
      </c>
      <c r="AA36" s="52">
        <v>0</v>
      </c>
      <c r="AB36" s="52">
        <v>325</v>
      </c>
      <c r="AC36" s="52">
        <v>0</v>
      </c>
      <c r="AD36" s="52">
        <v>0</v>
      </c>
      <c r="AE36" s="52">
        <v>0</v>
      </c>
      <c r="AF36" s="52">
        <v>0</v>
      </c>
      <c r="AG36" s="52">
        <v>325</v>
      </c>
      <c r="AH36" s="52">
        <v>0</v>
      </c>
      <c r="AI36" s="52">
        <v>0</v>
      </c>
      <c r="AJ36" s="52">
        <v>0</v>
      </c>
      <c r="AK36" s="52">
        <v>325</v>
      </c>
      <c r="AL36" s="52">
        <v>0</v>
      </c>
      <c r="AM36" s="52">
        <v>0</v>
      </c>
      <c r="AN36" s="52">
        <v>0</v>
      </c>
      <c r="AO36" s="52">
        <v>325</v>
      </c>
      <c r="AP36" s="52">
        <v>0</v>
      </c>
      <c r="AQ36" s="52">
        <v>0</v>
      </c>
      <c r="AR36" s="52">
        <v>0</v>
      </c>
      <c r="AS36" s="52">
        <v>0</v>
      </c>
      <c r="AT36" s="52">
        <v>325</v>
      </c>
      <c r="AU36" s="52">
        <v>0</v>
      </c>
      <c r="AV36" s="52">
        <v>0</v>
      </c>
      <c r="AW36" s="52">
        <v>0</v>
      </c>
      <c r="AX36" s="52">
        <v>325</v>
      </c>
      <c r="AY36" s="52">
        <v>0</v>
      </c>
      <c r="AZ36" s="52">
        <v>0</v>
      </c>
      <c r="BA36" s="52">
        <v>0</v>
      </c>
      <c r="BB36" s="52">
        <v>325</v>
      </c>
      <c r="BC36" s="53">
        <f ca="1">SUM(OFFSET($B36,0,1,1,Assumptions!$C$8))</f>
        <v>975</v>
      </c>
      <c r="BD36" s="53">
        <f ca="1">SUM(OFFSET($B36,0,1+Assumptions!$C$8,1,SUM(Assumptions!$C$9)))</f>
        <v>975</v>
      </c>
      <c r="BE36" s="53">
        <f ca="1">SUM(OFFSET($B36,0,1+SUM(Assumptions!$C$8:$C$9),1,SUM(Assumptions!$C$10)))</f>
        <v>975</v>
      </c>
      <c r="BF36" s="53">
        <f ca="1">SUM(OFFSET($B36,0,1+SUM(Assumptions!$C$8:$C$10),1,SUM(Assumptions!$C$11)))</f>
        <v>975</v>
      </c>
      <c r="BG36" s="53">
        <f t="shared" ca="1" si="13"/>
        <v>3900</v>
      </c>
    </row>
    <row r="37" spans="1:59" s="17" customFormat="1" ht="16.149999999999999" customHeight="1" x14ac:dyDescent="0.3">
      <c r="A37" s="302"/>
      <c r="B37" s="56" t="s">
        <v>13</v>
      </c>
      <c r="C37" s="52">
        <v>0</v>
      </c>
      <c r="D37" s="52">
        <v>0</v>
      </c>
      <c r="E37" s="52">
        <v>0</v>
      </c>
      <c r="F37" s="52">
        <v>0</v>
      </c>
      <c r="G37" s="52">
        <v>0</v>
      </c>
      <c r="H37" s="52">
        <v>0</v>
      </c>
      <c r="I37" s="52">
        <v>3280</v>
      </c>
      <c r="J37" s="52">
        <v>0</v>
      </c>
      <c r="K37" s="52">
        <v>0</v>
      </c>
      <c r="L37" s="52">
        <v>0</v>
      </c>
      <c r="M37" s="52">
        <v>0</v>
      </c>
      <c r="N37" s="52">
        <v>0</v>
      </c>
      <c r="O37" s="52">
        <v>0</v>
      </c>
      <c r="P37" s="52">
        <v>0</v>
      </c>
      <c r="Q37" s="52">
        <v>0</v>
      </c>
      <c r="R37" s="52">
        <v>0</v>
      </c>
      <c r="S37" s="52">
        <v>0</v>
      </c>
      <c r="T37" s="52">
        <v>0</v>
      </c>
      <c r="U37" s="52">
        <v>0</v>
      </c>
      <c r="V37" s="52">
        <v>0</v>
      </c>
      <c r="W37" s="52">
        <v>0</v>
      </c>
      <c r="X37" s="52">
        <v>0</v>
      </c>
      <c r="Y37" s="52">
        <v>0</v>
      </c>
      <c r="Z37" s="52">
        <v>0</v>
      </c>
      <c r="AA37" s="52">
        <v>0</v>
      </c>
      <c r="AB37" s="52">
        <v>0</v>
      </c>
      <c r="AC37" s="52">
        <v>0</v>
      </c>
      <c r="AD37" s="52">
        <v>0</v>
      </c>
      <c r="AE37" s="52">
        <v>0</v>
      </c>
      <c r="AF37" s="52">
        <v>0</v>
      </c>
      <c r="AG37" s="52">
        <v>0</v>
      </c>
      <c r="AH37" s="52">
        <v>0</v>
      </c>
      <c r="AI37" s="52">
        <v>0</v>
      </c>
      <c r="AJ37" s="52">
        <v>0</v>
      </c>
      <c r="AK37" s="52">
        <v>0</v>
      </c>
      <c r="AL37" s="52">
        <v>0</v>
      </c>
      <c r="AM37" s="52">
        <v>0</v>
      </c>
      <c r="AN37" s="52">
        <v>0</v>
      </c>
      <c r="AO37" s="52">
        <v>0</v>
      </c>
      <c r="AP37" s="52">
        <v>0</v>
      </c>
      <c r="AQ37" s="52">
        <v>0</v>
      </c>
      <c r="AR37" s="52">
        <v>0</v>
      </c>
      <c r="AS37" s="52">
        <v>0</v>
      </c>
      <c r="AT37" s="52">
        <v>0</v>
      </c>
      <c r="AU37" s="52">
        <v>0</v>
      </c>
      <c r="AV37" s="52">
        <v>0</v>
      </c>
      <c r="AW37" s="52">
        <v>0</v>
      </c>
      <c r="AX37" s="52">
        <v>0</v>
      </c>
      <c r="AY37" s="52">
        <v>0</v>
      </c>
      <c r="AZ37" s="52">
        <v>0</v>
      </c>
      <c r="BA37" s="52">
        <v>0</v>
      </c>
      <c r="BB37" s="52">
        <v>0</v>
      </c>
      <c r="BC37" s="53">
        <f ca="1">SUM(OFFSET($B37,0,1,1,Assumptions!$C$8))</f>
        <v>3280</v>
      </c>
      <c r="BD37" s="53">
        <f ca="1">SUM(OFFSET($B37,0,1+Assumptions!$C$8,1,SUM(Assumptions!$C$9)))</f>
        <v>0</v>
      </c>
      <c r="BE37" s="53">
        <f ca="1">SUM(OFFSET($B37,0,1+SUM(Assumptions!$C$8:$C$9),1,SUM(Assumptions!$C$10)))</f>
        <v>0</v>
      </c>
      <c r="BF37" s="53">
        <f ca="1">SUM(OFFSET($B37,0,1+SUM(Assumptions!$C$8:$C$10),1,SUM(Assumptions!$C$11)))</f>
        <v>0</v>
      </c>
      <c r="BG37" s="53">
        <f t="shared" ca="1" si="13"/>
        <v>3280</v>
      </c>
    </row>
    <row r="38" spans="1:59" s="17" customFormat="1" ht="16.149999999999999" customHeight="1" x14ac:dyDescent="0.3">
      <c r="A38" s="302"/>
      <c r="B38" s="56" t="s">
        <v>14</v>
      </c>
      <c r="C38" s="52">
        <v>0</v>
      </c>
      <c r="D38" s="52">
        <v>0</v>
      </c>
      <c r="E38" s="52">
        <v>0</v>
      </c>
      <c r="F38" s="52">
        <v>0</v>
      </c>
      <c r="G38" s="52">
        <v>2745</v>
      </c>
      <c r="H38" s="52">
        <v>0</v>
      </c>
      <c r="I38" s="52">
        <v>0</v>
      </c>
      <c r="J38" s="52">
        <v>0</v>
      </c>
      <c r="K38" s="52">
        <v>2745</v>
      </c>
      <c r="L38" s="52">
        <v>0</v>
      </c>
      <c r="M38" s="52">
        <v>0</v>
      </c>
      <c r="N38" s="52">
        <v>0</v>
      </c>
      <c r="O38" s="52">
        <v>2745</v>
      </c>
      <c r="P38" s="52">
        <v>0</v>
      </c>
      <c r="Q38" s="52">
        <v>0</v>
      </c>
      <c r="R38" s="52">
        <v>0</v>
      </c>
      <c r="S38" s="52">
        <v>0</v>
      </c>
      <c r="T38" s="52">
        <v>2745</v>
      </c>
      <c r="U38" s="52">
        <v>0</v>
      </c>
      <c r="V38" s="52">
        <v>0</v>
      </c>
      <c r="W38" s="52">
        <v>0</v>
      </c>
      <c r="X38" s="52">
        <v>2745</v>
      </c>
      <c r="Y38" s="52">
        <v>0</v>
      </c>
      <c r="Z38" s="52">
        <v>0</v>
      </c>
      <c r="AA38" s="52">
        <v>0</v>
      </c>
      <c r="AB38" s="52">
        <v>2745</v>
      </c>
      <c r="AC38" s="52">
        <v>0</v>
      </c>
      <c r="AD38" s="52">
        <v>0</v>
      </c>
      <c r="AE38" s="52">
        <v>0</v>
      </c>
      <c r="AF38" s="52">
        <v>0</v>
      </c>
      <c r="AG38" s="52">
        <v>2745</v>
      </c>
      <c r="AH38" s="52">
        <v>0</v>
      </c>
      <c r="AI38" s="52">
        <v>0</v>
      </c>
      <c r="AJ38" s="52">
        <v>0</v>
      </c>
      <c r="AK38" s="52">
        <v>2745</v>
      </c>
      <c r="AL38" s="52">
        <v>0</v>
      </c>
      <c r="AM38" s="52">
        <v>0</v>
      </c>
      <c r="AN38" s="52">
        <v>0</v>
      </c>
      <c r="AO38" s="52">
        <v>2745</v>
      </c>
      <c r="AP38" s="52">
        <v>0</v>
      </c>
      <c r="AQ38" s="52">
        <v>0</v>
      </c>
      <c r="AR38" s="52">
        <v>0</v>
      </c>
      <c r="AS38" s="52">
        <v>0</v>
      </c>
      <c r="AT38" s="52">
        <v>2745</v>
      </c>
      <c r="AU38" s="52">
        <v>0</v>
      </c>
      <c r="AV38" s="52">
        <v>0</v>
      </c>
      <c r="AW38" s="52">
        <v>0</v>
      </c>
      <c r="AX38" s="52">
        <v>2745</v>
      </c>
      <c r="AY38" s="52">
        <v>0</v>
      </c>
      <c r="AZ38" s="52">
        <v>0</v>
      </c>
      <c r="BA38" s="52">
        <v>0</v>
      </c>
      <c r="BB38" s="52">
        <v>2745</v>
      </c>
      <c r="BC38" s="53">
        <f ca="1">SUM(OFFSET($B38,0,1,1,Assumptions!$C$8))</f>
        <v>8235</v>
      </c>
      <c r="BD38" s="53">
        <f ca="1">SUM(OFFSET($B38,0,1+Assumptions!$C$8,1,SUM(Assumptions!$C$9)))</f>
        <v>8235</v>
      </c>
      <c r="BE38" s="53">
        <f ca="1">SUM(OFFSET($B38,0,1+SUM(Assumptions!$C$8:$C$9),1,SUM(Assumptions!$C$10)))</f>
        <v>8235</v>
      </c>
      <c r="BF38" s="53">
        <f ca="1">SUM(OFFSET($B38,0,1+SUM(Assumptions!$C$8:$C$10),1,SUM(Assumptions!$C$11)))</f>
        <v>8235</v>
      </c>
      <c r="BG38" s="53">
        <f t="shared" ca="1" si="13"/>
        <v>32940</v>
      </c>
    </row>
    <row r="39" spans="1:59" s="17" customFormat="1" ht="16.149999999999999" customHeight="1" x14ac:dyDescent="0.3">
      <c r="A39" s="302"/>
      <c r="B39" s="56" t="s">
        <v>24</v>
      </c>
      <c r="C39" s="52">
        <v>0</v>
      </c>
      <c r="D39" s="52">
        <v>0</v>
      </c>
      <c r="E39" s="52">
        <v>5540</v>
      </c>
      <c r="F39" s="52">
        <v>0</v>
      </c>
      <c r="G39" s="52">
        <v>0</v>
      </c>
      <c r="H39" s="52">
        <v>0</v>
      </c>
      <c r="I39" s="52">
        <v>0</v>
      </c>
      <c r="J39" s="52">
        <v>0</v>
      </c>
      <c r="K39" s="52">
        <v>0</v>
      </c>
      <c r="L39" s="52">
        <v>0</v>
      </c>
      <c r="M39" s="52">
        <v>0</v>
      </c>
      <c r="N39" s="52">
        <v>0</v>
      </c>
      <c r="O39" s="52">
        <v>0</v>
      </c>
      <c r="P39" s="52">
        <v>0</v>
      </c>
      <c r="Q39" s="52">
        <v>0</v>
      </c>
      <c r="R39" s="52">
        <v>0</v>
      </c>
      <c r="S39" s="52">
        <v>0</v>
      </c>
      <c r="T39" s="52">
        <v>0</v>
      </c>
      <c r="U39" s="52">
        <v>0</v>
      </c>
      <c r="V39" s="52">
        <v>0</v>
      </c>
      <c r="W39" s="52">
        <v>0</v>
      </c>
      <c r="X39" s="52">
        <v>0</v>
      </c>
      <c r="Y39" s="52">
        <v>0</v>
      </c>
      <c r="Z39" s="52">
        <v>0</v>
      </c>
      <c r="AA39" s="52">
        <v>6200</v>
      </c>
      <c r="AB39" s="52">
        <v>0</v>
      </c>
      <c r="AC39" s="52">
        <v>0</v>
      </c>
      <c r="AD39" s="52">
        <v>0</v>
      </c>
      <c r="AE39" s="52">
        <v>0</v>
      </c>
      <c r="AF39" s="52">
        <v>0</v>
      </c>
      <c r="AG39" s="52">
        <v>0</v>
      </c>
      <c r="AH39" s="52">
        <v>0</v>
      </c>
      <c r="AI39" s="52">
        <v>0</v>
      </c>
      <c r="AJ39" s="52">
        <v>0</v>
      </c>
      <c r="AK39" s="52">
        <v>0</v>
      </c>
      <c r="AL39" s="52">
        <v>0</v>
      </c>
      <c r="AM39" s="52">
        <v>0</v>
      </c>
      <c r="AN39" s="52">
        <v>2100</v>
      </c>
      <c r="AO39" s="52">
        <v>0</v>
      </c>
      <c r="AP39" s="52">
        <v>0</v>
      </c>
      <c r="AQ39" s="52">
        <v>0</v>
      </c>
      <c r="AR39" s="52">
        <v>0</v>
      </c>
      <c r="AS39" s="52">
        <v>0</v>
      </c>
      <c r="AT39" s="52">
        <v>0</v>
      </c>
      <c r="AU39" s="52">
        <v>0</v>
      </c>
      <c r="AV39" s="52">
        <v>0</v>
      </c>
      <c r="AW39" s="52">
        <v>0</v>
      </c>
      <c r="AX39" s="52">
        <v>0</v>
      </c>
      <c r="AY39" s="52">
        <v>0</v>
      </c>
      <c r="AZ39" s="52">
        <v>3350</v>
      </c>
      <c r="BA39" s="52">
        <v>0</v>
      </c>
      <c r="BB39" s="52">
        <v>0</v>
      </c>
      <c r="BC39" s="53">
        <f ca="1">SUM(OFFSET($B39,0,1,1,Assumptions!$C$8))</f>
        <v>5540</v>
      </c>
      <c r="BD39" s="53">
        <f ca="1">SUM(OFFSET($B39,0,1+Assumptions!$C$8,1,SUM(Assumptions!$C$9)))</f>
        <v>6200</v>
      </c>
      <c r="BE39" s="53">
        <f ca="1">SUM(OFFSET($B39,0,1+SUM(Assumptions!$C$8:$C$9),1,SUM(Assumptions!$C$10)))</f>
        <v>2100</v>
      </c>
      <c r="BF39" s="53">
        <f ca="1">SUM(OFFSET($B39,0,1+SUM(Assumptions!$C$8:$C$10),1,SUM(Assumptions!$C$11)))</f>
        <v>3350</v>
      </c>
      <c r="BG39" s="53">
        <f t="shared" ca="1" si="13"/>
        <v>17190</v>
      </c>
    </row>
    <row r="40" spans="1:59" s="17" customFormat="1" ht="16.149999999999999" customHeight="1" x14ac:dyDescent="0.3">
      <c r="A40" s="302"/>
      <c r="B40" s="56" t="s">
        <v>6</v>
      </c>
      <c r="C40" s="52">
        <v>0</v>
      </c>
      <c r="D40" s="52">
        <v>0</v>
      </c>
      <c r="E40" s="52">
        <v>0</v>
      </c>
      <c r="F40" s="52">
        <v>0</v>
      </c>
      <c r="G40" s="52">
        <v>0</v>
      </c>
      <c r="H40" s="52">
        <v>0</v>
      </c>
      <c r="I40" s="52">
        <v>0</v>
      </c>
      <c r="J40" s="52">
        <v>0</v>
      </c>
      <c r="K40" s="52">
        <v>0</v>
      </c>
      <c r="L40" s="52">
        <v>0</v>
      </c>
      <c r="M40" s="52">
        <v>0</v>
      </c>
      <c r="N40" s="52">
        <v>0</v>
      </c>
      <c r="O40" s="52">
        <v>0</v>
      </c>
      <c r="P40" s="52">
        <v>0</v>
      </c>
      <c r="Q40" s="52">
        <v>3500</v>
      </c>
      <c r="R40" s="52">
        <v>0</v>
      </c>
      <c r="S40" s="52">
        <v>0</v>
      </c>
      <c r="T40" s="52">
        <v>0</v>
      </c>
      <c r="U40" s="52">
        <v>0</v>
      </c>
      <c r="V40" s="52">
        <v>0</v>
      </c>
      <c r="W40" s="52">
        <v>0</v>
      </c>
      <c r="X40" s="52">
        <v>0</v>
      </c>
      <c r="Y40" s="52">
        <v>0</v>
      </c>
      <c r="Z40" s="52">
        <v>0</v>
      </c>
      <c r="AA40" s="52">
        <v>0</v>
      </c>
      <c r="AB40" s="52">
        <v>0</v>
      </c>
      <c r="AC40" s="52">
        <v>0</v>
      </c>
      <c r="AD40" s="52">
        <v>0</v>
      </c>
      <c r="AE40" s="52">
        <v>0</v>
      </c>
      <c r="AF40" s="52">
        <v>0</v>
      </c>
      <c r="AG40" s="52">
        <v>0</v>
      </c>
      <c r="AH40" s="52">
        <v>0</v>
      </c>
      <c r="AI40" s="52">
        <v>0</v>
      </c>
      <c r="AJ40" s="52">
        <v>0</v>
      </c>
      <c r="AK40" s="52">
        <v>0</v>
      </c>
      <c r="AL40" s="52">
        <v>810</v>
      </c>
      <c r="AM40" s="52">
        <v>0</v>
      </c>
      <c r="AN40" s="52">
        <v>0</v>
      </c>
      <c r="AO40" s="52">
        <v>0</v>
      </c>
      <c r="AP40" s="52">
        <v>0</v>
      </c>
      <c r="AQ40" s="52">
        <v>0</v>
      </c>
      <c r="AR40" s="52">
        <v>0</v>
      </c>
      <c r="AS40" s="52">
        <v>0</v>
      </c>
      <c r="AT40" s="52">
        <v>0</v>
      </c>
      <c r="AU40" s="52">
        <v>0</v>
      </c>
      <c r="AV40" s="52">
        <v>0</v>
      </c>
      <c r="AW40" s="52">
        <v>0</v>
      </c>
      <c r="AX40" s="52">
        <v>0</v>
      </c>
      <c r="AY40" s="52">
        <v>0</v>
      </c>
      <c r="AZ40" s="52">
        <v>0</v>
      </c>
      <c r="BA40" s="52">
        <v>0</v>
      </c>
      <c r="BB40" s="52">
        <v>0</v>
      </c>
      <c r="BC40" s="53">
        <f ca="1">SUM(OFFSET($B40,0,1,1,Assumptions!$C$8))</f>
        <v>0</v>
      </c>
      <c r="BD40" s="53">
        <f ca="1">SUM(OFFSET($B40,0,1+Assumptions!$C$8,1,SUM(Assumptions!$C$9)))</f>
        <v>3500</v>
      </c>
      <c r="BE40" s="53">
        <f ca="1">SUM(OFFSET($B40,0,1+SUM(Assumptions!$C$8:$C$9),1,SUM(Assumptions!$C$10)))</f>
        <v>810</v>
      </c>
      <c r="BF40" s="53">
        <f ca="1">SUM(OFFSET($B40,0,1+SUM(Assumptions!$C$8:$C$10),1,SUM(Assumptions!$C$11)))</f>
        <v>0</v>
      </c>
      <c r="BG40" s="53">
        <f t="shared" ca="1" si="13"/>
        <v>4310</v>
      </c>
    </row>
    <row r="41" spans="1:59" s="10" customFormat="1" ht="16.149999999999999" customHeight="1" thickBot="1" x14ac:dyDescent="0.35">
      <c r="A41" s="291"/>
      <c r="B41" s="3" t="s">
        <v>206</v>
      </c>
      <c r="C41" s="57">
        <f ca="1">SUM(OFFSET(C18,1,0,ROW($B$41)-ROW($B$18)-1,1))</f>
        <v>22900</v>
      </c>
      <c r="D41" s="57">
        <f t="shared" ref="D41:BG41" ca="1" si="14">SUM(OFFSET(D18,1,0,ROW($B$41)-ROW($B$18)-1,1))</f>
        <v>0</v>
      </c>
      <c r="E41" s="57">
        <f t="shared" ca="1" si="14"/>
        <v>5540</v>
      </c>
      <c r="F41" s="57">
        <f t="shared" ca="1" si="14"/>
        <v>0</v>
      </c>
      <c r="G41" s="57">
        <f t="shared" ca="1" si="14"/>
        <v>13589</v>
      </c>
      <c r="H41" s="57">
        <f t="shared" ca="1" si="14"/>
        <v>30000</v>
      </c>
      <c r="I41" s="57">
        <f t="shared" ca="1" si="14"/>
        <v>3280</v>
      </c>
      <c r="J41" s="57">
        <f t="shared" ca="1" si="14"/>
        <v>14420</v>
      </c>
      <c r="K41" s="57">
        <f t="shared" ca="1" si="14"/>
        <v>13599</v>
      </c>
      <c r="L41" s="57">
        <f t="shared" ca="1" si="14"/>
        <v>26300</v>
      </c>
      <c r="M41" s="57">
        <f t="shared" ca="1" si="14"/>
        <v>1680</v>
      </c>
      <c r="N41" s="57">
        <f t="shared" ca="1" si="14"/>
        <v>0</v>
      </c>
      <c r="O41" s="57">
        <f t="shared" ca="1" si="14"/>
        <v>30399</v>
      </c>
      <c r="P41" s="57">
        <f t="shared" ca="1" si="14"/>
        <v>22000</v>
      </c>
      <c r="Q41" s="57">
        <f t="shared" ca="1" si="14"/>
        <v>3500</v>
      </c>
      <c r="R41" s="57">
        <f t="shared" ca="1" si="14"/>
        <v>920</v>
      </c>
      <c r="S41" s="57">
        <f t="shared" ca="1" si="14"/>
        <v>13800</v>
      </c>
      <c r="T41" s="57">
        <f t="shared" ca="1" si="14"/>
        <v>9199</v>
      </c>
      <c r="U41" s="57">
        <f t="shared" ca="1" si="14"/>
        <v>29000</v>
      </c>
      <c r="V41" s="57">
        <f t="shared" ca="1" si="14"/>
        <v>1030</v>
      </c>
      <c r="W41" s="57">
        <f t="shared" ca="1" si="14"/>
        <v>13520</v>
      </c>
      <c r="X41" s="57">
        <f t="shared" ca="1" si="14"/>
        <v>13599</v>
      </c>
      <c r="Y41" s="57">
        <f t="shared" ca="1" si="14"/>
        <v>22000</v>
      </c>
      <c r="Z41" s="57">
        <f t="shared" ca="1" si="14"/>
        <v>16250</v>
      </c>
      <c r="AA41" s="57">
        <f t="shared" ca="1" si="14"/>
        <v>6200</v>
      </c>
      <c r="AB41" s="57">
        <f t="shared" ca="1" si="14"/>
        <v>22129</v>
      </c>
      <c r="AC41" s="57">
        <f t="shared" ca="1" si="14"/>
        <v>22200</v>
      </c>
      <c r="AD41" s="57">
        <f t="shared" ca="1" si="14"/>
        <v>1900</v>
      </c>
      <c r="AE41" s="57">
        <f t="shared" ca="1" si="14"/>
        <v>970</v>
      </c>
      <c r="AF41" s="57">
        <f t="shared" ca="1" si="14"/>
        <v>2000</v>
      </c>
      <c r="AG41" s="57">
        <f t="shared" ca="1" si="14"/>
        <v>10129</v>
      </c>
      <c r="AH41" s="57">
        <f t="shared" ca="1" si="14"/>
        <v>32900</v>
      </c>
      <c r="AI41" s="57">
        <f t="shared" ca="1" si="14"/>
        <v>1820</v>
      </c>
      <c r="AJ41" s="57">
        <f t="shared" ca="1" si="14"/>
        <v>7520</v>
      </c>
      <c r="AK41" s="57">
        <f t="shared" ca="1" si="14"/>
        <v>22909</v>
      </c>
      <c r="AL41" s="57">
        <f t="shared" ca="1" si="14"/>
        <v>24510</v>
      </c>
      <c r="AM41" s="57">
        <f t="shared" ca="1" si="14"/>
        <v>970</v>
      </c>
      <c r="AN41" s="57">
        <f t="shared" ca="1" si="14"/>
        <v>2100</v>
      </c>
      <c r="AO41" s="57">
        <f t="shared" ca="1" si="14"/>
        <v>32429</v>
      </c>
      <c r="AP41" s="57">
        <f t="shared" ca="1" si="14"/>
        <v>0</v>
      </c>
      <c r="AQ41" s="57">
        <f t="shared" ca="1" si="14"/>
        <v>23700</v>
      </c>
      <c r="AR41" s="57">
        <f t="shared" ca="1" si="14"/>
        <v>19510</v>
      </c>
      <c r="AS41" s="57">
        <f t="shared" ca="1" si="14"/>
        <v>3920</v>
      </c>
      <c r="AT41" s="57">
        <f t="shared" ca="1" si="14"/>
        <v>10179</v>
      </c>
      <c r="AU41" s="57">
        <f t="shared" ca="1" si="14"/>
        <v>23700</v>
      </c>
      <c r="AV41" s="57">
        <f t="shared" ca="1" si="14"/>
        <v>970</v>
      </c>
      <c r="AW41" s="57">
        <f t="shared" ca="1" si="14"/>
        <v>0</v>
      </c>
      <c r="AX41" s="57">
        <f t="shared" ca="1" si="14"/>
        <v>24729</v>
      </c>
      <c r="AY41" s="57">
        <f t="shared" ca="1" si="14"/>
        <v>23700</v>
      </c>
      <c r="AZ41" s="57">
        <f t="shared" ca="1" si="14"/>
        <v>4320</v>
      </c>
      <c r="BA41" s="57">
        <f t="shared" ca="1" si="14"/>
        <v>4853</v>
      </c>
      <c r="BB41" s="57">
        <f t="shared" ca="1" si="14"/>
        <v>26329</v>
      </c>
      <c r="BC41" s="57">
        <f t="shared" ca="1" si="14"/>
        <v>161707</v>
      </c>
      <c r="BD41" s="57">
        <f t="shared" ca="1" si="14"/>
        <v>173147</v>
      </c>
      <c r="BE41" s="57">
        <f t="shared" ca="1" si="14"/>
        <v>162357</v>
      </c>
      <c r="BF41" s="57">
        <f t="shared" ca="1" si="14"/>
        <v>165910</v>
      </c>
      <c r="BG41" s="57">
        <f t="shared" ca="1" si="14"/>
        <v>663121</v>
      </c>
    </row>
    <row r="42" spans="1:59" s="10" customFormat="1" ht="16.149999999999999" customHeight="1" x14ac:dyDescent="0.3">
      <c r="A42" s="291"/>
      <c r="B42" s="3" t="s">
        <v>122</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row>
    <row r="43" spans="1:59" ht="16.149999999999999" customHeight="1" x14ac:dyDescent="0.3">
      <c r="A43" s="302"/>
      <c r="B43" s="12" t="s">
        <v>207</v>
      </c>
      <c r="C43" s="52">
        <v>0</v>
      </c>
      <c r="D43" s="52">
        <v>0</v>
      </c>
      <c r="E43" s="52">
        <v>0</v>
      </c>
      <c r="F43" s="52">
        <v>70000</v>
      </c>
      <c r="G43" s="52">
        <v>0</v>
      </c>
      <c r="H43" s="52">
        <v>0</v>
      </c>
      <c r="I43" s="52">
        <v>0</v>
      </c>
      <c r="J43" s="52">
        <v>0</v>
      </c>
      <c r="K43" s="52">
        <v>70000</v>
      </c>
      <c r="L43" s="52">
        <v>0</v>
      </c>
      <c r="M43" s="52">
        <v>0</v>
      </c>
      <c r="N43" s="52">
        <v>0</v>
      </c>
      <c r="O43" s="52">
        <v>70000</v>
      </c>
      <c r="P43" s="52">
        <v>0</v>
      </c>
      <c r="Q43" s="52">
        <v>0</v>
      </c>
      <c r="R43" s="52">
        <v>0</v>
      </c>
      <c r="S43" s="52">
        <v>70000</v>
      </c>
      <c r="T43" s="52">
        <v>0</v>
      </c>
      <c r="U43" s="52">
        <v>0</v>
      </c>
      <c r="V43" s="52">
        <v>0</v>
      </c>
      <c r="W43" s="52">
        <v>0</v>
      </c>
      <c r="X43" s="52">
        <v>70000</v>
      </c>
      <c r="Y43" s="52">
        <v>0</v>
      </c>
      <c r="Z43" s="52">
        <v>0</v>
      </c>
      <c r="AA43" s="52">
        <v>0</v>
      </c>
      <c r="AB43" s="52">
        <v>70000</v>
      </c>
      <c r="AC43" s="52">
        <v>0</v>
      </c>
      <c r="AD43" s="52">
        <v>0</v>
      </c>
      <c r="AE43" s="52">
        <v>0</v>
      </c>
      <c r="AF43" s="52">
        <v>0</v>
      </c>
      <c r="AG43" s="52">
        <v>75000</v>
      </c>
      <c r="AH43" s="52">
        <v>0</v>
      </c>
      <c r="AI43" s="52">
        <v>0</v>
      </c>
      <c r="AJ43" s="52">
        <v>0</v>
      </c>
      <c r="AK43" s="52">
        <v>75000</v>
      </c>
      <c r="AL43" s="52">
        <v>0</v>
      </c>
      <c r="AM43" s="52">
        <v>0</v>
      </c>
      <c r="AN43" s="52">
        <v>0</v>
      </c>
      <c r="AO43" s="52">
        <v>75000</v>
      </c>
      <c r="AP43" s="52">
        <v>0</v>
      </c>
      <c r="AQ43" s="52">
        <v>0</v>
      </c>
      <c r="AR43" s="52">
        <v>0</v>
      </c>
      <c r="AS43" s="52">
        <v>75000</v>
      </c>
      <c r="AT43" s="52">
        <v>0</v>
      </c>
      <c r="AU43" s="52">
        <v>0</v>
      </c>
      <c r="AV43" s="52">
        <v>0</v>
      </c>
      <c r="AW43" s="52">
        <v>0</v>
      </c>
      <c r="AX43" s="52">
        <v>75000</v>
      </c>
      <c r="AY43" s="52">
        <v>0</v>
      </c>
      <c r="AZ43" s="52">
        <v>0</v>
      </c>
      <c r="BA43" s="52">
        <v>0</v>
      </c>
      <c r="BB43" s="52">
        <v>75000</v>
      </c>
      <c r="BC43" s="53">
        <f ca="1">SUM(OFFSET($B43,0,1,1,Assumptions!$C$8))</f>
        <v>210000</v>
      </c>
      <c r="BD43" s="53">
        <f ca="1">SUM(OFFSET($B43,0,1+Assumptions!$C$8,1,SUM(Assumptions!$C$9)))</f>
        <v>210000</v>
      </c>
      <c r="BE43" s="53">
        <f ca="1">SUM(OFFSET($B43,0,1+SUM(Assumptions!$C$8:$C$9),1,SUM(Assumptions!$C$10)))</f>
        <v>225000</v>
      </c>
      <c r="BF43" s="53">
        <f ca="1">SUM(OFFSET($B43,0,1+SUM(Assumptions!$C$8:$C$10),1,SUM(Assumptions!$C$11)))</f>
        <v>225000</v>
      </c>
      <c r="BG43" s="53">
        <f t="shared" ref="BG43:BG44" ca="1" si="15">SUM(BC43:BF43)</f>
        <v>870000</v>
      </c>
    </row>
    <row r="44" spans="1:59" ht="16.149999999999999" customHeight="1" x14ac:dyDescent="0.3">
      <c r="A44" s="302"/>
      <c r="B44" s="12" t="s">
        <v>208</v>
      </c>
      <c r="C44" s="52">
        <v>5800</v>
      </c>
      <c r="D44" s="52">
        <v>5800</v>
      </c>
      <c r="E44" s="52">
        <v>5800</v>
      </c>
      <c r="F44" s="52">
        <v>5800</v>
      </c>
      <c r="G44" s="52">
        <v>5800</v>
      </c>
      <c r="H44" s="52">
        <v>5800</v>
      </c>
      <c r="I44" s="52">
        <v>5800</v>
      </c>
      <c r="J44" s="52">
        <v>5800</v>
      </c>
      <c r="K44" s="52">
        <v>5800</v>
      </c>
      <c r="L44" s="52">
        <v>5800</v>
      </c>
      <c r="M44" s="52">
        <v>5800</v>
      </c>
      <c r="N44" s="52">
        <v>5800</v>
      </c>
      <c r="O44" s="52">
        <v>5800</v>
      </c>
      <c r="P44" s="52">
        <v>5800</v>
      </c>
      <c r="Q44" s="52">
        <v>5800</v>
      </c>
      <c r="R44" s="52">
        <v>5800</v>
      </c>
      <c r="S44" s="52">
        <v>5800</v>
      </c>
      <c r="T44" s="52">
        <v>5800</v>
      </c>
      <c r="U44" s="52">
        <v>5800</v>
      </c>
      <c r="V44" s="52">
        <v>5800</v>
      </c>
      <c r="W44" s="52">
        <v>5800</v>
      </c>
      <c r="X44" s="52">
        <v>5800</v>
      </c>
      <c r="Y44" s="52">
        <v>5800</v>
      </c>
      <c r="Z44" s="52">
        <v>5800</v>
      </c>
      <c r="AA44" s="52">
        <v>6500</v>
      </c>
      <c r="AB44" s="52">
        <v>6500</v>
      </c>
      <c r="AC44" s="52">
        <v>6500</v>
      </c>
      <c r="AD44" s="52">
        <v>6500</v>
      </c>
      <c r="AE44" s="52">
        <v>6500</v>
      </c>
      <c r="AF44" s="52">
        <v>6500</v>
      </c>
      <c r="AG44" s="52">
        <v>6500</v>
      </c>
      <c r="AH44" s="52">
        <v>6500</v>
      </c>
      <c r="AI44" s="52">
        <v>6500</v>
      </c>
      <c r="AJ44" s="52">
        <v>6500</v>
      </c>
      <c r="AK44" s="52">
        <v>6500</v>
      </c>
      <c r="AL44" s="52">
        <v>6500</v>
      </c>
      <c r="AM44" s="52">
        <v>6500</v>
      </c>
      <c r="AN44" s="52">
        <v>6500</v>
      </c>
      <c r="AO44" s="52">
        <v>6500</v>
      </c>
      <c r="AP44" s="52">
        <v>6500</v>
      </c>
      <c r="AQ44" s="52">
        <v>6500</v>
      </c>
      <c r="AR44" s="52">
        <v>6500</v>
      </c>
      <c r="AS44" s="52">
        <v>6500</v>
      </c>
      <c r="AT44" s="52">
        <v>6500</v>
      </c>
      <c r="AU44" s="52">
        <v>6500</v>
      </c>
      <c r="AV44" s="52">
        <v>6500</v>
      </c>
      <c r="AW44" s="52">
        <v>6500</v>
      </c>
      <c r="AX44" s="52">
        <v>6500</v>
      </c>
      <c r="AY44" s="52">
        <v>6500</v>
      </c>
      <c r="AZ44" s="52">
        <v>6500</v>
      </c>
      <c r="BA44" s="52">
        <v>6500</v>
      </c>
      <c r="BB44" s="52">
        <v>6500</v>
      </c>
      <c r="BC44" s="53">
        <f ca="1">SUM(OFFSET($B44,0,1,1,Assumptions!$C$8))</f>
        <v>75400</v>
      </c>
      <c r="BD44" s="53">
        <f ca="1">SUM(OFFSET($B44,0,1+Assumptions!$C$8,1,SUM(Assumptions!$C$9)))</f>
        <v>76800</v>
      </c>
      <c r="BE44" s="53">
        <f ca="1">SUM(OFFSET($B44,0,1+SUM(Assumptions!$C$8:$C$9),1,SUM(Assumptions!$C$10)))</f>
        <v>84500</v>
      </c>
      <c r="BF44" s="53">
        <f ca="1">SUM(OFFSET($B44,0,1+SUM(Assumptions!$C$8:$C$10),1,SUM(Assumptions!$C$11)))</f>
        <v>84500</v>
      </c>
      <c r="BG44" s="53">
        <f t="shared" ca="1" si="15"/>
        <v>321200</v>
      </c>
    </row>
    <row r="45" spans="1:59" s="10" customFormat="1" ht="16.149999999999999" customHeight="1" thickBot="1" x14ac:dyDescent="0.35">
      <c r="A45" s="291"/>
      <c r="B45" s="3" t="s">
        <v>209</v>
      </c>
      <c r="C45" s="57">
        <f ca="1">SUM(OFFSET(C42,1,0,ROW($B45)-ROW($B42)-1,1))</f>
        <v>5800</v>
      </c>
      <c r="D45" s="57">
        <f t="shared" ref="D45:BG45" ca="1" si="16">SUM(OFFSET(D42,1,0,ROW($B45)-ROW($B42)-1,1))</f>
        <v>5800</v>
      </c>
      <c r="E45" s="57">
        <f t="shared" ca="1" si="16"/>
        <v>5800</v>
      </c>
      <c r="F45" s="57">
        <f t="shared" ca="1" si="16"/>
        <v>75800</v>
      </c>
      <c r="G45" s="57">
        <f t="shared" ca="1" si="16"/>
        <v>5800</v>
      </c>
      <c r="H45" s="57">
        <f t="shared" ca="1" si="16"/>
        <v>5800</v>
      </c>
      <c r="I45" s="57">
        <f t="shared" ca="1" si="16"/>
        <v>5800</v>
      </c>
      <c r="J45" s="57">
        <f t="shared" ca="1" si="16"/>
        <v>5800</v>
      </c>
      <c r="K45" s="57">
        <f t="shared" ca="1" si="16"/>
        <v>75800</v>
      </c>
      <c r="L45" s="57">
        <f t="shared" ca="1" si="16"/>
        <v>5800</v>
      </c>
      <c r="M45" s="57">
        <f t="shared" ca="1" si="16"/>
        <v>5800</v>
      </c>
      <c r="N45" s="57">
        <f t="shared" ca="1" si="16"/>
        <v>5800</v>
      </c>
      <c r="O45" s="57">
        <f t="shared" ca="1" si="16"/>
        <v>75800</v>
      </c>
      <c r="P45" s="57">
        <f t="shared" ca="1" si="16"/>
        <v>5800</v>
      </c>
      <c r="Q45" s="57">
        <f t="shared" ca="1" si="16"/>
        <v>5800</v>
      </c>
      <c r="R45" s="57">
        <f t="shared" ca="1" si="16"/>
        <v>5800</v>
      </c>
      <c r="S45" s="57">
        <f t="shared" ca="1" si="16"/>
        <v>75800</v>
      </c>
      <c r="T45" s="57">
        <f t="shared" ca="1" si="16"/>
        <v>5800</v>
      </c>
      <c r="U45" s="57">
        <f t="shared" ca="1" si="16"/>
        <v>5800</v>
      </c>
      <c r="V45" s="57">
        <f t="shared" ca="1" si="16"/>
        <v>5800</v>
      </c>
      <c r="W45" s="57">
        <f t="shared" ca="1" si="16"/>
        <v>5800</v>
      </c>
      <c r="X45" s="57">
        <f t="shared" ca="1" si="16"/>
        <v>75800</v>
      </c>
      <c r="Y45" s="57">
        <f t="shared" ca="1" si="16"/>
        <v>5800</v>
      </c>
      <c r="Z45" s="57">
        <f t="shared" ca="1" si="16"/>
        <v>5800</v>
      </c>
      <c r="AA45" s="57">
        <f t="shared" ca="1" si="16"/>
        <v>6500</v>
      </c>
      <c r="AB45" s="57">
        <f t="shared" ca="1" si="16"/>
        <v>76500</v>
      </c>
      <c r="AC45" s="57">
        <f t="shared" ca="1" si="16"/>
        <v>6500</v>
      </c>
      <c r="AD45" s="57">
        <f t="shared" ca="1" si="16"/>
        <v>6500</v>
      </c>
      <c r="AE45" s="57">
        <f t="shared" ca="1" si="16"/>
        <v>6500</v>
      </c>
      <c r="AF45" s="57">
        <f t="shared" ca="1" si="16"/>
        <v>6500</v>
      </c>
      <c r="AG45" s="57">
        <f t="shared" ca="1" si="16"/>
        <v>81500</v>
      </c>
      <c r="AH45" s="57">
        <f t="shared" ca="1" si="16"/>
        <v>6500</v>
      </c>
      <c r="AI45" s="57">
        <f t="shared" ca="1" si="16"/>
        <v>6500</v>
      </c>
      <c r="AJ45" s="57">
        <f t="shared" ca="1" si="16"/>
        <v>6500</v>
      </c>
      <c r="AK45" s="57">
        <f t="shared" ca="1" si="16"/>
        <v>81500</v>
      </c>
      <c r="AL45" s="57">
        <f t="shared" ca="1" si="16"/>
        <v>6500</v>
      </c>
      <c r="AM45" s="57">
        <f t="shared" ca="1" si="16"/>
        <v>6500</v>
      </c>
      <c r="AN45" s="57">
        <f t="shared" ca="1" si="16"/>
        <v>6500</v>
      </c>
      <c r="AO45" s="57">
        <f t="shared" ca="1" si="16"/>
        <v>81500</v>
      </c>
      <c r="AP45" s="57">
        <f t="shared" ca="1" si="16"/>
        <v>6500</v>
      </c>
      <c r="AQ45" s="57">
        <f t="shared" ca="1" si="16"/>
        <v>6500</v>
      </c>
      <c r="AR45" s="57">
        <f t="shared" ca="1" si="16"/>
        <v>6500</v>
      </c>
      <c r="AS45" s="57">
        <f t="shared" ca="1" si="16"/>
        <v>81500</v>
      </c>
      <c r="AT45" s="57">
        <f t="shared" ca="1" si="16"/>
        <v>6500</v>
      </c>
      <c r="AU45" s="57">
        <f t="shared" ca="1" si="16"/>
        <v>6500</v>
      </c>
      <c r="AV45" s="57">
        <f t="shared" ca="1" si="16"/>
        <v>6500</v>
      </c>
      <c r="AW45" s="57">
        <f t="shared" ca="1" si="16"/>
        <v>6500</v>
      </c>
      <c r="AX45" s="57">
        <f t="shared" ca="1" si="16"/>
        <v>81500</v>
      </c>
      <c r="AY45" s="57">
        <f t="shared" ca="1" si="16"/>
        <v>6500</v>
      </c>
      <c r="AZ45" s="57">
        <f t="shared" ca="1" si="16"/>
        <v>6500</v>
      </c>
      <c r="BA45" s="57">
        <f t="shared" ca="1" si="16"/>
        <v>6500</v>
      </c>
      <c r="BB45" s="57">
        <f t="shared" ca="1" si="16"/>
        <v>81500</v>
      </c>
      <c r="BC45" s="57">
        <f t="shared" ca="1" si="16"/>
        <v>285400</v>
      </c>
      <c r="BD45" s="57">
        <f t="shared" ca="1" si="16"/>
        <v>286800</v>
      </c>
      <c r="BE45" s="57">
        <f t="shared" ca="1" si="16"/>
        <v>309500</v>
      </c>
      <c r="BF45" s="57">
        <f t="shared" ca="1" si="16"/>
        <v>309500</v>
      </c>
      <c r="BG45" s="57">
        <f t="shared" ca="1" si="16"/>
        <v>1191200</v>
      </c>
    </row>
    <row r="46" spans="1:59" s="10" customFormat="1" ht="16.149999999999999" customHeight="1" x14ac:dyDescent="0.3">
      <c r="A46" s="291"/>
      <c r="B46" s="3" t="s">
        <v>123</v>
      </c>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row>
    <row r="47" spans="1:59" ht="16.149999999999999" customHeight="1" x14ac:dyDescent="0.3">
      <c r="A47" s="302" t="s">
        <v>210</v>
      </c>
      <c r="B47" s="12" t="s">
        <v>57</v>
      </c>
      <c r="C47" s="52">
        <v>0</v>
      </c>
      <c r="D47" s="52">
        <v>0</v>
      </c>
      <c r="E47" s="52">
        <v>0</v>
      </c>
      <c r="F47" s="52">
        <v>0</v>
      </c>
      <c r="G47" s="52">
        <v>15000</v>
      </c>
      <c r="H47" s="52">
        <v>0</v>
      </c>
      <c r="I47" s="52">
        <v>0</v>
      </c>
      <c r="J47" s="52">
        <v>0</v>
      </c>
      <c r="K47" s="52">
        <v>15000</v>
      </c>
      <c r="L47" s="52">
        <v>0</v>
      </c>
      <c r="M47" s="52">
        <v>0</v>
      </c>
      <c r="N47" s="52">
        <v>0</v>
      </c>
      <c r="O47" s="52">
        <v>15000</v>
      </c>
      <c r="P47" s="52">
        <v>0</v>
      </c>
      <c r="Q47" s="52">
        <v>0</v>
      </c>
      <c r="R47" s="52">
        <v>0</v>
      </c>
      <c r="S47" s="52">
        <v>0</v>
      </c>
      <c r="T47" s="52">
        <v>15000</v>
      </c>
      <c r="U47" s="52">
        <v>0</v>
      </c>
      <c r="V47" s="52">
        <v>0</v>
      </c>
      <c r="W47" s="52">
        <v>0</v>
      </c>
      <c r="X47" s="52">
        <v>15000</v>
      </c>
      <c r="Y47" s="52">
        <v>0</v>
      </c>
      <c r="Z47" s="52">
        <v>0</v>
      </c>
      <c r="AA47" s="52">
        <v>0</v>
      </c>
      <c r="AB47" s="52">
        <v>15000</v>
      </c>
      <c r="AC47" s="52">
        <v>0</v>
      </c>
      <c r="AD47" s="52">
        <v>0</v>
      </c>
      <c r="AE47" s="52">
        <v>0</v>
      </c>
      <c r="AF47" s="52">
        <v>0</v>
      </c>
      <c r="AG47" s="52">
        <v>15000</v>
      </c>
      <c r="AH47" s="52">
        <v>0</v>
      </c>
      <c r="AI47" s="52">
        <v>0</v>
      </c>
      <c r="AJ47" s="52">
        <v>0</v>
      </c>
      <c r="AK47" s="52">
        <v>15000</v>
      </c>
      <c r="AL47" s="52">
        <v>0</v>
      </c>
      <c r="AM47" s="52">
        <v>0</v>
      </c>
      <c r="AN47" s="52">
        <v>0</v>
      </c>
      <c r="AO47" s="52">
        <v>15000</v>
      </c>
      <c r="AP47" s="52">
        <v>0</v>
      </c>
      <c r="AQ47" s="52">
        <v>0</v>
      </c>
      <c r="AR47" s="52">
        <v>0</v>
      </c>
      <c r="AS47" s="52">
        <v>0</v>
      </c>
      <c r="AT47" s="52">
        <v>15000</v>
      </c>
      <c r="AU47" s="52">
        <v>0</v>
      </c>
      <c r="AV47" s="52">
        <v>0</v>
      </c>
      <c r="AW47" s="52">
        <v>0</v>
      </c>
      <c r="AX47" s="52">
        <v>15000</v>
      </c>
      <c r="AY47" s="52">
        <v>0</v>
      </c>
      <c r="AZ47" s="52">
        <v>0</v>
      </c>
      <c r="BA47" s="52">
        <v>0</v>
      </c>
      <c r="BB47" s="52">
        <v>20000</v>
      </c>
      <c r="BC47" s="53">
        <f ca="1">SUM(OFFSET($B47,0,1,1,Assumptions!$C$8))</f>
        <v>45000</v>
      </c>
      <c r="BD47" s="53">
        <f ca="1">SUM(OFFSET($B47,0,1+Assumptions!$C$8,1,SUM(Assumptions!$C$9)))</f>
        <v>45000</v>
      </c>
      <c r="BE47" s="53">
        <f ca="1">SUM(OFFSET($B47,0,1+SUM(Assumptions!$C$8:$C$9),1,SUM(Assumptions!$C$10)))</f>
        <v>45000</v>
      </c>
      <c r="BF47" s="53">
        <f ca="1">SUM(OFFSET($B47,0,1+SUM(Assumptions!$C$8:$C$10),1,SUM(Assumptions!$C$11)))</f>
        <v>50000</v>
      </c>
      <c r="BG47" s="53">
        <f ca="1">SUM(BC47:BF47)</f>
        <v>185000</v>
      </c>
    </row>
    <row r="48" spans="1:59" ht="16.149999999999999" customHeight="1" x14ac:dyDescent="0.3">
      <c r="A48" s="302" t="s">
        <v>211</v>
      </c>
      <c r="B48" s="12" t="s">
        <v>212</v>
      </c>
      <c r="C48" s="52">
        <v>0</v>
      </c>
      <c r="D48" s="52">
        <v>0</v>
      </c>
      <c r="E48" s="52">
        <v>0</v>
      </c>
      <c r="F48" s="52">
        <v>0</v>
      </c>
      <c r="G48" s="52">
        <v>1000</v>
      </c>
      <c r="H48" s="52">
        <v>0</v>
      </c>
      <c r="I48" s="52">
        <v>0</v>
      </c>
      <c r="J48" s="52">
        <v>0</v>
      </c>
      <c r="K48" s="52">
        <v>1000</v>
      </c>
      <c r="L48" s="52">
        <v>0</v>
      </c>
      <c r="M48" s="52">
        <v>0</v>
      </c>
      <c r="N48" s="52">
        <v>0</v>
      </c>
      <c r="O48" s="52">
        <v>1000</v>
      </c>
      <c r="P48" s="52">
        <v>0</v>
      </c>
      <c r="Q48" s="52">
        <v>0</v>
      </c>
      <c r="R48" s="52">
        <v>0</v>
      </c>
      <c r="S48" s="52">
        <v>0</v>
      </c>
      <c r="T48" s="52">
        <v>1000</v>
      </c>
      <c r="U48" s="52">
        <v>0</v>
      </c>
      <c r="V48" s="52">
        <v>0</v>
      </c>
      <c r="W48" s="52">
        <v>0</v>
      </c>
      <c r="X48" s="52">
        <v>1000</v>
      </c>
      <c r="Y48" s="52">
        <v>0</v>
      </c>
      <c r="Z48" s="52">
        <v>0</v>
      </c>
      <c r="AA48" s="52">
        <v>0</v>
      </c>
      <c r="AB48" s="52">
        <v>1000</v>
      </c>
      <c r="AC48" s="52">
        <v>0</v>
      </c>
      <c r="AD48" s="52">
        <v>0</v>
      </c>
      <c r="AE48" s="52">
        <v>0</v>
      </c>
      <c r="AF48" s="52">
        <v>0</v>
      </c>
      <c r="AG48" s="52">
        <v>1000</v>
      </c>
      <c r="AH48" s="52">
        <v>0</v>
      </c>
      <c r="AI48" s="52">
        <v>0</v>
      </c>
      <c r="AJ48" s="52">
        <v>0</v>
      </c>
      <c r="AK48" s="52">
        <v>1000</v>
      </c>
      <c r="AL48" s="52">
        <v>0</v>
      </c>
      <c r="AM48" s="52">
        <v>0</v>
      </c>
      <c r="AN48" s="52">
        <v>0</v>
      </c>
      <c r="AO48" s="52">
        <v>1000</v>
      </c>
      <c r="AP48" s="52">
        <v>0</v>
      </c>
      <c r="AQ48" s="52">
        <v>0</v>
      </c>
      <c r="AR48" s="52">
        <v>0</v>
      </c>
      <c r="AS48" s="52">
        <v>0</v>
      </c>
      <c r="AT48" s="52">
        <v>1000</v>
      </c>
      <c r="AU48" s="52">
        <v>0</v>
      </c>
      <c r="AV48" s="52">
        <v>0</v>
      </c>
      <c r="AW48" s="52">
        <v>0</v>
      </c>
      <c r="AX48" s="52">
        <v>1000</v>
      </c>
      <c r="AY48" s="52">
        <v>0</v>
      </c>
      <c r="AZ48" s="52">
        <v>0</v>
      </c>
      <c r="BA48" s="52">
        <v>0</v>
      </c>
      <c r="BB48" s="52">
        <v>1000</v>
      </c>
      <c r="BC48" s="53">
        <f ca="1">SUM(OFFSET($B48,0,1,1,Assumptions!$C$8))</f>
        <v>3000</v>
      </c>
      <c r="BD48" s="53">
        <f ca="1">SUM(OFFSET($B48,0,1+Assumptions!$C$8,1,SUM(Assumptions!$C$9)))</f>
        <v>3000</v>
      </c>
      <c r="BE48" s="53">
        <f ca="1">SUM(OFFSET($B48,0,1+SUM(Assumptions!$C$8:$C$9),1,SUM(Assumptions!$C$10)))</f>
        <v>3000</v>
      </c>
      <c r="BF48" s="53">
        <f ca="1">SUM(OFFSET($B48,0,1+SUM(Assumptions!$C$8:$C$10),1,SUM(Assumptions!$C$11)))</f>
        <v>3000</v>
      </c>
      <c r="BG48" s="53">
        <f ca="1">SUM(BC48:BF48)</f>
        <v>12000</v>
      </c>
    </row>
    <row r="49" spans="1:59" s="10" customFormat="1" ht="16.149999999999999" customHeight="1" thickBot="1" x14ac:dyDescent="0.35">
      <c r="A49" s="304"/>
      <c r="B49" s="3" t="s">
        <v>213</v>
      </c>
      <c r="C49" s="57">
        <f>SUM(C47:C48)</f>
        <v>0</v>
      </c>
      <c r="D49" s="57">
        <f t="shared" ref="D49:BG49" si="17">SUM(D47:D48)</f>
        <v>0</v>
      </c>
      <c r="E49" s="57">
        <f t="shared" si="17"/>
        <v>0</v>
      </c>
      <c r="F49" s="57">
        <f t="shared" si="17"/>
        <v>0</v>
      </c>
      <c r="G49" s="57">
        <f t="shared" si="17"/>
        <v>16000</v>
      </c>
      <c r="H49" s="57">
        <f t="shared" si="17"/>
        <v>0</v>
      </c>
      <c r="I49" s="57">
        <f t="shared" si="17"/>
        <v>0</v>
      </c>
      <c r="J49" s="57">
        <f t="shared" si="17"/>
        <v>0</v>
      </c>
      <c r="K49" s="57">
        <f t="shared" si="17"/>
        <v>16000</v>
      </c>
      <c r="L49" s="57">
        <f t="shared" si="17"/>
        <v>0</v>
      </c>
      <c r="M49" s="57">
        <f t="shared" si="17"/>
        <v>0</v>
      </c>
      <c r="N49" s="57">
        <f t="shared" si="17"/>
        <v>0</v>
      </c>
      <c r="O49" s="57">
        <f t="shared" si="17"/>
        <v>16000</v>
      </c>
      <c r="P49" s="57">
        <f t="shared" si="17"/>
        <v>0</v>
      </c>
      <c r="Q49" s="57">
        <f t="shared" si="17"/>
        <v>0</v>
      </c>
      <c r="R49" s="57">
        <f t="shared" si="17"/>
        <v>0</v>
      </c>
      <c r="S49" s="57">
        <f t="shared" si="17"/>
        <v>0</v>
      </c>
      <c r="T49" s="57">
        <f t="shared" si="17"/>
        <v>16000</v>
      </c>
      <c r="U49" s="57">
        <f t="shared" si="17"/>
        <v>0</v>
      </c>
      <c r="V49" s="57">
        <f t="shared" si="17"/>
        <v>0</v>
      </c>
      <c r="W49" s="57">
        <f t="shared" si="17"/>
        <v>0</v>
      </c>
      <c r="X49" s="57">
        <f t="shared" si="17"/>
        <v>16000</v>
      </c>
      <c r="Y49" s="57">
        <f t="shared" si="17"/>
        <v>0</v>
      </c>
      <c r="Z49" s="57">
        <f t="shared" si="17"/>
        <v>0</v>
      </c>
      <c r="AA49" s="57">
        <f t="shared" si="17"/>
        <v>0</v>
      </c>
      <c r="AB49" s="57">
        <f t="shared" si="17"/>
        <v>16000</v>
      </c>
      <c r="AC49" s="57">
        <f t="shared" si="17"/>
        <v>0</v>
      </c>
      <c r="AD49" s="57">
        <f t="shared" si="17"/>
        <v>0</v>
      </c>
      <c r="AE49" s="57">
        <f t="shared" si="17"/>
        <v>0</v>
      </c>
      <c r="AF49" s="57">
        <f t="shared" si="17"/>
        <v>0</v>
      </c>
      <c r="AG49" s="57">
        <f t="shared" si="17"/>
        <v>16000</v>
      </c>
      <c r="AH49" s="57">
        <f t="shared" si="17"/>
        <v>0</v>
      </c>
      <c r="AI49" s="57">
        <f t="shared" si="17"/>
        <v>0</v>
      </c>
      <c r="AJ49" s="57">
        <f t="shared" si="17"/>
        <v>0</v>
      </c>
      <c r="AK49" s="57">
        <f t="shared" si="17"/>
        <v>16000</v>
      </c>
      <c r="AL49" s="57">
        <f t="shared" si="17"/>
        <v>0</v>
      </c>
      <c r="AM49" s="57">
        <f t="shared" si="17"/>
        <v>0</v>
      </c>
      <c r="AN49" s="57">
        <f t="shared" si="17"/>
        <v>0</v>
      </c>
      <c r="AO49" s="57">
        <f t="shared" si="17"/>
        <v>16000</v>
      </c>
      <c r="AP49" s="57">
        <f t="shared" si="17"/>
        <v>0</v>
      </c>
      <c r="AQ49" s="57">
        <f t="shared" si="17"/>
        <v>0</v>
      </c>
      <c r="AR49" s="57">
        <f t="shared" si="17"/>
        <v>0</v>
      </c>
      <c r="AS49" s="57">
        <f t="shared" si="17"/>
        <v>0</v>
      </c>
      <c r="AT49" s="57">
        <f t="shared" si="17"/>
        <v>16000</v>
      </c>
      <c r="AU49" s="57">
        <f t="shared" si="17"/>
        <v>0</v>
      </c>
      <c r="AV49" s="57">
        <f t="shared" si="17"/>
        <v>0</v>
      </c>
      <c r="AW49" s="57">
        <f t="shared" si="17"/>
        <v>0</v>
      </c>
      <c r="AX49" s="57">
        <f t="shared" si="17"/>
        <v>16000</v>
      </c>
      <c r="AY49" s="57">
        <f t="shared" si="17"/>
        <v>0</v>
      </c>
      <c r="AZ49" s="57">
        <f t="shared" si="17"/>
        <v>0</v>
      </c>
      <c r="BA49" s="57">
        <f t="shared" si="17"/>
        <v>0</v>
      </c>
      <c r="BB49" s="57">
        <f t="shared" si="17"/>
        <v>21000</v>
      </c>
      <c r="BC49" s="57">
        <f t="shared" ca="1" si="17"/>
        <v>48000</v>
      </c>
      <c r="BD49" s="57">
        <f t="shared" ca="1" si="17"/>
        <v>48000</v>
      </c>
      <c r="BE49" s="57">
        <f t="shared" ca="1" si="17"/>
        <v>48000</v>
      </c>
      <c r="BF49" s="57">
        <f t="shared" ca="1" si="17"/>
        <v>53000</v>
      </c>
      <c r="BG49" s="57">
        <f t="shared" ca="1" si="17"/>
        <v>197000</v>
      </c>
    </row>
    <row r="50" spans="1:59" s="10" customFormat="1" ht="16.149999999999999" customHeight="1" x14ac:dyDescent="0.3">
      <c r="A50" s="291"/>
      <c r="B50" s="3" t="s">
        <v>214</v>
      </c>
      <c r="C50" s="53">
        <f ca="1">SUM(C13,C17,-C41,-C45,-C49)</f>
        <v>17950</v>
      </c>
      <c r="D50" s="53">
        <f t="shared" ref="D50:BG50" ca="1" si="18">SUM(D13,D17,-D41,-D45,-D49)</f>
        <v>35024.853333333333</v>
      </c>
      <c r="E50" s="53">
        <f t="shared" ca="1" si="18"/>
        <v>38634.666666666672</v>
      </c>
      <c r="F50" s="53">
        <f t="shared" ca="1" si="18"/>
        <v>-21285.066666666666</v>
      </c>
      <c r="G50" s="53">
        <f t="shared" ca="1" si="18"/>
        <v>16167.350000000006</v>
      </c>
      <c r="H50" s="53">
        <f t="shared" ca="1" si="18"/>
        <v>13629.358333333337</v>
      </c>
      <c r="I50" s="53">
        <f t="shared" ca="1" si="18"/>
        <v>36982.850000000006</v>
      </c>
      <c r="J50" s="53">
        <f t="shared" ca="1" si="18"/>
        <v>31157</v>
      </c>
      <c r="K50" s="53">
        <f t="shared" ca="1" si="18"/>
        <v>-57008.2</v>
      </c>
      <c r="L50" s="53">
        <f t="shared" ca="1" si="18"/>
        <v>16948</v>
      </c>
      <c r="M50" s="53">
        <f t="shared" ca="1" si="18"/>
        <v>46085.95</v>
      </c>
      <c r="N50" s="53">
        <f t="shared" ca="1" si="18"/>
        <v>48168.53333333334</v>
      </c>
      <c r="O50" s="53">
        <f t="shared" ca="1" si="18"/>
        <v>-68344.833333333328</v>
      </c>
      <c r="P50" s="53">
        <f t="shared" ca="1" si="18"/>
        <v>32422.666666666672</v>
      </c>
      <c r="Q50" s="53">
        <f t="shared" ca="1" si="18"/>
        <v>48264.000000000007</v>
      </c>
      <c r="R50" s="53">
        <f t="shared" ca="1" si="18"/>
        <v>43404.233333333337</v>
      </c>
      <c r="S50" s="53">
        <f t="shared" ca="1" si="18"/>
        <v>-33120.064999999995</v>
      </c>
      <c r="T50" s="53">
        <f t="shared" ca="1" si="18"/>
        <v>24646.400000000001</v>
      </c>
      <c r="U50" s="53">
        <f t="shared" ca="1" si="18"/>
        <v>24080.628333333341</v>
      </c>
      <c r="V50" s="53">
        <f t="shared" ca="1" si="18"/>
        <v>49592.25</v>
      </c>
      <c r="W50" s="53">
        <f t="shared" ca="1" si="18"/>
        <v>34723.9</v>
      </c>
      <c r="X50" s="53">
        <f t="shared" ca="1" si="18"/>
        <v>-44498.759999999995</v>
      </c>
      <c r="Y50" s="53">
        <f t="shared" ca="1" si="18"/>
        <v>26053.661333333337</v>
      </c>
      <c r="Z50" s="53">
        <f t="shared" ca="1" si="18"/>
        <v>40959.836000000003</v>
      </c>
      <c r="AA50" s="53">
        <f t="shared" ca="1" si="18"/>
        <v>43073.7</v>
      </c>
      <c r="AB50" s="53">
        <f t="shared" ca="1" si="18"/>
        <v>-56575.399999999994</v>
      </c>
      <c r="AC50" s="53">
        <f t="shared" ca="1" si="18"/>
        <v>26346.720000000001</v>
      </c>
      <c r="AD50" s="53">
        <f t="shared" ca="1" si="18"/>
        <v>51302.400000000001</v>
      </c>
      <c r="AE50" s="53">
        <f t="shared" ca="1" si="18"/>
        <v>54342.100000000006</v>
      </c>
      <c r="AF50" s="53">
        <f t="shared" ca="1" si="18"/>
        <v>57294.865000000005</v>
      </c>
      <c r="AG50" s="53">
        <f t="shared" ca="1" si="18"/>
        <v>-40255.42</v>
      </c>
      <c r="AH50" s="53">
        <f t="shared" ca="1" si="18"/>
        <v>27530.053333333344</v>
      </c>
      <c r="AI50" s="53">
        <f t="shared" ca="1" si="18"/>
        <v>52119.41</v>
      </c>
      <c r="AJ50" s="53">
        <f t="shared" ca="1" si="18"/>
        <v>54103.040000000008</v>
      </c>
      <c r="AK50" s="53">
        <f t="shared" ca="1" si="18"/>
        <v>-54340.44</v>
      </c>
      <c r="AL50" s="53">
        <f t="shared" ca="1" si="18"/>
        <v>34472.400000000009</v>
      </c>
      <c r="AM50" s="53">
        <f t="shared" ca="1" si="18"/>
        <v>57936.98</v>
      </c>
      <c r="AN50" s="53">
        <f t="shared" ca="1" si="18"/>
        <v>53906.788</v>
      </c>
      <c r="AO50" s="53">
        <f t="shared" ca="1" si="18"/>
        <v>-64454.464</v>
      </c>
      <c r="AP50" s="53">
        <f t="shared" ca="1" si="18"/>
        <v>51378.104000000007</v>
      </c>
      <c r="AQ50" s="53">
        <f t="shared" ca="1" si="18"/>
        <v>23374.22</v>
      </c>
      <c r="AR50" s="53">
        <f t="shared" ca="1" si="18"/>
        <v>25355.520000000004</v>
      </c>
      <c r="AS50" s="53">
        <f t="shared" ca="1" si="18"/>
        <v>-46068.72</v>
      </c>
      <c r="AT50" s="53">
        <f t="shared" ca="1" si="18"/>
        <v>1840.5486666666693</v>
      </c>
      <c r="AU50" s="53">
        <f t="shared" ca="1" si="18"/>
        <v>3148.4080000000031</v>
      </c>
      <c r="AV50" s="53">
        <f t="shared" ca="1" si="18"/>
        <v>48239.950000000004</v>
      </c>
      <c r="AW50" s="53">
        <f t="shared" ca="1" si="18"/>
        <v>65561.744000000006</v>
      </c>
      <c r="AX50" s="53">
        <f t="shared" ca="1" si="18"/>
        <v>-47762.113333333313</v>
      </c>
      <c r="AY50" s="53">
        <f t="shared" ca="1" si="18"/>
        <v>40120.866666666669</v>
      </c>
      <c r="AZ50" s="53">
        <f t="shared" ca="1" si="18"/>
        <v>55630.866666666669</v>
      </c>
      <c r="BA50" s="53">
        <f t="shared" ca="1" si="18"/>
        <v>53487.8</v>
      </c>
      <c r="BB50" s="53">
        <f t="shared" ca="1" si="18"/>
        <v>-61174.599999999991</v>
      </c>
      <c r="BC50" s="53">
        <f t="shared" ca="1" si="18"/>
        <v>154110.46166666667</v>
      </c>
      <c r="BD50" s="53">
        <f t="shared" ca="1" si="18"/>
        <v>233027.05066666659</v>
      </c>
      <c r="BE50" s="53">
        <f t="shared" ca="1" si="18"/>
        <v>310304.43233333342</v>
      </c>
      <c r="BF50" s="53">
        <f t="shared" ca="1" si="18"/>
        <v>213132.59466666682</v>
      </c>
      <c r="BG50" s="53">
        <f t="shared" ca="1" si="18"/>
        <v>910574.53933333326</v>
      </c>
    </row>
    <row r="51" spans="1:59" s="10" customFormat="1" ht="16.149999999999999" customHeight="1" x14ac:dyDescent="0.25">
      <c r="A51" s="294"/>
      <c r="B51" s="3" t="s">
        <v>215</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row>
    <row r="52" spans="1:59" s="17" customFormat="1" ht="16.149999999999999" customHeight="1" x14ac:dyDescent="0.3">
      <c r="A52" s="302"/>
      <c r="B52" s="56" t="s">
        <v>217</v>
      </c>
      <c r="C52" s="52">
        <v>0</v>
      </c>
      <c r="D52" s="52">
        <v>11000</v>
      </c>
      <c r="E52" s="52">
        <v>0</v>
      </c>
      <c r="F52" s="52">
        <v>0</v>
      </c>
      <c r="G52" s="52">
        <v>0</v>
      </c>
      <c r="H52" s="52">
        <v>10949.308320912218</v>
      </c>
      <c r="I52" s="52">
        <v>0</v>
      </c>
      <c r="J52" s="52">
        <v>0</v>
      </c>
      <c r="K52" s="52">
        <v>0</v>
      </c>
      <c r="L52" s="52">
        <v>10898.151968099464</v>
      </c>
      <c r="M52" s="52">
        <v>0</v>
      </c>
      <c r="N52" s="52">
        <v>0</v>
      </c>
      <c r="O52" s="52">
        <v>0</v>
      </c>
      <c r="P52" s="52">
        <v>0</v>
      </c>
      <c r="Q52" s="52">
        <v>10846.526682052596</v>
      </c>
      <c r="R52" s="52">
        <v>0</v>
      </c>
      <c r="S52" s="52">
        <v>0</v>
      </c>
      <c r="T52" s="52">
        <v>0</v>
      </c>
      <c r="U52" s="52">
        <v>10794.428164216964</v>
      </c>
      <c r="V52" s="52">
        <v>0</v>
      </c>
      <c r="W52" s="52">
        <v>0</v>
      </c>
      <c r="X52" s="52">
        <v>0</v>
      </c>
      <c r="Y52" s="52">
        <v>10741.852076634505</v>
      </c>
      <c r="Z52" s="52">
        <v>0</v>
      </c>
      <c r="AA52" s="52">
        <v>0</v>
      </c>
      <c r="AB52" s="52">
        <v>0</v>
      </c>
      <c r="AC52" s="52">
        <v>0</v>
      </c>
      <c r="AD52" s="52">
        <v>10688.79404158254</v>
      </c>
      <c r="AE52" s="52">
        <v>0</v>
      </c>
      <c r="AF52" s="52">
        <v>0</v>
      </c>
      <c r="AG52" s="52">
        <v>0</v>
      </c>
      <c r="AH52" s="52">
        <v>10635.249641209264</v>
      </c>
      <c r="AI52" s="52">
        <v>0</v>
      </c>
      <c r="AJ52" s="52">
        <v>0</v>
      </c>
      <c r="AK52" s="52">
        <v>0</v>
      </c>
      <c r="AL52" s="52">
        <v>0</v>
      </c>
      <c r="AM52" s="52">
        <v>10581.2144171659</v>
      </c>
      <c r="AN52" s="52">
        <v>0</v>
      </c>
      <c r="AO52" s="52">
        <v>0</v>
      </c>
      <c r="AP52" s="52">
        <v>0</v>
      </c>
      <c r="AQ52" s="52">
        <v>10526.683870235474</v>
      </c>
      <c r="AR52" s="52">
        <v>0</v>
      </c>
      <c r="AS52" s="52">
        <v>0</v>
      </c>
      <c r="AT52" s="52">
        <v>0</v>
      </c>
      <c r="AU52" s="52">
        <v>10471.653459958185</v>
      </c>
      <c r="AV52" s="52">
        <v>0</v>
      </c>
      <c r="AW52" s="52">
        <v>0</v>
      </c>
      <c r="AX52" s="52">
        <v>0</v>
      </c>
      <c r="AY52" s="52">
        <v>0</v>
      </c>
      <c r="AZ52" s="52">
        <v>10416.118604253354</v>
      </c>
      <c r="BA52" s="52">
        <v>0</v>
      </c>
      <c r="BB52" s="52">
        <v>0</v>
      </c>
      <c r="BC52" s="53">
        <f ca="1">SUM(OFFSET($B52,0,1,1,Assumptions!$C$8))</f>
        <v>32847.46028901168</v>
      </c>
      <c r="BD52" s="53">
        <f ca="1">SUM(OFFSET($B52,0,1+Assumptions!$C$8,1,SUM(Assumptions!$C$9)))</f>
        <v>32382.806922904063</v>
      </c>
      <c r="BE52" s="53">
        <f ca="1">SUM(OFFSET($B52,0,1+SUM(Assumptions!$C$8:$C$9),1,SUM(Assumptions!$C$10)))</f>
        <v>31905.258099957704</v>
      </c>
      <c r="BF52" s="53">
        <f ca="1">SUM(OFFSET($B52,0,1+SUM(Assumptions!$C$8:$C$10),1,SUM(Assumptions!$C$11)))</f>
        <v>31414.455934447011</v>
      </c>
      <c r="BG52" s="53">
        <f ca="1">SUM(BC52:BF52)</f>
        <v>128549.98124632044</v>
      </c>
    </row>
    <row r="53" spans="1:59" s="17" customFormat="1" ht="16.149999999999999" customHeight="1" x14ac:dyDescent="0.3">
      <c r="A53" s="302"/>
      <c r="B53" s="56" t="s">
        <v>218</v>
      </c>
      <c r="C53" s="52">
        <v>4166.666666666667</v>
      </c>
      <c r="D53" s="52">
        <v>0</v>
      </c>
      <c r="E53" s="52">
        <v>0</v>
      </c>
      <c r="F53" s="52">
        <v>0</v>
      </c>
      <c r="G53" s="52">
        <v>4138.1632051480383</v>
      </c>
      <c r="H53" s="52">
        <v>0</v>
      </c>
      <c r="I53" s="52">
        <v>0</v>
      </c>
      <c r="J53" s="52">
        <v>0</v>
      </c>
      <c r="K53" s="52">
        <v>0</v>
      </c>
      <c r="L53" s="52">
        <v>4109.4222147834198</v>
      </c>
      <c r="M53" s="52">
        <v>0</v>
      </c>
      <c r="N53" s="52">
        <v>0</v>
      </c>
      <c r="O53" s="52">
        <v>0</v>
      </c>
      <c r="P53" s="52">
        <v>4080.4417161657643</v>
      </c>
      <c r="Q53" s="52">
        <v>0</v>
      </c>
      <c r="R53" s="52">
        <v>0</v>
      </c>
      <c r="S53" s="52">
        <v>0</v>
      </c>
      <c r="T53" s="52">
        <v>4051.2197133929608</v>
      </c>
      <c r="U53" s="52">
        <v>0</v>
      </c>
      <c r="V53" s="52">
        <v>0</v>
      </c>
      <c r="W53" s="52">
        <v>0</v>
      </c>
      <c r="X53" s="52">
        <v>0</v>
      </c>
      <c r="Y53" s="52">
        <v>4855.0875272637177</v>
      </c>
      <c r="Z53" s="52">
        <v>0</v>
      </c>
      <c r="AA53" s="52">
        <v>0</v>
      </c>
      <c r="AB53" s="52">
        <v>0</v>
      </c>
      <c r="AC53" s="52">
        <v>4819.6757695018941</v>
      </c>
      <c r="AD53" s="52">
        <v>0</v>
      </c>
      <c r="AE53" s="52">
        <v>0</v>
      </c>
      <c r="AF53" s="52">
        <v>0</v>
      </c>
      <c r="AG53" s="52">
        <v>4783.9689137587211</v>
      </c>
      <c r="AH53" s="52">
        <v>0</v>
      </c>
      <c r="AI53" s="52">
        <v>0</v>
      </c>
      <c r="AJ53" s="52">
        <v>0</v>
      </c>
      <c r="AK53" s="52">
        <v>0</v>
      </c>
      <c r="AL53" s="52">
        <v>4747.9645008843554</v>
      </c>
      <c r="AM53" s="52">
        <v>0</v>
      </c>
      <c r="AN53" s="52">
        <v>0</v>
      </c>
      <c r="AO53" s="52">
        <v>0</v>
      </c>
      <c r="AP53" s="52">
        <v>4711.6600512360355</v>
      </c>
      <c r="AQ53" s="52">
        <v>0</v>
      </c>
      <c r="AR53" s="52">
        <v>0</v>
      </c>
      <c r="AS53" s="52">
        <v>0</v>
      </c>
      <c r="AT53" s="52">
        <v>4675.053064507315</v>
      </c>
      <c r="AU53" s="52">
        <v>0</v>
      </c>
      <c r="AV53" s="52">
        <v>0</v>
      </c>
      <c r="AW53" s="52">
        <v>0</v>
      </c>
      <c r="AX53" s="52">
        <v>0</v>
      </c>
      <c r="AY53" s="52">
        <v>4638.1410195558547</v>
      </c>
      <c r="AZ53" s="52">
        <v>0</v>
      </c>
      <c r="BA53" s="52">
        <v>0</v>
      </c>
      <c r="BB53" s="52">
        <v>0</v>
      </c>
      <c r="BC53" s="53">
        <f ca="1">SUM(OFFSET($B53,0,1,1,Assumptions!$C$8))</f>
        <v>12414.252086598124</v>
      </c>
      <c r="BD53" s="53">
        <f ca="1">SUM(OFFSET($B53,0,1+Assumptions!$C$8,1,SUM(Assumptions!$C$9)))</f>
        <v>12986.748956822443</v>
      </c>
      <c r="BE53" s="53">
        <f ca="1">SUM(OFFSET($B53,0,1+SUM(Assumptions!$C$8:$C$9),1,SUM(Assumptions!$C$10)))</f>
        <v>14351.609184144971</v>
      </c>
      <c r="BF53" s="53">
        <f ca="1">SUM(OFFSET($B53,0,1+SUM(Assumptions!$C$8:$C$10),1,SUM(Assumptions!$C$11)))</f>
        <v>14024.854135299205</v>
      </c>
      <c r="BG53" s="53">
        <f t="shared" ref="BG53:BG55" ca="1" si="19">SUM(BC53:BF53)</f>
        <v>53777.464362864746</v>
      </c>
    </row>
    <row r="54" spans="1:59" s="17" customFormat="1" ht="16.149999999999999" customHeight="1" x14ac:dyDescent="0.3">
      <c r="A54" s="302"/>
      <c r="B54" s="56" t="s">
        <v>219</v>
      </c>
      <c r="C54" s="52">
        <v>0</v>
      </c>
      <c r="D54" s="52">
        <v>0</v>
      </c>
      <c r="E54" s="52">
        <v>0</v>
      </c>
      <c r="F54" s="52">
        <v>0</v>
      </c>
      <c r="G54" s="52">
        <v>0</v>
      </c>
      <c r="H54" s="52">
        <v>0</v>
      </c>
      <c r="I54" s="52">
        <v>0</v>
      </c>
      <c r="J54" s="52">
        <v>0</v>
      </c>
      <c r="K54" s="52">
        <v>0</v>
      </c>
      <c r="L54" s="52">
        <v>0</v>
      </c>
      <c r="M54" s="52">
        <v>0</v>
      </c>
      <c r="N54" s="52">
        <v>0</v>
      </c>
      <c r="O54" s="52">
        <v>0</v>
      </c>
      <c r="P54" s="52">
        <v>0</v>
      </c>
      <c r="Q54" s="52">
        <v>0</v>
      </c>
      <c r="R54" s="52">
        <v>0</v>
      </c>
      <c r="S54" s="52">
        <v>0</v>
      </c>
      <c r="T54" s="52">
        <v>0</v>
      </c>
      <c r="U54" s="52">
        <v>0</v>
      </c>
      <c r="V54" s="52">
        <v>0</v>
      </c>
      <c r="W54" s="52">
        <v>0</v>
      </c>
      <c r="X54" s="52">
        <v>0</v>
      </c>
      <c r="Y54" s="52">
        <v>0</v>
      </c>
      <c r="Z54" s="52">
        <v>0</v>
      </c>
      <c r="AA54" s="52">
        <v>0</v>
      </c>
      <c r="AB54" s="52">
        <v>0</v>
      </c>
      <c r="AC54" s="52">
        <v>0</v>
      </c>
      <c r="AD54" s="52">
        <v>0</v>
      </c>
      <c r="AE54" s="52">
        <v>0</v>
      </c>
      <c r="AF54" s="52">
        <v>0</v>
      </c>
      <c r="AG54" s="52">
        <v>0</v>
      </c>
      <c r="AH54" s="52">
        <v>0</v>
      </c>
      <c r="AI54" s="52">
        <v>0</v>
      </c>
      <c r="AJ54" s="52">
        <v>0</v>
      </c>
      <c r="AK54" s="52">
        <v>0</v>
      </c>
      <c r="AL54" s="52">
        <v>0</v>
      </c>
      <c r="AM54" s="52">
        <v>0</v>
      </c>
      <c r="AN54" s="52">
        <v>0</v>
      </c>
      <c r="AO54" s="52">
        <v>0</v>
      </c>
      <c r="AP54" s="52">
        <v>0</v>
      </c>
      <c r="AQ54" s="52">
        <v>0</v>
      </c>
      <c r="AR54" s="52">
        <v>0</v>
      </c>
      <c r="AS54" s="52">
        <v>0</v>
      </c>
      <c r="AT54" s="52">
        <v>0</v>
      </c>
      <c r="AU54" s="52">
        <v>0</v>
      </c>
      <c r="AV54" s="52">
        <v>0</v>
      </c>
      <c r="AW54" s="52">
        <v>0</v>
      </c>
      <c r="AX54" s="52">
        <v>0</v>
      </c>
      <c r="AY54" s="52">
        <v>2395.8333333333335</v>
      </c>
      <c r="AZ54" s="52">
        <v>0</v>
      </c>
      <c r="BA54" s="52">
        <v>0</v>
      </c>
      <c r="BB54" s="52">
        <v>0</v>
      </c>
      <c r="BC54" s="53">
        <f ca="1">SUM(OFFSET($B54,0,1,1,Assumptions!$C$8))</f>
        <v>0</v>
      </c>
      <c r="BD54" s="53">
        <f ca="1">SUM(OFFSET($B54,0,1+Assumptions!$C$8,1,SUM(Assumptions!$C$9)))</f>
        <v>0</v>
      </c>
      <c r="BE54" s="53">
        <f ca="1">SUM(OFFSET($B54,0,1+SUM(Assumptions!$C$8:$C$9),1,SUM(Assumptions!$C$10)))</f>
        <v>0</v>
      </c>
      <c r="BF54" s="53">
        <f ca="1">SUM(OFFSET($B54,0,1+SUM(Assumptions!$C$8:$C$10),1,SUM(Assumptions!$C$11)))</f>
        <v>2395.8333333333335</v>
      </c>
      <c r="BG54" s="53">
        <f t="shared" ca="1" si="19"/>
        <v>2395.8333333333335</v>
      </c>
    </row>
    <row r="55" spans="1:59" s="17" customFormat="1" ht="16.149999999999999" customHeight="1" x14ac:dyDescent="0.3">
      <c r="A55" s="302"/>
      <c r="B55" s="56" t="s">
        <v>220</v>
      </c>
      <c r="C55" s="52">
        <v>0</v>
      </c>
      <c r="D55" s="52">
        <v>3895.8333333333335</v>
      </c>
      <c r="E55" s="52">
        <v>0</v>
      </c>
      <c r="F55" s="52">
        <v>0</v>
      </c>
      <c r="G55" s="52">
        <v>0</v>
      </c>
      <c r="H55" s="52">
        <v>0</v>
      </c>
      <c r="I55" s="52">
        <v>3830.8552903817708</v>
      </c>
      <c r="J55" s="52">
        <v>0</v>
      </c>
      <c r="K55" s="52">
        <v>0</v>
      </c>
      <c r="L55" s="52">
        <v>0</v>
      </c>
      <c r="M55" s="52">
        <v>3765.2816153698186</v>
      </c>
      <c r="N55" s="52">
        <v>0</v>
      </c>
      <c r="O55" s="52">
        <v>0</v>
      </c>
      <c r="P55" s="52">
        <v>0</v>
      </c>
      <c r="Q55" s="52">
        <v>3699.1068483369236</v>
      </c>
      <c r="R55" s="52">
        <v>0</v>
      </c>
      <c r="S55" s="52">
        <v>0</v>
      </c>
      <c r="T55" s="52">
        <v>0</v>
      </c>
      <c r="U55" s="52">
        <v>0</v>
      </c>
      <c r="V55" s="52">
        <v>3632.3254792728935</v>
      </c>
      <c r="W55" s="52">
        <v>0</v>
      </c>
      <c r="X55" s="52">
        <v>0</v>
      </c>
      <c r="Y55" s="52">
        <v>0</v>
      </c>
      <c r="Z55" s="52">
        <v>3564.9319476591104</v>
      </c>
      <c r="AA55" s="52">
        <v>0</v>
      </c>
      <c r="AB55" s="52">
        <v>0</v>
      </c>
      <c r="AC55" s="52">
        <v>0</v>
      </c>
      <c r="AD55" s="52">
        <v>0</v>
      </c>
      <c r="AE55" s="52">
        <v>3496.9206420055343</v>
      </c>
      <c r="AF55" s="52">
        <v>0</v>
      </c>
      <c r="AG55" s="52">
        <v>0</v>
      </c>
      <c r="AH55" s="52">
        <v>0</v>
      </c>
      <c r="AI55" s="52">
        <v>3428.2858993834666</v>
      </c>
      <c r="AJ55" s="52">
        <v>0</v>
      </c>
      <c r="AK55" s="52">
        <v>0</v>
      </c>
      <c r="AL55" s="52">
        <v>0</v>
      </c>
      <c r="AM55" s="52">
        <v>3359.0220049540299</v>
      </c>
      <c r="AN55" s="52">
        <v>0</v>
      </c>
      <c r="AO55" s="52">
        <v>0</v>
      </c>
      <c r="AP55" s="52">
        <v>0</v>
      </c>
      <c r="AQ55" s="52">
        <v>0</v>
      </c>
      <c r="AR55" s="52">
        <v>3289.1231914923233</v>
      </c>
      <c r="AS55" s="52">
        <v>0</v>
      </c>
      <c r="AT55" s="52">
        <v>0</v>
      </c>
      <c r="AU55" s="52">
        <v>0</v>
      </c>
      <c r="AV55" s="52">
        <v>3218.5836389072178</v>
      </c>
      <c r="AW55" s="52">
        <v>0</v>
      </c>
      <c r="AX55" s="52">
        <v>0</v>
      </c>
      <c r="AY55" s="52">
        <v>0</v>
      </c>
      <c r="AZ55" s="52">
        <v>3147.3974737567492</v>
      </c>
      <c r="BA55" s="52">
        <v>0</v>
      </c>
      <c r="BB55" s="52">
        <v>0</v>
      </c>
      <c r="BC55" s="53">
        <f ca="1">SUM(OFFSET($B55,0,1,1,Assumptions!$C$8))</f>
        <v>11491.970239084923</v>
      </c>
      <c r="BD55" s="53">
        <f ca="1">SUM(OFFSET($B55,0,1+Assumptions!$C$8,1,SUM(Assumptions!$C$9)))</f>
        <v>10896.364275268927</v>
      </c>
      <c r="BE55" s="53">
        <f ca="1">SUM(OFFSET($B55,0,1+SUM(Assumptions!$C$8:$C$9),1,SUM(Assumptions!$C$10)))</f>
        <v>10284.228546343031</v>
      </c>
      <c r="BF55" s="53">
        <f ca="1">SUM(OFFSET($B55,0,1+SUM(Assumptions!$C$8:$C$10),1,SUM(Assumptions!$C$11)))</f>
        <v>9655.1043041562898</v>
      </c>
      <c r="BG55" s="53">
        <f t="shared" ca="1" si="19"/>
        <v>42327.667364853172</v>
      </c>
    </row>
    <row r="56" spans="1:59" s="4" customFormat="1" ht="16.149999999999999" customHeight="1" thickBot="1" x14ac:dyDescent="0.35">
      <c r="A56" s="304"/>
      <c r="B56" s="54" t="s">
        <v>221</v>
      </c>
      <c r="C56" s="57">
        <f>SUM(C52:C55)</f>
        <v>4166.666666666667</v>
      </c>
      <c r="D56" s="57">
        <f t="shared" ref="D56:BG56" si="20">SUM(D52:D55)</f>
        <v>14895.833333333334</v>
      </c>
      <c r="E56" s="57">
        <f t="shared" si="20"/>
        <v>0</v>
      </c>
      <c r="F56" s="57">
        <f t="shared" si="20"/>
        <v>0</v>
      </c>
      <c r="G56" s="57">
        <f t="shared" si="20"/>
        <v>4138.1632051480383</v>
      </c>
      <c r="H56" s="57">
        <f t="shared" si="20"/>
        <v>10949.308320912218</v>
      </c>
      <c r="I56" s="57">
        <f t="shared" si="20"/>
        <v>3830.8552903817708</v>
      </c>
      <c r="J56" s="57">
        <f t="shared" si="20"/>
        <v>0</v>
      </c>
      <c r="K56" s="57">
        <f t="shared" si="20"/>
        <v>0</v>
      </c>
      <c r="L56" s="57">
        <f t="shared" si="20"/>
        <v>15007.574182882883</v>
      </c>
      <c r="M56" s="57">
        <f t="shared" si="20"/>
        <v>3765.2816153698186</v>
      </c>
      <c r="N56" s="57">
        <f t="shared" si="20"/>
        <v>0</v>
      </c>
      <c r="O56" s="57">
        <f t="shared" si="20"/>
        <v>0</v>
      </c>
      <c r="P56" s="57">
        <f t="shared" si="20"/>
        <v>4080.4417161657643</v>
      </c>
      <c r="Q56" s="57">
        <f t="shared" si="20"/>
        <v>14545.633530389519</v>
      </c>
      <c r="R56" s="57">
        <f t="shared" si="20"/>
        <v>0</v>
      </c>
      <c r="S56" s="57">
        <f t="shared" si="20"/>
        <v>0</v>
      </c>
      <c r="T56" s="57">
        <f t="shared" si="20"/>
        <v>4051.2197133929608</v>
      </c>
      <c r="U56" s="57">
        <f t="shared" si="20"/>
        <v>10794.428164216964</v>
      </c>
      <c r="V56" s="57">
        <f t="shared" si="20"/>
        <v>3632.3254792728935</v>
      </c>
      <c r="W56" s="57">
        <f t="shared" si="20"/>
        <v>0</v>
      </c>
      <c r="X56" s="57">
        <f t="shared" si="20"/>
        <v>0</v>
      </c>
      <c r="Y56" s="57">
        <f t="shared" si="20"/>
        <v>15596.939603898223</v>
      </c>
      <c r="Z56" s="57">
        <f t="shared" si="20"/>
        <v>3564.9319476591104</v>
      </c>
      <c r="AA56" s="57">
        <f t="shared" si="20"/>
        <v>0</v>
      </c>
      <c r="AB56" s="57">
        <f t="shared" si="20"/>
        <v>0</v>
      </c>
      <c r="AC56" s="57">
        <f t="shared" si="20"/>
        <v>4819.6757695018941</v>
      </c>
      <c r="AD56" s="57">
        <f t="shared" si="20"/>
        <v>10688.79404158254</v>
      </c>
      <c r="AE56" s="57">
        <f t="shared" si="20"/>
        <v>3496.9206420055343</v>
      </c>
      <c r="AF56" s="57">
        <f t="shared" si="20"/>
        <v>0</v>
      </c>
      <c r="AG56" s="57">
        <f t="shared" si="20"/>
        <v>4783.9689137587211</v>
      </c>
      <c r="AH56" s="57">
        <f t="shared" si="20"/>
        <v>10635.249641209264</v>
      </c>
      <c r="AI56" s="57">
        <f t="shared" si="20"/>
        <v>3428.2858993834666</v>
      </c>
      <c r="AJ56" s="57">
        <f t="shared" si="20"/>
        <v>0</v>
      </c>
      <c r="AK56" s="57">
        <f t="shared" si="20"/>
        <v>0</v>
      </c>
      <c r="AL56" s="57">
        <f t="shared" si="20"/>
        <v>4747.9645008843554</v>
      </c>
      <c r="AM56" s="57">
        <f t="shared" si="20"/>
        <v>13940.23642211993</v>
      </c>
      <c r="AN56" s="57">
        <f t="shared" si="20"/>
        <v>0</v>
      </c>
      <c r="AO56" s="57">
        <f t="shared" si="20"/>
        <v>0</v>
      </c>
      <c r="AP56" s="57">
        <f t="shared" si="20"/>
        <v>4711.6600512360355</v>
      </c>
      <c r="AQ56" s="57">
        <f t="shared" si="20"/>
        <v>10526.683870235474</v>
      </c>
      <c r="AR56" s="57">
        <f t="shared" si="20"/>
        <v>3289.1231914923233</v>
      </c>
      <c r="AS56" s="57">
        <f t="shared" si="20"/>
        <v>0</v>
      </c>
      <c r="AT56" s="57">
        <f t="shared" si="20"/>
        <v>4675.053064507315</v>
      </c>
      <c r="AU56" s="57">
        <f t="shared" si="20"/>
        <v>10471.653459958185</v>
      </c>
      <c r="AV56" s="57">
        <f t="shared" si="20"/>
        <v>3218.5836389072178</v>
      </c>
      <c r="AW56" s="57">
        <f t="shared" si="20"/>
        <v>0</v>
      </c>
      <c r="AX56" s="57">
        <f t="shared" si="20"/>
        <v>0</v>
      </c>
      <c r="AY56" s="57">
        <f t="shared" si="20"/>
        <v>7033.9743528891886</v>
      </c>
      <c r="AZ56" s="57">
        <f t="shared" si="20"/>
        <v>13563.516078010103</v>
      </c>
      <c r="BA56" s="57">
        <f t="shared" si="20"/>
        <v>0</v>
      </c>
      <c r="BB56" s="57">
        <f t="shared" si="20"/>
        <v>0</v>
      </c>
      <c r="BC56" s="57">
        <f t="shared" ca="1" si="20"/>
        <v>56753.682614694728</v>
      </c>
      <c r="BD56" s="57">
        <f t="shared" ca="1" si="20"/>
        <v>56265.92015499543</v>
      </c>
      <c r="BE56" s="57">
        <f t="shared" ca="1" si="20"/>
        <v>56541.095830445702</v>
      </c>
      <c r="BF56" s="57">
        <f t="shared" ca="1" si="20"/>
        <v>57490.247707235838</v>
      </c>
      <c r="BG56" s="57">
        <f t="shared" ca="1" si="20"/>
        <v>227050.94630737172</v>
      </c>
    </row>
    <row r="57" spans="1:59" s="4" customFormat="1" ht="16.149999999999999" customHeight="1" x14ac:dyDescent="0.25">
      <c r="A57" s="305"/>
      <c r="B57" s="54" t="s">
        <v>222</v>
      </c>
      <c r="C57" s="53">
        <f ca="1">SUM(C50,-C56)</f>
        <v>13783.333333333332</v>
      </c>
      <c r="D57" s="53">
        <f t="shared" ref="D57:BG57" ca="1" si="21">SUM(D50,-D56)</f>
        <v>20129.019999999997</v>
      </c>
      <c r="E57" s="53">
        <f t="shared" ca="1" si="21"/>
        <v>38634.666666666672</v>
      </c>
      <c r="F57" s="53">
        <f t="shared" ca="1" si="21"/>
        <v>-21285.066666666666</v>
      </c>
      <c r="G57" s="53">
        <f t="shared" ca="1" si="21"/>
        <v>12029.186794851968</v>
      </c>
      <c r="H57" s="53">
        <f t="shared" ca="1" si="21"/>
        <v>2680.0500124211194</v>
      </c>
      <c r="I57" s="53">
        <f t="shared" ca="1" si="21"/>
        <v>33151.994709618237</v>
      </c>
      <c r="J57" s="53">
        <f t="shared" ca="1" si="21"/>
        <v>31157</v>
      </c>
      <c r="K57" s="53">
        <f t="shared" ca="1" si="21"/>
        <v>-57008.2</v>
      </c>
      <c r="L57" s="53">
        <f t="shared" ca="1" si="21"/>
        <v>1940.4258171171168</v>
      </c>
      <c r="M57" s="53">
        <f t="shared" ca="1" si="21"/>
        <v>42320.668384630175</v>
      </c>
      <c r="N57" s="53">
        <f t="shared" ca="1" si="21"/>
        <v>48168.53333333334</v>
      </c>
      <c r="O57" s="53">
        <f t="shared" ca="1" si="21"/>
        <v>-68344.833333333328</v>
      </c>
      <c r="P57" s="53">
        <f t="shared" ca="1" si="21"/>
        <v>28342.224950500906</v>
      </c>
      <c r="Q57" s="53">
        <f t="shared" ca="1" si="21"/>
        <v>33718.36646961049</v>
      </c>
      <c r="R57" s="53">
        <f t="shared" ca="1" si="21"/>
        <v>43404.233333333337</v>
      </c>
      <c r="S57" s="53">
        <f t="shared" ca="1" si="21"/>
        <v>-33120.064999999995</v>
      </c>
      <c r="T57" s="53">
        <f t="shared" ca="1" si="21"/>
        <v>20595.180286607039</v>
      </c>
      <c r="U57" s="53">
        <f t="shared" ca="1" si="21"/>
        <v>13286.200169116377</v>
      </c>
      <c r="V57" s="53">
        <f t="shared" ca="1" si="21"/>
        <v>45959.924520727109</v>
      </c>
      <c r="W57" s="53">
        <f t="shared" ca="1" si="21"/>
        <v>34723.9</v>
      </c>
      <c r="X57" s="53">
        <f t="shared" ca="1" si="21"/>
        <v>-44498.759999999995</v>
      </c>
      <c r="Y57" s="53">
        <f t="shared" ca="1" si="21"/>
        <v>10456.721729435114</v>
      </c>
      <c r="Z57" s="53">
        <f t="shared" ca="1" si="21"/>
        <v>37394.904052340891</v>
      </c>
      <c r="AA57" s="53">
        <f t="shared" ca="1" si="21"/>
        <v>43073.7</v>
      </c>
      <c r="AB57" s="53">
        <f t="shared" ca="1" si="21"/>
        <v>-56575.399999999994</v>
      </c>
      <c r="AC57" s="53">
        <f t="shared" ca="1" si="21"/>
        <v>21527.044230498108</v>
      </c>
      <c r="AD57" s="53">
        <f t="shared" ca="1" si="21"/>
        <v>40613.605958417465</v>
      </c>
      <c r="AE57" s="53">
        <f t="shared" ca="1" si="21"/>
        <v>50845.179357994472</v>
      </c>
      <c r="AF57" s="53">
        <f t="shared" ca="1" si="21"/>
        <v>57294.865000000005</v>
      </c>
      <c r="AG57" s="53">
        <f t="shared" ca="1" si="21"/>
        <v>-45039.388913758718</v>
      </c>
      <c r="AH57" s="53">
        <f t="shared" ca="1" si="21"/>
        <v>16894.803692124078</v>
      </c>
      <c r="AI57" s="53">
        <f t="shared" ca="1" si="21"/>
        <v>48691.124100616536</v>
      </c>
      <c r="AJ57" s="53">
        <f t="shared" ca="1" si="21"/>
        <v>54103.040000000008</v>
      </c>
      <c r="AK57" s="53">
        <f t="shared" ca="1" si="21"/>
        <v>-54340.44</v>
      </c>
      <c r="AL57" s="53">
        <f t="shared" ca="1" si="21"/>
        <v>29724.435499115654</v>
      </c>
      <c r="AM57" s="53">
        <f t="shared" ca="1" si="21"/>
        <v>43996.743577880072</v>
      </c>
      <c r="AN57" s="53">
        <f t="shared" ca="1" si="21"/>
        <v>53906.788</v>
      </c>
      <c r="AO57" s="53">
        <f t="shared" ca="1" si="21"/>
        <v>-64454.464</v>
      </c>
      <c r="AP57" s="53">
        <f t="shared" ca="1" si="21"/>
        <v>46666.443948763968</v>
      </c>
      <c r="AQ57" s="53">
        <f t="shared" ca="1" si="21"/>
        <v>12847.536129764527</v>
      </c>
      <c r="AR57" s="53">
        <f t="shared" ca="1" si="21"/>
        <v>22066.396808507681</v>
      </c>
      <c r="AS57" s="53">
        <f t="shared" ca="1" si="21"/>
        <v>-46068.72</v>
      </c>
      <c r="AT57" s="53">
        <f t="shared" ca="1" si="21"/>
        <v>-2834.5043978406457</v>
      </c>
      <c r="AU57" s="53">
        <f t="shared" ca="1" si="21"/>
        <v>-7323.2454599581815</v>
      </c>
      <c r="AV57" s="53">
        <f t="shared" ca="1" si="21"/>
        <v>45021.366361092783</v>
      </c>
      <c r="AW57" s="53">
        <f t="shared" ca="1" si="21"/>
        <v>65561.744000000006</v>
      </c>
      <c r="AX57" s="53">
        <f t="shared" ca="1" si="21"/>
        <v>-47762.113333333313</v>
      </c>
      <c r="AY57" s="53">
        <f t="shared" ca="1" si="21"/>
        <v>33086.892313777484</v>
      </c>
      <c r="AZ57" s="53">
        <f t="shared" ca="1" si="21"/>
        <v>42067.350588656569</v>
      </c>
      <c r="BA57" s="53">
        <f t="shared" ca="1" si="21"/>
        <v>53487.8</v>
      </c>
      <c r="BB57" s="53">
        <f t="shared" ca="1" si="21"/>
        <v>-61174.599999999991</v>
      </c>
      <c r="BC57" s="53">
        <f t="shared" ca="1" si="21"/>
        <v>97356.779051971942</v>
      </c>
      <c r="BD57" s="53">
        <f t="shared" ca="1" si="21"/>
        <v>176761.13051167116</v>
      </c>
      <c r="BE57" s="53">
        <f t="shared" ca="1" si="21"/>
        <v>253763.33650288772</v>
      </c>
      <c r="BF57" s="53">
        <f t="shared" ca="1" si="21"/>
        <v>155642.34695943099</v>
      </c>
      <c r="BG57" s="53">
        <f t="shared" ca="1" si="21"/>
        <v>683523.59302596154</v>
      </c>
    </row>
    <row r="58" spans="1:59" s="17" customFormat="1" ht="16.149999999999999" customHeight="1" x14ac:dyDescent="0.3">
      <c r="A58" s="302"/>
      <c r="B58" s="56" t="s">
        <v>37</v>
      </c>
      <c r="C58" s="52">
        <v>3859.3333333333335</v>
      </c>
      <c r="D58" s="52">
        <v>5636.1255999999994</v>
      </c>
      <c r="E58" s="52">
        <v>10817.706666666669</v>
      </c>
      <c r="F58" s="52">
        <v>-5959.818666666667</v>
      </c>
      <c r="G58" s="52">
        <v>3228.1723025585516</v>
      </c>
      <c r="H58" s="52">
        <v>750.41400347791352</v>
      </c>
      <c r="I58" s="52">
        <v>9282.5585186931075</v>
      </c>
      <c r="J58" s="52">
        <v>8723.9600000000009</v>
      </c>
      <c r="K58" s="52">
        <v>-16102.296</v>
      </c>
      <c r="L58" s="52">
        <v>543.31922879279273</v>
      </c>
      <c r="M58" s="52">
        <v>11849.78714769645</v>
      </c>
      <c r="N58" s="52">
        <v>13487.189333333337</v>
      </c>
      <c r="O58" s="52">
        <v>-19276.553333333333</v>
      </c>
      <c r="P58" s="52">
        <v>7935.8229861402542</v>
      </c>
      <c r="Q58" s="52">
        <v>9441.1426114909373</v>
      </c>
      <c r="R58" s="52">
        <v>12153.185333333335</v>
      </c>
      <c r="S58" s="52">
        <v>-9273.618199999999</v>
      </c>
      <c r="T58" s="52">
        <v>5626.6504802499712</v>
      </c>
      <c r="U58" s="52">
        <v>3720.136047352586</v>
      </c>
      <c r="V58" s="52">
        <v>12868.778865803592</v>
      </c>
      <c r="W58" s="52">
        <v>9722.6920000000009</v>
      </c>
      <c r="X58" s="52">
        <v>-12599.6528</v>
      </c>
      <c r="Y58" s="52">
        <v>2927.8820842418322</v>
      </c>
      <c r="Z58" s="52">
        <v>10470.573134655451</v>
      </c>
      <c r="AA58" s="52">
        <v>12060.636</v>
      </c>
      <c r="AB58" s="52">
        <v>-15981.111999999999</v>
      </c>
      <c r="AC58" s="52">
        <v>6027.5723845394705</v>
      </c>
      <c r="AD58" s="52">
        <v>11371.809668356891</v>
      </c>
      <c r="AE58" s="52">
        <v>14236.650220238453</v>
      </c>
      <c r="AF58" s="52">
        <v>16042.562200000002</v>
      </c>
      <c r="AG58" s="52">
        <v>-12751.028895852442</v>
      </c>
      <c r="AH58" s="52">
        <v>4730.5450337947423</v>
      </c>
      <c r="AI58" s="52">
        <v>13633.514748172631</v>
      </c>
      <c r="AJ58" s="52">
        <v>15148.851200000005</v>
      </c>
      <c r="AK58" s="52">
        <v>-15355.323200000003</v>
      </c>
      <c r="AL58" s="52">
        <v>8322.8419397523849</v>
      </c>
      <c r="AM58" s="52">
        <v>12319.088201806422</v>
      </c>
      <c r="AN58" s="52">
        <v>15093.900640000002</v>
      </c>
      <c r="AO58" s="52">
        <v>-18187.249920000002</v>
      </c>
      <c r="AP58" s="52">
        <v>13066.604305653913</v>
      </c>
      <c r="AQ58" s="52">
        <v>3597.310116334068</v>
      </c>
      <c r="AR58" s="52">
        <v>6178.5911063821513</v>
      </c>
      <c r="AS58" s="52">
        <v>-12899.241600000001</v>
      </c>
      <c r="AT58" s="52">
        <v>-933.66123139538092</v>
      </c>
      <c r="AU58" s="52">
        <v>-2050.5087287882911</v>
      </c>
      <c r="AV58" s="52">
        <v>12605.98258110598</v>
      </c>
      <c r="AW58" s="52">
        <v>18357.288320000003</v>
      </c>
      <c r="AX58" s="52">
        <v>-13513.391733333328</v>
      </c>
      <c r="AY58" s="52">
        <v>9264.3298478576962</v>
      </c>
      <c r="AZ58" s="52">
        <v>11778.85816482384</v>
      </c>
      <c r="BA58" s="52">
        <v>14976.584000000003</v>
      </c>
      <c r="BB58" s="52">
        <v>-17268.887999999999</v>
      </c>
      <c r="BC58" s="53">
        <f ca="1">SUM(OFFSET($B58,0,1,1,Assumptions!$C$8))</f>
        <v>26839.89813455215</v>
      </c>
      <c r="BD58" s="53">
        <f ca="1">SUM(OFFSET($B58,0,1+Assumptions!$C$8,1,SUM(Assumptions!$C$9)))</f>
        <v>49073.116543267963</v>
      </c>
      <c r="BE58" s="53">
        <f ca="1">SUM(OFFSET($B58,0,1+SUM(Assumptions!$C$8:$C$9),1,SUM(Assumptions!$C$10)))</f>
        <v>70633.734220808547</v>
      </c>
      <c r="BF58" s="53">
        <f ca="1">SUM(OFFSET($B58,0,1+SUM(Assumptions!$C$8:$C$10),1,SUM(Assumptions!$C$11)))</f>
        <v>43159.857148640658</v>
      </c>
      <c r="BG58" s="53">
        <f ca="1">SUM(BC58:BF58)</f>
        <v>189706.60604726931</v>
      </c>
    </row>
    <row r="59" spans="1:59" ht="16.149999999999999" customHeight="1" x14ac:dyDescent="0.3">
      <c r="B59" s="3" t="s">
        <v>80</v>
      </c>
      <c r="C59" s="53">
        <f ca="1">SUM(C57,-C58)</f>
        <v>9923.9999999999982</v>
      </c>
      <c r="D59" s="53">
        <f t="shared" ref="D59:BG59" ca="1" si="22">SUM(D57,-D58)</f>
        <v>14492.894399999997</v>
      </c>
      <c r="E59" s="53">
        <f t="shared" ca="1" si="22"/>
        <v>27816.960000000003</v>
      </c>
      <c r="F59" s="53">
        <f t="shared" ca="1" si="22"/>
        <v>-15325.248</v>
      </c>
      <c r="G59" s="53">
        <f t="shared" ca="1" si="22"/>
        <v>8801.014492293416</v>
      </c>
      <c r="H59" s="53">
        <f t="shared" ca="1" si="22"/>
        <v>1929.636008943206</v>
      </c>
      <c r="I59" s="53">
        <f t="shared" ca="1" si="22"/>
        <v>23869.436190925131</v>
      </c>
      <c r="J59" s="53">
        <f t="shared" ca="1" si="22"/>
        <v>22433.040000000001</v>
      </c>
      <c r="K59" s="53">
        <f t="shared" ca="1" si="22"/>
        <v>-40905.903999999995</v>
      </c>
      <c r="L59" s="53">
        <f t="shared" ca="1" si="22"/>
        <v>1397.1065883243241</v>
      </c>
      <c r="M59" s="53">
        <f t="shared" ca="1" si="22"/>
        <v>30470.881236933725</v>
      </c>
      <c r="N59" s="53">
        <f t="shared" ca="1" si="22"/>
        <v>34681.344000000005</v>
      </c>
      <c r="O59" s="53">
        <f t="shared" ca="1" si="22"/>
        <v>-49068.28</v>
      </c>
      <c r="P59" s="53">
        <f t="shared" ca="1" si="22"/>
        <v>20406.401964360652</v>
      </c>
      <c r="Q59" s="53">
        <f t="shared" ca="1" si="22"/>
        <v>24277.223858119552</v>
      </c>
      <c r="R59" s="53">
        <f t="shared" ca="1" si="22"/>
        <v>31251.048000000003</v>
      </c>
      <c r="S59" s="53">
        <f t="shared" ca="1" si="22"/>
        <v>-23846.446799999998</v>
      </c>
      <c r="T59" s="53">
        <f t="shared" ca="1" si="22"/>
        <v>14968.529806357068</v>
      </c>
      <c r="U59" s="53">
        <f t="shared" ca="1" si="22"/>
        <v>9566.0641217637913</v>
      </c>
      <c r="V59" s="53">
        <f t="shared" ca="1" si="22"/>
        <v>33091.145654923515</v>
      </c>
      <c r="W59" s="53">
        <f t="shared" ca="1" si="22"/>
        <v>25001.207999999999</v>
      </c>
      <c r="X59" s="53">
        <f t="shared" ca="1" si="22"/>
        <v>-31899.107199999995</v>
      </c>
      <c r="Y59" s="53">
        <f t="shared" ca="1" si="22"/>
        <v>7528.8396451932822</v>
      </c>
      <c r="Z59" s="53">
        <f t="shared" ca="1" si="22"/>
        <v>26924.330917685438</v>
      </c>
      <c r="AA59" s="53">
        <f t="shared" ca="1" si="22"/>
        <v>31013.063999999998</v>
      </c>
      <c r="AB59" s="53">
        <f t="shared" ca="1" si="22"/>
        <v>-40594.287999999993</v>
      </c>
      <c r="AC59" s="53">
        <f t="shared" ca="1" si="22"/>
        <v>15499.471845958637</v>
      </c>
      <c r="AD59" s="53">
        <f t="shared" ca="1" si="22"/>
        <v>29241.796290060574</v>
      </c>
      <c r="AE59" s="53">
        <f t="shared" ca="1" si="22"/>
        <v>36608.529137756021</v>
      </c>
      <c r="AF59" s="53">
        <f t="shared" ca="1" si="22"/>
        <v>41252.302800000005</v>
      </c>
      <c r="AG59" s="53">
        <f t="shared" ca="1" si="22"/>
        <v>-32288.360017906278</v>
      </c>
      <c r="AH59" s="53">
        <f t="shared" ca="1" si="22"/>
        <v>12164.258658329336</v>
      </c>
      <c r="AI59" s="53">
        <f t="shared" ca="1" si="22"/>
        <v>35057.609352443906</v>
      </c>
      <c r="AJ59" s="53">
        <f t="shared" ca="1" si="22"/>
        <v>38954.188800000004</v>
      </c>
      <c r="AK59" s="53">
        <f t="shared" ca="1" si="22"/>
        <v>-38985.116800000003</v>
      </c>
      <c r="AL59" s="53">
        <f t="shared" ca="1" si="22"/>
        <v>21401.593559363268</v>
      </c>
      <c r="AM59" s="53">
        <f t="shared" ca="1" si="22"/>
        <v>31677.65537607365</v>
      </c>
      <c r="AN59" s="53">
        <f t="shared" ca="1" si="22"/>
        <v>38812.887360000001</v>
      </c>
      <c r="AO59" s="53">
        <f t="shared" ca="1" si="22"/>
        <v>-46267.214079999998</v>
      </c>
      <c r="AP59" s="53">
        <f t="shared" ca="1" si="22"/>
        <v>33599.839643110055</v>
      </c>
      <c r="AQ59" s="53">
        <f t="shared" ca="1" si="22"/>
        <v>9250.2260134304597</v>
      </c>
      <c r="AR59" s="53">
        <f t="shared" ca="1" si="22"/>
        <v>15887.80570212553</v>
      </c>
      <c r="AS59" s="53">
        <f t="shared" ca="1" si="22"/>
        <v>-33169.4784</v>
      </c>
      <c r="AT59" s="53">
        <f t="shared" ca="1" si="22"/>
        <v>-1900.8431664452646</v>
      </c>
      <c r="AU59" s="53">
        <f t="shared" ca="1" si="22"/>
        <v>-5272.7367311698908</v>
      </c>
      <c r="AV59" s="53">
        <f t="shared" ca="1" si="22"/>
        <v>32415.383779986805</v>
      </c>
      <c r="AW59" s="53">
        <f t="shared" ca="1" si="22"/>
        <v>47204.455679999999</v>
      </c>
      <c r="AX59" s="53">
        <f t="shared" ca="1" si="22"/>
        <v>-34248.721599999983</v>
      </c>
      <c r="AY59" s="53">
        <f t="shared" ca="1" si="22"/>
        <v>23822.562465919786</v>
      </c>
      <c r="AZ59" s="53">
        <f t="shared" ca="1" si="22"/>
        <v>30288.492423832729</v>
      </c>
      <c r="BA59" s="53">
        <f t="shared" ca="1" si="22"/>
        <v>38511.216</v>
      </c>
      <c r="BB59" s="53">
        <f t="shared" ca="1" si="22"/>
        <v>-43905.711999999992</v>
      </c>
      <c r="BC59" s="53">
        <f t="shared" ca="1" si="22"/>
        <v>70516.880917419796</v>
      </c>
      <c r="BD59" s="53">
        <f t="shared" ca="1" si="22"/>
        <v>127688.01396840319</v>
      </c>
      <c r="BE59" s="53">
        <f t="shared" ca="1" si="22"/>
        <v>183129.60228207917</v>
      </c>
      <c r="BF59" s="53">
        <f t="shared" ca="1" si="22"/>
        <v>112482.48981079033</v>
      </c>
      <c r="BG59" s="53">
        <f t="shared" ca="1" si="22"/>
        <v>493816.98697869224</v>
      </c>
    </row>
    <row r="60" spans="1:59" ht="16.149999999999999" customHeight="1" x14ac:dyDescent="0.3">
      <c r="A60" s="302" t="s">
        <v>276</v>
      </c>
      <c r="B60" s="12" t="s">
        <v>274</v>
      </c>
      <c r="C60" s="52">
        <v>0</v>
      </c>
      <c r="D60" s="52">
        <v>0</v>
      </c>
      <c r="E60" s="52">
        <v>0</v>
      </c>
      <c r="F60" s="52">
        <v>0</v>
      </c>
      <c r="G60" s="52">
        <v>0</v>
      </c>
      <c r="H60" s="52">
        <v>0</v>
      </c>
      <c r="I60" s="52">
        <v>0</v>
      </c>
      <c r="J60" s="52">
        <v>0</v>
      </c>
      <c r="K60" s="52">
        <v>0</v>
      </c>
      <c r="L60" s="52">
        <v>0</v>
      </c>
      <c r="M60" s="52">
        <v>0</v>
      </c>
      <c r="N60" s="52">
        <v>0</v>
      </c>
      <c r="O60" s="52">
        <v>0</v>
      </c>
      <c r="P60" s="52">
        <v>0</v>
      </c>
      <c r="Q60" s="52">
        <v>0</v>
      </c>
      <c r="R60" s="52">
        <v>0</v>
      </c>
      <c r="S60" s="52">
        <v>0</v>
      </c>
      <c r="T60" s="52">
        <v>0</v>
      </c>
      <c r="U60" s="52">
        <v>0</v>
      </c>
      <c r="V60" s="52">
        <v>0</v>
      </c>
      <c r="W60" s="52">
        <v>0</v>
      </c>
      <c r="X60" s="52">
        <v>0</v>
      </c>
      <c r="Y60" s="52">
        <v>0</v>
      </c>
      <c r="Z60" s="52">
        <v>0</v>
      </c>
      <c r="AA60" s="52">
        <v>0</v>
      </c>
      <c r="AB60" s="52">
        <v>0</v>
      </c>
      <c r="AC60" s="52">
        <v>0</v>
      </c>
      <c r="AD60" s="52">
        <v>0</v>
      </c>
      <c r="AE60" s="52">
        <v>0</v>
      </c>
      <c r="AF60" s="52">
        <v>0</v>
      </c>
      <c r="AG60" s="52">
        <v>0</v>
      </c>
      <c r="AH60" s="52">
        <v>0</v>
      </c>
      <c r="AI60" s="52">
        <v>0</v>
      </c>
      <c r="AJ60" s="52">
        <v>0</v>
      </c>
      <c r="AK60" s="52">
        <v>0</v>
      </c>
      <c r="AL60" s="52">
        <v>0</v>
      </c>
      <c r="AM60" s="52">
        <v>0</v>
      </c>
      <c r="AN60" s="52">
        <v>0</v>
      </c>
      <c r="AO60" s="52">
        <v>0</v>
      </c>
      <c r="AP60" s="52">
        <v>0</v>
      </c>
      <c r="AQ60" s="52">
        <v>0</v>
      </c>
      <c r="AR60" s="52">
        <v>0</v>
      </c>
      <c r="AS60" s="52">
        <v>0</v>
      </c>
      <c r="AT60" s="52">
        <v>0</v>
      </c>
      <c r="AU60" s="52">
        <v>0</v>
      </c>
      <c r="AV60" s="52">
        <v>0</v>
      </c>
      <c r="AW60" s="52">
        <v>0</v>
      </c>
      <c r="AX60" s="52">
        <v>0</v>
      </c>
      <c r="AY60" s="52">
        <v>0</v>
      </c>
      <c r="AZ60" s="52">
        <v>0</v>
      </c>
      <c r="BA60" s="52">
        <v>0</v>
      </c>
      <c r="BB60" s="52">
        <v>0</v>
      </c>
      <c r="BC60" s="53">
        <f ca="1">SUM(OFFSET($B60,0,1,1,Assumptions!$C$8))</f>
        <v>0</v>
      </c>
      <c r="BD60" s="53">
        <f ca="1">SUM(OFFSET($B60,0,1+Assumptions!$C$8,1,SUM(Assumptions!$C$9)))</f>
        <v>0</v>
      </c>
      <c r="BE60" s="53">
        <f ca="1">SUM(OFFSET($B60,0,1+SUM(Assumptions!$C$8:$C$9),1,SUM(Assumptions!$C$10)))</f>
        <v>0</v>
      </c>
      <c r="BF60" s="53">
        <f ca="1">SUM(OFFSET($B60,0,1+SUM(Assumptions!$C$8:$C$10),1,SUM(Assumptions!$C$11)))</f>
        <v>0</v>
      </c>
      <c r="BG60" s="53">
        <f ca="1">SUM(BC60:BF60)</f>
        <v>0</v>
      </c>
    </row>
    <row r="61" spans="1:59" ht="16.149999999999999" customHeight="1" x14ac:dyDescent="0.3">
      <c r="B61" s="3" t="s">
        <v>275</v>
      </c>
      <c r="C61" s="53">
        <f ca="1">SUM(C59,-C60)</f>
        <v>9923.9999999999982</v>
      </c>
      <c r="D61" s="53">
        <f t="shared" ref="D61:BG61" ca="1" si="23">SUM(D59,-D60)</f>
        <v>14492.894399999997</v>
      </c>
      <c r="E61" s="53">
        <f t="shared" ca="1" si="23"/>
        <v>27816.960000000003</v>
      </c>
      <c r="F61" s="53">
        <f t="shared" ca="1" si="23"/>
        <v>-15325.248</v>
      </c>
      <c r="G61" s="53">
        <f t="shared" ca="1" si="23"/>
        <v>8801.014492293416</v>
      </c>
      <c r="H61" s="53">
        <f t="shared" ca="1" si="23"/>
        <v>1929.636008943206</v>
      </c>
      <c r="I61" s="53">
        <f t="shared" ca="1" si="23"/>
        <v>23869.436190925131</v>
      </c>
      <c r="J61" s="53">
        <f t="shared" ca="1" si="23"/>
        <v>22433.040000000001</v>
      </c>
      <c r="K61" s="53">
        <f t="shared" ca="1" si="23"/>
        <v>-40905.903999999995</v>
      </c>
      <c r="L61" s="53">
        <f t="shared" ca="1" si="23"/>
        <v>1397.1065883243241</v>
      </c>
      <c r="M61" s="53">
        <f t="shared" ca="1" si="23"/>
        <v>30470.881236933725</v>
      </c>
      <c r="N61" s="53">
        <f t="shared" ca="1" si="23"/>
        <v>34681.344000000005</v>
      </c>
      <c r="O61" s="53">
        <f t="shared" ca="1" si="23"/>
        <v>-49068.28</v>
      </c>
      <c r="P61" s="53">
        <f t="shared" ca="1" si="23"/>
        <v>20406.401964360652</v>
      </c>
      <c r="Q61" s="53">
        <f t="shared" ca="1" si="23"/>
        <v>24277.223858119552</v>
      </c>
      <c r="R61" s="53">
        <f t="shared" ca="1" si="23"/>
        <v>31251.048000000003</v>
      </c>
      <c r="S61" s="53">
        <f t="shared" ca="1" si="23"/>
        <v>-23846.446799999998</v>
      </c>
      <c r="T61" s="53">
        <f t="shared" ca="1" si="23"/>
        <v>14968.529806357068</v>
      </c>
      <c r="U61" s="53">
        <f t="shared" ca="1" si="23"/>
        <v>9566.0641217637913</v>
      </c>
      <c r="V61" s="53">
        <f t="shared" ca="1" si="23"/>
        <v>33091.145654923515</v>
      </c>
      <c r="W61" s="53">
        <f t="shared" ca="1" si="23"/>
        <v>25001.207999999999</v>
      </c>
      <c r="X61" s="53">
        <f t="shared" ca="1" si="23"/>
        <v>-31899.107199999995</v>
      </c>
      <c r="Y61" s="53">
        <f t="shared" ca="1" si="23"/>
        <v>7528.8396451932822</v>
      </c>
      <c r="Z61" s="53">
        <f t="shared" ca="1" si="23"/>
        <v>26924.330917685438</v>
      </c>
      <c r="AA61" s="53">
        <f t="shared" ca="1" si="23"/>
        <v>31013.063999999998</v>
      </c>
      <c r="AB61" s="53">
        <f t="shared" ca="1" si="23"/>
        <v>-40594.287999999993</v>
      </c>
      <c r="AC61" s="53">
        <f t="shared" ca="1" si="23"/>
        <v>15499.471845958637</v>
      </c>
      <c r="AD61" s="53">
        <f t="shared" ca="1" si="23"/>
        <v>29241.796290060574</v>
      </c>
      <c r="AE61" s="53">
        <f t="shared" ca="1" si="23"/>
        <v>36608.529137756021</v>
      </c>
      <c r="AF61" s="53">
        <f t="shared" ca="1" si="23"/>
        <v>41252.302800000005</v>
      </c>
      <c r="AG61" s="53">
        <f t="shared" ca="1" si="23"/>
        <v>-32288.360017906278</v>
      </c>
      <c r="AH61" s="53">
        <f t="shared" ca="1" si="23"/>
        <v>12164.258658329336</v>
      </c>
      <c r="AI61" s="53">
        <f t="shared" ca="1" si="23"/>
        <v>35057.609352443906</v>
      </c>
      <c r="AJ61" s="53">
        <f t="shared" ca="1" si="23"/>
        <v>38954.188800000004</v>
      </c>
      <c r="AK61" s="53">
        <f t="shared" ca="1" si="23"/>
        <v>-38985.116800000003</v>
      </c>
      <c r="AL61" s="53">
        <f t="shared" ca="1" si="23"/>
        <v>21401.593559363268</v>
      </c>
      <c r="AM61" s="53">
        <f t="shared" ca="1" si="23"/>
        <v>31677.65537607365</v>
      </c>
      <c r="AN61" s="53">
        <f t="shared" ca="1" si="23"/>
        <v>38812.887360000001</v>
      </c>
      <c r="AO61" s="53">
        <f t="shared" ca="1" si="23"/>
        <v>-46267.214079999998</v>
      </c>
      <c r="AP61" s="53">
        <f t="shared" ca="1" si="23"/>
        <v>33599.839643110055</v>
      </c>
      <c r="AQ61" s="53">
        <f t="shared" ca="1" si="23"/>
        <v>9250.2260134304597</v>
      </c>
      <c r="AR61" s="53">
        <f t="shared" ca="1" si="23"/>
        <v>15887.80570212553</v>
      </c>
      <c r="AS61" s="53">
        <f t="shared" ca="1" si="23"/>
        <v>-33169.4784</v>
      </c>
      <c r="AT61" s="53">
        <f t="shared" ca="1" si="23"/>
        <v>-1900.8431664452646</v>
      </c>
      <c r="AU61" s="53">
        <f t="shared" ca="1" si="23"/>
        <v>-5272.7367311698908</v>
      </c>
      <c r="AV61" s="53">
        <f t="shared" ca="1" si="23"/>
        <v>32415.383779986805</v>
      </c>
      <c r="AW61" s="53">
        <f t="shared" ca="1" si="23"/>
        <v>47204.455679999999</v>
      </c>
      <c r="AX61" s="53">
        <f t="shared" ca="1" si="23"/>
        <v>-34248.721599999983</v>
      </c>
      <c r="AY61" s="53">
        <f t="shared" ca="1" si="23"/>
        <v>23822.562465919786</v>
      </c>
      <c r="AZ61" s="53">
        <f t="shared" ca="1" si="23"/>
        <v>30288.492423832729</v>
      </c>
      <c r="BA61" s="53">
        <f t="shared" ca="1" si="23"/>
        <v>38511.216</v>
      </c>
      <c r="BB61" s="53">
        <f t="shared" ca="1" si="23"/>
        <v>-43905.711999999992</v>
      </c>
      <c r="BC61" s="53">
        <f t="shared" ca="1" si="23"/>
        <v>70516.880917419796</v>
      </c>
      <c r="BD61" s="53">
        <f t="shared" ca="1" si="23"/>
        <v>127688.01396840319</v>
      </c>
      <c r="BE61" s="53">
        <f t="shared" ca="1" si="23"/>
        <v>183129.60228207917</v>
      </c>
      <c r="BF61" s="53">
        <f t="shared" ca="1" si="23"/>
        <v>112482.48981079033</v>
      </c>
      <c r="BG61" s="53">
        <f t="shared" ca="1" si="23"/>
        <v>493816.98697869224</v>
      </c>
    </row>
    <row r="62" spans="1:59" s="58" customFormat="1" ht="16.149999999999999" customHeight="1" x14ac:dyDescent="0.25">
      <c r="A62" s="306"/>
      <c r="B62" s="91" t="s">
        <v>56</v>
      </c>
      <c r="C62" s="66">
        <f t="shared" ref="C62:BF62" ca="1" si="24">IF(C$7=0,0,C59/C$7)</f>
        <v>0.11245325779036826</v>
      </c>
      <c r="D62" s="66">
        <f t="shared" ca="1" si="24"/>
        <v>0.19626140138134651</v>
      </c>
      <c r="E62" s="66">
        <f ca="1">IF(E$7=0,0,E59/E$7)</f>
        <v>0.31583383795567399</v>
      </c>
      <c r="F62" s="66">
        <f t="shared" ca="1" si="24"/>
        <v>-0.15686840122722159</v>
      </c>
      <c r="G62" s="66">
        <f t="shared" ca="1" si="24"/>
        <v>9.6181378178123944E-2</v>
      </c>
      <c r="H62" s="66">
        <f t="shared" ca="1" si="24"/>
        <v>2.1652362696226224E-2</v>
      </c>
      <c r="I62" s="66">
        <f t="shared" ca="1" si="24"/>
        <v>0.29440943354663368</v>
      </c>
      <c r="J62" s="66">
        <f t="shared" ca="1" si="24"/>
        <v>0.24430209637898176</v>
      </c>
      <c r="K62" s="66">
        <f t="shared" ca="1" si="24"/>
        <v>-0.45781649692221593</v>
      </c>
      <c r="L62" s="66">
        <f t="shared" ca="1" si="24"/>
        <v>1.5181980660744198E-2</v>
      </c>
      <c r="M62" s="66">
        <f t="shared" ca="1" si="24"/>
        <v>0.3189641161294528</v>
      </c>
      <c r="N62" s="66">
        <f t="shared" ca="1" si="24"/>
        <v>0.36732278527489537</v>
      </c>
      <c r="O62" s="66">
        <f t="shared" ca="1" si="24"/>
        <v>-0.53936498456521531</v>
      </c>
      <c r="P62" s="66">
        <f t="shared" ca="1" si="24"/>
        <v>0.19367037612490337</v>
      </c>
      <c r="Q62" s="66">
        <f ca="1">IF(Q$7=0,0,Q59/Q$7)</f>
        <v>0.24228766325468615</v>
      </c>
      <c r="R62" s="66">
        <f t="shared" ca="1" si="24"/>
        <v>0.34151824265523623</v>
      </c>
      <c r="S62" s="66">
        <f t="shared" ca="1" si="24"/>
        <v>-0.24255546918209245</v>
      </c>
      <c r="T62" s="66">
        <f t="shared" ca="1" si="24"/>
        <v>0.15628848662340974</v>
      </c>
      <c r="U62" s="66">
        <f t="shared" ca="1" si="24"/>
        <v>9.4558553397905878E-2</v>
      </c>
      <c r="V62" s="66">
        <f t="shared" ca="1" si="24"/>
        <v>0.32580848121224831</v>
      </c>
      <c r="W62" s="66">
        <f t="shared" ca="1" si="24"/>
        <v>0.25726303874708661</v>
      </c>
      <c r="X62" s="66">
        <f t="shared" ca="1" si="24"/>
        <v>-0.3060894036367125</v>
      </c>
      <c r="Y62" s="66">
        <f t="shared" ca="1" si="24"/>
        <v>7.9088160773579178E-2</v>
      </c>
      <c r="Z62" s="66">
        <f t="shared" ca="1" si="24"/>
        <v>0.2461191814808236</v>
      </c>
      <c r="AA62" s="66">
        <f t="shared" ca="1" si="24"/>
        <v>0.31198476546113552</v>
      </c>
      <c r="AB62" s="66">
        <f t="shared" ca="1" si="24"/>
        <v>-0.39550163678877626</v>
      </c>
      <c r="AC62" s="66">
        <f t="shared" ca="1" si="24"/>
        <v>0.16135064298817661</v>
      </c>
      <c r="AD62" s="66">
        <f ca="1">IF(AD$7=0,0,AD59/AD$7)</f>
        <v>0.27841057028826266</v>
      </c>
      <c r="AE62" s="66">
        <f t="shared" ca="1" si="24"/>
        <v>0.33486728841506569</v>
      </c>
      <c r="AF62" s="66">
        <f t="shared" ca="1" si="24"/>
        <v>0.35916345966112101</v>
      </c>
      <c r="AG62" s="66">
        <f t="shared" ca="1" si="24"/>
        <v>-0.27369627425188525</v>
      </c>
      <c r="AH62" s="66">
        <f t="shared" ca="1" si="24"/>
        <v>0.10172542628600262</v>
      </c>
      <c r="AI62" s="66">
        <f t="shared" ca="1" si="24"/>
        <v>0.32439828714577967</v>
      </c>
      <c r="AJ62" s="66">
        <f t="shared" ca="1" si="24"/>
        <v>0.33555047445783637</v>
      </c>
      <c r="AK62" s="66">
        <f t="shared" ca="1" si="24"/>
        <v>-0.33898686663513178</v>
      </c>
      <c r="AL62" s="66">
        <f t="shared" ca="1" si="24"/>
        <v>0.18557153127916262</v>
      </c>
      <c r="AM62" s="66">
        <f t="shared" ca="1" si="24"/>
        <v>0.27348285102864661</v>
      </c>
      <c r="AN62" s="66">
        <f t="shared" ca="1" si="24"/>
        <v>0.35099341888820862</v>
      </c>
      <c r="AO62" s="66">
        <f t="shared" ca="1" si="24"/>
        <v>-0.42801570885408474</v>
      </c>
      <c r="AP62" s="66">
        <f t="shared" ca="1" si="24"/>
        <v>0.32771622100731529</v>
      </c>
      <c r="AQ62" s="66">
        <f t="shared" ca="1" si="24"/>
        <v>9.9580630602678036E-2</v>
      </c>
      <c r="AR62" s="66">
        <f t="shared" ca="1" si="24"/>
        <v>0.18542082571776208</v>
      </c>
      <c r="AS62" s="66">
        <f t="shared" ca="1" si="24"/>
        <v>-0.46776817061833803</v>
      </c>
      <c r="AT62" s="66">
        <f t="shared" ca="1" si="24"/>
        <v>-3.137722393947151E-2</v>
      </c>
      <c r="AU62" s="66">
        <f t="shared" ca="1" si="24"/>
        <v>-9.2187145843638088E-2</v>
      </c>
      <c r="AV62" s="66">
        <f t="shared" ca="1" si="24"/>
        <v>0.33003926295654057</v>
      </c>
      <c r="AW62" s="66">
        <f t="shared" ca="1" si="24"/>
        <v>0.38561628605792792</v>
      </c>
      <c r="AX62" s="66">
        <f t="shared" ca="1" si="24"/>
        <v>-0.2754924925158429</v>
      </c>
      <c r="AY62" s="66">
        <f t="shared" ca="1" si="24"/>
        <v>0.19403262470198956</v>
      </c>
      <c r="AZ62" s="66">
        <f t="shared" ca="1" si="24"/>
        <v>0.25605877350421541</v>
      </c>
      <c r="BA62" s="66">
        <f t="shared" ca="1" si="24"/>
        <v>0.34293768366311067</v>
      </c>
      <c r="BB62" s="66">
        <f t="shared" ca="1" si="24"/>
        <v>-0.37568686132985768</v>
      </c>
      <c r="BC62" s="67">
        <f ca="1">IF(BC$7=0,0,BC59/BC$7)</f>
        <v>6.0597971012868707E-2</v>
      </c>
      <c r="BD62" s="67">
        <f ca="1">IF(BD$7=0,0,BD59/BD$7)</f>
        <v>9.8076225388188804E-2</v>
      </c>
      <c r="BE62" s="67">
        <f ca="1">IF(BE$7=0,0,BE59/BE$7)</f>
        <v>0.12613774331552627</v>
      </c>
      <c r="BF62" s="67">
        <f t="shared" ca="1" si="24"/>
        <v>8.7537209788476303E-2</v>
      </c>
      <c r="BG62" s="67">
        <f ca="1">IF(BG$7=0,0,BG59/BG$7)</f>
        <v>9.4920990620318973E-2</v>
      </c>
    </row>
    <row r="63" spans="1:59" ht="16.149999999999999" customHeight="1" x14ac:dyDescent="0.3">
      <c r="C63" s="68"/>
      <c r="D63" s="68"/>
      <c r="E63" s="68"/>
      <c r="F63" s="68"/>
      <c r="G63" s="68"/>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70"/>
      <c r="BE63" s="70"/>
      <c r="BF63" s="70"/>
      <c r="BG63" s="70"/>
    </row>
    <row r="64" spans="1:59" ht="16.149999999999999" customHeight="1" x14ac:dyDescent="0.3">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row>
    <row r="65" spans="1:59" ht="16.149999999999999" customHeight="1" x14ac:dyDescent="0.3">
      <c r="B65" s="3" t="str">
        <f>IF(ISBLANK(Assumptions!$C$4),"Example Limited",Assumptions!$C$4)</f>
        <v>Example (Pty) Limited</v>
      </c>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2"/>
      <c r="BD65" s="72"/>
      <c r="BE65" s="72"/>
      <c r="BF65" s="72"/>
      <c r="BG65" s="72"/>
    </row>
    <row r="66" spans="1:59" ht="16.149999999999999" customHeight="1" x14ac:dyDescent="0.3">
      <c r="B66" s="6" t="s">
        <v>101</v>
      </c>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2"/>
      <c r="BD66" s="72"/>
      <c r="BE66" s="72"/>
      <c r="BF66" s="72"/>
      <c r="BG66" s="72"/>
    </row>
    <row r="67" spans="1:59" ht="16.149999999999999" customHeight="1" x14ac:dyDescent="0.3">
      <c r="B67" s="73"/>
      <c r="C67" s="25" t="str">
        <f>IF(COLUMN(C68)-2&lt;=Assumptions!$C$8,"Q1",IF(COLUMN(C68)-2&lt;=SUM(Assumptions!$C$8:$C$9),"Q2",IF(COLUMN(C68)-2&lt;=SUM(Assumptions!$C$8:$C$10),"Q3","Q4")))</f>
        <v>Q1</v>
      </c>
      <c r="D67" s="25" t="str">
        <f>IF(COLUMN(D68)-2&lt;=Assumptions!$C$8,"Q1",IF(COLUMN(D68)-2&lt;=SUM(Assumptions!$C$8:$C$9),"Q2",IF(COLUMN(D68)-2&lt;=SUM(Assumptions!$C$8:$C$10),"Q3","Q4")))</f>
        <v>Q1</v>
      </c>
      <c r="E67" s="25" t="str">
        <f>IF(COLUMN(E68)-2&lt;=Assumptions!$C$8,"Q1",IF(COLUMN(E68)-2&lt;=SUM(Assumptions!$C$8:$C$9),"Q2",IF(COLUMN(E68)-2&lt;=SUM(Assumptions!$C$8:$C$10),"Q3","Q4")))</f>
        <v>Q1</v>
      </c>
      <c r="F67" s="25" t="str">
        <f>IF(COLUMN(F68)-2&lt;=Assumptions!$C$8,"Q1",IF(COLUMN(F68)-2&lt;=SUM(Assumptions!$C$8:$C$9),"Q2",IF(COLUMN(F68)-2&lt;=SUM(Assumptions!$C$8:$C$10),"Q3","Q4")))</f>
        <v>Q1</v>
      </c>
      <c r="G67" s="25" t="str">
        <f>IF(COLUMN(G68)-2&lt;=Assumptions!$C$8,"Q1",IF(COLUMN(G68)-2&lt;=SUM(Assumptions!$C$8:$C$9),"Q2",IF(COLUMN(G68)-2&lt;=SUM(Assumptions!$C$8:$C$10),"Q3","Q4")))</f>
        <v>Q1</v>
      </c>
      <c r="H67" s="25" t="str">
        <f>IF(COLUMN(H68)-2&lt;=Assumptions!$C$8,"Q1",IF(COLUMN(H68)-2&lt;=SUM(Assumptions!$C$8:$C$9),"Q2",IF(COLUMN(H68)-2&lt;=SUM(Assumptions!$C$8:$C$10),"Q3","Q4")))</f>
        <v>Q1</v>
      </c>
      <c r="I67" s="25" t="str">
        <f>IF(COLUMN(I68)-2&lt;=Assumptions!$C$8,"Q1",IF(COLUMN(I68)-2&lt;=SUM(Assumptions!$C$8:$C$9),"Q2",IF(COLUMN(I68)-2&lt;=SUM(Assumptions!$C$8:$C$10),"Q3","Q4")))</f>
        <v>Q1</v>
      </c>
      <c r="J67" s="25" t="str">
        <f>IF(COLUMN(J68)-2&lt;=Assumptions!$C$8,"Q1",IF(COLUMN(J68)-2&lt;=SUM(Assumptions!$C$8:$C$9),"Q2",IF(COLUMN(J68)-2&lt;=SUM(Assumptions!$C$8:$C$10),"Q3","Q4")))</f>
        <v>Q1</v>
      </c>
      <c r="K67" s="25" t="str">
        <f>IF(COLUMN(K68)-2&lt;=Assumptions!$C$8,"Q1",IF(COLUMN(K68)-2&lt;=SUM(Assumptions!$C$8:$C$9),"Q2",IF(COLUMN(K68)-2&lt;=SUM(Assumptions!$C$8:$C$10),"Q3","Q4")))</f>
        <v>Q1</v>
      </c>
      <c r="L67" s="25" t="str">
        <f>IF(COLUMN(L68)-2&lt;=Assumptions!$C$8,"Q1",IF(COLUMN(L68)-2&lt;=SUM(Assumptions!$C$8:$C$9),"Q2",IF(COLUMN(L68)-2&lt;=SUM(Assumptions!$C$8:$C$10),"Q3","Q4")))</f>
        <v>Q1</v>
      </c>
      <c r="M67" s="25" t="str">
        <f>IF(COLUMN(M68)-2&lt;=Assumptions!$C$8,"Q1",IF(COLUMN(M68)-2&lt;=SUM(Assumptions!$C$8:$C$9),"Q2",IF(COLUMN(M68)-2&lt;=SUM(Assumptions!$C$8:$C$10),"Q3","Q4")))</f>
        <v>Q1</v>
      </c>
      <c r="N67" s="25" t="str">
        <f>IF(COLUMN(N68)-2&lt;=Assumptions!$C$8,"Q1",IF(COLUMN(N68)-2&lt;=SUM(Assumptions!$C$8:$C$9),"Q2",IF(COLUMN(N68)-2&lt;=SUM(Assumptions!$C$8:$C$10),"Q3","Q4")))</f>
        <v>Q1</v>
      </c>
      <c r="O67" s="25" t="str">
        <f>IF(COLUMN(O68)-2&lt;=Assumptions!$C$8,"Q1",IF(COLUMN(O68)-2&lt;=SUM(Assumptions!$C$8:$C$9),"Q2",IF(COLUMN(O68)-2&lt;=SUM(Assumptions!$C$8:$C$10),"Q3","Q4")))</f>
        <v>Q1</v>
      </c>
      <c r="P67" s="25" t="str">
        <f>IF(COLUMN(P68)-2&lt;=Assumptions!$C$8,"Q1",IF(COLUMN(P68)-2&lt;=SUM(Assumptions!$C$8:$C$9),"Q2",IF(COLUMN(P68)-2&lt;=SUM(Assumptions!$C$8:$C$10),"Q3","Q4")))</f>
        <v>Q2</v>
      </c>
      <c r="Q67" s="25" t="str">
        <f>IF(COLUMN(Q68)-2&lt;=Assumptions!$C$8,"Q1",IF(COLUMN(Q68)-2&lt;=SUM(Assumptions!$C$8:$C$9),"Q2",IF(COLUMN(Q68)-2&lt;=SUM(Assumptions!$C$8:$C$10),"Q3","Q4")))</f>
        <v>Q2</v>
      </c>
      <c r="R67" s="25" t="str">
        <f>IF(COLUMN(R68)-2&lt;=Assumptions!$C$8,"Q1",IF(COLUMN(R68)-2&lt;=SUM(Assumptions!$C$8:$C$9),"Q2",IF(COLUMN(R68)-2&lt;=SUM(Assumptions!$C$8:$C$10),"Q3","Q4")))</f>
        <v>Q2</v>
      </c>
      <c r="S67" s="25" t="str">
        <f>IF(COLUMN(S68)-2&lt;=Assumptions!$C$8,"Q1",IF(COLUMN(S68)-2&lt;=SUM(Assumptions!$C$8:$C$9),"Q2",IF(COLUMN(S68)-2&lt;=SUM(Assumptions!$C$8:$C$10),"Q3","Q4")))</f>
        <v>Q2</v>
      </c>
      <c r="T67" s="25" t="str">
        <f>IF(COLUMN(T68)-2&lt;=Assumptions!$C$8,"Q1",IF(COLUMN(T68)-2&lt;=SUM(Assumptions!$C$8:$C$9),"Q2",IF(COLUMN(T68)-2&lt;=SUM(Assumptions!$C$8:$C$10),"Q3","Q4")))</f>
        <v>Q2</v>
      </c>
      <c r="U67" s="25" t="str">
        <f>IF(COLUMN(U68)-2&lt;=Assumptions!$C$8,"Q1",IF(COLUMN(U68)-2&lt;=SUM(Assumptions!$C$8:$C$9),"Q2",IF(COLUMN(U68)-2&lt;=SUM(Assumptions!$C$8:$C$10),"Q3","Q4")))</f>
        <v>Q2</v>
      </c>
      <c r="V67" s="25" t="str">
        <f>IF(COLUMN(V68)-2&lt;=Assumptions!$C$8,"Q1",IF(COLUMN(V68)-2&lt;=SUM(Assumptions!$C$8:$C$9),"Q2",IF(COLUMN(V68)-2&lt;=SUM(Assumptions!$C$8:$C$10),"Q3","Q4")))</f>
        <v>Q2</v>
      </c>
      <c r="W67" s="25" t="str">
        <f>IF(COLUMN(W68)-2&lt;=Assumptions!$C$8,"Q1",IF(COLUMN(W68)-2&lt;=SUM(Assumptions!$C$8:$C$9),"Q2",IF(COLUMN(W68)-2&lt;=SUM(Assumptions!$C$8:$C$10),"Q3","Q4")))</f>
        <v>Q2</v>
      </c>
      <c r="X67" s="25" t="str">
        <f>IF(COLUMN(X68)-2&lt;=Assumptions!$C$8,"Q1",IF(COLUMN(X68)-2&lt;=SUM(Assumptions!$C$8:$C$9),"Q2",IF(COLUMN(X68)-2&lt;=SUM(Assumptions!$C$8:$C$10),"Q3","Q4")))</f>
        <v>Q2</v>
      </c>
      <c r="Y67" s="25" t="str">
        <f>IF(COLUMN(Y68)-2&lt;=Assumptions!$C$8,"Q1",IF(COLUMN(Y68)-2&lt;=SUM(Assumptions!$C$8:$C$9),"Q2",IF(COLUMN(Y68)-2&lt;=SUM(Assumptions!$C$8:$C$10),"Q3","Q4")))</f>
        <v>Q2</v>
      </c>
      <c r="Z67" s="25" t="str">
        <f>IF(COLUMN(Z68)-2&lt;=Assumptions!$C$8,"Q1",IF(COLUMN(Z68)-2&lt;=SUM(Assumptions!$C$8:$C$9),"Q2",IF(COLUMN(Z68)-2&lt;=SUM(Assumptions!$C$8:$C$10),"Q3","Q4")))</f>
        <v>Q2</v>
      </c>
      <c r="AA67" s="25" t="str">
        <f>IF(COLUMN(AA68)-2&lt;=Assumptions!$C$8,"Q1",IF(COLUMN(AA68)-2&lt;=SUM(Assumptions!$C$8:$C$9),"Q2",IF(COLUMN(AA68)-2&lt;=SUM(Assumptions!$C$8:$C$10),"Q3","Q4")))</f>
        <v>Q2</v>
      </c>
      <c r="AB67" s="25" t="str">
        <f>IF(COLUMN(AB68)-2&lt;=Assumptions!$C$8,"Q1",IF(COLUMN(AB68)-2&lt;=SUM(Assumptions!$C$8:$C$9),"Q2",IF(COLUMN(AB68)-2&lt;=SUM(Assumptions!$C$8:$C$10),"Q3","Q4")))</f>
        <v>Q2</v>
      </c>
      <c r="AC67" s="25" t="str">
        <f>IF(COLUMN(AC68)-2&lt;=Assumptions!$C$8,"Q1",IF(COLUMN(AC68)-2&lt;=SUM(Assumptions!$C$8:$C$9),"Q2",IF(COLUMN(AC68)-2&lt;=SUM(Assumptions!$C$8:$C$10),"Q3","Q4")))</f>
        <v>Q3</v>
      </c>
      <c r="AD67" s="25" t="str">
        <f>IF(COLUMN(AD68)-2&lt;=Assumptions!$C$8,"Q1",IF(COLUMN(AD68)-2&lt;=SUM(Assumptions!$C$8:$C$9),"Q2",IF(COLUMN(AD68)-2&lt;=SUM(Assumptions!$C$8:$C$10),"Q3","Q4")))</f>
        <v>Q3</v>
      </c>
      <c r="AE67" s="25" t="str">
        <f>IF(COLUMN(AE68)-2&lt;=Assumptions!$C$8,"Q1",IF(COLUMN(AE68)-2&lt;=SUM(Assumptions!$C$8:$C$9),"Q2",IF(COLUMN(AE68)-2&lt;=SUM(Assumptions!$C$8:$C$10),"Q3","Q4")))</f>
        <v>Q3</v>
      </c>
      <c r="AF67" s="25" t="str">
        <f>IF(COLUMN(AF68)-2&lt;=Assumptions!$C$8,"Q1",IF(COLUMN(AF68)-2&lt;=SUM(Assumptions!$C$8:$C$9),"Q2",IF(COLUMN(AF68)-2&lt;=SUM(Assumptions!$C$8:$C$10),"Q3","Q4")))</f>
        <v>Q3</v>
      </c>
      <c r="AG67" s="25" t="str">
        <f>IF(COLUMN(AG68)-2&lt;=Assumptions!$C$8,"Q1",IF(COLUMN(AG68)-2&lt;=SUM(Assumptions!$C$8:$C$9),"Q2",IF(COLUMN(AG68)-2&lt;=SUM(Assumptions!$C$8:$C$10),"Q3","Q4")))</f>
        <v>Q3</v>
      </c>
      <c r="AH67" s="25" t="str">
        <f>IF(COLUMN(AH68)-2&lt;=Assumptions!$C$8,"Q1",IF(COLUMN(AH68)-2&lt;=SUM(Assumptions!$C$8:$C$9),"Q2",IF(COLUMN(AH68)-2&lt;=SUM(Assumptions!$C$8:$C$10),"Q3","Q4")))</f>
        <v>Q3</v>
      </c>
      <c r="AI67" s="25" t="str">
        <f>IF(COLUMN(AI68)-2&lt;=Assumptions!$C$8,"Q1",IF(COLUMN(AI68)-2&lt;=SUM(Assumptions!$C$8:$C$9),"Q2",IF(COLUMN(AI68)-2&lt;=SUM(Assumptions!$C$8:$C$10),"Q3","Q4")))</f>
        <v>Q3</v>
      </c>
      <c r="AJ67" s="25" t="str">
        <f>IF(COLUMN(AJ68)-2&lt;=Assumptions!$C$8,"Q1",IF(COLUMN(AJ68)-2&lt;=SUM(Assumptions!$C$8:$C$9),"Q2",IF(COLUMN(AJ68)-2&lt;=SUM(Assumptions!$C$8:$C$10),"Q3","Q4")))</f>
        <v>Q3</v>
      </c>
      <c r="AK67" s="25" t="str">
        <f>IF(COLUMN(AK68)-2&lt;=Assumptions!$C$8,"Q1",IF(COLUMN(AK68)-2&lt;=SUM(Assumptions!$C$8:$C$9),"Q2",IF(COLUMN(AK68)-2&lt;=SUM(Assumptions!$C$8:$C$10),"Q3","Q4")))</f>
        <v>Q3</v>
      </c>
      <c r="AL67" s="25" t="str">
        <f>IF(COLUMN(AL68)-2&lt;=Assumptions!$C$8,"Q1",IF(COLUMN(AL68)-2&lt;=SUM(Assumptions!$C$8:$C$9),"Q2",IF(COLUMN(AL68)-2&lt;=SUM(Assumptions!$C$8:$C$10),"Q3","Q4")))</f>
        <v>Q3</v>
      </c>
      <c r="AM67" s="25" t="str">
        <f>IF(COLUMN(AM68)-2&lt;=Assumptions!$C$8,"Q1",IF(COLUMN(AM68)-2&lt;=SUM(Assumptions!$C$8:$C$9),"Q2",IF(COLUMN(AM68)-2&lt;=SUM(Assumptions!$C$8:$C$10),"Q3","Q4")))</f>
        <v>Q3</v>
      </c>
      <c r="AN67" s="25" t="str">
        <f>IF(COLUMN(AN68)-2&lt;=Assumptions!$C$8,"Q1",IF(COLUMN(AN68)-2&lt;=SUM(Assumptions!$C$8:$C$9),"Q2",IF(COLUMN(AN68)-2&lt;=SUM(Assumptions!$C$8:$C$10),"Q3","Q4")))</f>
        <v>Q3</v>
      </c>
      <c r="AO67" s="25" t="str">
        <f>IF(COLUMN(AO68)-2&lt;=Assumptions!$C$8,"Q1",IF(COLUMN(AO68)-2&lt;=SUM(Assumptions!$C$8:$C$9),"Q2",IF(COLUMN(AO68)-2&lt;=SUM(Assumptions!$C$8:$C$10),"Q3","Q4")))</f>
        <v>Q3</v>
      </c>
      <c r="AP67" s="25" t="str">
        <f>IF(COLUMN(AP68)-2&lt;=Assumptions!$C$8,"Q1",IF(COLUMN(AP68)-2&lt;=SUM(Assumptions!$C$8:$C$9),"Q2",IF(COLUMN(AP68)-2&lt;=SUM(Assumptions!$C$8:$C$10),"Q3","Q4")))</f>
        <v>Q4</v>
      </c>
      <c r="AQ67" s="25" t="str">
        <f>IF(COLUMN(AQ68)-2&lt;=Assumptions!$C$8,"Q1",IF(COLUMN(AQ68)-2&lt;=SUM(Assumptions!$C$8:$C$9),"Q2",IF(COLUMN(AQ68)-2&lt;=SUM(Assumptions!$C$8:$C$10),"Q3","Q4")))</f>
        <v>Q4</v>
      </c>
      <c r="AR67" s="25" t="str">
        <f>IF(COLUMN(AR68)-2&lt;=Assumptions!$C$8,"Q1",IF(COLUMN(AR68)-2&lt;=SUM(Assumptions!$C$8:$C$9),"Q2",IF(COLUMN(AR68)-2&lt;=SUM(Assumptions!$C$8:$C$10),"Q3","Q4")))</f>
        <v>Q4</v>
      </c>
      <c r="AS67" s="25" t="str">
        <f>IF(COLUMN(AS68)-2&lt;=Assumptions!$C$8,"Q1",IF(COLUMN(AS68)-2&lt;=SUM(Assumptions!$C$8:$C$9),"Q2",IF(COLUMN(AS68)-2&lt;=SUM(Assumptions!$C$8:$C$10),"Q3","Q4")))</f>
        <v>Q4</v>
      </c>
      <c r="AT67" s="25" t="str">
        <f>IF(COLUMN(AT68)-2&lt;=Assumptions!$C$8,"Q1",IF(COLUMN(AT68)-2&lt;=SUM(Assumptions!$C$8:$C$9),"Q2",IF(COLUMN(AT68)-2&lt;=SUM(Assumptions!$C$8:$C$10),"Q3","Q4")))</f>
        <v>Q4</v>
      </c>
      <c r="AU67" s="25" t="str">
        <f>IF(COLUMN(AU68)-2&lt;=Assumptions!$C$8,"Q1",IF(COLUMN(AU68)-2&lt;=SUM(Assumptions!$C$8:$C$9),"Q2",IF(COLUMN(AU68)-2&lt;=SUM(Assumptions!$C$8:$C$10),"Q3","Q4")))</f>
        <v>Q4</v>
      </c>
      <c r="AV67" s="25" t="str">
        <f>IF(COLUMN(AV68)-2&lt;=Assumptions!$C$8,"Q1",IF(COLUMN(AV68)-2&lt;=SUM(Assumptions!$C$8:$C$9),"Q2",IF(COLUMN(AV68)-2&lt;=SUM(Assumptions!$C$8:$C$10),"Q3","Q4")))</f>
        <v>Q4</v>
      </c>
      <c r="AW67" s="25" t="str">
        <f>IF(COLUMN(AW68)-2&lt;=Assumptions!$C$8,"Q1",IF(COLUMN(AW68)-2&lt;=SUM(Assumptions!$C$8:$C$9),"Q2",IF(COLUMN(AW68)-2&lt;=SUM(Assumptions!$C$8:$C$10),"Q3","Q4")))</f>
        <v>Q4</v>
      </c>
      <c r="AX67" s="25" t="str">
        <f>IF(COLUMN(AX68)-2&lt;=Assumptions!$C$8,"Q1",IF(COLUMN(AX68)-2&lt;=SUM(Assumptions!$C$8:$C$9),"Q2",IF(COLUMN(AX68)-2&lt;=SUM(Assumptions!$C$8:$C$10),"Q3","Q4")))</f>
        <v>Q4</v>
      </c>
      <c r="AY67" s="25" t="str">
        <f>IF(COLUMN(AY68)-2&lt;=Assumptions!$C$8,"Q1",IF(COLUMN(AY68)-2&lt;=SUM(Assumptions!$C$8:$C$9),"Q2",IF(COLUMN(AY68)-2&lt;=SUM(Assumptions!$C$8:$C$10),"Q3","Q4")))</f>
        <v>Q4</v>
      </c>
      <c r="AZ67" s="25" t="str">
        <f>IF(COLUMN(AZ68)-2&lt;=Assumptions!$C$8,"Q1",IF(COLUMN(AZ68)-2&lt;=SUM(Assumptions!$C$8:$C$9),"Q2",IF(COLUMN(AZ68)-2&lt;=SUM(Assumptions!$C$8:$C$10),"Q3","Q4")))</f>
        <v>Q4</v>
      </c>
      <c r="BA67" s="25" t="str">
        <f>IF(COLUMN(BA68)-2&lt;=Assumptions!$C$8,"Q1",IF(COLUMN(BA68)-2&lt;=SUM(Assumptions!$C$8:$C$9),"Q2",IF(COLUMN(BA68)-2&lt;=SUM(Assumptions!$C$8:$C$10),"Q3","Q4")))</f>
        <v>Q4</v>
      </c>
      <c r="BB67" s="25" t="str">
        <f>IF(COLUMN(BB68)-2&lt;=Assumptions!$C$8,"Q1",IF(COLUMN(BB68)-2&lt;=SUM(Assumptions!$C$8:$C$9),"Q2",IF(COLUMN(BB68)-2&lt;=SUM(Assumptions!$C$8:$C$10),"Q3","Q4")))</f>
        <v>Q4</v>
      </c>
      <c r="BC67" s="39" t="s">
        <v>90</v>
      </c>
      <c r="BD67" s="39" t="s">
        <v>91</v>
      </c>
      <c r="BE67" s="39" t="s">
        <v>92</v>
      </c>
      <c r="BF67" s="39" t="s">
        <v>93</v>
      </c>
      <c r="BG67" s="74"/>
    </row>
    <row r="68" spans="1:59" ht="18" customHeight="1" x14ac:dyDescent="0.3">
      <c r="B68" s="88"/>
      <c r="C68" s="43">
        <f ca="1">IF(ISBLANK(Assumptions!$C$5)=TRUE,DATE(YEAR(TODAY()),MONTH(TODAY()),7),DATE(YEAR(Assumptions!$C$5),MONTH(Assumptions!$C$5),DAY(Assumptions!$C$5)+6))</f>
        <v>43897</v>
      </c>
      <c r="D68" s="43">
        <f t="shared" ref="D68:AI68" ca="1" si="25">DATE(YEAR(OFFSET(D67,1,-1,1,1)),MONTH(OFFSET(D67,1,-1,1,1)),DAY(OFFSET(D67,1,-1,1,1))+7)</f>
        <v>43904</v>
      </c>
      <c r="E68" s="43">
        <f t="shared" ca="1" si="25"/>
        <v>43911</v>
      </c>
      <c r="F68" s="43">
        <f t="shared" ca="1" si="25"/>
        <v>43918</v>
      </c>
      <c r="G68" s="43">
        <f t="shared" ca="1" si="25"/>
        <v>43925</v>
      </c>
      <c r="H68" s="43">
        <f t="shared" ca="1" si="25"/>
        <v>43932</v>
      </c>
      <c r="I68" s="43">
        <f t="shared" ca="1" si="25"/>
        <v>43939</v>
      </c>
      <c r="J68" s="43">
        <f t="shared" ca="1" si="25"/>
        <v>43946</v>
      </c>
      <c r="K68" s="43">
        <f t="shared" ca="1" si="25"/>
        <v>43953</v>
      </c>
      <c r="L68" s="43">
        <f t="shared" ca="1" si="25"/>
        <v>43960</v>
      </c>
      <c r="M68" s="43">
        <f t="shared" ca="1" si="25"/>
        <v>43967</v>
      </c>
      <c r="N68" s="43">
        <f t="shared" ca="1" si="25"/>
        <v>43974</v>
      </c>
      <c r="O68" s="43">
        <f t="shared" ca="1" si="25"/>
        <v>43981</v>
      </c>
      <c r="P68" s="43">
        <f t="shared" ca="1" si="25"/>
        <v>43988</v>
      </c>
      <c r="Q68" s="43">
        <f t="shared" ca="1" si="25"/>
        <v>43995</v>
      </c>
      <c r="R68" s="43">
        <f t="shared" ca="1" si="25"/>
        <v>44002</v>
      </c>
      <c r="S68" s="43">
        <f t="shared" ca="1" si="25"/>
        <v>44009</v>
      </c>
      <c r="T68" s="43">
        <f t="shared" ca="1" si="25"/>
        <v>44016</v>
      </c>
      <c r="U68" s="43">
        <f t="shared" ca="1" si="25"/>
        <v>44023</v>
      </c>
      <c r="V68" s="43">
        <f t="shared" ca="1" si="25"/>
        <v>44030</v>
      </c>
      <c r="W68" s="43">
        <f t="shared" ca="1" si="25"/>
        <v>44037</v>
      </c>
      <c r="X68" s="43">
        <f t="shared" ca="1" si="25"/>
        <v>44044</v>
      </c>
      <c r="Y68" s="43">
        <f t="shared" ca="1" si="25"/>
        <v>44051</v>
      </c>
      <c r="Z68" s="43">
        <f t="shared" ca="1" si="25"/>
        <v>44058</v>
      </c>
      <c r="AA68" s="43">
        <f t="shared" ca="1" si="25"/>
        <v>44065</v>
      </c>
      <c r="AB68" s="43">
        <f t="shared" ca="1" si="25"/>
        <v>44072</v>
      </c>
      <c r="AC68" s="43">
        <f t="shared" ca="1" si="25"/>
        <v>44079</v>
      </c>
      <c r="AD68" s="43">
        <f t="shared" ca="1" si="25"/>
        <v>44086</v>
      </c>
      <c r="AE68" s="43">
        <f t="shared" ca="1" si="25"/>
        <v>44093</v>
      </c>
      <c r="AF68" s="43">
        <f t="shared" ca="1" si="25"/>
        <v>44100</v>
      </c>
      <c r="AG68" s="43">
        <f t="shared" ca="1" si="25"/>
        <v>44107</v>
      </c>
      <c r="AH68" s="43">
        <f t="shared" ca="1" si="25"/>
        <v>44114</v>
      </c>
      <c r="AI68" s="43">
        <f t="shared" ca="1" si="25"/>
        <v>44121</v>
      </c>
      <c r="AJ68" s="43">
        <f t="shared" ref="AJ68:BB68" ca="1" si="26">DATE(YEAR(OFFSET(AJ67,1,-1,1,1)),MONTH(OFFSET(AJ67,1,-1,1,1)),DAY(OFFSET(AJ67,1,-1,1,1))+7)</f>
        <v>44128</v>
      </c>
      <c r="AK68" s="43">
        <f t="shared" ca="1" si="26"/>
        <v>44135</v>
      </c>
      <c r="AL68" s="43">
        <f t="shared" ca="1" si="26"/>
        <v>44142</v>
      </c>
      <c r="AM68" s="43">
        <f t="shared" ca="1" si="26"/>
        <v>44149</v>
      </c>
      <c r="AN68" s="43">
        <f t="shared" ca="1" si="26"/>
        <v>44156</v>
      </c>
      <c r="AO68" s="43">
        <f t="shared" ca="1" si="26"/>
        <v>44163</v>
      </c>
      <c r="AP68" s="43">
        <f t="shared" ca="1" si="26"/>
        <v>44170</v>
      </c>
      <c r="AQ68" s="43">
        <f t="shared" ca="1" si="26"/>
        <v>44177</v>
      </c>
      <c r="AR68" s="43">
        <f t="shared" ca="1" si="26"/>
        <v>44184</v>
      </c>
      <c r="AS68" s="43">
        <f t="shared" ca="1" si="26"/>
        <v>44191</v>
      </c>
      <c r="AT68" s="43">
        <f t="shared" ca="1" si="26"/>
        <v>44198</v>
      </c>
      <c r="AU68" s="43">
        <f t="shared" ca="1" si="26"/>
        <v>44205</v>
      </c>
      <c r="AV68" s="43">
        <f t="shared" ca="1" si="26"/>
        <v>44212</v>
      </c>
      <c r="AW68" s="43">
        <f t="shared" ca="1" si="26"/>
        <v>44219</v>
      </c>
      <c r="AX68" s="43">
        <f t="shared" ca="1" si="26"/>
        <v>44226</v>
      </c>
      <c r="AY68" s="43">
        <f t="shared" ca="1" si="26"/>
        <v>44233</v>
      </c>
      <c r="AZ68" s="43">
        <f t="shared" ca="1" si="26"/>
        <v>44240</v>
      </c>
      <c r="BA68" s="43">
        <f t="shared" ca="1" si="26"/>
        <v>44247</v>
      </c>
      <c r="BB68" s="43">
        <f t="shared" ca="1" si="26"/>
        <v>44254</v>
      </c>
      <c r="BC68" s="44" t="s">
        <v>76</v>
      </c>
      <c r="BD68" s="44" t="s">
        <v>77</v>
      </c>
      <c r="BE68" s="44" t="s">
        <v>78</v>
      </c>
      <c r="BF68" s="44" t="s">
        <v>79</v>
      </c>
      <c r="BG68" s="44" t="str">
        <f ca="1">"Total "&amp;YEAR(OFFSET($BC$68,0,-1,1,1))</f>
        <v>Total 2021</v>
      </c>
    </row>
    <row r="69" spans="1:59" ht="16.149999999999999" customHeight="1" x14ac:dyDescent="0.3">
      <c r="B69" s="10" t="s">
        <v>58</v>
      </c>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6"/>
      <c r="BD69" s="76"/>
      <c r="BE69" s="76"/>
      <c r="BF69" s="76"/>
      <c r="BG69" s="76"/>
    </row>
    <row r="70" spans="1:59" ht="16.149999999999999" customHeight="1" x14ac:dyDescent="0.3">
      <c r="B70" s="56" t="s">
        <v>55</v>
      </c>
      <c r="C70" s="52">
        <f ca="1">OFFSET(Actual!$B$59,0,COLUMN(C$68)-COLUMN($B$68),1,1)</f>
        <v>9923.9999999999982</v>
      </c>
      <c r="D70" s="52">
        <f ca="1">OFFSET(Actual!$B$59,0,COLUMN(D$68)-COLUMN($B$68),1,1)</f>
        <v>14492.894399999997</v>
      </c>
      <c r="E70" s="52">
        <f ca="1">OFFSET(Actual!$B$59,0,COLUMN(E$68)-COLUMN($B$68),1,1)</f>
        <v>27816.960000000003</v>
      </c>
      <c r="F70" s="52">
        <f ca="1">OFFSET(Actual!$B$59,0,COLUMN(F$68)-COLUMN($B$68),1,1)</f>
        <v>-15325.248</v>
      </c>
      <c r="G70" s="52">
        <f ca="1">OFFSET(Actual!$B$59,0,COLUMN(G$68)-COLUMN($B$68),1,1)</f>
        <v>8801.014492293416</v>
      </c>
      <c r="H70" s="52">
        <f ca="1">OFFSET(Actual!$B$59,0,COLUMN(H$68)-COLUMN($B$68),1,1)</f>
        <v>1929.636008943206</v>
      </c>
      <c r="I70" s="52">
        <f ca="1">OFFSET(Actual!$B$59,0,COLUMN(I$68)-COLUMN($B$68),1,1)</f>
        <v>23869.436190925131</v>
      </c>
      <c r="J70" s="52">
        <f ca="1">OFFSET(Actual!$B$59,0,COLUMN(J$68)-COLUMN($B$68),1,1)</f>
        <v>22433.040000000001</v>
      </c>
      <c r="K70" s="52">
        <f ca="1">OFFSET(Actual!$B$59,0,COLUMN(K$68)-COLUMN($B$68),1,1)</f>
        <v>-40905.903999999995</v>
      </c>
      <c r="L70" s="52">
        <f ca="1">OFFSET(Actual!$B$59,0,COLUMN(L$68)-COLUMN($B$68),1,1)</f>
        <v>1397.1065883243241</v>
      </c>
      <c r="M70" s="52">
        <f ca="1">OFFSET(Actual!$B$59,0,COLUMN(M$68)-COLUMN($B$68),1,1)</f>
        <v>30470.881236933725</v>
      </c>
      <c r="N70" s="52">
        <f ca="1">OFFSET(Actual!$B$59,0,COLUMN(N$68)-COLUMN($B$68),1,1)</f>
        <v>34681.344000000005</v>
      </c>
      <c r="O70" s="52">
        <f ca="1">OFFSET(Actual!$B$59,0,COLUMN(O$68)-COLUMN($B$68),1,1)</f>
        <v>-49068.28</v>
      </c>
      <c r="P70" s="52">
        <f ca="1">OFFSET(Actual!$B$59,0,COLUMN(P$68)-COLUMN($B$68),1,1)</f>
        <v>20406.401964360652</v>
      </c>
      <c r="Q70" s="52">
        <f ca="1">OFFSET(Actual!$B$59,0,COLUMN(Q$68)-COLUMN($B$68),1,1)</f>
        <v>24277.223858119552</v>
      </c>
      <c r="R70" s="52">
        <f ca="1">OFFSET(Actual!$B$59,0,COLUMN(R$68)-COLUMN($B$68),1,1)</f>
        <v>31251.048000000003</v>
      </c>
      <c r="S70" s="52">
        <f ca="1">OFFSET(Actual!$B$59,0,COLUMN(S$68)-COLUMN($B$68),1,1)</f>
        <v>-23846.446799999998</v>
      </c>
      <c r="T70" s="52">
        <f ca="1">OFFSET(Actual!$B$59,0,COLUMN(T$68)-COLUMN($B$68),1,1)</f>
        <v>14968.529806357068</v>
      </c>
      <c r="U70" s="52">
        <f ca="1">OFFSET(Actual!$B$59,0,COLUMN(U$68)-COLUMN($B$68),1,1)</f>
        <v>9566.0641217637913</v>
      </c>
      <c r="V70" s="52">
        <f ca="1">OFFSET(Actual!$B$59,0,COLUMN(V$68)-COLUMN($B$68),1,1)</f>
        <v>33091.145654923515</v>
      </c>
      <c r="W70" s="52">
        <f ca="1">OFFSET(Actual!$B$59,0,COLUMN(W$68)-COLUMN($B$68),1,1)</f>
        <v>25001.207999999999</v>
      </c>
      <c r="X70" s="52">
        <f ca="1">OFFSET(Actual!$B$59,0,COLUMN(X$68)-COLUMN($B$68),1,1)</f>
        <v>-31899.107199999995</v>
      </c>
      <c r="Y70" s="52">
        <f ca="1">OFFSET(Actual!$B$59,0,COLUMN(Y$68)-COLUMN($B$68),1,1)</f>
        <v>7528.8396451932822</v>
      </c>
      <c r="Z70" s="52">
        <f ca="1">OFFSET(Actual!$B$59,0,COLUMN(Z$68)-COLUMN($B$68),1,1)</f>
        <v>26924.330917685438</v>
      </c>
      <c r="AA70" s="52">
        <f ca="1">OFFSET(Actual!$B$59,0,COLUMN(AA$68)-COLUMN($B$68),1,1)</f>
        <v>31013.063999999998</v>
      </c>
      <c r="AB70" s="52">
        <f ca="1">OFFSET(Actual!$B$59,0,COLUMN(AB$68)-COLUMN($B$68),1,1)</f>
        <v>-40594.287999999993</v>
      </c>
      <c r="AC70" s="52">
        <f ca="1">OFFSET(Actual!$B$59,0,COLUMN(AC$68)-COLUMN($B$68),1,1)</f>
        <v>15499.471845958637</v>
      </c>
      <c r="AD70" s="52">
        <f ca="1">OFFSET(Actual!$B$59,0,COLUMN(AD$68)-COLUMN($B$68),1,1)</f>
        <v>29241.796290060574</v>
      </c>
      <c r="AE70" s="52">
        <f ca="1">OFFSET(Actual!$B$59,0,COLUMN(AE$68)-COLUMN($B$68),1,1)</f>
        <v>36608.529137756021</v>
      </c>
      <c r="AF70" s="52">
        <f ca="1">OFFSET(Actual!$B$59,0,COLUMN(AF$68)-COLUMN($B$68),1,1)</f>
        <v>41252.302800000005</v>
      </c>
      <c r="AG70" s="52">
        <f ca="1">OFFSET(Actual!$B$59,0,COLUMN(AG$68)-COLUMN($B$68),1,1)</f>
        <v>-32288.360017906278</v>
      </c>
      <c r="AH70" s="52">
        <f ca="1">OFFSET(Actual!$B$59,0,COLUMN(AH$68)-COLUMN($B$68),1,1)</f>
        <v>12164.258658329336</v>
      </c>
      <c r="AI70" s="52">
        <f ca="1">OFFSET(Actual!$B$59,0,COLUMN(AI$68)-COLUMN($B$68),1,1)</f>
        <v>35057.609352443906</v>
      </c>
      <c r="AJ70" s="52">
        <f ca="1">OFFSET(Actual!$B$59,0,COLUMN(AJ$68)-COLUMN($B$68),1,1)</f>
        <v>38954.188800000004</v>
      </c>
      <c r="AK70" s="52">
        <f ca="1">OFFSET(Actual!$B$59,0,COLUMN(AK$68)-COLUMN($B$68),1,1)</f>
        <v>-38985.116800000003</v>
      </c>
      <c r="AL70" s="52">
        <f ca="1">OFFSET(Actual!$B$59,0,COLUMN(AL$68)-COLUMN($B$68),1,1)</f>
        <v>21401.593559363268</v>
      </c>
      <c r="AM70" s="52">
        <f ca="1">OFFSET(Actual!$B$59,0,COLUMN(AM$68)-COLUMN($B$68),1,1)</f>
        <v>31677.65537607365</v>
      </c>
      <c r="AN70" s="52">
        <f ca="1">OFFSET(Actual!$B$59,0,COLUMN(AN$68)-COLUMN($B$68),1,1)</f>
        <v>38812.887360000001</v>
      </c>
      <c r="AO70" s="52">
        <f ca="1">OFFSET(Actual!$B$59,0,COLUMN(AO$68)-COLUMN($B$68),1,1)</f>
        <v>-46267.214079999998</v>
      </c>
      <c r="AP70" s="52">
        <f ca="1">OFFSET(Actual!$B$59,0,COLUMN(AP$68)-COLUMN($B$68),1,1)</f>
        <v>33599.839643110055</v>
      </c>
      <c r="AQ70" s="52">
        <f ca="1">OFFSET(Actual!$B$59,0,COLUMN(AQ$68)-COLUMN($B$68),1,1)</f>
        <v>9250.2260134304597</v>
      </c>
      <c r="AR70" s="52">
        <f ca="1">OFFSET(Actual!$B$59,0,COLUMN(AR$68)-COLUMN($B$68),1,1)</f>
        <v>15887.80570212553</v>
      </c>
      <c r="AS70" s="52">
        <f ca="1">OFFSET(Actual!$B$59,0,COLUMN(AS$68)-COLUMN($B$68),1,1)</f>
        <v>-33169.4784</v>
      </c>
      <c r="AT70" s="52">
        <f ca="1">OFFSET(Actual!$B$59,0,COLUMN(AT$68)-COLUMN($B$68),1,1)</f>
        <v>-1900.8431664452646</v>
      </c>
      <c r="AU70" s="52">
        <f ca="1">OFFSET(Actual!$B$59,0,COLUMN(AU$68)-COLUMN($B$68),1,1)</f>
        <v>-5272.7367311698908</v>
      </c>
      <c r="AV70" s="52">
        <f ca="1">OFFSET(Actual!$B$59,0,COLUMN(AV$68)-COLUMN($B$68),1,1)</f>
        <v>32415.383779986805</v>
      </c>
      <c r="AW70" s="52">
        <f ca="1">OFFSET(Actual!$B$59,0,COLUMN(AW$68)-COLUMN($B$68),1,1)</f>
        <v>47204.455679999999</v>
      </c>
      <c r="AX70" s="52">
        <f ca="1">OFFSET(Actual!$B$59,0,COLUMN(AX$68)-COLUMN($B$68),1,1)</f>
        <v>-34248.721599999983</v>
      </c>
      <c r="AY70" s="52">
        <f ca="1">OFFSET(Actual!$B$59,0,COLUMN(AY$68)-COLUMN($B$68),1,1)</f>
        <v>23822.562465919786</v>
      </c>
      <c r="AZ70" s="52">
        <f ca="1">OFFSET(Actual!$B$59,0,COLUMN(AZ$68)-COLUMN($B$68),1,1)</f>
        <v>30288.492423832729</v>
      </c>
      <c r="BA70" s="52">
        <f ca="1">OFFSET(Actual!$B$59,0,COLUMN(BA$68)-COLUMN($B$68),1,1)</f>
        <v>38511.216</v>
      </c>
      <c r="BB70" s="52">
        <f ca="1">OFFSET(Actual!$B$59,0,COLUMN(BB$68)-COLUMN($B$68),1,1)</f>
        <v>-43905.711999999992</v>
      </c>
      <c r="BC70" s="53">
        <f ca="1">SUM(OFFSET($B70,0,1,1,Assumptions!$C$8))</f>
        <v>70516.880917419825</v>
      </c>
      <c r="BD70" s="53">
        <f ca="1">SUM(OFFSET($B70,0,1+Assumptions!$C$8,1,SUM(Assumptions!$C$9)))</f>
        <v>127688.01396840328</v>
      </c>
      <c r="BE70" s="53">
        <f ca="1">SUM(OFFSET($B70,0,1+SUM(Assumptions!$C$8:$C$9),1,SUM(Assumptions!$C$10)))</f>
        <v>183129.60228207908</v>
      </c>
      <c r="BF70" s="53">
        <f ca="1">SUM(OFFSET($B70,0,1+SUM(Assumptions!$C$8:$C$10),1,SUM(Assumptions!$C$11)))</f>
        <v>112482.48981079023</v>
      </c>
      <c r="BG70" s="53">
        <f ca="1">SUM(BC70:BF70)</f>
        <v>493816.98697869241</v>
      </c>
    </row>
    <row r="71" spans="1:59" ht="16.149999999999999" customHeight="1" x14ac:dyDescent="0.3">
      <c r="B71" s="56" t="s">
        <v>41</v>
      </c>
      <c r="C71" s="52">
        <f ca="1">OFFSET(Actual!$B$56,0,COLUMN(C$68)-COLUMN($B$68),1,1)</f>
        <v>4166.666666666667</v>
      </c>
      <c r="D71" s="52">
        <f ca="1">OFFSET(Actual!$B$56,0,COLUMN(D$68)-COLUMN($B$68),1,1)</f>
        <v>14895.833333333334</v>
      </c>
      <c r="E71" s="52">
        <f ca="1">OFFSET(Actual!$B$56,0,COLUMN(E$68)-COLUMN($B$68),1,1)</f>
        <v>0</v>
      </c>
      <c r="F71" s="52">
        <f ca="1">OFFSET(Actual!$B$56,0,COLUMN(F$68)-COLUMN($B$68),1,1)</f>
        <v>0</v>
      </c>
      <c r="G71" s="52">
        <f ca="1">OFFSET(Actual!$B$56,0,COLUMN(G$68)-COLUMN($B$68),1,1)</f>
        <v>4138.1632051480383</v>
      </c>
      <c r="H71" s="52">
        <f ca="1">OFFSET(Actual!$B$56,0,COLUMN(H$68)-COLUMN($B$68),1,1)</f>
        <v>10949.308320912218</v>
      </c>
      <c r="I71" s="52">
        <f ca="1">OFFSET(Actual!$B$56,0,COLUMN(I$68)-COLUMN($B$68),1,1)</f>
        <v>3830.8552903817708</v>
      </c>
      <c r="J71" s="52">
        <f ca="1">OFFSET(Actual!$B$56,0,COLUMN(J$68)-COLUMN($B$68),1,1)</f>
        <v>0</v>
      </c>
      <c r="K71" s="52">
        <f ca="1">OFFSET(Actual!$B$56,0,COLUMN(K$68)-COLUMN($B$68),1,1)</f>
        <v>0</v>
      </c>
      <c r="L71" s="52">
        <f ca="1">OFFSET(Actual!$B$56,0,COLUMN(L$68)-COLUMN($B$68),1,1)</f>
        <v>15007.574182882883</v>
      </c>
      <c r="M71" s="52">
        <f ca="1">OFFSET(Actual!$B$56,0,COLUMN(M$68)-COLUMN($B$68),1,1)</f>
        <v>3765.2816153698186</v>
      </c>
      <c r="N71" s="52">
        <f ca="1">OFFSET(Actual!$B$56,0,COLUMN(N$68)-COLUMN($B$68),1,1)</f>
        <v>0</v>
      </c>
      <c r="O71" s="52">
        <f ca="1">OFFSET(Actual!$B$56,0,COLUMN(O$68)-COLUMN($B$68),1,1)</f>
        <v>0</v>
      </c>
      <c r="P71" s="52">
        <f ca="1">OFFSET(Actual!$B$56,0,COLUMN(P$68)-COLUMN($B$68),1,1)</f>
        <v>4080.4417161657643</v>
      </c>
      <c r="Q71" s="52">
        <f ca="1">OFFSET(Actual!$B$56,0,COLUMN(Q$68)-COLUMN($B$68),1,1)</f>
        <v>14545.633530389519</v>
      </c>
      <c r="R71" s="52">
        <f ca="1">OFFSET(Actual!$B$56,0,COLUMN(R$68)-COLUMN($B$68),1,1)</f>
        <v>0</v>
      </c>
      <c r="S71" s="52">
        <f ca="1">OFFSET(Actual!$B$56,0,COLUMN(S$68)-COLUMN($B$68),1,1)</f>
        <v>0</v>
      </c>
      <c r="T71" s="52">
        <f ca="1">OFFSET(Actual!$B$56,0,COLUMN(T$68)-COLUMN($B$68),1,1)</f>
        <v>4051.2197133929608</v>
      </c>
      <c r="U71" s="52">
        <f ca="1">OFFSET(Actual!$B$56,0,COLUMN(U$68)-COLUMN($B$68),1,1)</f>
        <v>10794.428164216964</v>
      </c>
      <c r="V71" s="52">
        <f ca="1">OFFSET(Actual!$B$56,0,COLUMN(V$68)-COLUMN($B$68),1,1)</f>
        <v>3632.3254792728935</v>
      </c>
      <c r="W71" s="52">
        <f ca="1">OFFSET(Actual!$B$56,0,COLUMN(W$68)-COLUMN($B$68),1,1)</f>
        <v>0</v>
      </c>
      <c r="X71" s="52">
        <f ca="1">OFFSET(Actual!$B$56,0,COLUMN(X$68)-COLUMN($B$68),1,1)</f>
        <v>0</v>
      </c>
      <c r="Y71" s="52">
        <f ca="1">OFFSET(Actual!$B$56,0,COLUMN(Y$68)-COLUMN($B$68),1,1)</f>
        <v>15596.939603898223</v>
      </c>
      <c r="Z71" s="52">
        <f ca="1">OFFSET(Actual!$B$56,0,COLUMN(Z$68)-COLUMN($B$68),1,1)</f>
        <v>3564.9319476591104</v>
      </c>
      <c r="AA71" s="52">
        <f ca="1">OFFSET(Actual!$B$56,0,COLUMN(AA$68)-COLUMN($B$68),1,1)</f>
        <v>0</v>
      </c>
      <c r="AB71" s="52">
        <f ca="1">OFFSET(Actual!$B$56,0,COLUMN(AB$68)-COLUMN($B$68),1,1)</f>
        <v>0</v>
      </c>
      <c r="AC71" s="52">
        <f ca="1">OFFSET(Actual!$B$56,0,COLUMN(AC$68)-COLUMN($B$68),1,1)</f>
        <v>4819.6757695018941</v>
      </c>
      <c r="AD71" s="52">
        <f ca="1">OFFSET(Actual!$B$56,0,COLUMN(AD$68)-COLUMN($B$68),1,1)</f>
        <v>10688.79404158254</v>
      </c>
      <c r="AE71" s="52">
        <f ca="1">OFFSET(Actual!$B$56,0,COLUMN(AE$68)-COLUMN($B$68),1,1)</f>
        <v>3496.9206420055343</v>
      </c>
      <c r="AF71" s="52">
        <f ca="1">OFFSET(Actual!$B$56,0,COLUMN(AF$68)-COLUMN($B$68),1,1)</f>
        <v>0</v>
      </c>
      <c r="AG71" s="52">
        <f ca="1">OFFSET(Actual!$B$56,0,COLUMN(AG$68)-COLUMN($B$68),1,1)</f>
        <v>4783.9689137587211</v>
      </c>
      <c r="AH71" s="52">
        <f ca="1">OFFSET(Actual!$B$56,0,COLUMN(AH$68)-COLUMN($B$68),1,1)</f>
        <v>10635.249641209264</v>
      </c>
      <c r="AI71" s="52">
        <f ca="1">OFFSET(Actual!$B$56,0,COLUMN(AI$68)-COLUMN($B$68),1,1)</f>
        <v>3428.2858993834666</v>
      </c>
      <c r="AJ71" s="52">
        <f ca="1">OFFSET(Actual!$B$56,0,COLUMN(AJ$68)-COLUMN($B$68),1,1)</f>
        <v>0</v>
      </c>
      <c r="AK71" s="52">
        <f ca="1">OFFSET(Actual!$B$56,0,COLUMN(AK$68)-COLUMN($B$68),1,1)</f>
        <v>0</v>
      </c>
      <c r="AL71" s="52">
        <f ca="1">OFFSET(Actual!$B$56,0,COLUMN(AL$68)-COLUMN($B$68),1,1)</f>
        <v>4747.9645008843554</v>
      </c>
      <c r="AM71" s="52">
        <f ca="1">OFFSET(Actual!$B$56,0,COLUMN(AM$68)-COLUMN($B$68),1,1)</f>
        <v>13940.23642211993</v>
      </c>
      <c r="AN71" s="52">
        <f ca="1">OFFSET(Actual!$B$56,0,COLUMN(AN$68)-COLUMN($B$68),1,1)</f>
        <v>0</v>
      </c>
      <c r="AO71" s="52">
        <f ca="1">OFFSET(Actual!$B$56,0,COLUMN(AO$68)-COLUMN($B$68),1,1)</f>
        <v>0</v>
      </c>
      <c r="AP71" s="52">
        <f ca="1">OFFSET(Actual!$B$56,0,COLUMN(AP$68)-COLUMN($B$68),1,1)</f>
        <v>4711.6600512360355</v>
      </c>
      <c r="AQ71" s="52">
        <f ca="1">OFFSET(Actual!$B$56,0,COLUMN(AQ$68)-COLUMN($B$68),1,1)</f>
        <v>10526.683870235474</v>
      </c>
      <c r="AR71" s="52">
        <f ca="1">OFFSET(Actual!$B$56,0,COLUMN(AR$68)-COLUMN($B$68),1,1)</f>
        <v>3289.1231914923233</v>
      </c>
      <c r="AS71" s="52">
        <f ca="1">OFFSET(Actual!$B$56,0,COLUMN(AS$68)-COLUMN($B$68),1,1)</f>
        <v>0</v>
      </c>
      <c r="AT71" s="52">
        <f ca="1">OFFSET(Actual!$B$56,0,COLUMN(AT$68)-COLUMN($B$68),1,1)</f>
        <v>4675.053064507315</v>
      </c>
      <c r="AU71" s="52">
        <f ca="1">OFFSET(Actual!$B$56,0,COLUMN(AU$68)-COLUMN($B$68),1,1)</f>
        <v>10471.653459958185</v>
      </c>
      <c r="AV71" s="52">
        <f ca="1">OFFSET(Actual!$B$56,0,COLUMN(AV$68)-COLUMN($B$68),1,1)</f>
        <v>3218.5836389072178</v>
      </c>
      <c r="AW71" s="52">
        <f ca="1">OFFSET(Actual!$B$56,0,COLUMN(AW$68)-COLUMN($B$68),1,1)</f>
        <v>0</v>
      </c>
      <c r="AX71" s="52">
        <f ca="1">OFFSET(Actual!$B$56,0,COLUMN(AX$68)-COLUMN($B$68),1,1)</f>
        <v>0</v>
      </c>
      <c r="AY71" s="52">
        <f ca="1">OFFSET(Actual!$B$56,0,COLUMN(AY$68)-COLUMN($B$68),1,1)</f>
        <v>7033.9743528891886</v>
      </c>
      <c r="AZ71" s="52">
        <f ca="1">OFFSET(Actual!$B$56,0,COLUMN(AZ$68)-COLUMN($B$68),1,1)</f>
        <v>13563.516078010103</v>
      </c>
      <c r="BA71" s="52">
        <f ca="1">OFFSET(Actual!$B$56,0,COLUMN(BA$68)-COLUMN($B$68),1,1)</f>
        <v>0</v>
      </c>
      <c r="BB71" s="52">
        <f ca="1">OFFSET(Actual!$B$56,0,COLUMN(BB$68)-COLUMN($B$68),1,1)</f>
        <v>0</v>
      </c>
      <c r="BC71" s="53">
        <f ca="1">SUM(OFFSET($B71,0,1,1,Assumptions!$C$8))</f>
        <v>56753.682614694728</v>
      </c>
      <c r="BD71" s="53">
        <f ca="1">SUM(OFFSET($B71,0,1+Assumptions!$C$8,1,SUM(Assumptions!$C$9)))</f>
        <v>56265.920154995438</v>
      </c>
      <c r="BE71" s="53">
        <f ca="1">SUM(OFFSET($B71,0,1+SUM(Assumptions!$C$8:$C$9),1,SUM(Assumptions!$C$10)))</f>
        <v>56541.095830445709</v>
      </c>
      <c r="BF71" s="53">
        <f ca="1">SUM(OFFSET($B71,0,1+SUM(Assumptions!$C$8:$C$10),1,SUM(Assumptions!$C$11)))</f>
        <v>57490.247707235845</v>
      </c>
      <c r="BG71" s="53">
        <f ca="1">SUM(BC71:BF71)</f>
        <v>227050.94630737172</v>
      </c>
    </row>
    <row r="72" spans="1:59" ht="16.149999999999999" customHeight="1" x14ac:dyDescent="0.3">
      <c r="B72" s="56" t="s">
        <v>37</v>
      </c>
      <c r="C72" s="52">
        <f ca="1">OFFSET(Actual!$B$58,0,COLUMN(C$68)-COLUMN($B$68),1,1)</f>
        <v>3859.3333333333335</v>
      </c>
      <c r="D72" s="52">
        <f ca="1">OFFSET(Actual!$B$58,0,COLUMN(D$68)-COLUMN($B$68),1,1)</f>
        <v>5636.1255999999994</v>
      </c>
      <c r="E72" s="52">
        <f ca="1">OFFSET(Actual!$B$58,0,COLUMN(E$68)-COLUMN($B$68),1,1)</f>
        <v>10817.706666666669</v>
      </c>
      <c r="F72" s="52">
        <f ca="1">OFFSET(Actual!$B$58,0,COLUMN(F$68)-COLUMN($B$68),1,1)</f>
        <v>-5959.818666666667</v>
      </c>
      <c r="G72" s="52">
        <f ca="1">OFFSET(Actual!$B$58,0,COLUMN(G$68)-COLUMN($B$68),1,1)</f>
        <v>3228.1723025585516</v>
      </c>
      <c r="H72" s="52">
        <f ca="1">OFFSET(Actual!$B$58,0,COLUMN(H$68)-COLUMN($B$68),1,1)</f>
        <v>750.41400347791352</v>
      </c>
      <c r="I72" s="52">
        <f ca="1">OFFSET(Actual!$B$58,0,COLUMN(I$68)-COLUMN($B$68),1,1)</f>
        <v>9282.5585186931075</v>
      </c>
      <c r="J72" s="52">
        <f ca="1">OFFSET(Actual!$B$58,0,COLUMN(J$68)-COLUMN($B$68),1,1)</f>
        <v>8723.9600000000009</v>
      </c>
      <c r="K72" s="52">
        <f ca="1">OFFSET(Actual!$B$58,0,COLUMN(K$68)-COLUMN($B$68),1,1)</f>
        <v>-16102.296</v>
      </c>
      <c r="L72" s="52">
        <f ca="1">OFFSET(Actual!$B$58,0,COLUMN(L$68)-COLUMN($B$68),1,1)</f>
        <v>543.31922879279273</v>
      </c>
      <c r="M72" s="52">
        <f ca="1">OFFSET(Actual!$B$58,0,COLUMN(M$68)-COLUMN($B$68),1,1)</f>
        <v>11849.78714769645</v>
      </c>
      <c r="N72" s="52">
        <f ca="1">OFFSET(Actual!$B$58,0,COLUMN(N$68)-COLUMN($B$68),1,1)</f>
        <v>13487.189333333337</v>
      </c>
      <c r="O72" s="52">
        <f ca="1">OFFSET(Actual!$B$58,0,COLUMN(O$68)-COLUMN($B$68),1,1)</f>
        <v>-19276.553333333333</v>
      </c>
      <c r="P72" s="52">
        <f ca="1">OFFSET(Actual!$B$58,0,COLUMN(P$68)-COLUMN($B$68),1,1)</f>
        <v>7935.8229861402542</v>
      </c>
      <c r="Q72" s="52">
        <f ca="1">OFFSET(Actual!$B$58,0,COLUMN(Q$68)-COLUMN($B$68),1,1)</f>
        <v>9441.1426114909373</v>
      </c>
      <c r="R72" s="52">
        <f ca="1">OFFSET(Actual!$B$58,0,COLUMN(R$68)-COLUMN($B$68),1,1)</f>
        <v>12153.185333333335</v>
      </c>
      <c r="S72" s="52">
        <f ca="1">OFFSET(Actual!$B$58,0,COLUMN(S$68)-COLUMN($B$68),1,1)</f>
        <v>-9273.618199999999</v>
      </c>
      <c r="T72" s="52">
        <f ca="1">OFFSET(Actual!$B$58,0,COLUMN(T$68)-COLUMN($B$68),1,1)</f>
        <v>5626.6504802499712</v>
      </c>
      <c r="U72" s="52">
        <f ca="1">OFFSET(Actual!$B$58,0,COLUMN(U$68)-COLUMN($B$68),1,1)</f>
        <v>3720.136047352586</v>
      </c>
      <c r="V72" s="52">
        <f ca="1">OFFSET(Actual!$B$58,0,COLUMN(V$68)-COLUMN($B$68),1,1)</f>
        <v>12868.778865803592</v>
      </c>
      <c r="W72" s="52">
        <f ca="1">OFFSET(Actual!$B$58,0,COLUMN(W$68)-COLUMN($B$68),1,1)</f>
        <v>9722.6920000000009</v>
      </c>
      <c r="X72" s="52">
        <f ca="1">OFFSET(Actual!$B$58,0,COLUMN(X$68)-COLUMN($B$68),1,1)</f>
        <v>-12599.6528</v>
      </c>
      <c r="Y72" s="52">
        <f ca="1">OFFSET(Actual!$B$58,0,COLUMN(Y$68)-COLUMN($B$68),1,1)</f>
        <v>2927.8820842418322</v>
      </c>
      <c r="Z72" s="52">
        <f ca="1">OFFSET(Actual!$B$58,0,COLUMN(Z$68)-COLUMN($B$68),1,1)</f>
        <v>10470.573134655451</v>
      </c>
      <c r="AA72" s="52">
        <f ca="1">OFFSET(Actual!$B$58,0,COLUMN(AA$68)-COLUMN($B$68),1,1)</f>
        <v>12060.636</v>
      </c>
      <c r="AB72" s="52">
        <f ca="1">OFFSET(Actual!$B$58,0,COLUMN(AB$68)-COLUMN($B$68),1,1)</f>
        <v>-15981.111999999999</v>
      </c>
      <c r="AC72" s="52">
        <f ca="1">OFFSET(Actual!$B$58,0,COLUMN(AC$68)-COLUMN($B$68),1,1)</f>
        <v>6027.5723845394705</v>
      </c>
      <c r="AD72" s="52">
        <f ca="1">OFFSET(Actual!$B$58,0,COLUMN(AD$68)-COLUMN($B$68),1,1)</f>
        <v>11371.809668356891</v>
      </c>
      <c r="AE72" s="52">
        <f ca="1">OFFSET(Actual!$B$58,0,COLUMN(AE$68)-COLUMN($B$68),1,1)</f>
        <v>14236.650220238453</v>
      </c>
      <c r="AF72" s="52">
        <f ca="1">OFFSET(Actual!$B$58,0,COLUMN(AF$68)-COLUMN($B$68),1,1)</f>
        <v>16042.562200000002</v>
      </c>
      <c r="AG72" s="52">
        <f ca="1">OFFSET(Actual!$B$58,0,COLUMN(AG$68)-COLUMN($B$68),1,1)</f>
        <v>-12751.028895852442</v>
      </c>
      <c r="AH72" s="52">
        <f ca="1">OFFSET(Actual!$B$58,0,COLUMN(AH$68)-COLUMN($B$68),1,1)</f>
        <v>4730.5450337947423</v>
      </c>
      <c r="AI72" s="52">
        <f ca="1">OFFSET(Actual!$B$58,0,COLUMN(AI$68)-COLUMN($B$68),1,1)</f>
        <v>13633.514748172631</v>
      </c>
      <c r="AJ72" s="52">
        <f ca="1">OFFSET(Actual!$B$58,0,COLUMN(AJ$68)-COLUMN($B$68),1,1)</f>
        <v>15148.851200000005</v>
      </c>
      <c r="AK72" s="52">
        <f ca="1">OFFSET(Actual!$B$58,0,COLUMN(AK$68)-COLUMN($B$68),1,1)</f>
        <v>-15355.323200000003</v>
      </c>
      <c r="AL72" s="52">
        <f ca="1">OFFSET(Actual!$B$58,0,COLUMN(AL$68)-COLUMN($B$68),1,1)</f>
        <v>8322.8419397523849</v>
      </c>
      <c r="AM72" s="52">
        <f ca="1">OFFSET(Actual!$B$58,0,COLUMN(AM$68)-COLUMN($B$68),1,1)</f>
        <v>12319.088201806422</v>
      </c>
      <c r="AN72" s="52">
        <f ca="1">OFFSET(Actual!$B$58,0,COLUMN(AN$68)-COLUMN($B$68),1,1)</f>
        <v>15093.900640000002</v>
      </c>
      <c r="AO72" s="52">
        <f ca="1">OFFSET(Actual!$B$58,0,COLUMN(AO$68)-COLUMN($B$68),1,1)</f>
        <v>-18187.249920000002</v>
      </c>
      <c r="AP72" s="52">
        <f ca="1">OFFSET(Actual!$B$58,0,COLUMN(AP$68)-COLUMN($B$68),1,1)</f>
        <v>13066.604305653913</v>
      </c>
      <c r="AQ72" s="52">
        <f ca="1">OFFSET(Actual!$B$58,0,COLUMN(AQ$68)-COLUMN($B$68),1,1)</f>
        <v>3597.310116334068</v>
      </c>
      <c r="AR72" s="52">
        <f ca="1">OFFSET(Actual!$B$58,0,COLUMN(AR$68)-COLUMN($B$68),1,1)</f>
        <v>6178.5911063821513</v>
      </c>
      <c r="AS72" s="52">
        <f ca="1">OFFSET(Actual!$B$58,0,COLUMN(AS$68)-COLUMN($B$68),1,1)</f>
        <v>-12899.241600000001</v>
      </c>
      <c r="AT72" s="52">
        <f ca="1">OFFSET(Actual!$B$58,0,COLUMN(AT$68)-COLUMN($B$68),1,1)</f>
        <v>-933.66123139538092</v>
      </c>
      <c r="AU72" s="52">
        <f ca="1">OFFSET(Actual!$B$58,0,COLUMN(AU$68)-COLUMN($B$68),1,1)</f>
        <v>-2050.5087287882911</v>
      </c>
      <c r="AV72" s="52">
        <f ca="1">OFFSET(Actual!$B$58,0,COLUMN(AV$68)-COLUMN($B$68),1,1)</f>
        <v>12605.98258110598</v>
      </c>
      <c r="AW72" s="52">
        <f ca="1">OFFSET(Actual!$B$58,0,COLUMN(AW$68)-COLUMN($B$68),1,1)</f>
        <v>18357.288320000003</v>
      </c>
      <c r="AX72" s="52">
        <f ca="1">OFFSET(Actual!$B$58,0,COLUMN(AX$68)-COLUMN($B$68),1,1)</f>
        <v>-13513.391733333328</v>
      </c>
      <c r="AY72" s="52">
        <f ca="1">OFFSET(Actual!$B$58,0,COLUMN(AY$68)-COLUMN($B$68),1,1)</f>
        <v>9264.3298478576962</v>
      </c>
      <c r="AZ72" s="52">
        <f ca="1">OFFSET(Actual!$B$58,0,COLUMN(AZ$68)-COLUMN($B$68),1,1)</f>
        <v>11778.85816482384</v>
      </c>
      <c r="BA72" s="52">
        <f ca="1">OFFSET(Actual!$B$58,0,COLUMN(BA$68)-COLUMN($B$68),1,1)</f>
        <v>14976.584000000003</v>
      </c>
      <c r="BB72" s="52">
        <f ca="1">OFFSET(Actual!$B$58,0,COLUMN(BB$68)-COLUMN($B$68),1,1)</f>
        <v>-17268.887999999999</v>
      </c>
      <c r="BC72" s="53">
        <f ca="1">SUM(OFFSET($B72,0,1,1,Assumptions!$C$8))</f>
        <v>26839.89813455215</v>
      </c>
      <c r="BD72" s="53">
        <f ca="1">SUM(OFFSET($B72,0,1+Assumptions!$C$8,1,SUM(Assumptions!$C$9)))</f>
        <v>49073.116543267963</v>
      </c>
      <c r="BE72" s="53">
        <f ca="1">SUM(OFFSET($B72,0,1+SUM(Assumptions!$C$8:$C$9),1,SUM(Assumptions!$C$10)))</f>
        <v>70633.734220808547</v>
      </c>
      <c r="BF72" s="53">
        <f ca="1">SUM(OFFSET($B72,0,1+SUM(Assumptions!$C$8:$C$10),1,SUM(Assumptions!$C$11)))</f>
        <v>43159.857148640658</v>
      </c>
      <c r="BG72" s="53">
        <f ca="1">SUM(BC72:BF72)</f>
        <v>189706.60604726931</v>
      </c>
    </row>
    <row r="73" spans="1:59" ht="16.149999999999999" customHeight="1" x14ac:dyDescent="0.25">
      <c r="A73" s="307"/>
      <c r="B73" s="20" t="s">
        <v>59</v>
      </c>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8"/>
      <c r="BD73" s="78"/>
      <c r="BE73" s="78"/>
      <c r="BF73" s="78"/>
      <c r="BG73" s="78"/>
    </row>
    <row r="74" spans="1:59" ht="16.149999999999999" customHeight="1" x14ac:dyDescent="0.3">
      <c r="A74" s="308" t="s">
        <v>210</v>
      </c>
      <c r="B74" s="2" t="s">
        <v>57</v>
      </c>
      <c r="C74" s="79">
        <f ca="1">SUMIF(Actual!$A$4:$AO$63,$A74,Actual!C$4:C$63)</f>
        <v>0</v>
      </c>
      <c r="D74" s="79">
        <f ca="1">SUMIF(Actual!$A$4:$AO$63,$A74,Actual!D$4:D$63)</f>
        <v>0</v>
      </c>
      <c r="E74" s="79">
        <f ca="1">SUMIF(Actual!$A$4:$AO$63,$A74,Actual!E$4:E$63)</f>
        <v>0</v>
      </c>
      <c r="F74" s="79">
        <f ca="1">SUMIF(Actual!$A$4:$AO$63,$A74,Actual!F$4:F$63)</f>
        <v>0</v>
      </c>
      <c r="G74" s="79">
        <f ca="1">SUMIF(Actual!$A$4:$AO$63,$A74,Actual!G$4:G$63)</f>
        <v>15000</v>
      </c>
      <c r="H74" s="79">
        <f ca="1">SUMIF(Actual!$A$4:$AO$63,$A74,Actual!H$4:H$63)</f>
        <v>0</v>
      </c>
      <c r="I74" s="79">
        <f ca="1">SUMIF(Actual!$A$4:$AO$63,$A74,Actual!I$4:I$63)</f>
        <v>0</v>
      </c>
      <c r="J74" s="79">
        <f ca="1">SUMIF(Actual!$A$4:$AO$63,$A74,Actual!J$4:J$63)</f>
        <v>0</v>
      </c>
      <c r="K74" s="79">
        <f ca="1">SUMIF(Actual!$A$4:$AO$63,$A74,Actual!K$4:K$63)</f>
        <v>15000</v>
      </c>
      <c r="L74" s="79">
        <f ca="1">SUMIF(Actual!$A$4:$AO$63,$A74,Actual!L$4:L$63)</f>
        <v>0</v>
      </c>
      <c r="M74" s="79">
        <f ca="1">SUMIF(Actual!$A$4:$AO$63,$A74,Actual!M$4:M$63)</f>
        <v>0</v>
      </c>
      <c r="N74" s="79">
        <f ca="1">SUMIF(Actual!$A$4:$AO$63,$A74,Actual!N$4:N$63)</f>
        <v>0</v>
      </c>
      <c r="O74" s="79">
        <f ca="1">SUMIF(Actual!$A$4:$AO$63,$A74,Actual!O$4:O$63)</f>
        <v>15000</v>
      </c>
      <c r="P74" s="79">
        <f ca="1">SUMIF(Actual!$A$4:$AO$63,$A74,Actual!P$4:P$63)</f>
        <v>0</v>
      </c>
      <c r="Q74" s="79">
        <f ca="1">SUMIF(Actual!$A$4:$AO$63,$A74,Actual!Q$4:Q$63)</f>
        <v>0</v>
      </c>
      <c r="R74" s="79">
        <f ca="1">SUMIF(Actual!$A$4:$AO$63,$A74,Actual!R$4:R$63)</f>
        <v>0</v>
      </c>
      <c r="S74" s="79">
        <f ca="1">SUMIF(Actual!$A$4:$AO$63,$A74,Actual!S$4:S$63)</f>
        <v>0</v>
      </c>
      <c r="T74" s="79">
        <f ca="1">SUMIF(Actual!$A$4:$AO$63,$A74,Actual!T$4:T$63)</f>
        <v>15000</v>
      </c>
      <c r="U74" s="79">
        <f ca="1">SUMIF(Actual!$A$4:$AO$63,$A74,Actual!U$4:U$63)</f>
        <v>0</v>
      </c>
      <c r="V74" s="79">
        <f ca="1">SUMIF(Actual!$A$4:$AO$63,$A74,Actual!V$4:V$63)</f>
        <v>0</v>
      </c>
      <c r="W74" s="79">
        <f ca="1">SUMIF(Actual!$A$4:$AO$63,$A74,Actual!W$4:W$63)</f>
        <v>0</v>
      </c>
      <c r="X74" s="79">
        <f ca="1">SUMIF(Actual!$A$4:$AO$63,$A74,Actual!X$4:X$63)</f>
        <v>15000</v>
      </c>
      <c r="Y74" s="79">
        <f ca="1">SUMIF(Actual!$A$4:$AO$63,$A74,Actual!Y$4:Y$63)</f>
        <v>0</v>
      </c>
      <c r="Z74" s="79">
        <f ca="1">SUMIF(Actual!$A$4:$AO$63,$A74,Actual!Z$4:Z$63)</f>
        <v>0</v>
      </c>
      <c r="AA74" s="79">
        <f ca="1">SUMIF(Actual!$A$4:$AO$63,$A74,Actual!AA$4:AA$63)</f>
        <v>0</v>
      </c>
      <c r="AB74" s="79">
        <f ca="1">SUMIF(Actual!$A$4:$AO$63,$A74,Actual!AB$4:AB$63)</f>
        <v>15000</v>
      </c>
      <c r="AC74" s="79">
        <f ca="1">SUMIF(Actual!$A$4:$AO$63,$A74,Actual!AC$4:AC$63)</f>
        <v>0</v>
      </c>
      <c r="AD74" s="79">
        <f ca="1">SUMIF(Actual!$A$4:$AO$63,$A74,Actual!AD$4:AD$63)</f>
        <v>0</v>
      </c>
      <c r="AE74" s="79">
        <f ca="1">SUMIF(Actual!$A$4:$AO$63,$A74,Actual!AE$4:AE$63)</f>
        <v>0</v>
      </c>
      <c r="AF74" s="79">
        <f ca="1">SUMIF(Actual!$A$4:$AO$63,$A74,Actual!AF$4:AF$63)</f>
        <v>0</v>
      </c>
      <c r="AG74" s="79">
        <f ca="1">SUMIF(Actual!$A$4:$AO$63,$A74,Actual!AG$4:AG$63)</f>
        <v>15000</v>
      </c>
      <c r="AH74" s="79">
        <f ca="1">SUMIF(Actual!$A$4:$AO$63,$A74,Actual!AH$4:AH$63)</f>
        <v>0</v>
      </c>
      <c r="AI74" s="79">
        <f ca="1">SUMIF(Actual!$A$4:$AO$63,$A74,Actual!AI$4:AI$63)</f>
        <v>0</v>
      </c>
      <c r="AJ74" s="79">
        <f ca="1">SUMIF(Actual!$A$4:$AO$63,$A74,Actual!AJ$4:AJ$63)</f>
        <v>0</v>
      </c>
      <c r="AK74" s="79">
        <f ca="1">SUMIF(Actual!$A$4:$AO$63,$A74,Actual!AK$4:AK$63)</f>
        <v>15000</v>
      </c>
      <c r="AL74" s="79">
        <f ca="1">SUMIF(Actual!$A$4:$AO$63,$A74,Actual!AL$4:AL$63)</f>
        <v>0</v>
      </c>
      <c r="AM74" s="79">
        <f ca="1">SUMIF(Actual!$A$4:$AO$63,$A74,Actual!AM$4:AM$63)</f>
        <v>0</v>
      </c>
      <c r="AN74" s="79">
        <f ca="1">SUMIF(Actual!$A$4:$AO$63,$A74,Actual!AN$4:AN$63)</f>
        <v>0</v>
      </c>
      <c r="AO74" s="79">
        <f ca="1">SUMIF(Actual!$A$4:$AO$63,$A74,Actual!AO$4:AO$63)</f>
        <v>15000</v>
      </c>
      <c r="AP74" s="79">
        <f ca="1">SUMIF(Actual!$A$4:$AO$63,$A74,Actual!AP$4:AP$63)</f>
        <v>0</v>
      </c>
      <c r="AQ74" s="79">
        <f ca="1">SUMIF(Actual!$A$4:$AO$63,$A74,Actual!AQ$4:AQ$63)</f>
        <v>0</v>
      </c>
      <c r="AR74" s="79">
        <f ca="1">SUMIF(Actual!$A$4:$AO$63,$A74,Actual!AR$4:AR$63)</f>
        <v>0</v>
      </c>
      <c r="AS74" s="79">
        <f ca="1">SUMIF(Actual!$A$4:$AO$63,$A74,Actual!AS$4:AS$63)</f>
        <v>0</v>
      </c>
      <c r="AT74" s="79">
        <f ca="1">SUMIF(Actual!$A$4:$AO$63,$A74,Actual!AT$4:AT$63)</f>
        <v>15000</v>
      </c>
      <c r="AU74" s="79">
        <f ca="1">SUMIF(Actual!$A$4:$AO$63,$A74,Actual!AU$4:AU$63)</f>
        <v>0</v>
      </c>
      <c r="AV74" s="79">
        <f ca="1">SUMIF(Actual!$A$4:$AO$63,$A74,Actual!AV$4:AV$63)</f>
        <v>0</v>
      </c>
      <c r="AW74" s="79">
        <f ca="1">SUMIF(Actual!$A$4:$AO$63,$A74,Actual!AW$4:AW$63)</f>
        <v>0</v>
      </c>
      <c r="AX74" s="79">
        <f ca="1">SUMIF(Actual!$A$4:$AO$63,$A74,Actual!AX$4:AX$63)</f>
        <v>15000</v>
      </c>
      <c r="AY74" s="79">
        <f ca="1">SUMIF(Actual!$A$4:$AO$63,$A74,Actual!AY$4:AY$63)</f>
        <v>0</v>
      </c>
      <c r="AZ74" s="79">
        <f ca="1">SUMIF(Actual!$A$4:$AO$63,$A74,Actual!AZ$4:AZ$63)</f>
        <v>0</v>
      </c>
      <c r="BA74" s="79">
        <f ca="1">SUMIF(Actual!$A$4:$AO$63,$A74,Actual!BA$4:BA$63)</f>
        <v>0</v>
      </c>
      <c r="BB74" s="79">
        <f ca="1">SUMIF(Actual!$A$4:$AO$63,$A74,Actual!BB$4:BB$63)</f>
        <v>20000</v>
      </c>
      <c r="BC74" s="53">
        <f ca="1">SUM(OFFSET($B74,0,1,1,Assumptions!$C$8))</f>
        <v>45000</v>
      </c>
      <c r="BD74" s="53">
        <f ca="1">SUM(OFFSET($B74,0,1+Assumptions!$C$8,1,SUM(Assumptions!$C$9)))</f>
        <v>45000</v>
      </c>
      <c r="BE74" s="53">
        <f ca="1">SUM(OFFSET($B74,0,1+SUM(Assumptions!$C$8:$C$9),1,SUM(Assumptions!$C$10)))</f>
        <v>45000</v>
      </c>
      <c r="BF74" s="53">
        <f ca="1">SUM(OFFSET($B74,0,1+SUM(Assumptions!$C$8:$C$10),1,SUM(Assumptions!$C$11)))</f>
        <v>50000</v>
      </c>
      <c r="BG74" s="53">
        <f ca="1">SUM(BC74:BF74)</f>
        <v>185000</v>
      </c>
    </row>
    <row r="75" spans="1:59" ht="16.149999999999999" customHeight="1" x14ac:dyDescent="0.3">
      <c r="A75" s="308" t="s">
        <v>211</v>
      </c>
      <c r="B75" s="2" t="s">
        <v>212</v>
      </c>
      <c r="C75" s="79">
        <f ca="1">SUMIF(Actual!$A$4:$AO$63,$A75,Actual!C$4:C$63)</f>
        <v>0</v>
      </c>
      <c r="D75" s="79">
        <f ca="1">SUMIF(Actual!$A$4:$AO$63,$A75,Actual!D$4:D$63)</f>
        <v>0</v>
      </c>
      <c r="E75" s="79">
        <f ca="1">SUMIF(Actual!$A$4:$AO$63,$A75,Actual!E$4:E$63)</f>
        <v>0</v>
      </c>
      <c r="F75" s="79">
        <f ca="1">SUMIF(Actual!$A$4:$AO$63,$A75,Actual!F$4:F$63)</f>
        <v>0</v>
      </c>
      <c r="G75" s="79">
        <f ca="1">SUMIF(Actual!$A$4:$AO$63,$A75,Actual!G$4:G$63)</f>
        <v>1000</v>
      </c>
      <c r="H75" s="79">
        <f ca="1">SUMIF(Actual!$A$4:$AO$63,$A75,Actual!H$4:H$63)</f>
        <v>0</v>
      </c>
      <c r="I75" s="79">
        <f ca="1">SUMIF(Actual!$A$4:$AO$63,$A75,Actual!I$4:I$63)</f>
        <v>0</v>
      </c>
      <c r="J75" s="79">
        <f ca="1">SUMIF(Actual!$A$4:$AO$63,$A75,Actual!J$4:J$63)</f>
        <v>0</v>
      </c>
      <c r="K75" s="79">
        <f ca="1">SUMIF(Actual!$A$4:$AO$63,$A75,Actual!K$4:K$63)</f>
        <v>1000</v>
      </c>
      <c r="L75" s="79">
        <f ca="1">SUMIF(Actual!$A$4:$AO$63,$A75,Actual!L$4:L$63)</f>
        <v>0</v>
      </c>
      <c r="M75" s="79">
        <f ca="1">SUMIF(Actual!$A$4:$AO$63,$A75,Actual!M$4:M$63)</f>
        <v>0</v>
      </c>
      <c r="N75" s="79">
        <f ca="1">SUMIF(Actual!$A$4:$AO$63,$A75,Actual!N$4:N$63)</f>
        <v>0</v>
      </c>
      <c r="O75" s="79">
        <f ca="1">SUMIF(Actual!$A$4:$AO$63,$A75,Actual!O$4:O$63)</f>
        <v>1000</v>
      </c>
      <c r="P75" s="79">
        <f ca="1">SUMIF(Actual!$A$4:$AO$63,$A75,Actual!P$4:P$63)</f>
        <v>0</v>
      </c>
      <c r="Q75" s="79">
        <f ca="1">SUMIF(Actual!$A$4:$AO$63,$A75,Actual!Q$4:Q$63)</f>
        <v>0</v>
      </c>
      <c r="R75" s="79">
        <f ca="1">SUMIF(Actual!$A$4:$AO$63,$A75,Actual!R$4:R$63)</f>
        <v>0</v>
      </c>
      <c r="S75" s="79">
        <f ca="1">SUMIF(Actual!$A$4:$AO$63,$A75,Actual!S$4:S$63)</f>
        <v>0</v>
      </c>
      <c r="T75" s="79">
        <f ca="1">SUMIF(Actual!$A$4:$AO$63,$A75,Actual!T$4:T$63)</f>
        <v>1000</v>
      </c>
      <c r="U75" s="79">
        <f ca="1">SUMIF(Actual!$A$4:$AO$63,$A75,Actual!U$4:U$63)</f>
        <v>0</v>
      </c>
      <c r="V75" s="79">
        <f ca="1">SUMIF(Actual!$A$4:$AO$63,$A75,Actual!V$4:V$63)</f>
        <v>0</v>
      </c>
      <c r="W75" s="79">
        <f ca="1">SUMIF(Actual!$A$4:$AO$63,$A75,Actual!W$4:W$63)</f>
        <v>0</v>
      </c>
      <c r="X75" s="79">
        <f ca="1">SUMIF(Actual!$A$4:$AO$63,$A75,Actual!X$4:X$63)</f>
        <v>1000</v>
      </c>
      <c r="Y75" s="79">
        <f ca="1">SUMIF(Actual!$A$4:$AO$63,$A75,Actual!Y$4:Y$63)</f>
        <v>0</v>
      </c>
      <c r="Z75" s="79">
        <f ca="1">SUMIF(Actual!$A$4:$AO$63,$A75,Actual!Z$4:Z$63)</f>
        <v>0</v>
      </c>
      <c r="AA75" s="79">
        <f ca="1">SUMIF(Actual!$A$4:$AO$63,$A75,Actual!AA$4:AA$63)</f>
        <v>0</v>
      </c>
      <c r="AB75" s="79">
        <f ca="1">SUMIF(Actual!$A$4:$AO$63,$A75,Actual!AB$4:AB$63)</f>
        <v>1000</v>
      </c>
      <c r="AC75" s="79">
        <f ca="1">SUMIF(Actual!$A$4:$AO$63,$A75,Actual!AC$4:AC$63)</f>
        <v>0</v>
      </c>
      <c r="AD75" s="79">
        <f ca="1">SUMIF(Actual!$A$4:$AO$63,$A75,Actual!AD$4:AD$63)</f>
        <v>0</v>
      </c>
      <c r="AE75" s="79">
        <f ca="1">SUMIF(Actual!$A$4:$AO$63,$A75,Actual!AE$4:AE$63)</f>
        <v>0</v>
      </c>
      <c r="AF75" s="79">
        <f ca="1">SUMIF(Actual!$A$4:$AO$63,$A75,Actual!AF$4:AF$63)</f>
        <v>0</v>
      </c>
      <c r="AG75" s="79">
        <f ca="1">SUMIF(Actual!$A$4:$AO$63,$A75,Actual!AG$4:AG$63)</f>
        <v>1000</v>
      </c>
      <c r="AH75" s="79">
        <f ca="1">SUMIF(Actual!$A$4:$AO$63,$A75,Actual!AH$4:AH$63)</f>
        <v>0</v>
      </c>
      <c r="AI75" s="79">
        <f ca="1">SUMIF(Actual!$A$4:$AO$63,$A75,Actual!AI$4:AI$63)</f>
        <v>0</v>
      </c>
      <c r="AJ75" s="79">
        <f ca="1">SUMIF(Actual!$A$4:$AO$63,$A75,Actual!AJ$4:AJ$63)</f>
        <v>0</v>
      </c>
      <c r="AK75" s="79">
        <f ca="1">SUMIF(Actual!$A$4:$AO$63,$A75,Actual!AK$4:AK$63)</f>
        <v>1000</v>
      </c>
      <c r="AL75" s="79">
        <f ca="1">SUMIF(Actual!$A$4:$AO$63,$A75,Actual!AL$4:AL$63)</f>
        <v>0</v>
      </c>
      <c r="AM75" s="79">
        <f ca="1">SUMIF(Actual!$A$4:$AO$63,$A75,Actual!AM$4:AM$63)</f>
        <v>0</v>
      </c>
      <c r="AN75" s="79">
        <f ca="1">SUMIF(Actual!$A$4:$AO$63,$A75,Actual!AN$4:AN$63)</f>
        <v>0</v>
      </c>
      <c r="AO75" s="79">
        <f ca="1">SUMIF(Actual!$A$4:$AO$63,$A75,Actual!AO$4:AO$63)</f>
        <v>1000</v>
      </c>
      <c r="AP75" s="79">
        <f ca="1">SUMIF(Actual!$A$4:$AO$63,$A75,Actual!AP$4:AP$63)</f>
        <v>0</v>
      </c>
      <c r="AQ75" s="79">
        <f ca="1">SUMIF(Actual!$A$4:$AO$63,$A75,Actual!AQ$4:AQ$63)</f>
        <v>0</v>
      </c>
      <c r="AR75" s="79">
        <f ca="1">SUMIF(Actual!$A$4:$AO$63,$A75,Actual!AR$4:AR$63)</f>
        <v>0</v>
      </c>
      <c r="AS75" s="79">
        <f ca="1">SUMIF(Actual!$A$4:$AO$63,$A75,Actual!AS$4:AS$63)</f>
        <v>0</v>
      </c>
      <c r="AT75" s="79">
        <f ca="1">SUMIF(Actual!$A$4:$AO$63,$A75,Actual!AT$4:AT$63)</f>
        <v>1000</v>
      </c>
      <c r="AU75" s="79">
        <f ca="1">SUMIF(Actual!$A$4:$AO$63,$A75,Actual!AU$4:AU$63)</f>
        <v>0</v>
      </c>
      <c r="AV75" s="79">
        <f ca="1">SUMIF(Actual!$A$4:$AO$63,$A75,Actual!AV$4:AV$63)</f>
        <v>0</v>
      </c>
      <c r="AW75" s="79">
        <f ca="1">SUMIF(Actual!$A$4:$AO$63,$A75,Actual!AW$4:AW$63)</f>
        <v>0</v>
      </c>
      <c r="AX75" s="79">
        <f ca="1">SUMIF(Actual!$A$4:$AO$63,$A75,Actual!AX$4:AX$63)</f>
        <v>1000</v>
      </c>
      <c r="AY75" s="79">
        <f ca="1">SUMIF(Actual!$A$4:$AO$63,$A75,Actual!AY$4:AY$63)</f>
        <v>0</v>
      </c>
      <c r="AZ75" s="79">
        <f ca="1">SUMIF(Actual!$A$4:$AO$63,$A75,Actual!AZ$4:AZ$63)</f>
        <v>0</v>
      </c>
      <c r="BA75" s="79">
        <f ca="1">SUMIF(Actual!$A$4:$AO$63,$A75,Actual!BA$4:BA$63)</f>
        <v>0</v>
      </c>
      <c r="BB75" s="79">
        <f ca="1">SUMIF(Actual!$A$4:$AO$63,$A75,Actual!BB$4:BB$63)</f>
        <v>1000</v>
      </c>
      <c r="BC75" s="53">
        <f ca="1">SUM(OFFSET($B75,0,1,1,Assumptions!$C$8))</f>
        <v>3000</v>
      </c>
      <c r="BD75" s="53">
        <f ca="1">SUM(OFFSET($B75,0,1+Assumptions!$C$8,1,SUM(Assumptions!$C$9)))</f>
        <v>3000</v>
      </c>
      <c r="BE75" s="53">
        <f ca="1">SUM(OFFSET($B75,0,1+SUM(Assumptions!$C$8:$C$9),1,SUM(Assumptions!$C$10)))</f>
        <v>3000</v>
      </c>
      <c r="BF75" s="53">
        <f ca="1">SUM(OFFSET($B75,0,1+SUM(Assumptions!$C$8:$C$10),1,SUM(Assumptions!$C$11)))</f>
        <v>3000</v>
      </c>
      <c r="BG75" s="53">
        <f t="shared" ref="BG75:BG76" ca="1" si="27">SUM(BC75:BF75)</f>
        <v>12000</v>
      </c>
    </row>
    <row r="76" spans="1:59" ht="16.149999999999999" customHeight="1" x14ac:dyDescent="0.3">
      <c r="A76" s="308" t="s">
        <v>127</v>
      </c>
      <c r="B76" s="2" t="s">
        <v>128</v>
      </c>
      <c r="C76" s="79">
        <f ca="1">OFFSET(BS!$B66,0,COLUMN(C$68)-COLUMN($B$68)+1,1,1)-OFFSET(BS!$B66,0,COLUMN(C$68)-COLUMN($B$68),1,1)</f>
        <v>0</v>
      </c>
      <c r="D76" s="79">
        <f ca="1">OFFSET(BS!$B66,0,COLUMN(D$68)-COLUMN($B$68)+1,1,1)-OFFSET(BS!$B66,0,COLUMN(D$68)-COLUMN($B$68),1,1)</f>
        <v>0</v>
      </c>
      <c r="E76" s="79">
        <f ca="1">OFFSET(BS!$B66,0,COLUMN(E$68)-COLUMN($B$68)+1,1,1)-OFFSET(BS!$B66,0,COLUMN(E$68)-COLUMN($B$68),1,1)</f>
        <v>0</v>
      </c>
      <c r="F76" s="79">
        <f ca="1">OFFSET(BS!$B66,0,COLUMN(F$68)-COLUMN($B$68)+1,1,1)-OFFSET(BS!$B66,0,COLUMN(F$68)-COLUMN($B$68),1,1)</f>
        <v>0</v>
      </c>
      <c r="G76" s="79">
        <f ca="1">OFFSET(BS!$B66,0,COLUMN(G$68)-COLUMN($B$68)+1,1,1)-OFFSET(BS!$B66,0,COLUMN(G$68)-COLUMN($B$68),1,1)</f>
        <v>0</v>
      </c>
      <c r="H76" s="79">
        <f ca="1">OFFSET(BS!$B66,0,COLUMN(H$68)-COLUMN($B$68)+1,1,1)-OFFSET(BS!$B66,0,COLUMN(H$68)-COLUMN($B$68),1,1)</f>
        <v>0</v>
      </c>
      <c r="I76" s="79">
        <f ca="1">OFFSET(BS!$B66,0,COLUMN(I$68)-COLUMN($B$68)+1,1,1)-OFFSET(BS!$B66,0,COLUMN(I$68)-COLUMN($B$68),1,1)</f>
        <v>0</v>
      </c>
      <c r="J76" s="79">
        <f ca="1">OFFSET(BS!$B66,0,COLUMN(J$68)-COLUMN($B$68)+1,1,1)-OFFSET(BS!$B66,0,COLUMN(J$68)-COLUMN($B$68),1,1)</f>
        <v>0</v>
      </c>
      <c r="K76" s="79">
        <f ca="1">OFFSET(BS!$B66,0,COLUMN(K$68)-COLUMN($B$68)+1,1,1)-OFFSET(BS!$B66,0,COLUMN(K$68)-COLUMN($B$68),1,1)</f>
        <v>0</v>
      </c>
      <c r="L76" s="79">
        <f ca="1">OFFSET(BS!$B66,0,COLUMN(L$68)-COLUMN($B$68)+1,1,1)-OFFSET(BS!$B66,0,COLUMN(L$68)-COLUMN($B$68),1,1)</f>
        <v>0</v>
      </c>
      <c r="M76" s="79">
        <f ca="1">OFFSET(BS!$B66,0,COLUMN(M$68)-COLUMN($B$68)+1,1,1)-OFFSET(BS!$B66,0,COLUMN(M$68)-COLUMN($B$68),1,1)</f>
        <v>0</v>
      </c>
      <c r="N76" s="79">
        <f ca="1">OFFSET(BS!$B66,0,COLUMN(N$68)-COLUMN($B$68)+1,1,1)-OFFSET(BS!$B66,0,COLUMN(N$68)-COLUMN($B$68),1,1)</f>
        <v>0</v>
      </c>
      <c r="O76" s="79">
        <f ca="1">OFFSET(BS!$B66,0,COLUMN(O$68)-COLUMN($B$68)+1,1,1)-OFFSET(BS!$B66,0,COLUMN(O$68)-COLUMN($B$68),1,1)</f>
        <v>0</v>
      </c>
      <c r="P76" s="79">
        <f ca="1">OFFSET(BS!$B66,0,COLUMN(P$68)-COLUMN($B$68)+1,1,1)-OFFSET(BS!$B66,0,COLUMN(P$68)-COLUMN($B$68),1,1)</f>
        <v>0</v>
      </c>
      <c r="Q76" s="79">
        <f ca="1">OFFSET(BS!$B66,0,COLUMN(Q$68)-COLUMN($B$68)+1,1,1)-OFFSET(BS!$B66,0,COLUMN(Q$68)-COLUMN($B$68),1,1)</f>
        <v>0</v>
      </c>
      <c r="R76" s="79">
        <f ca="1">OFFSET(BS!$B66,0,COLUMN(R$68)-COLUMN($B$68)+1,1,1)-OFFSET(BS!$B66,0,COLUMN(R$68)-COLUMN($B$68),1,1)</f>
        <v>0</v>
      </c>
      <c r="S76" s="79">
        <f ca="1">OFFSET(BS!$B66,0,COLUMN(S$68)-COLUMN($B$68)+1,1,1)-OFFSET(BS!$B66,0,COLUMN(S$68)-COLUMN($B$68),1,1)</f>
        <v>0</v>
      </c>
      <c r="T76" s="79">
        <f ca="1">OFFSET(BS!$B66,0,COLUMN(T$68)-COLUMN($B$68)+1,1,1)-OFFSET(BS!$B66,0,COLUMN(T$68)-COLUMN($B$68),1,1)</f>
        <v>0</v>
      </c>
      <c r="U76" s="79">
        <f ca="1">OFFSET(BS!$B66,0,COLUMN(U$68)-COLUMN($B$68)+1,1,1)-OFFSET(BS!$B66,0,COLUMN(U$68)-COLUMN($B$68),1,1)</f>
        <v>0</v>
      </c>
      <c r="V76" s="79">
        <f ca="1">OFFSET(BS!$B66,0,COLUMN(V$68)-COLUMN($B$68)+1,1,1)-OFFSET(BS!$B66,0,COLUMN(V$68)-COLUMN($B$68),1,1)</f>
        <v>0</v>
      </c>
      <c r="W76" s="79">
        <f ca="1">OFFSET(BS!$B66,0,COLUMN(W$68)-COLUMN($B$68)+1,1,1)-OFFSET(BS!$B66,0,COLUMN(W$68)-COLUMN($B$68),1,1)</f>
        <v>0</v>
      </c>
      <c r="X76" s="79">
        <f ca="1">OFFSET(BS!$B66,0,COLUMN(X$68)-COLUMN($B$68)+1,1,1)-OFFSET(BS!$B66,0,COLUMN(X$68)-COLUMN($B$68),1,1)</f>
        <v>0</v>
      </c>
      <c r="Y76" s="79">
        <f ca="1">OFFSET(BS!$B66,0,COLUMN(Y$68)-COLUMN($B$68)+1,1,1)-OFFSET(BS!$B66,0,COLUMN(Y$68)-COLUMN($B$68),1,1)</f>
        <v>0</v>
      </c>
      <c r="Z76" s="79">
        <f ca="1">OFFSET(BS!$B66,0,COLUMN(Z$68)-COLUMN($B$68)+1,1,1)-OFFSET(BS!$B66,0,COLUMN(Z$68)-COLUMN($B$68),1,1)</f>
        <v>0</v>
      </c>
      <c r="AA76" s="79">
        <f ca="1">OFFSET(BS!$B66,0,COLUMN(AA$68)-COLUMN($B$68)+1,1,1)-OFFSET(BS!$B66,0,COLUMN(AA$68)-COLUMN($B$68),1,1)</f>
        <v>0</v>
      </c>
      <c r="AB76" s="79">
        <f ca="1">OFFSET(BS!$B66,0,COLUMN(AB$68)-COLUMN($B$68)+1,1,1)-OFFSET(BS!$B66,0,COLUMN(AB$68)-COLUMN($B$68),1,1)</f>
        <v>0</v>
      </c>
      <c r="AC76" s="79">
        <f ca="1">OFFSET(BS!$B66,0,COLUMN(AC$68)-COLUMN($B$68)+1,1,1)-OFFSET(BS!$B66,0,COLUMN(AC$68)-COLUMN($B$68),1,1)</f>
        <v>0</v>
      </c>
      <c r="AD76" s="79">
        <f ca="1">OFFSET(BS!$B66,0,COLUMN(AD$68)-COLUMN($B$68)+1,1,1)-OFFSET(BS!$B66,0,COLUMN(AD$68)-COLUMN($B$68),1,1)</f>
        <v>0</v>
      </c>
      <c r="AE76" s="79">
        <f ca="1">OFFSET(BS!$B66,0,COLUMN(AE$68)-COLUMN($B$68)+1,1,1)-OFFSET(BS!$B66,0,COLUMN(AE$68)-COLUMN($B$68),1,1)</f>
        <v>0</v>
      </c>
      <c r="AF76" s="79">
        <f ca="1">OFFSET(BS!$B66,0,COLUMN(AF$68)-COLUMN($B$68)+1,1,1)-OFFSET(BS!$B66,0,COLUMN(AF$68)-COLUMN($B$68),1,1)</f>
        <v>0</v>
      </c>
      <c r="AG76" s="79">
        <f ca="1">OFFSET(BS!$B66,0,COLUMN(AG$68)-COLUMN($B$68)+1,1,1)-OFFSET(BS!$B66,0,COLUMN(AG$68)-COLUMN($B$68),1,1)</f>
        <v>0</v>
      </c>
      <c r="AH76" s="79">
        <f ca="1">OFFSET(BS!$B66,0,COLUMN(AH$68)-COLUMN($B$68)+1,1,1)-OFFSET(BS!$B66,0,COLUMN(AH$68)-COLUMN($B$68),1,1)</f>
        <v>0</v>
      </c>
      <c r="AI76" s="79">
        <f ca="1">OFFSET(BS!$B66,0,COLUMN(AI$68)-COLUMN($B$68)+1,1,1)-OFFSET(BS!$B66,0,COLUMN(AI$68)-COLUMN($B$68),1,1)</f>
        <v>0</v>
      </c>
      <c r="AJ76" s="79">
        <f ca="1">OFFSET(BS!$B66,0,COLUMN(AJ$68)-COLUMN($B$68)+1,1,1)-OFFSET(BS!$B66,0,COLUMN(AJ$68)-COLUMN($B$68),1,1)</f>
        <v>0</v>
      </c>
      <c r="AK76" s="79">
        <f ca="1">OFFSET(BS!$B66,0,COLUMN(AK$68)-COLUMN($B$68)+1,1,1)-OFFSET(BS!$B66,0,COLUMN(AK$68)-COLUMN($B$68),1,1)</f>
        <v>0</v>
      </c>
      <c r="AL76" s="79">
        <f ca="1">OFFSET(BS!$B66,0,COLUMN(AL$68)-COLUMN($B$68)+1,1,1)-OFFSET(BS!$B66,0,COLUMN(AL$68)-COLUMN($B$68),1,1)</f>
        <v>0</v>
      </c>
      <c r="AM76" s="79">
        <f ca="1">OFFSET(BS!$B66,0,COLUMN(AM$68)-COLUMN($B$68)+1,1,1)-OFFSET(BS!$B66,0,COLUMN(AM$68)-COLUMN($B$68),1,1)</f>
        <v>0</v>
      </c>
      <c r="AN76" s="79">
        <f ca="1">OFFSET(BS!$B66,0,COLUMN(AN$68)-COLUMN($B$68)+1,1,1)-OFFSET(BS!$B66,0,COLUMN(AN$68)-COLUMN($B$68),1,1)</f>
        <v>0</v>
      </c>
      <c r="AO76" s="79">
        <f ca="1">OFFSET(BS!$B66,0,COLUMN(AO$68)-COLUMN($B$68)+1,1,1)-OFFSET(BS!$B66,0,COLUMN(AO$68)-COLUMN($B$68),1,1)</f>
        <v>0</v>
      </c>
      <c r="AP76" s="79">
        <f ca="1">OFFSET(BS!$B66,0,COLUMN(AP$68)-COLUMN($B$68)+1,1,1)-OFFSET(BS!$B66,0,COLUMN(AP$68)-COLUMN($B$68),1,1)</f>
        <v>0</v>
      </c>
      <c r="AQ76" s="79">
        <f ca="1">OFFSET(BS!$B66,0,COLUMN(AQ$68)-COLUMN($B$68)+1,1,1)-OFFSET(BS!$B66,0,COLUMN(AQ$68)-COLUMN($B$68),1,1)</f>
        <v>0</v>
      </c>
      <c r="AR76" s="79">
        <f ca="1">OFFSET(BS!$B66,0,COLUMN(AR$68)-COLUMN($B$68)+1,1,1)-OFFSET(BS!$B66,0,COLUMN(AR$68)-COLUMN($B$68),1,1)</f>
        <v>0</v>
      </c>
      <c r="AS76" s="79">
        <f ca="1">OFFSET(BS!$B66,0,COLUMN(AS$68)-COLUMN($B$68)+1,1,1)-OFFSET(BS!$B66,0,COLUMN(AS$68)-COLUMN($B$68),1,1)</f>
        <v>0</v>
      </c>
      <c r="AT76" s="79">
        <f ca="1">OFFSET(BS!$B66,0,COLUMN(AT$68)-COLUMN($B$68)+1,1,1)-OFFSET(BS!$B66,0,COLUMN(AT$68)-COLUMN($B$68),1,1)</f>
        <v>0</v>
      </c>
      <c r="AU76" s="79">
        <f ca="1">OFFSET(BS!$B66,0,COLUMN(AU$68)-COLUMN($B$68)+1,1,1)-OFFSET(BS!$B66,0,COLUMN(AU$68)-COLUMN($B$68),1,1)</f>
        <v>0</v>
      </c>
      <c r="AV76" s="79">
        <f ca="1">OFFSET(BS!$B66,0,COLUMN(AV$68)-COLUMN($B$68)+1,1,1)-OFFSET(BS!$B66,0,COLUMN(AV$68)-COLUMN($B$68),1,1)</f>
        <v>0</v>
      </c>
      <c r="AW76" s="79">
        <f ca="1">OFFSET(BS!$B66,0,COLUMN(AW$68)-COLUMN($B$68)+1,1,1)-OFFSET(BS!$B66,0,COLUMN(AW$68)-COLUMN($B$68),1,1)</f>
        <v>0</v>
      </c>
      <c r="AX76" s="79">
        <f ca="1">OFFSET(BS!$B66,0,COLUMN(AX$68)-COLUMN($B$68)+1,1,1)-OFFSET(BS!$B66,0,COLUMN(AX$68)-COLUMN($B$68),1,1)</f>
        <v>0</v>
      </c>
      <c r="AY76" s="79">
        <f ca="1">OFFSET(BS!$B66,0,COLUMN(AY$68)-COLUMN($B$68)+1,1,1)-OFFSET(BS!$B66,0,COLUMN(AY$68)-COLUMN($B$68),1,1)</f>
        <v>0</v>
      </c>
      <c r="AZ76" s="79">
        <f ca="1">OFFSET(BS!$B66,0,COLUMN(AZ$68)-COLUMN($B$68)+1,1,1)-OFFSET(BS!$B66,0,COLUMN(AZ$68)-COLUMN($B$68),1,1)</f>
        <v>0</v>
      </c>
      <c r="BA76" s="79">
        <f ca="1">OFFSET(BS!$B66,0,COLUMN(BA$68)-COLUMN($B$68)+1,1,1)-OFFSET(BS!$B66,0,COLUMN(BA$68)-COLUMN($B$68),1,1)</f>
        <v>0</v>
      </c>
      <c r="BB76" s="79">
        <f ca="1">OFFSET(BS!$B66,0,COLUMN(BB$68)-COLUMN($B$68)+1,1,1)-OFFSET(BS!$B66,0,COLUMN(BB$68)-COLUMN($B$68),1,1)</f>
        <v>0</v>
      </c>
      <c r="BC76" s="53">
        <f ca="1">SUM(OFFSET($B76,0,1,1,Assumptions!$C$8))</f>
        <v>0</v>
      </c>
      <c r="BD76" s="53">
        <f ca="1">SUM(OFFSET($B76,0,1+Assumptions!$C$8,1,SUM(Assumptions!$C$9)))</f>
        <v>0</v>
      </c>
      <c r="BE76" s="53">
        <f ca="1">SUM(OFFSET($B76,0,1+SUM(Assumptions!$C$8:$C$9),1,SUM(Assumptions!$C$10)))</f>
        <v>0</v>
      </c>
      <c r="BF76" s="53">
        <f ca="1">SUM(OFFSET($B76,0,1+SUM(Assumptions!$C$8:$C$10),1,SUM(Assumptions!$C$11)))</f>
        <v>0</v>
      </c>
      <c r="BG76" s="53">
        <f t="shared" ca="1" si="27"/>
        <v>0</v>
      </c>
    </row>
    <row r="77" spans="1:59" ht="16.149999999999999" customHeight="1" x14ac:dyDescent="0.3">
      <c r="A77" s="308"/>
      <c r="B77" s="6" t="s">
        <v>60</v>
      </c>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row>
    <row r="78" spans="1:59" ht="16.149999999999999" customHeight="1" x14ac:dyDescent="0.3">
      <c r="A78" s="308" t="s">
        <v>177</v>
      </c>
      <c r="B78" s="56" t="s">
        <v>25</v>
      </c>
      <c r="C78" s="52">
        <f ca="1">OFFSET(BS!$B56,0,COLUMN(C$68)-COLUMN($B$68),1,1)-OFFSET(BS!$B56,0,COLUMN(C$68)-COLUMN($B$68)+1,1,1)</f>
        <v>0</v>
      </c>
      <c r="D78" s="52">
        <f ca="1">OFFSET(BS!$B56,0,COLUMN(D$68)-COLUMN($B$68),1,1)-OFFSET(BS!$B56,0,COLUMN(D$68)-COLUMN($B$68)+1,1,1)</f>
        <v>2000</v>
      </c>
      <c r="E78" s="52">
        <f ca="1">OFFSET(BS!$B56,0,COLUMN(E$68)-COLUMN($B$68),1,1)-OFFSET(BS!$B56,0,COLUMN(E$68)-COLUMN($B$68)+1,1,1)</f>
        <v>-2000</v>
      </c>
      <c r="F78" s="52">
        <f ca="1">OFFSET(BS!$B56,0,COLUMN(F$68)-COLUMN($B$68),1,1)-OFFSET(BS!$B56,0,COLUMN(F$68)-COLUMN($B$68)+1,1,1)</f>
        <v>-2000</v>
      </c>
      <c r="G78" s="52">
        <f ca="1">OFFSET(BS!$B56,0,COLUMN(G$68)-COLUMN($B$68),1,1)-OFFSET(BS!$B56,0,COLUMN(G$68)-COLUMN($B$68)+1,1,1)</f>
        <v>-3000</v>
      </c>
      <c r="H78" s="52">
        <f ca="1">OFFSET(BS!$B56,0,COLUMN(H$68)-COLUMN($B$68),1,1)-OFFSET(BS!$B56,0,COLUMN(H$68)-COLUMN($B$68)+1,1,1)</f>
        <v>-6000</v>
      </c>
      <c r="I78" s="52">
        <f ca="1">OFFSET(BS!$B56,0,COLUMN(I$68)-COLUMN($B$68),1,1)-OFFSET(BS!$B56,0,COLUMN(I$68)-COLUMN($B$68)+1,1,1)</f>
        <v>6000</v>
      </c>
      <c r="J78" s="52">
        <f ca="1">OFFSET(BS!$B56,0,COLUMN(J$68)-COLUMN($B$68),1,1)-OFFSET(BS!$B56,0,COLUMN(J$68)-COLUMN($B$68)+1,1,1)</f>
        <v>2000</v>
      </c>
      <c r="K78" s="52">
        <f ca="1">OFFSET(BS!$B56,0,COLUMN(K$68)-COLUMN($B$68),1,1)-OFFSET(BS!$B56,0,COLUMN(K$68)-COLUMN($B$68)+1,1,1)</f>
        <v>-1500</v>
      </c>
      <c r="L78" s="52">
        <f ca="1">OFFSET(BS!$B56,0,COLUMN(L$68)-COLUMN($B$68),1,1)-OFFSET(BS!$B56,0,COLUMN(L$68)-COLUMN($B$68)+1,1,1)</f>
        <v>-6500</v>
      </c>
      <c r="M78" s="52">
        <f ca="1">OFFSET(BS!$B56,0,COLUMN(M$68)-COLUMN($B$68),1,1)-OFFSET(BS!$B56,0,COLUMN(M$68)-COLUMN($B$68)+1,1,1)</f>
        <v>-5000</v>
      </c>
      <c r="N78" s="52">
        <f ca="1">OFFSET(BS!$B56,0,COLUMN(N$68)-COLUMN($B$68),1,1)-OFFSET(BS!$B56,0,COLUMN(N$68)-COLUMN($B$68)+1,1,1)</f>
        <v>-500</v>
      </c>
      <c r="O78" s="52">
        <f ca="1">OFFSET(BS!$B56,0,COLUMN(O$68)-COLUMN($B$68),1,1)-OFFSET(BS!$B56,0,COLUMN(O$68)-COLUMN($B$68)+1,1,1)</f>
        <v>5800</v>
      </c>
      <c r="P78" s="52">
        <f ca="1">OFFSET(BS!$B56,0,COLUMN(P$68)-COLUMN($B$68),1,1)-OFFSET(BS!$B56,0,COLUMN(P$68)-COLUMN($B$68)+1,1,1)</f>
        <v>-3200</v>
      </c>
      <c r="Q78" s="52">
        <f ca="1">OFFSET(BS!$B56,0,COLUMN(Q$68)-COLUMN($B$68),1,1)-OFFSET(BS!$B56,0,COLUMN(Q$68)-COLUMN($B$68)+1,1,1)</f>
        <v>-1100</v>
      </c>
      <c r="R78" s="52">
        <f ca="1">OFFSET(BS!$B56,0,COLUMN(R$68)-COLUMN($B$68),1,1)-OFFSET(BS!$B56,0,COLUMN(R$68)-COLUMN($B$68)+1,1,1)</f>
        <v>-3300</v>
      </c>
      <c r="S78" s="52">
        <f ca="1">OFFSET(BS!$B56,0,COLUMN(S$68)-COLUMN($B$68),1,1)-OFFSET(BS!$B56,0,COLUMN(S$68)-COLUMN($B$68)+1,1,1)</f>
        <v>-1200</v>
      </c>
      <c r="T78" s="52">
        <f ca="1">OFFSET(BS!$B56,0,COLUMN(T$68)-COLUMN($B$68),1,1)-OFFSET(BS!$B56,0,COLUMN(T$68)-COLUMN($B$68)+1,1,1)</f>
        <v>3900</v>
      </c>
      <c r="U78" s="52">
        <f ca="1">OFFSET(BS!$B56,0,COLUMN(U$68)-COLUMN($B$68),1,1)-OFFSET(BS!$B56,0,COLUMN(U$68)-COLUMN($B$68)+1,1,1)</f>
        <v>100</v>
      </c>
      <c r="V78" s="52">
        <f ca="1">OFFSET(BS!$B56,0,COLUMN(V$68)-COLUMN($B$68),1,1)-OFFSET(BS!$B56,0,COLUMN(V$68)-COLUMN($B$68)+1,1,1)</f>
        <v>-4500</v>
      </c>
      <c r="W78" s="52">
        <f ca="1">OFFSET(BS!$B56,0,COLUMN(W$68)-COLUMN($B$68),1,1)-OFFSET(BS!$B56,0,COLUMN(W$68)-COLUMN($B$68)+1,1,1)</f>
        <v>-2200</v>
      </c>
      <c r="X78" s="52">
        <f ca="1">OFFSET(BS!$B56,0,COLUMN(X$68)-COLUMN($B$68),1,1)-OFFSET(BS!$B56,0,COLUMN(X$68)-COLUMN($B$68)+1,1,1)</f>
        <v>-2800</v>
      </c>
      <c r="Y78" s="52">
        <f ca="1">OFFSET(BS!$B56,0,COLUMN(Y$68)-COLUMN($B$68),1,1)-OFFSET(BS!$B56,0,COLUMN(Y$68)-COLUMN($B$68)+1,1,1)</f>
        <v>2400</v>
      </c>
      <c r="Z78" s="52">
        <f ca="1">OFFSET(BS!$B56,0,COLUMN(Z$68)-COLUMN($B$68),1,1)-OFFSET(BS!$B56,0,COLUMN(Z$68)-COLUMN($B$68)+1,1,1)</f>
        <v>-2600</v>
      </c>
      <c r="AA78" s="52">
        <f ca="1">OFFSET(BS!$B56,0,COLUMN(AA$68)-COLUMN($B$68),1,1)-OFFSET(BS!$B56,0,COLUMN(AA$68)-COLUMN($B$68)+1,1,1)</f>
        <v>-420</v>
      </c>
      <c r="AB78" s="52">
        <f ca="1">OFFSET(BS!$B56,0,COLUMN(AB$68)-COLUMN($B$68),1,1)-OFFSET(BS!$B56,0,COLUMN(AB$68)-COLUMN($B$68)+1,1,1)</f>
        <v>-2780</v>
      </c>
      <c r="AC78" s="52">
        <f ca="1">OFFSET(BS!$B56,0,COLUMN(AC$68)-COLUMN($B$68),1,1)-OFFSET(BS!$B56,0,COLUMN(AC$68)-COLUMN($B$68)+1,1,1)</f>
        <v>3100</v>
      </c>
      <c r="AD78" s="52">
        <f ca="1">OFFSET(BS!$B56,0,COLUMN(AD$68)-COLUMN($B$68),1,1)-OFFSET(BS!$B56,0,COLUMN(AD$68)-COLUMN($B$68)+1,1,1)</f>
        <v>-200</v>
      </c>
      <c r="AE78" s="52">
        <f ca="1">OFFSET(BS!$B56,0,COLUMN(AE$68)-COLUMN($B$68),1,1)-OFFSET(BS!$B56,0,COLUMN(AE$68)-COLUMN($B$68)+1,1,1)</f>
        <v>-4500</v>
      </c>
      <c r="AF78" s="52">
        <f ca="1">OFFSET(BS!$B56,0,COLUMN(AF$68)-COLUMN($B$68),1,1)-OFFSET(BS!$B56,0,COLUMN(AF$68)-COLUMN($B$68)+1,1,1)</f>
        <v>-6670</v>
      </c>
      <c r="AG78" s="52">
        <f ca="1">OFFSET(BS!$B56,0,COLUMN(AG$68)-COLUMN($B$68),1,1)-OFFSET(BS!$B56,0,COLUMN(AG$68)-COLUMN($B$68)+1,1,1)</f>
        <v>-10330</v>
      </c>
      <c r="AH78" s="52">
        <f ca="1">OFFSET(BS!$B56,0,COLUMN(AH$68)-COLUMN($B$68),1,1)-OFFSET(BS!$B56,0,COLUMN(AH$68)-COLUMN($B$68)+1,1,1)</f>
        <v>-8000</v>
      </c>
      <c r="AI78" s="52">
        <f ca="1">OFFSET(BS!$B56,0,COLUMN(AI$68)-COLUMN($B$68),1,1)-OFFSET(BS!$B56,0,COLUMN(AI$68)-COLUMN($B$68)+1,1,1)</f>
        <v>800</v>
      </c>
      <c r="AJ78" s="52">
        <f ca="1">OFFSET(BS!$B56,0,COLUMN(AJ$68)-COLUMN($B$68),1,1)-OFFSET(BS!$B56,0,COLUMN(AJ$68)-COLUMN($B$68)+1,1,1)</f>
        <v>2300</v>
      </c>
      <c r="AK78" s="52">
        <f ca="1">OFFSET(BS!$B56,0,COLUMN(AK$68)-COLUMN($B$68),1,1)-OFFSET(BS!$B56,0,COLUMN(AK$68)-COLUMN($B$68)+1,1,1)</f>
        <v>2900</v>
      </c>
      <c r="AL78" s="52">
        <f ca="1">OFFSET(BS!$B56,0,COLUMN(AL$68)-COLUMN($B$68),1,1)-OFFSET(BS!$B56,0,COLUMN(AL$68)-COLUMN($B$68)+1,1,1)</f>
        <v>1000</v>
      </c>
      <c r="AM78" s="52">
        <f ca="1">OFFSET(BS!$B56,0,COLUMN(AM$68)-COLUMN($B$68),1,1)-OFFSET(BS!$B56,0,COLUMN(AM$68)-COLUMN($B$68)+1,1,1)</f>
        <v>-3400</v>
      </c>
      <c r="AN78" s="52">
        <f ca="1">OFFSET(BS!$B56,0,COLUMN(AN$68)-COLUMN($B$68),1,1)-OFFSET(BS!$B56,0,COLUMN(AN$68)-COLUMN($B$68)+1,1,1)</f>
        <v>700</v>
      </c>
      <c r="AO78" s="52">
        <f ca="1">OFFSET(BS!$B56,0,COLUMN(AO$68)-COLUMN($B$68),1,1)-OFFSET(BS!$B56,0,COLUMN(AO$68)-COLUMN($B$68)+1,1,1)</f>
        <v>8080</v>
      </c>
      <c r="AP78" s="52">
        <f ca="1">OFFSET(BS!$B56,0,COLUMN(AP$68)-COLUMN($B$68),1,1)-OFFSET(BS!$B56,0,COLUMN(AP$68)-COLUMN($B$68)+1,1,1)</f>
        <v>6800</v>
      </c>
      <c r="AQ78" s="52">
        <f ca="1">OFFSET(BS!$B56,0,COLUMN(AQ$68)-COLUMN($B$68),1,1)-OFFSET(BS!$B56,0,COLUMN(AQ$68)-COLUMN($B$68)+1,1,1)</f>
        <v>12620</v>
      </c>
      <c r="AR78" s="52">
        <f ca="1">OFFSET(BS!$B56,0,COLUMN(AR$68)-COLUMN($B$68),1,1)-OFFSET(BS!$B56,0,COLUMN(AR$68)-COLUMN($B$68)+1,1,1)</f>
        <v>14500</v>
      </c>
      <c r="AS78" s="52">
        <f ca="1">OFFSET(BS!$B56,0,COLUMN(AS$68)-COLUMN($B$68),1,1)-OFFSET(BS!$B56,0,COLUMN(AS$68)-COLUMN($B$68)+1,1,1)</f>
        <v>15200</v>
      </c>
      <c r="AT78" s="52">
        <f ca="1">OFFSET(BS!$B56,0,COLUMN(AT$68)-COLUMN($B$68),1,1)-OFFSET(BS!$B56,0,COLUMN(AT$68)-COLUMN($B$68)+1,1,1)</f>
        <v>19500</v>
      </c>
      <c r="AU78" s="52">
        <f ca="1">OFFSET(BS!$B56,0,COLUMN(AU$68)-COLUMN($B$68),1,1)-OFFSET(BS!$B56,0,COLUMN(AU$68)-COLUMN($B$68)+1,1,1)</f>
        <v>17000</v>
      </c>
      <c r="AV78" s="52">
        <f ca="1">OFFSET(BS!$B56,0,COLUMN(AV$68)-COLUMN($B$68),1,1)-OFFSET(BS!$B56,0,COLUMN(AV$68)-COLUMN($B$68)+1,1,1)</f>
        <v>-12000</v>
      </c>
      <c r="AW78" s="52">
        <f ca="1">OFFSET(BS!$B56,0,COLUMN(AW$68)-COLUMN($B$68),1,1)-OFFSET(BS!$B56,0,COLUMN(AW$68)-COLUMN($B$68)+1,1,1)</f>
        <v>-26000</v>
      </c>
      <c r="AX78" s="52">
        <f ca="1">OFFSET(BS!$B56,0,COLUMN(AX$68)-COLUMN($B$68),1,1)-OFFSET(BS!$B56,0,COLUMN(AX$68)-COLUMN($B$68)+1,1,1)</f>
        <v>-31000</v>
      </c>
      <c r="AY78" s="52">
        <f ca="1">OFFSET(BS!$B56,0,COLUMN(AY$68)-COLUMN($B$68),1,1)-OFFSET(BS!$B56,0,COLUMN(AY$68)-COLUMN($B$68)+1,1,1)</f>
        <v>-26000</v>
      </c>
      <c r="AZ78" s="52">
        <f ca="1">OFFSET(BS!$B56,0,COLUMN(AZ$68)-COLUMN($B$68),1,1)-OFFSET(BS!$B56,0,COLUMN(AZ$68)-COLUMN($B$68)+1,1,1)</f>
        <v>-8000</v>
      </c>
      <c r="BA78" s="52">
        <f ca="1">OFFSET(BS!$B56,0,COLUMN(BA$68)-COLUMN($B$68),1,1)-OFFSET(BS!$B56,0,COLUMN(BA$68)-COLUMN($B$68)+1,1,1)</f>
        <v>4400</v>
      </c>
      <c r="BB78" s="52">
        <f ca="1">OFFSET(BS!$B56,0,COLUMN(BB$68)-COLUMN($B$68),1,1)-OFFSET(BS!$B56,0,COLUMN(BB$68)-COLUMN($B$68)+1,1,1)</f>
        <v>1900</v>
      </c>
      <c r="BC78" s="53">
        <f ca="1">SUM(OFFSET($B78,0,1,1,Assumptions!$C$8))</f>
        <v>-10700</v>
      </c>
      <c r="BD78" s="53">
        <f ca="1">SUM(OFFSET($B78,0,1+Assumptions!$C$8,1,SUM(Assumptions!$C$9)))</f>
        <v>-17700</v>
      </c>
      <c r="BE78" s="53">
        <f ca="1">SUM(OFFSET($B78,0,1+SUM(Assumptions!$C$8:$C$9),1,SUM(Assumptions!$C$10)))</f>
        <v>-14220</v>
      </c>
      <c r="BF78" s="53">
        <f ca="1">SUM(OFFSET($B78,0,1+SUM(Assumptions!$C$8:$C$10),1,SUM(Assumptions!$C$11)))</f>
        <v>-11080</v>
      </c>
      <c r="BG78" s="53">
        <f ca="1">SUM(BC78:BF78)</f>
        <v>-53700</v>
      </c>
    </row>
    <row r="79" spans="1:59" ht="16.149999999999999" customHeight="1" x14ac:dyDescent="0.3">
      <c r="A79" s="308" t="s">
        <v>178</v>
      </c>
      <c r="B79" s="56" t="s">
        <v>179</v>
      </c>
      <c r="C79" s="52">
        <f ca="1">OFFSET(BS!$B57,0,COLUMN(C$68)-COLUMN($B$68),1,1)-OFFSET(BS!$B57,0,COLUMN(C$68)-COLUMN($B$68)+1,1,1)</f>
        <v>59300</v>
      </c>
      <c r="D79" s="52">
        <f ca="1">OFFSET(BS!$B57,0,COLUMN(D$68)-COLUMN($B$68),1,1)-OFFSET(BS!$B57,0,COLUMN(D$68)-COLUMN($B$68)+1,1,1)</f>
        <v>-3600</v>
      </c>
      <c r="E79" s="52">
        <f ca="1">OFFSET(BS!$B57,0,COLUMN(E$68)-COLUMN($B$68),1,1)-OFFSET(BS!$B57,0,COLUMN(E$68)-COLUMN($B$68)+1,1,1)</f>
        <v>-12500</v>
      </c>
      <c r="F79" s="52">
        <f ca="1">OFFSET(BS!$B57,0,COLUMN(F$68)-COLUMN($B$68),1,1)-OFFSET(BS!$B57,0,COLUMN(F$68)-COLUMN($B$68)+1,1,1)</f>
        <v>-1100</v>
      </c>
      <c r="G79" s="52">
        <f ca="1">OFFSET(BS!$B57,0,COLUMN(G$68)-COLUMN($B$68),1,1)-OFFSET(BS!$B57,0,COLUMN(G$68)-COLUMN($B$68)+1,1,1)</f>
        <v>0</v>
      </c>
      <c r="H79" s="52">
        <f ca="1">OFFSET(BS!$B57,0,COLUMN(H$68)-COLUMN($B$68),1,1)-OFFSET(BS!$B57,0,COLUMN(H$68)-COLUMN($B$68)+1,1,1)</f>
        <v>-9200</v>
      </c>
      <c r="I79" s="52">
        <f ca="1">OFFSET(BS!$B57,0,COLUMN(I$68)-COLUMN($B$68),1,1)-OFFSET(BS!$B57,0,COLUMN(I$68)-COLUMN($B$68)+1,1,1)</f>
        <v>2900</v>
      </c>
      <c r="J79" s="52">
        <f ca="1">OFFSET(BS!$B57,0,COLUMN(J$68)-COLUMN($B$68),1,1)-OFFSET(BS!$B57,0,COLUMN(J$68)-COLUMN($B$68)+1,1,1)</f>
        <v>2200</v>
      </c>
      <c r="K79" s="52">
        <f ca="1">OFFSET(BS!$B57,0,COLUMN(K$68)-COLUMN($B$68),1,1)-OFFSET(BS!$B57,0,COLUMN(K$68)-COLUMN($B$68)+1,1,1)</f>
        <v>-600</v>
      </c>
      <c r="L79" s="52">
        <f ca="1">OFFSET(BS!$B57,0,COLUMN(L$68)-COLUMN($B$68),1,1)-OFFSET(BS!$B57,0,COLUMN(L$68)-COLUMN($B$68)+1,1,1)</f>
        <v>-6100</v>
      </c>
      <c r="M79" s="52">
        <f ca="1">OFFSET(BS!$B57,0,COLUMN(M$68)-COLUMN($B$68),1,1)-OFFSET(BS!$B57,0,COLUMN(M$68)-COLUMN($B$68)+1,1,1)</f>
        <v>-11100</v>
      </c>
      <c r="N79" s="52">
        <f ca="1">OFFSET(BS!$B57,0,COLUMN(N$68)-COLUMN($B$68),1,1)-OFFSET(BS!$B57,0,COLUMN(N$68)-COLUMN($B$68)+1,1,1)</f>
        <v>-3100</v>
      </c>
      <c r="O79" s="52">
        <f ca="1">OFFSET(BS!$B57,0,COLUMN(O$68)-COLUMN($B$68),1,1)-OFFSET(BS!$B57,0,COLUMN(O$68)-COLUMN($B$68)+1,1,1)</f>
        <v>6500</v>
      </c>
      <c r="P79" s="52">
        <f ca="1">OFFSET(BS!$B57,0,COLUMN(P$68)-COLUMN($B$68),1,1)-OFFSET(BS!$B57,0,COLUMN(P$68)-COLUMN($B$68)+1,1,1)</f>
        <v>-5900</v>
      </c>
      <c r="Q79" s="52">
        <f ca="1">OFFSET(BS!$B57,0,COLUMN(Q$68)-COLUMN($B$68),1,1)-OFFSET(BS!$B57,0,COLUMN(Q$68)-COLUMN($B$68)+1,1,1)</f>
        <v>-1400</v>
      </c>
      <c r="R79" s="52">
        <f ca="1">OFFSET(BS!$B57,0,COLUMN(R$68)-COLUMN($B$68),1,1)-OFFSET(BS!$B57,0,COLUMN(R$68)-COLUMN($B$68)+1,1,1)</f>
        <v>-1700</v>
      </c>
      <c r="S79" s="52">
        <f ca="1">OFFSET(BS!$B57,0,COLUMN(S$68)-COLUMN($B$68),1,1)-OFFSET(BS!$B57,0,COLUMN(S$68)-COLUMN($B$68)+1,1,1)</f>
        <v>-6900</v>
      </c>
      <c r="T79" s="52">
        <f ca="1">OFFSET(BS!$B57,0,COLUMN(T$68)-COLUMN($B$68),1,1)-OFFSET(BS!$B57,0,COLUMN(T$68)-COLUMN($B$68)+1,1,1)</f>
        <v>4700</v>
      </c>
      <c r="U79" s="52">
        <f ca="1">OFFSET(BS!$B57,0,COLUMN(U$68)-COLUMN($B$68),1,1)-OFFSET(BS!$B57,0,COLUMN(U$68)-COLUMN($B$68)+1,1,1)</f>
        <v>2100</v>
      </c>
      <c r="V79" s="52">
        <f ca="1">OFFSET(BS!$B57,0,COLUMN(V$68)-COLUMN($B$68),1,1)-OFFSET(BS!$B57,0,COLUMN(V$68)-COLUMN($B$68)+1,1,1)</f>
        <v>-6800</v>
      </c>
      <c r="W79" s="52">
        <f ca="1">OFFSET(BS!$B57,0,COLUMN(W$68)-COLUMN($B$68),1,1)-OFFSET(BS!$B57,0,COLUMN(W$68)-COLUMN($B$68)+1,1,1)</f>
        <v>-2800</v>
      </c>
      <c r="X79" s="52">
        <f ca="1">OFFSET(BS!$B57,0,COLUMN(X$68)-COLUMN($B$68),1,1)-OFFSET(BS!$B57,0,COLUMN(X$68)-COLUMN($B$68)+1,1,1)</f>
        <v>-5700</v>
      </c>
      <c r="Y79" s="52">
        <f ca="1">OFFSET(BS!$B57,0,COLUMN(Y$68)-COLUMN($B$68),1,1)-OFFSET(BS!$B57,0,COLUMN(Y$68)-COLUMN($B$68)+1,1,1)</f>
        <v>900</v>
      </c>
      <c r="Z79" s="52">
        <f ca="1">OFFSET(BS!$B57,0,COLUMN(Z$68)-COLUMN($B$68),1,1)-OFFSET(BS!$B57,0,COLUMN(Z$68)-COLUMN($B$68)+1,1,1)</f>
        <v>-7300</v>
      </c>
      <c r="AA79" s="52">
        <f ca="1">OFFSET(BS!$B57,0,COLUMN(AA$68)-COLUMN($B$68),1,1)-OFFSET(BS!$B57,0,COLUMN(AA$68)-COLUMN($B$68)+1,1,1)</f>
        <v>-2800</v>
      </c>
      <c r="AB79" s="52">
        <f ca="1">OFFSET(BS!$B57,0,COLUMN(AB$68)-COLUMN($B$68),1,1)-OFFSET(BS!$B57,0,COLUMN(AB$68)-COLUMN($B$68)+1,1,1)</f>
        <v>-6100</v>
      </c>
      <c r="AC79" s="52">
        <f ca="1">OFFSET(BS!$B57,0,COLUMN(AC$68)-COLUMN($B$68),1,1)-OFFSET(BS!$B57,0,COLUMN(AC$68)-COLUMN($B$68)+1,1,1)</f>
        <v>-700</v>
      </c>
      <c r="AD79" s="52">
        <f ca="1">OFFSET(BS!$B57,0,COLUMN(AD$68)-COLUMN($B$68),1,1)-OFFSET(BS!$B57,0,COLUMN(AD$68)-COLUMN($B$68)+1,1,1)</f>
        <v>-1600</v>
      </c>
      <c r="AE79" s="52">
        <f ca="1">OFFSET(BS!$B57,0,COLUMN(AE$68)-COLUMN($B$68),1,1)-OFFSET(BS!$B57,0,COLUMN(AE$68)-COLUMN($B$68)+1,1,1)</f>
        <v>-6400</v>
      </c>
      <c r="AF79" s="52">
        <f ca="1">OFFSET(BS!$B57,0,COLUMN(AF$68)-COLUMN($B$68),1,1)-OFFSET(BS!$B57,0,COLUMN(AF$68)-COLUMN($B$68)+1,1,1)</f>
        <v>-9100</v>
      </c>
      <c r="AG79" s="52">
        <f ca="1">OFFSET(BS!$B57,0,COLUMN(AG$68)-COLUMN($B$68),1,1)-OFFSET(BS!$B57,0,COLUMN(AG$68)-COLUMN($B$68)+1,1,1)</f>
        <v>-18400</v>
      </c>
      <c r="AH79" s="52">
        <f ca="1">OFFSET(BS!$B57,0,COLUMN(AH$68)-COLUMN($B$68),1,1)-OFFSET(BS!$B57,0,COLUMN(AH$68)-COLUMN($B$68)+1,1,1)</f>
        <v>-17600</v>
      </c>
      <c r="AI79" s="52">
        <f ca="1">OFFSET(BS!$B57,0,COLUMN(AI$68)-COLUMN($B$68),1,1)-OFFSET(BS!$B57,0,COLUMN(AI$68)-COLUMN($B$68)+1,1,1)</f>
        <v>-2200</v>
      </c>
      <c r="AJ79" s="52">
        <f ca="1">OFFSET(BS!$B57,0,COLUMN(AJ$68)-COLUMN($B$68),1,1)-OFFSET(BS!$B57,0,COLUMN(AJ$68)-COLUMN($B$68)+1,1,1)</f>
        <v>700</v>
      </c>
      <c r="AK79" s="52">
        <f ca="1">OFFSET(BS!$B57,0,COLUMN(AK$68)-COLUMN($B$68),1,1)-OFFSET(BS!$B57,0,COLUMN(AK$68)-COLUMN($B$68)+1,1,1)</f>
        <v>1500</v>
      </c>
      <c r="AL79" s="52">
        <f ca="1">OFFSET(BS!$B57,0,COLUMN(AL$68)-COLUMN($B$68),1,1)-OFFSET(BS!$B57,0,COLUMN(AL$68)-COLUMN($B$68)+1,1,1)</f>
        <v>4200</v>
      </c>
      <c r="AM79" s="52">
        <f ca="1">OFFSET(BS!$B57,0,COLUMN(AM$68)-COLUMN($B$68),1,1)-OFFSET(BS!$B57,0,COLUMN(AM$68)-COLUMN($B$68)+1,1,1)</f>
        <v>-3000</v>
      </c>
      <c r="AN79" s="52">
        <f ca="1">OFFSET(BS!$B57,0,COLUMN(AN$68)-COLUMN($B$68),1,1)-OFFSET(BS!$B57,0,COLUMN(AN$68)-COLUMN($B$68)+1,1,1)</f>
        <v>-400</v>
      </c>
      <c r="AO79" s="52">
        <f ca="1">OFFSET(BS!$B57,0,COLUMN(AO$68)-COLUMN($B$68),1,1)-OFFSET(BS!$B57,0,COLUMN(AO$68)-COLUMN($B$68)+1,1,1)</f>
        <v>12200</v>
      </c>
      <c r="AP79" s="52">
        <f ca="1">OFFSET(BS!$B57,0,COLUMN(AP$68)-COLUMN($B$68),1,1)-OFFSET(BS!$B57,0,COLUMN(AP$68)-COLUMN($B$68)+1,1,1)</f>
        <v>10600</v>
      </c>
      <c r="AQ79" s="52">
        <f ca="1">OFFSET(BS!$B57,0,COLUMN(AQ$68)-COLUMN($B$68),1,1)-OFFSET(BS!$B57,0,COLUMN(AQ$68)-COLUMN($B$68)+1,1,1)</f>
        <v>21700</v>
      </c>
      <c r="AR79" s="52">
        <f ca="1">OFFSET(BS!$B57,0,COLUMN(AR$68)-COLUMN($B$68),1,1)-OFFSET(BS!$B57,0,COLUMN(AR$68)-COLUMN($B$68)+1,1,1)</f>
        <v>29100</v>
      </c>
      <c r="AS79" s="52">
        <f ca="1">OFFSET(BS!$B57,0,COLUMN(AS$68)-COLUMN($B$68),1,1)-OFFSET(BS!$B57,0,COLUMN(AS$68)-COLUMN($B$68)+1,1,1)</f>
        <v>26200</v>
      </c>
      <c r="AT79" s="52">
        <f ca="1">OFFSET(BS!$B57,0,COLUMN(AT$68)-COLUMN($B$68),1,1)-OFFSET(BS!$B57,0,COLUMN(AT$68)-COLUMN($B$68)+1,1,1)</f>
        <v>36000</v>
      </c>
      <c r="AU79" s="52">
        <f ca="1">OFFSET(BS!$B57,0,COLUMN(AU$68)-COLUMN($B$68),1,1)-OFFSET(BS!$B57,0,COLUMN(AU$68)-COLUMN($B$68)+1,1,1)</f>
        <v>35400</v>
      </c>
      <c r="AV79" s="52">
        <f ca="1">OFFSET(BS!$B57,0,COLUMN(AV$68)-COLUMN($B$68),1,1)-OFFSET(BS!$B57,0,COLUMN(AV$68)-COLUMN($B$68)+1,1,1)</f>
        <v>-14200</v>
      </c>
      <c r="AW79" s="52">
        <f ca="1">OFFSET(BS!$B57,0,COLUMN(AW$68)-COLUMN($B$68),1,1)-OFFSET(BS!$B57,0,COLUMN(AW$68)-COLUMN($B$68)+1,1,1)</f>
        <v>-37800</v>
      </c>
      <c r="AX79" s="52">
        <f ca="1">OFFSET(BS!$B57,0,COLUMN(AX$68)-COLUMN($B$68),1,1)-OFFSET(BS!$B57,0,COLUMN(AX$68)-COLUMN($B$68)+1,1,1)</f>
        <v>-47000</v>
      </c>
      <c r="AY79" s="52">
        <f ca="1">OFFSET(BS!$B57,0,COLUMN(AY$68)-COLUMN($B$68),1,1)-OFFSET(BS!$B57,0,COLUMN(AY$68)-COLUMN($B$68)+1,1,1)</f>
        <v>-58500</v>
      </c>
      <c r="AZ79" s="52">
        <f ca="1">OFFSET(BS!$B57,0,COLUMN(AZ$68)-COLUMN($B$68),1,1)-OFFSET(BS!$B57,0,COLUMN(AZ$68)-COLUMN($B$68)+1,1,1)</f>
        <v>-30800</v>
      </c>
      <c r="BA79" s="52">
        <f ca="1">OFFSET(BS!$B57,0,COLUMN(BA$68)-COLUMN($B$68),1,1)-OFFSET(BS!$B57,0,COLUMN(BA$68)-COLUMN($B$68)+1,1,1)</f>
        <v>1400</v>
      </c>
      <c r="BB79" s="52">
        <f ca="1">OFFSET(BS!$B57,0,COLUMN(BB$68)-COLUMN($B$68),1,1)-OFFSET(BS!$B57,0,COLUMN(BB$68)-COLUMN($B$68)+1,1,1)</f>
        <v>1300</v>
      </c>
      <c r="BC79" s="53">
        <f ca="1">SUM(OFFSET($B79,0,1,1,Assumptions!$C$8))</f>
        <v>23600</v>
      </c>
      <c r="BD79" s="53">
        <f ca="1">SUM(OFFSET($B79,0,1+Assumptions!$C$8,1,SUM(Assumptions!$C$9)))</f>
        <v>-39700</v>
      </c>
      <c r="BE79" s="53">
        <f ca="1">SUM(OFFSET($B79,0,1+SUM(Assumptions!$C$8:$C$9),1,SUM(Assumptions!$C$10)))</f>
        <v>-40800</v>
      </c>
      <c r="BF79" s="53">
        <f ca="1">SUM(OFFSET($B79,0,1+SUM(Assumptions!$C$8:$C$10),1,SUM(Assumptions!$C$11)))</f>
        <v>-26600</v>
      </c>
      <c r="BG79" s="53">
        <f ca="1">SUM(BC79:BF79)</f>
        <v>-83500</v>
      </c>
    </row>
    <row r="80" spans="1:59" ht="16.149999999999999" customHeight="1" x14ac:dyDescent="0.3">
      <c r="A80" s="308" t="s">
        <v>129</v>
      </c>
      <c r="B80" s="56" t="s">
        <v>130</v>
      </c>
      <c r="C80" s="52">
        <f ca="1">OFFSET(BS!$B58,0,COLUMN(C$68)-COLUMN($B$68),1,1)-OFFSET(BS!$B58,0,COLUMN(C$68)-COLUMN($B$68)+1,1,1)</f>
        <v>0</v>
      </c>
      <c r="D80" s="52">
        <f ca="1">OFFSET(BS!$B58,0,COLUMN(D$68)-COLUMN($B$68),1,1)-OFFSET(BS!$B58,0,COLUMN(D$68)-COLUMN($B$68)+1,1,1)</f>
        <v>0</v>
      </c>
      <c r="E80" s="52">
        <f ca="1">OFFSET(BS!$B58,0,COLUMN(E$68)-COLUMN($B$68),1,1)-OFFSET(BS!$B58,0,COLUMN(E$68)-COLUMN($B$68)+1,1,1)</f>
        <v>0</v>
      </c>
      <c r="F80" s="52">
        <f ca="1">OFFSET(BS!$B58,0,COLUMN(F$68)-COLUMN($B$68),1,1)-OFFSET(BS!$B58,0,COLUMN(F$68)-COLUMN($B$68)+1,1,1)</f>
        <v>0</v>
      </c>
      <c r="G80" s="52">
        <f ca="1">OFFSET(BS!$B58,0,COLUMN(G$68)-COLUMN($B$68),1,1)-OFFSET(BS!$B58,0,COLUMN(G$68)-COLUMN($B$68)+1,1,1)</f>
        <v>0</v>
      </c>
      <c r="H80" s="52">
        <f ca="1">OFFSET(BS!$B58,0,COLUMN(H$68)-COLUMN($B$68),1,1)-OFFSET(BS!$B58,0,COLUMN(H$68)-COLUMN($B$68)+1,1,1)</f>
        <v>0</v>
      </c>
      <c r="I80" s="52">
        <f ca="1">OFFSET(BS!$B58,0,COLUMN(I$68)-COLUMN($B$68),1,1)-OFFSET(BS!$B58,0,COLUMN(I$68)-COLUMN($B$68)+1,1,1)</f>
        <v>0</v>
      </c>
      <c r="J80" s="52">
        <f ca="1">OFFSET(BS!$B58,0,COLUMN(J$68)-COLUMN($B$68),1,1)-OFFSET(BS!$B58,0,COLUMN(J$68)-COLUMN($B$68)+1,1,1)</f>
        <v>0</v>
      </c>
      <c r="K80" s="52">
        <f ca="1">OFFSET(BS!$B58,0,COLUMN(K$68)-COLUMN($B$68),1,1)-OFFSET(BS!$B58,0,COLUMN(K$68)-COLUMN($B$68)+1,1,1)</f>
        <v>0</v>
      </c>
      <c r="L80" s="52">
        <f ca="1">OFFSET(BS!$B58,0,COLUMN(L$68)-COLUMN($B$68),1,1)-OFFSET(BS!$B58,0,COLUMN(L$68)-COLUMN($B$68)+1,1,1)</f>
        <v>0</v>
      </c>
      <c r="M80" s="52">
        <f ca="1">OFFSET(BS!$B58,0,COLUMN(M$68)-COLUMN($B$68),1,1)-OFFSET(BS!$B58,0,COLUMN(M$68)-COLUMN($B$68)+1,1,1)</f>
        <v>0</v>
      </c>
      <c r="N80" s="52">
        <f ca="1">OFFSET(BS!$B58,0,COLUMN(N$68)-COLUMN($B$68),1,1)-OFFSET(BS!$B58,0,COLUMN(N$68)-COLUMN($B$68)+1,1,1)</f>
        <v>0</v>
      </c>
      <c r="O80" s="52">
        <f ca="1">OFFSET(BS!$B58,0,COLUMN(O$68)-COLUMN($B$68),1,1)-OFFSET(BS!$B58,0,COLUMN(O$68)-COLUMN($B$68)+1,1,1)</f>
        <v>0</v>
      </c>
      <c r="P80" s="52">
        <f ca="1">OFFSET(BS!$B58,0,COLUMN(P$68)-COLUMN($B$68),1,1)-OFFSET(BS!$B58,0,COLUMN(P$68)-COLUMN($B$68)+1,1,1)</f>
        <v>0</v>
      </c>
      <c r="Q80" s="52">
        <f ca="1">OFFSET(BS!$B58,0,COLUMN(Q$68)-COLUMN($B$68),1,1)-OFFSET(BS!$B58,0,COLUMN(Q$68)-COLUMN($B$68)+1,1,1)</f>
        <v>0</v>
      </c>
      <c r="R80" s="52">
        <f ca="1">OFFSET(BS!$B58,0,COLUMN(R$68)-COLUMN($B$68),1,1)-OFFSET(BS!$B58,0,COLUMN(R$68)-COLUMN($B$68)+1,1,1)</f>
        <v>0</v>
      </c>
      <c r="S80" s="52">
        <f ca="1">OFFSET(BS!$B58,0,COLUMN(S$68)-COLUMN($B$68),1,1)-OFFSET(BS!$B58,0,COLUMN(S$68)-COLUMN($B$68)+1,1,1)</f>
        <v>0</v>
      </c>
      <c r="T80" s="52">
        <f ca="1">OFFSET(BS!$B58,0,COLUMN(T$68)-COLUMN($B$68),1,1)-OFFSET(BS!$B58,0,COLUMN(T$68)-COLUMN($B$68)+1,1,1)</f>
        <v>0</v>
      </c>
      <c r="U80" s="52">
        <f ca="1">OFFSET(BS!$B58,0,COLUMN(U$68)-COLUMN($B$68),1,1)-OFFSET(BS!$B58,0,COLUMN(U$68)-COLUMN($B$68)+1,1,1)</f>
        <v>0</v>
      </c>
      <c r="V80" s="52">
        <f ca="1">OFFSET(BS!$B58,0,COLUMN(V$68)-COLUMN($B$68),1,1)-OFFSET(BS!$B58,0,COLUMN(V$68)-COLUMN($B$68)+1,1,1)</f>
        <v>0</v>
      </c>
      <c r="W80" s="52">
        <f ca="1">OFFSET(BS!$B58,0,COLUMN(W$68)-COLUMN($B$68),1,1)-OFFSET(BS!$B58,0,COLUMN(W$68)-COLUMN($B$68)+1,1,1)</f>
        <v>0</v>
      </c>
      <c r="X80" s="52">
        <f ca="1">OFFSET(BS!$B58,0,COLUMN(X$68)-COLUMN($B$68),1,1)-OFFSET(BS!$B58,0,COLUMN(X$68)-COLUMN($B$68)+1,1,1)</f>
        <v>0</v>
      </c>
      <c r="Y80" s="52">
        <f ca="1">OFFSET(BS!$B58,0,COLUMN(Y$68)-COLUMN($B$68),1,1)-OFFSET(BS!$B58,0,COLUMN(Y$68)-COLUMN($B$68)+1,1,1)</f>
        <v>0</v>
      </c>
      <c r="Z80" s="52">
        <f ca="1">OFFSET(BS!$B58,0,COLUMN(Z$68)-COLUMN($B$68),1,1)-OFFSET(BS!$B58,0,COLUMN(Z$68)-COLUMN($B$68)+1,1,1)</f>
        <v>0</v>
      </c>
      <c r="AA80" s="52">
        <f ca="1">OFFSET(BS!$B58,0,COLUMN(AA$68)-COLUMN($B$68),1,1)-OFFSET(BS!$B58,0,COLUMN(AA$68)-COLUMN($B$68)+1,1,1)</f>
        <v>0</v>
      </c>
      <c r="AB80" s="52">
        <f ca="1">OFFSET(BS!$B58,0,COLUMN(AB$68)-COLUMN($B$68),1,1)-OFFSET(BS!$B58,0,COLUMN(AB$68)-COLUMN($B$68)+1,1,1)</f>
        <v>0</v>
      </c>
      <c r="AC80" s="52">
        <f ca="1">OFFSET(BS!$B58,0,COLUMN(AC$68)-COLUMN($B$68),1,1)-OFFSET(BS!$B58,0,COLUMN(AC$68)-COLUMN($B$68)+1,1,1)</f>
        <v>0</v>
      </c>
      <c r="AD80" s="52">
        <f ca="1">OFFSET(BS!$B58,0,COLUMN(AD$68)-COLUMN($B$68),1,1)-OFFSET(BS!$B58,0,COLUMN(AD$68)-COLUMN($B$68)+1,1,1)</f>
        <v>0</v>
      </c>
      <c r="AE80" s="52">
        <f ca="1">OFFSET(BS!$B58,0,COLUMN(AE$68)-COLUMN($B$68),1,1)-OFFSET(BS!$B58,0,COLUMN(AE$68)-COLUMN($B$68)+1,1,1)</f>
        <v>0</v>
      </c>
      <c r="AF80" s="52">
        <f ca="1">OFFSET(BS!$B58,0,COLUMN(AF$68)-COLUMN($B$68),1,1)-OFFSET(BS!$B58,0,COLUMN(AF$68)-COLUMN($B$68)+1,1,1)</f>
        <v>0</v>
      </c>
      <c r="AG80" s="52">
        <f ca="1">OFFSET(BS!$B58,0,COLUMN(AG$68)-COLUMN($B$68),1,1)-OFFSET(BS!$B58,0,COLUMN(AG$68)-COLUMN($B$68)+1,1,1)</f>
        <v>-10000</v>
      </c>
      <c r="AH80" s="52">
        <f ca="1">OFFSET(BS!$B58,0,COLUMN(AH$68)-COLUMN($B$68),1,1)-OFFSET(BS!$B58,0,COLUMN(AH$68)-COLUMN($B$68)+1,1,1)</f>
        <v>0</v>
      </c>
      <c r="AI80" s="52">
        <f ca="1">OFFSET(BS!$B58,0,COLUMN(AI$68)-COLUMN($B$68),1,1)-OFFSET(BS!$B58,0,COLUMN(AI$68)-COLUMN($B$68)+1,1,1)</f>
        <v>0</v>
      </c>
      <c r="AJ80" s="52">
        <f ca="1">OFFSET(BS!$B58,0,COLUMN(AJ$68)-COLUMN($B$68),1,1)-OFFSET(BS!$B58,0,COLUMN(AJ$68)-COLUMN($B$68)+1,1,1)</f>
        <v>0</v>
      </c>
      <c r="AK80" s="52">
        <f ca="1">OFFSET(BS!$B58,0,COLUMN(AK$68)-COLUMN($B$68),1,1)-OFFSET(BS!$B58,0,COLUMN(AK$68)-COLUMN($B$68)+1,1,1)</f>
        <v>0</v>
      </c>
      <c r="AL80" s="52">
        <f ca="1">OFFSET(BS!$B58,0,COLUMN(AL$68)-COLUMN($B$68),1,1)-OFFSET(BS!$B58,0,COLUMN(AL$68)-COLUMN($B$68)+1,1,1)</f>
        <v>0</v>
      </c>
      <c r="AM80" s="52">
        <f ca="1">OFFSET(BS!$B58,0,COLUMN(AM$68)-COLUMN($B$68),1,1)-OFFSET(BS!$B58,0,COLUMN(AM$68)-COLUMN($B$68)+1,1,1)</f>
        <v>0</v>
      </c>
      <c r="AN80" s="52">
        <f ca="1">OFFSET(BS!$B58,0,COLUMN(AN$68)-COLUMN($B$68),1,1)-OFFSET(BS!$B58,0,COLUMN(AN$68)-COLUMN($B$68)+1,1,1)</f>
        <v>0</v>
      </c>
      <c r="AO80" s="52">
        <f ca="1">OFFSET(BS!$B58,0,COLUMN(AO$68)-COLUMN($B$68),1,1)-OFFSET(BS!$B58,0,COLUMN(AO$68)-COLUMN($B$68)+1,1,1)</f>
        <v>0</v>
      </c>
      <c r="AP80" s="52">
        <f ca="1">OFFSET(BS!$B58,0,COLUMN(AP$68)-COLUMN($B$68),1,1)-OFFSET(BS!$B58,0,COLUMN(AP$68)-COLUMN($B$68)+1,1,1)</f>
        <v>10000</v>
      </c>
      <c r="AQ80" s="52">
        <f ca="1">OFFSET(BS!$B58,0,COLUMN(AQ$68)-COLUMN($B$68),1,1)-OFFSET(BS!$B58,0,COLUMN(AQ$68)-COLUMN($B$68)+1,1,1)</f>
        <v>-10000</v>
      </c>
      <c r="AR80" s="52">
        <f ca="1">OFFSET(BS!$B58,0,COLUMN(AR$68)-COLUMN($B$68),1,1)-OFFSET(BS!$B58,0,COLUMN(AR$68)-COLUMN($B$68)+1,1,1)</f>
        <v>0</v>
      </c>
      <c r="AS80" s="52">
        <f ca="1">OFFSET(BS!$B58,0,COLUMN(AS$68)-COLUMN($B$68),1,1)-OFFSET(BS!$B58,0,COLUMN(AS$68)-COLUMN($B$68)+1,1,1)</f>
        <v>0</v>
      </c>
      <c r="AT80" s="52">
        <f ca="1">OFFSET(BS!$B58,0,COLUMN(AT$68)-COLUMN($B$68),1,1)-OFFSET(BS!$B58,0,COLUMN(AT$68)-COLUMN($B$68)+1,1,1)</f>
        <v>0</v>
      </c>
      <c r="AU80" s="52">
        <f ca="1">OFFSET(BS!$B58,0,COLUMN(AU$68)-COLUMN($B$68),1,1)-OFFSET(BS!$B58,0,COLUMN(AU$68)-COLUMN($B$68)+1,1,1)</f>
        <v>0</v>
      </c>
      <c r="AV80" s="52">
        <f ca="1">OFFSET(BS!$B58,0,COLUMN(AV$68)-COLUMN($B$68),1,1)-OFFSET(BS!$B58,0,COLUMN(AV$68)-COLUMN($B$68)+1,1,1)</f>
        <v>0</v>
      </c>
      <c r="AW80" s="52">
        <f ca="1">OFFSET(BS!$B58,0,COLUMN(AW$68)-COLUMN($B$68),1,1)-OFFSET(BS!$B58,0,COLUMN(AW$68)-COLUMN($B$68)+1,1,1)</f>
        <v>0</v>
      </c>
      <c r="AX80" s="52">
        <f ca="1">OFFSET(BS!$B58,0,COLUMN(AX$68)-COLUMN($B$68),1,1)-OFFSET(BS!$B58,0,COLUMN(AX$68)-COLUMN($B$68)+1,1,1)</f>
        <v>0</v>
      </c>
      <c r="AY80" s="52">
        <f ca="1">OFFSET(BS!$B58,0,COLUMN(AY$68)-COLUMN($B$68),1,1)-OFFSET(BS!$B58,0,COLUMN(AY$68)-COLUMN($B$68)+1,1,1)</f>
        <v>0</v>
      </c>
      <c r="AZ80" s="52">
        <f ca="1">OFFSET(BS!$B58,0,COLUMN(AZ$68)-COLUMN($B$68),1,1)-OFFSET(BS!$B58,0,COLUMN(AZ$68)-COLUMN($B$68)+1,1,1)</f>
        <v>0</v>
      </c>
      <c r="BA80" s="52">
        <f ca="1">OFFSET(BS!$B58,0,COLUMN(BA$68)-COLUMN($B$68),1,1)-OFFSET(BS!$B58,0,COLUMN(BA$68)-COLUMN($B$68)+1,1,1)</f>
        <v>0</v>
      </c>
      <c r="BB80" s="52">
        <f ca="1">OFFSET(BS!$B58,0,COLUMN(BB$68)-COLUMN($B$68),1,1)-OFFSET(BS!$B58,0,COLUMN(BB$68)-COLUMN($B$68)+1,1,1)</f>
        <v>0</v>
      </c>
      <c r="BC80" s="53">
        <f ca="1">SUM(OFFSET($B80,0,1,1,Assumptions!$C$8))</f>
        <v>0</v>
      </c>
      <c r="BD80" s="53">
        <f ca="1">SUM(OFFSET($B80,0,1+Assumptions!$C$8,1,SUM(Assumptions!$C$9)))</f>
        <v>0</v>
      </c>
      <c r="BE80" s="53">
        <f ca="1">SUM(OFFSET($B80,0,1+SUM(Assumptions!$C$8:$C$9),1,SUM(Assumptions!$C$10)))</f>
        <v>-10000</v>
      </c>
      <c r="BF80" s="53">
        <f ca="1">SUM(OFFSET($B80,0,1+SUM(Assumptions!$C$8:$C$10),1,SUM(Assumptions!$C$11)))</f>
        <v>0</v>
      </c>
      <c r="BG80" s="53">
        <f t="shared" ref="BG80:BG86" ca="1" si="28">SUM(BC80:BF80)</f>
        <v>-10000</v>
      </c>
    </row>
    <row r="81" spans="1:59" ht="16.149999999999999" customHeight="1" x14ac:dyDescent="0.3">
      <c r="A81" s="308" t="s">
        <v>131</v>
      </c>
      <c r="B81" s="56" t="s">
        <v>132</v>
      </c>
      <c r="C81" s="52">
        <f ca="1">OFFSET(BS!$B59,0,COLUMN(C$68)-COLUMN($B$68),1,1)-OFFSET(BS!$B59,0,COLUMN(C$68)-COLUMN($B$68)+1,1,1)</f>
        <v>0</v>
      </c>
      <c r="D81" s="52">
        <f ca="1">OFFSET(BS!$B59,0,COLUMN(D$68)-COLUMN($B$68),1,1)-OFFSET(BS!$B59,0,COLUMN(D$68)-COLUMN($B$68)+1,1,1)</f>
        <v>0</v>
      </c>
      <c r="E81" s="52">
        <f ca="1">OFFSET(BS!$B59,0,COLUMN(E$68)-COLUMN($B$68),1,1)-OFFSET(BS!$B59,0,COLUMN(E$68)-COLUMN($B$68)+1,1,1)</f>
        <v>0</v>
      </c>
      <c r="F81" s="52">
        <f ca="1">OFFSET(BS!$B59,0,COLUMN(F$68)-COLUMN($B$68),1,1)-OFFSET(BS!$B59,0,COLUMN(F$68)-COLUMN($B$68)+1,1,1)</f>
        <v>0</v>
      </c>
      <c r="G81" s="52">
        <f ca="1">OFFSET(BS!$B59,0,COLUMN(G$68)-COLUMN($B$68),1,1)-OFFSET(BS!$B59,0,COLUMN(G$68)-COLUMN($B$68)+1,1,1)</f>
        <v>0</v>
      </c>
      <c r="H81" s="52">
        <f ca="1">OFFSET(BS!$B59,0,COLUMN(H$68)-COLUMN($B$68),1,1)-OFFSET(BS!$B59,0,COLUMN(H$68)-COLUMN($B$68)+1,1,1)</f>
        <v>0</v>
      </c>
      <c r="I81" s="52">
        <f ca="1">OFFSET(BS!$B59,0,COLUMN(I$68)-COLUMN($B$68),1,1)-OFFSET(BS!$B59,0,COLUMN(I$68)-COLUMN($B$68)+1,1,1)</f>
        <v>0</v>
      </c>
      <c r="J81" s="52">
        <f ca="1">OFFSET(BS!$B59,0,COLUMN(J$68)-COLUMN($B$68),1,1)-OFFSET(BS!$B59,0,COLUMN(J$68)-COLUMN($B$68)+1,1,1)</f>
        <v>0</v>
      </c>
      <c r="K81" s="52">
        <f ca="1">OFFSET(BS!$B59,0,COLUMN(K$68)-COLUMN($B$68),1,1)-OFFSET(BS!$B59,0,COLUMN(K$68)-COLUMN($B$68)+1,1,1)</f>
        <v>0</v>
      </c>
      <c r="L81" s="52">
        <f ca="1">OFFSET(BS!$B59,0,COLUMN(L$68)-COLUMN($B$68),1,1)-OFFSET(BS!$B59,0,COLUMN(L$68)-COLUMN($B$68)+1,1,1)</f>
        <v>0</v>
      </c>
      <c r="M81" s="52">
        <f ca="1">OFFSET(BS!$B59,0,COLUMN(M$68)-COLUMN($B$68),1,1)-OFFSET(BS!$B59,0,COLUMN(M$68)-COLUMN($B$68)+1,1,1)</f>
        <v>0</v>
      </c>
      <c r="N81" s="52">
        <f ca="1">OFFSET(BS!$B59,0,COLUMN(N$68)-COLUMN($B$68),1,1)-OFFSET(BS!$B59,0,COLUMN(N$68)-COLUMN($B$68)+1,1,1)</f>
        <v>0</v>
      </c>
      <c r="O81" s="52">
        <f ca="1">OFFSET(BS!$B59,0,COLUMN(O$68)-COLUMN($B$68),1,1)-OFFSET(BS!$B59,0,COLUMN(O$68)-COLUMN($B$68)+1,1,1)</f>
        <v>0</v>
      </c>
      <c r="P81" s="52">
        <f ca="1">OFFSET(BS!$B59,0,COLUMN(P$68)-COLUMN($B$68),1,1)-OFFSET(BS!$B59,0,COLUMN(P$68)-COLUMN($B$68)+1,1,1)</f>
        <v>0</v>
      </c>
      <c r="Q81" s="52">
        <f ca="1">OFFSET(BS!$B59,0,COLUMN(Q$68)-COLUMN($B$68),1,1)-OFFSET(BS!$B59,0,COLUMN(Q$68)-COLUMN($B$68)+1,1,1)</f>
        <v>0</v>
      </c>
      <c r="R81" s="52">
        <f ca="1">OFFSET(BS!$B59,0,COLUMN(R$68)-COLUMN($B$68),1,1)-OFFSET(BS!$B59,0,COLUMN(R$68)-COLUMN($B$68)+1,1,1)</f>
        <v>0</v>
      </c>
      <c r="S81" s="52">
        <f ca="1">OFFSET(BS!$B59,0,COLUMN(S$68)-COLUMN($B$68),1,1)-OFFSET(BS!$B59,0,COLUMN(S$68)-COLUMN($B$68)+1,1,1)</f>
        <v>0</v>
      </c>
      <c r="T81" s="52">
        <f ca="1">OFFSET(BS!$B59,0,COLUMN(T$68)-COLUMN($B$68),1,1)-OFFSET(BS!$B59,0,COLUMN(T$68)-COLUMN($B$68)+1,1,1)</f>
        <v>0</v>
      </c>
      <c r="U81" s="52">
        <f ca="1">OFFSET(BS!$B59,0,COLUMN(U$68)-COLUMN($B$68),1,1)-OFFSET(BS!$B59,0,COLUMN(U$68)-COLUMN($B$68)+1,1,1)</f>
        <v>0</v>
      </c>
      <c r="V81" s="52">
        <f ca="1">OFFSET(BS!$B59,0,COLUMN(V$68)-COLUMN($B$68),1,1)-OFFSET(BS!$B59,0,COLUMN(V$68)-COLUMN($B$68)+1,1,1)</f>
        <v>0</v>
      </c>
      <c r="W81" s="52">
        <f ca="1">OFFSET(BS!$B59,0,COLUMN(W$68)-COLUMN($B$68),1,1)-OFFSET(BS!$B59,0,COLUMN(W$68)-COLUMN($B$68)+1,1,1)</f>
        <v>0</v>
      </c>
      <c r="X81" s="52">
        <f ca="1">OFFSET(BS!$B59,0,COLUMN(X$68)-COLUMN($B$68),1,1)-OFFSET(BS!$B59,0,COLUMN(X$68)-COLUMN($B$68)+1,1,1)</f>
        <v>0</v>
      </c>
      <c r="Y81" s="52">
        <f ca="1">OFFSET(BS!$B59,0,COLUMN(Y$68)-COLUMN($B$68),1,1)-OFFSET(BS!$B59,0,COLUMN(Y$68)-COLUMN($B$68)+1,1,1)</f>
        <v>0</v>
      </c>
      <c r="Z81" s="52">
        <f ca="1">OFFSET(BS!$B59,0,COLUMN(Z$68)-COLUMN($B$68),1,1)-OFFSET(BS!$B59,0,COLUMN(Z$68)-COLUMN($B$68)+1,1,1)</f>
        <v>0</v>
      </c>
      <c r="AA81" s="52">
        <f ca="1">OFFSET(BS!$B59,0,COLUMN(AA$68)-COLUMN($B$68),1,1)-OFFSET(BS!$B59,0,COLUMN(AA$68)-COLUMN($B$68)+1,1,1)</f>
        <v>0</v>
      </c>
      <c r="AB81" s="52">
        <f ca="1">OFFSET(BS!$B59,0,COLUMN(AB$68)-COLUMN($B$68),1,1)-OFFSET(BS!$B59,0,COLUMN(AB$68)-COLUMN($B$68)+1,1,1)</f>
        <v>0</v>
      </c>
      <c r="AC81" s="52">
        <f ca="1">OFFSET(BS!$B59,0,COLUMN(AC$68)-COLUMN($B$68),1,1)-OFFSET(BS!$B59,0,COLUMN(AC$68)-COLUMN($B$68)+1,1,1)</f>
        <v>0</v>
      </c>
      <c r="AD81" s="52">
        <f ca="1">OFFSET(BS!$B59,0,COLUMN(AD$68)-COLUMN($B$68),1,1)-OFFSET(BS!$B59,0,COLUMN(AD$68)-COLUMN($B$68)+1,1,1)</f>
        <v>0</v>
      </c>
      <c r="AE81" s="52">
        <f ca="1">OFFSET(BS!$B59,0,COLUMN(AE$68)-COLUMN($B$68),1,1)-OFFSET(BS!$B59,0,COLUMN(AE$68)-COLUMN($B$68)+1,1,1)</f>
        <v>0</v>
      </c>
      <c r="AF81" s="52">
        <f ca="1">OFFSET(BS!$B59,0,COLUMN(AF$68)-COLUMN($B$68),1,1)-OFFSET(BS!$B59,0,COLUMN(AF$68)-COLUMN($B$68)+1,1,1)</f>
        <v>0</v>
      </c>
      <c r="AG81" s="52">
        <f ca="1">OFFSET(BS!$B59,0,COLUMN(AG$68)-COLUMN($B$68),1,1)-OFFSET(BS!$B59,0,COLUMN(AG$68)-COLUMN($B$68)+1,1,1)</f>
        <v>0</v>
      </c>
      <c r="AH81" s="52">
        <f ca="1">OFFSET(BS!$B59,0,COLUMN(AH$68)-COLUMN($B$68),1,1)-OFFSET(BS!$B59,0,COLUMN(AH$68)-COLUMN($B$68)+1,1,1)</f>
        <v>0</v>
      </c>
      <c r="AI81" s="52">
        <f ca="1">OFFSET(BS!$B59,0,COLUMN(AI$68)-COLUMN($B$68),1,1)-OFFSET(BS!$B59,0,COLUMN(AI$68)-COLUMN($B$68)+1,1,1)</f>
        <v>0</v>
      </c>
      <c r="AJ81" s="52">
        <f ca="1">OFFSET(BS!$B59,0,COLUMN(AJ$68)-COLUMN($B$68),1,1)-OFFSET(BS!$B59,0,COLUMN(AJ$68)-COLUMN($B$68)+1,1,1)</f>
        <v>0</v>
      </c>
      <c r="AK81" s="52">
        <f ca="1">OFFSET(BS!$B59,0,COLUMN(AK$68)-COLUMN($B$68),1,1)-OFFSET(BS!$B59,0,COLUMN(AK$68)-COLUMN($B$68)+1,1,1)</f>
        <v>0</v>
      </c>
      <c r="AL81" s="52">
        <f ca="1">OFFSET(BS!$B59,0,COLUMN(AL$68)-COLUMN($B$68),1,1)-OFFSET(BS!$B59,0,COLUMN(AL$68)-COLUMN($B$68)+1,1,1)</f>
        <v>0</v>
      </c>
      <c r="AM81" s="52">
        <f ca="1">OFFSET(BS!$B59,0,COLUMN(AM$68)-COLUMN($B$68),1,1)-OFFSET(BS!$B59,0,COLUMN(AM$68)-COLUMN($B$68)+1,1,1)</f>
        <v>0</v>
      </c>
      <c r="AN81" s="52">
        <f ca="1">OFFSET(BS!$B59,0,COLUMN(AN$68)-COLUMN($B$68),1,1)-OFFSET(BS!$B59,0,COLUMN(AN$68)-COLUMN($B$68)+1,1,1)</f>
        <v>0</v>
      </c>
      <c r="AO81" s="52">
        <f ca="1">OFFSET(BS!$B59,0,COLUMN(AO$68)-COLUMN($B$68),1,1)-OFFSET(BS!$B59,0,COLUMN(AO$68)-COLUMN($B$68)+1,1,1)</f>
        <v>0</v>
      </c>
      <c r="AP81" s="52">
        <f ca="1">OFFSET(BS!$B59,0,COLUMN(AP$68)-COLUMN($B$68),1,1)-OFFSET(BS!$B59,0,COLUMN(AP$68)-COLUMN($B$68)+1,1,1)</f>
        <v>0</v>
      </c>
      <c r="AQ81" s="52">
        <f ca="1">OFFSET(BS!$B59,0,COLUMN(AQ$68)-COLUMN($B$68),1,1)-OFFSET(BS!$B59,0,COLUMN(AQ$68)-COLUMN($B$68)+1,1,1)</f>
        <v>0</v>
      </c>
      <c r="AR81" s="52">
        <f ca="1">OFFSET(BS!$B59,0,COLUMN(AR$68)-COLUMN($B$68),1,1)-OFFSET(BS!$B59,0,COLUMN(AR$68)-COLUMN($B$68)+1,1,1)</f>
        <v>0</v>
      </c>
      <c r="AS81" s="52">
        <f ca="1">OFFSET(BS!$B59,0,COLUMN(AS$68)-COLUMN($B$68),1,1)-OFFSET(BS!$B59,0,COLUMN(AS$68)-COLUMN($B$68)+1,1,1)</f>
        <v>0</v>
      </c>
      <c r="AT81" s="52">
        <f ca="1">OFFSET(BS!$B59,0,COLUMN(AT$68)-COLUMN($B$68),1,1)-OFFSET(BS!$B59,0,COLUMN(AT$68)-COLUMN($B$68)+1,1,1)</f>
        <v>0</v>
      </c>
      <c r="AU81" s="52">
        <f ca="1">OFFSET(BS!$B59,0,COLUMN(AU$68)-COLUMN($B$68),1,1)-OFFSET(BS!$B59,0,COLUMN(AU$68)-COLUMN($B$68)+1,1,1)</f>
        <v>3000</v>
      </c>
      <c r="AV81" s="52">
        <f ca="1">OFFSET(BS!$B59,0,COLUMN(AV$68)-COLUMN($B$68),1,1)-OFFSET(BS!$B59,0,COLUMN(AV$68)-COLUMN($B$68)+1,1,1)</f>
        <v>0</v>
      </c>
      <c r="AW81" s="52">
        <f ca="1">OFFSET(BS!$B59,0,COLUMN(AW$68)-COLUMN($B$68),1,1)-OFFSET(BS!$B59,0,COLUMN(AW$68)-COLUMN($B$68)+1,1,1)</f>
        <v>0</v>
      </c>
      <c r="AX81" s="52">
        <f ca="1">OFFSET(BS!$B59,0,COLUMN(AX$68)-COLUMN($B$68),1,1)-OFFSET(BS!$B59,0,COLUMN(AX$68)-COLUMN($B$68)+1,1,1)</f>
        <v>0</v>
      </c>
      <c r="AY81" s="52">
        <f ca="1">OFFSET(BS!$B59,0,COLUMN(AY$68)-COLUMN($B$68),1,1)-OFFSET(BS!$B59,0,COLUMN(AY$68)-COLUMN($B$68)+1,1,1)</f>
        <v>0</v>
      </c>
      <c r="AZ81" s="52">
        <f ca="1">OFFSET(BS!$B59,0,COLUMN(AZ$68)-COLUMN($B$68),1,1)-OFFSET(BS!$B59,0,COLUMN(AZ$68)-COLUMN($B$68)+1,1,1)</f>
        <v>0</v>
      </c>
      <c r="BA81" s="52">
        <f ca="1">OFFSET(BS!$B59,0,COLUMN(BA$68)-COLUMN($B$68),1,1)-OFFSET(BS!$B59,0,COLUMN(BA$68)-COLUMN($B$68)+1,1,1)</f>
        <v>0</v>
      </c>
      <c r="BB81" s="52">
        <f ca="1">OFFSET(BS!$B59,0,COLUMN(BB$68)-COLUMN($B$68),1,1)-OFFSET(BS!$B59,0,COLUMN(BB$68)-COLUMN($B$68)+1,1,1)</f>
        <v>0</v>
      </c>
      <c r="BC81" s="53">
        <f ca="1">SUM(OFFSET($B81,0,1,1,Assumptions!$C$8))</f>
        <v>0</v>
      </c>
      <c r="BD81" s="53">
        <f ca="1">SUM(OFFSET($B81,0,1+Assumptions!$C$8,1,SUM(Assumptions!$C$9)))</f>
        <v>0</v>
      </c>
      <c r="BE81" s="53">
        <f ca="1">SUM(OFFSET($B81,0,1+SUM(Assumptions!$C$8:$C$9),1,SUM(Assumptions!$C$10)))</f>
        <v>0</v>
      </c>
      <c r="BF81" s="53">
        <f ca="1">SUM(OFFSET($B81,0,1+SUM(Assumptions!$C$8:$C$10),1,SUM(Assumptions!$C$11)))</f>
        <v>3000</v>
      </c>
      <c r="BG81" s="53">
        <f t="shared" ca="1" si="28"/>
        <v>3000</v>
      </c>
    </row>
    <row r="82" spans="1:59" ht="16.149999999999999" customHeight="1" x14ac:dyDescent="0.3">
      <c r="A82" s="308" t="s">
        <v>189</v>
      </c>
      <c r="B82" s="56" t="s">
        <v>190</v>
      </c>
      <c r="C82" s="52">
        <f ca="1">OFFSET(BS!$B77,0,COLUMN(C$68)-COLUMN($B$68)+1,1,1)-OFFSET(BS!$B77,0,COLUMN(C$68)-COLUMN($B$68),1,1)</f>
        <v>3230.5</v>
      </c>
      <c r="D82" s="52">
        <f ca="1">OFFSET(BS!$B77,0,COLUMN(D$68)-COLUMN($B$68)+1,1,1)-OFFSET(BS!$B77,0,COLUMN(D$68)-COLUMN($B$68),1,1)</f>
        <v>-16389.053600000014</v>
      </c>
      <c r="E82" s="52">
        <f ca="1">OFFSET(BS!$B77,0,COLUMN(E$68)-COLUMN($B$68)+1,1,1)-OFFSET(BS!$B77,0,COLUMN(E$68)-COLUMN($B$68),1,1)</f>
        <v>14476.104685714294</v>
      </c>
      <c r="F82" s="52">
        <f ca="1">OFFSET(BS!$B77,0,COLUMN(F$68)-COLUMN($B$68)+1,1,1)-OFFSET(BS!$B77,0,COLUMN(F$68)-COLUMN($B$68),1,1)</f>
        <v>1270.4674285714282</v>
      </c>
      <c r="G82" s="52">
        <f ca="1">OFFSET(BS!$B77,0,COLUMN(G$68)-COLUMN($B$68)+1,1,1)-OFFSET(BS!$B77,0,COLUMN(G$68)-COLUMN($B$68),1,1)</f>
        <v>34063.194842857134</v>
      </c>
      <c r="H82" s="52">
        <f ca="1">OFFSET(BS!$B77,0,COLUMN(H$68)-COLUMN($B$68)+1,1,1)-OFFSET(BS!$B77,0,COLUMN(H$68)-COLUMN($B$68),1,1)</f>
        <v>-21579.314642857178</v>
      </c>
      <c r="I82" s="52">
        <f ca="1">OFFSET(BS!$B77,0,COLUMN(I$68)-COLUMN($B$68)+1,1,1)-OFFSET(BS!$B77,0,COLUMN(I$68)-COLUMN($B$68),1,1)</f>
        <v>26323.454000000027</v>
      </c>
      <c r="J82" s="52">
        <f ca="1">OFFSET(BS!$B77,0,COLUMN(J$68)-COLUMN($B$68)+1,1,1)-OFFSET(BS!$B77,0,COLUMN(J$68)-COLUMN($B$68),1,1)</f>
        <v>-23732.080142857129</v>
      </c>
      <c r="K82" s="52">
        <f ca="1">OFFSET(BS!$B77,0,COLUMN(K$68)-COLUMN($B$68)+1,1,1)-OFFSET(BS!$B77,0,COLUMN(K$68)-COLUMN($B$68),1,1)</f>
        <v>6165.8449285714305</v>
      </c>
      <c r="L82" s="52">
        <f ca="1">OFFSET(BS!$B77,0,COLUMN(L$68)-COLUMN($B$68)+1,1,1)-OFFSET(BS!$B77,0,COLUMN(L$68)-COLUMN($B$68),1,1)</f>
        <v>-3369.7299999999814</v>
      </c>
      <c r="M82" s="52">
        <f ca="1">OFFSET(BS!$B77,0,COLUMN(M$68)-COLUMN($B$68)+1,1,1)-OFFSET(BS!$B77,0,COLUMN(M$68)-COLUMN($B$68),1,1)</f>
        <v>-10438.525357142906</v>
      </c>
      <c r="N82" s="52">
        <f ca="1">OFFSET(BS!$B77,0,COLUMN(N$68)-COLUMN($B$68)+1,1,1)-OFFSET(BS!$B77,0,COLUMN(N$68)-COLUMN($B$68),1,1)</f>
        <v>-15739.71814285712</v>
      </c>
      <c r="O82" s="52">
        <f ca="1">OFFSET(BS!$B77,0,COLUMN(O$68)-COLUMN($B$68)+1,1,1)-OFFSET(BS!$B77,0,COLUMN(O$68)-COLUMN($B$68),1,1)</f>
        <v>30359.310000000012</v>
      </c>
      <c r="P82" s="52">
        <f ca="1">OFFSET(BS!$B77,0,COLUMN(P$68)-COLUMN($B$68)+1,1,1)-OFFSET(BS!$B77,0,COLUMN(P$68)-COLUMN($B$68),1,1)</f>
        <v>19806.933000000019</v>
      </c>
      <c r="Q82" s="52">
        <f ca="1">OFFSET(BS!$B77,0,COLUMN(Q$68)-COLUMN($B$68)+1,1,1)-OFFSET(BS!$B77,0,COLUMN(Q$68)-COLUMN($B$68),1,1)</f>
        <v>-14691.112000000023</v>
      </c>
      <c r="R82" s="52">
        <f ca="1">OFFSET(BS!$B77,0,COLUMN(R$68)-COLUMN($B$68)+1,1,1)-OFFSET(BS!$B77,0,COLUMN(R$68)-COLUMN($B$68),1,1)</f>
        <v>-17450.260999999999</v>
      </c>
      <c r="S82" s="52">
        <f ca="1">OFFSET(BS!$B77,0,COLUMN(S$68)-COLUMN($B$68)+1,1,1)-OFFSET(BS!$B77,0,COLUMN(S$68)-COLUMN($B$68),1,1)</f>
        <v>-4694.5431428571756</v>
      </c>
      <c r="T82" s="52">
        <f ca="1">OFFSET(BS!$B77,0,COLUMN(T$68)-COLUMN($B$68)+1,1,1)-OFFSET(BS!$B77,0,COLUMN(T$68)-COLUMN($B$68),1,1)</f>
        <v>15445.479142857163</v>
      </c>
      <c r="U82" s="52">
        <f ca="1">OFFSET(BS!$B77,0,COLUMN(U$68)-COLUMN($B$68)+1,1,1)-OFFSET(BS!$B77,0,COLUMN(U$68)-COLUMN($B$68),1,1)</f>
        <v>-99.38300000000163</v>
      </c>
      <c r="V82" s="52">
        <f ca="1">OFFSET(BS!$B77,0,COLUMN(V$68)-COLUMN($B$68)+1,1,1)-OFFSET(BS!$B77,0,COLUMN(V$68)-COLUMN($B$68),1,1)</f>
        <v>-1444.6858571428165</v>
      </c>
      <c r="W82" s="52">
        <f ca="1">OFFSET(BS!$B77,0,COLUMN(W$68)-COLUMN($B$68)+1,1,1)-OFFSET(BS!$B77,0,COLUMN(W$68)-COLUMN($B$68),1,1)</f>
        <v>-11954.033142857166</v>
      </c>
      <c r="X82" s="52">
        <f ca="1">OFFSET(BS!$B77,0,COLUMN(X$68)-COLUMN($B$68)+1,1,1)-OFFSET(BS!$B77,0,COLUMN(X$68)-COLUMN($B$68),1,1)</f>
        <v>16175.01449999999</v>
      </c>
      <c r="Y82" s="52">
        <f ca="1">OFFSET(BS!$B77,0,COLUMN(Y$68)-COLUMN($B$68)+1,1,1)-OFFSET(BS!$B77,0,COLUMN(Y$68)-COLUMN($B$68),1,1)</f>
        <v>7358.7925000000105</v>
      </c>
      <c r="Z82" s="52">
        <f ca="1">OFFSET(BS!$B77,0,COLUMN(Z$68)-COLUMN($B$68)+1,1,1)-OFFSET(BS!$B77,0,COLUMN(Z$68)-COLUMN($B$68),1,1)</f>
        <v>7024.1835714285844</v>
      </c>
      <c r="AA82" s="52">
        <f ca="1">OFFSET(BS!$B77,0,COLUMN(AA$68)-COLUMN($B$68)+1,1,1)-OFFSET(BS!$B77,0,COLUMN(AA$68)-COLUMN($B$68),1,1)</f>
        <v>-18404.527714285738</v>
      </c>
      <c r="AB82" s="52">
        <f ca="1">OFFSET(BS!$B77,0,COLUMN(AB$68)-COLUMN($B$68)+1,1,1)-OFFSET(BS!$B77,0,COLUMN(AB$68)-COLUMN($B$68),1,1)</f>
        <v>37287.486642857169</v>
      </c>
      <c r="AC82" s="52">
        <f ca="1">OFFSET(BS!$B77,0,COLUMN(AC$68)-COLUMN($B$68)+1,1,1)-OFFSET(BS!$B77,0,COLUMN(AC$68)-COLUMN($B$68),1,1)</f>
        <v>-29377.957500000019</v>
      </c>
      <c r="AD82" s="52">
        <f ca="1">OFFSET(BS!$B77,0,COLUMN(AD$68)-COLUMN($B$68)+1,1,1)-OFFSET(BS!$B77,0,COLUMN(AD$68)-COLUMN($B$68),1,1)</f>
        <v>6677.0511428571481</v>
      </c>
      <c r="AE82" s="52">
        <f ca="1">OFFSET(BS!$B77,0,COLUMN(AE$68)-COLUMN($B$68)+1,1,1)-OFFSET(BS!$B77,0,COLUMN(AE$68)-COLUMN($B$68),1,1)</f>
        <v>-30055.82828571432</v>
      </c>
      <c r="AF82" s="52">
        <f ca="1">OFFSET(BS!$B77,0,COLUMN(AF$68)-COLUMN($B$68)+1,1,1)-OFFSET(BS!$B77,0,COLUMN(AF$68)-COLUMN($B$68),1,1)</f>
        <v>6784.0800000000163</v>
      </c>
      <c r="AG82" s="52">
        <f ca="1">OFFSET(BS!$B77,0,COLUMN(AG$68)-COLUMN($B$68)+1,1,1)-OFFSET(BS!$B77,0,COLUMN(AG$68)-COLUMN($B$68),1,1)</f>
        <v>27340.346428571414</v>
      </c>
      <c r="AH82" s="52">
        <f ca="1">OFFSET(BS!$B77,0,COLUMN(AH$68)-COLUMN($B$68)+1,1,1)-OFFSET(BS!$B77,0,COLUMN(AH$68)-COLUMN($B$68),1,1)</f>
        <v>-1323.9457142857136</v>
      </c>
      <c r="AI82" s="52">
        <f ca="1">OFFSET(BS!$B77,0,COLUMN(AI$68)-COLUMN($B$68)+1,1,1)-OFFSET(BS!$B77,0,COLUMN(AI$68)-COLUMN($B$68),1,1)</f>
        <v>15828.977857142891</v>
      </c>
      <c r="AJ82" s="52">
        <f ca="1">OFFSET(BS!$B77,0,COLUMN(AJ$68)-COLUMN($B$68)+1,1,1)-OFFSET(BS!$B77,0,COLUMN(AJ$68)-COLUMN($B$68),1,1)</f>
        <v>12513.741428571433</v>
      </c>
      <c r="AK82" s="52">
        <f ca="1">OFFSET(BS!$B77,0,COLUMN(AK$68)-COLUMN($B$68)+1,1,1)-OFFSET(BS!$B77,0,COLUMN(AK$68)-COLUMN($B$68),1,1)</f>
        <v>8343.052857142844</v>
      </c>
      <c r="AL82" s="52">
        <f ca="1">OFFSET(BS!$B77,0,COLUMN(AL$68)-COLUMN($B$68)+1,1,1)-OFFSET(BS!$B77,0,COLUMN(AL$68)-COLUMN($B$68),1,1)</f>
        <v>-3200.3021428571083</v>
      </c>
      <c r="AM82" s="52">
        <f ca="1">OFFSET(BS!$B77,0,COLUMN(AM$68)-COLUMN($B$68)+1,1,1)-OFFSET(BS!$B77,0,COLUMN(AM$68)-COLUMN($B$68),1,1)</f>
        <v>-28844.185000000027</v>
      </c>
      <c r="AN82" s="52">
        <f ca="1">OFFSET(BS!$B77,0,COLUMN(AN$68)-COLUMN($B$68)+1,1,1)-OFFSET(BS!$B77,0,COLUMN(AN$68)-COLUMN($B$68),1,1)</f>
        <v>-29782.108571428573</v>
      </c>
      <c r="AO82" s="52">
        <f ca="1">OFFSET(BS!$B77,0,COLUMN(AO$68)-COLUMN($B$68)+1,1,1)-OFFSET(BS!$B77,0,COLUMN(AO$68)-COLUMN($B$68),1,1)</f>
        <v>56492.255000000005</v>
      </c>
      <c r="AP82" s="52">
        <f ca="1">OFFSET(BS!$B77,0,COLUMN(AP$68)-COLUMN($B$68)+1,1,1)-OFFSET(BS!$B77,0,COLUMN(AP$68)-COLUMN($B$68),1,1)</f>
        <v>-39058.013500000001</v>
      </c>
      <c r="AQ82" s="52">
        <f ca="1">OFFSET(BS!$B77,0,COLUMN(AQ$68)-COLUMN($B$68)+1,1,1)-OFFSET(BS!$B77,0,COLUMN(AQ$68)-COLUMN($B$68),1,1)</f>
        <v>12177.88064285717</v>
      </c>
      <c r="AR82" s="52">
        <f ca="1">OFFSET(BS!$B77,0,COLUMN(AR$68)-COLUMN($B$68)+1,1,1)-OFFSET(BS!$B77,0,COLUMN(AR$68)-COLUMN($B$68),1,1)</f>
        <v>-41419.034142857185</v>
      </c>
      <c r="AS82" s="52">
        <f ca="1">OFFSET(BS!$B77,0,COLUMN(AS$68)-COLUMN($B$68)+1,1,1)-OFFSET(BS!$B77,0,COLUMN(AS$68)-COLUMN($B$68),1,1)</f>
        <v>-28271.547428571415</v>
      </c>
      <c r="AT82" s="52">
        <f ca="1">OFFSET(BS!$B77,0,COLUMN(AT$68)-COLUMN($B$68)+1,1,1)-OFFSET(BS!$B77,0,COLUMN(AT$68)-COLUMN($B$68),1,1)</f>
        <v>13621.199971428563</v>
      </c>
      <c r="AU82" s="52">
        <f ca="1">OFFSET(BS!$B77,0,COLUMN(AU$68)-COLUMN($B$68)+1,1,1)-OFFSET(BS!$B77,0,COLUMN(AU$68)-COLUMN($B$68),1,1)</f>
        <v>-28278.229257142855</v>
      </c>
      <c r="AV82" s="52">
        <f ca="1">OFFSET(BS!$B77,0,COLUMN(AV$68)-COLUMN($B$68)+1,1,1)-OFFSET(BS!$B77,0,COLUMN(AV$68)-COLUMN($B$68),1,1)</f>
        <v>15220.183628571423</v>
      </c>
      <c r="AW82" s="52">
        <f ca="1">OFFSET(BS!$B77,0,COLUMN(AW$68)-COLUMN($B$68)+1,1,1)-OFFSET(BS!$B77,0,COLUMN(AW$68)-COLUMN($B$68),1,1)</f>
        <v>13409.392971428577</v>
      </c>
      <c r="AX82" s="52">
        <f ca="1">OFFSET(BS!$B77,0,COLUMN(AX$68)-COLUMN($B$68)+1,1,1)-OFFSET(BS!$B77,0,COLUMN(AX$68)-COLUMN($B$68),1,1)</f>
        <v>50084.63111428573</v>
      </c>
      <c r="AY82" s="52">
        <f ca="1">OFFSET(BS!$B77,0,COLUMN(AY$68)-COLUMN($B$68)+1,1,1)-OFFSET(BS!$B77,0,COLUMN(AY$68)-COLUMN($B$68),1,1)</f>
        <v>-8203.5158000000229</v>
      </c>
      <c r="AZ82" s="52">
        <f ca="1">OFFSET(BS!$B77,0,COLUMN(AZ$68)-COLUMN($B$68)+1,1,1)-OFFSET(BS!$B77,0,COLUMN(AZ$68)-COLUMN($B$68),1,1)</f>
        <v>5507.2882285714441</v>
      </c>
      <c r="BA82" s="52">
        <f ca="1">OFFSET(BS!$B77,0,COLUMN(BA$68)-COLUMN($B$68)+1,1,1)-OFFSET(BS!$B77,0,COLUMN(BA$68)-COLUMN($B$68),1,1)</f>
        <v>19442.846285714244</v>
      </c>
      <c r="BB82" s="52">
        <f ca="1">OFFSET(BS!$B77,0,COLUMN(BB$68)-COLUMN($B$68)+1,1,1)-OFFSET(BS!$B77,0,COLUMN(BB$68)-COLUMN($B$68),1,1)</f>
        <v>30160.670500000066</v>
      </c>
      <c r="BC82" s="53">
        <f ca="1">SUM(OFFSET($B82,0,1,1,Assumptions!$C$8))</f>
        <v>24640.453999999998</v>
      </c>
      <c r="BD82" s="53">
        <f ca="1">SUM(OFFSET($B82,0,1+Assumptions!$C$8,1,SUM(Assumptions!$C$9)))</f>
        <v>34359.343500000017</v>
      </c>
      <c r="BE82" s="53">
        <f ca="1">SUM(OFFSET($B82,0,1+SUM(Assumptions!$C$8:$C$9),1,SUM(Assumptions!$C$10)))</f>
        <v>11395.177499999991</v>
      </c>
      <c r="BF82" s="53">
        <f ca="1">SUM(OFFSET($B82,0,1+SUM(Assumptions!$C$8:$C$10),1,SUM(Assumptions!$C$11)))</f>
        <v>14393.753214285738</v>
      </c>
      <c r="BG82" s="53">
        <f t="shared" ca="1" si="28"/>
        <v>84788.728214285744</v>
      </c>
    </row>
    <row r="83" spans="1:59" ht="16.149999999999999" customHeight="1" x14ac:dyDescent="0.3">
      <c r="A83" s="308" t="s">
        <v>191</v>
      </c>
      <c r="B83" s="56" t="s">
        <v>159</v>
      </c>
      <c r="C83" s="52">
        <f ca="1">OFFSET(BS!$B78,0,COLUMN(C$68)-COLUMN($B$68)+1,1,1)-OFFSET(BS!$B78,0,COLUMN(C$68)-COLUMN($B$68),1,1)</f>
        <v>3024.25</v>
      </c>
      <c r="D83" s="52">
        <f ca="1">OFFSET(BS!$B78,0,COLUMN(D$68)-COLUMN($B$68)+1,1,1)-OFFSET(BS!$B78,0,COLUMN(D$68)-COLUMN($B$68),1,1)</f>
        <v>6823.5291999999972</v>
      </c>
      <c r="E83" s="52">
        <f ca="1">OFFSET(BS!$B78,0,COLUMN(E$68)-COLUMN($B$68)+1,1,1)-OFFSET(BS!$B78,0,COLUMN(E$68)-COLUMN($B$68),1,1)</f>
        <v>6845.409599999999</v>
      </c>
      <c r="F83" s="52">
        <f ca="1">OFFSET(BS!$B78,0,COLUMN(F$68)-COLUMN($B$68)+1,1,1)-OFFSET(BS!$B78,0,COLUMN(F$68)-COLUMN($B$68),1,1)</f>
        <v>-7446.652399999999</v>
      </c>
      <c r="G83" s="52">
        <f ca="1">OFFSET(BS!$B78,0,COLUMN(G$68)-COLUMN($B$68)+1,1,1)-OFFSET(BS!$B78,0,COLUMN(G$68)-COLUMN($B$68),1,1)</f>
        <v>3342.7235999999975</v>
      </c>
      <c r="H83" s="52">
        <f ca="1">OFFSET(BS!$B78,0,COLUMN(H$68)-COLUMN($B$68)+1,1,1)-OFFSET(BS!$B78,0,COLUMN(H$68)-COLUMN($B$68),1,1)</f>
        <v>5255.251949999998</v>
      </c>
      <c r="I83" s="52">
        <f ca="1">OFFSET(BS!$B78,0,COLUMN(I$68)-COLUMN($B$68)+1,1,1)-OFFSET(BS!$B78,0,COLUMN(I$68)-COLUMN($B$68),1,1)</f>
        <v>484.18565000000672</v>
      </c>
      <c r="J83" s="52">
        <f ca="1">OFFSET(BS!$B78,0,COLUMN(J$68)-COLUMN($B$68)+1,1,1)-OFFSET(BS!$B78,0,COLUMN(J$68)-COLUMN($B$68),1,1)</f>
        <v>4398.5814000000028</v>
      </c>
      <c r="K83" s="52">
        <f ca="1">OFFSET(BS!$B78,0,COLUMN(K$68)-COLUMN($B$68)+1,1,1)-OFFSET(BS!$B78,0,COLUMN(K$68)-COLUMN($B$68),1,1)</f>
        <v>5616.7762000000002</v>
      </c>
      <c r="L83" s="52">
        <f ca="1">OFFSET(BS!$B78,0,COLUMN(L$68)-COLUMN($B$68)+1,1,1)-OFFSET(BS!$B78,0,COLUMN(L$68)-COLUMN($B$68),1,1)</f>
        <v>4530.6517999999924</v>
      </c>
      <c r="M83" s="52">
        <f ca="1">OFFSET(BS!$B78,0,COLUMN(M$68)-COLUMN($B$68)+1,1,1)-OFFSET(BS!$B78,0,COLUMN(M$68)-COLUMN($B$68),1,1)</f>
        <v>5070.9666000000143</v>
      </c>
      <c r="N83" s="52">
        <f ca="1">OFFSET(BS!$B78,0,COLUMN(N$68)-COLUMN($B$68)+1,1,1)-OFFSET(BS!$B78,0,COLUMN(N$68)-COLUMN($B$68),1,1)</f>
        <v>20093.962400000004</v>
      </c>
      <c r="O83" s="52">
        <f ca="1">OFFSET(BS!$B78,0,COLUMN(O$68)-COLUMN($B$68)+1,1,1)-OFFSET(BS!$B78,0,COLUMN(O$68)-COLUMN($B$68),1,1)</f>
        <v>-51106.90800000001</v>
      </c>
      <c r="P83" s="52">
        <f ca="1">OFFSET(BS!$B78,0,COLUMN(P$68)-COLUMN($B$68)+1,1,1)-OFFSET(BS!$B78,0,COLUMN(P$68)-COLUMN($B$68),1,1)</f>
        <v>5613.3999999999978</v>
      </c>
      <c r="Q83" s="52">
        <f ca="1">OFFSET(BS!$B78,0,COLUMN(Q$68)-COLUMN($B$68)+1,1,1)-OFFSET(BS!$B78,0,COLUMN(Q$68)-COLUMN($B$68),1,1)</f>
        <v>2796.5519999999997</v>
      </c>
      <c r="R83" s="52">
        <f ca="1">OFFSET(BS!$B78,0,COLUMN(R$68)-COLUMN($B$68)+1,1,1)-OFFSET(BS!$B78,0,COLUMN(R$68)-COLUMN($B$68),1,1)</f>
        <v>9804.5800000000054</v>
      </c>
      <c r="S83" s="52">
        <f ca="1">OFFSET(BS!$B78,0,COLUMN(S$68)-COLUMN($B$68)+1,1,1)-OFFSET(BS!$B78,0,COLUMN(S$68)-COLUMN($B$68),1,1)</f>
        <v>4724.3212499999936</v>
      </c>
      <c r="T83" s="52">
        <f ca="1">OFFSET(BS!$B78,0,COLUMN(T$68)-COLUMN($B$68)+1,1,1)-OFFSET(BS!$B78,0,COLUMN(T$68)-COLUMN($B$68),1,1)</f>
        <v>3782.5915000000023</v>
      </c>
      <c r="U83" s="52">
        <f ca="1">OFFSET(BS!$B78,0,COLUMN(U$68)-COLUMN($B$68)+1,1,1)-OFFSET(BS!$B78,0,COLUMN(U$68)-COLUMN($B$68),1,1)</f>
        <v>12495.759249999996</v>
      </c>
      <c r="V83" s="52">
        <f ca="1">OFFSET(BS!$B78,0,COLUMN(V$68)-COLUMN($B$68)+1,1,1)-OFFSET(BS!$B78,0,COLUMN(V$68)-COLUMN($B$68),1,1)</f>
        <v>3770.7524999999951</v>
      </c>
      <c r="W83" s="52">
        <f ca="1">OFFSET(BS!$B78,0,COLUMN(W$68)-COLUMN($B$68)+1,1,1)-OFFSET(BS!$B78,0,COLUMN(W$68)-COLUMN($B$68),1,1)</f>
        <v>10730.680500000002</v>
      </c>
      <c r="X83" s="52">
        <f ca="1">OFFSET(BS!$B78,0,COLUMN(X$68)-COLUMN($B$68)+1,1,1)-OFFSET(BS!$B78,0,COLUMN(X$68)-COLUMN($B$68),1,1)</f>
        <v>-49436.155749999991</v>
      </c>
      <c r="Y83" s="52">
        <f ca="1">OFFSET(BS!$B78,0,COLUMN(Y$68)-COLUMN($B$68)+1,1,1)-OFFSET(BS!$B78,0,COLUMN(Y$68)-COLUMN($B$68),1,1)</f>
        <v>2946.6010000000024</v>
      </c>
      <c r="Z83" s="52">
        <f ca="1">OFFSET(BS!$B78,0,COLUMN(Z$68)-COLUMN($B$68)+1,1,1)-OFFSET(BS!$B78,0,COLUMN(Z$68)-COLUMN($B$68),1,1)</f>
        <v>9514.0840000000062</v>
      </c>
      <c r="AA83" s="52">
        <f ca="1">OFFSET(BS!$B78,0,COLUMN(AA$68)-COLUMN($B$68)+1,1,1)-OFFSET(BS!$B78,0,COLUMN(AA$68)-COLUMN($B$68),1,1)</f>
        <v>1134.4482500000013</v>
      </c>
      <c r="AB83" s="52">
        <f ca="1">OFFSET(BS!$B78,0,COLUMN(AB$68)-COLUMN($B$68)+1,1,1)-OFFSET(BS!$B78,0,COLUMN(AB$68)-COLUMN($B$68),1,1)</f>
        <v>12667.373000000007</v>
      </c>
      <c r="AC83" s="52">
        <f ca="1">OFFSET(BS!$B78,0,COLUMN(AC$68)-COLUMN($B$68)+1,1,1)-OFFSET(BS!$B78,0,COLUMN(AC$68)-COLUMN($B$68),1,1)</f>
        <v>773.58424999999261</v>
      </c>
      <c r="AD83" s="52">
        <f ca="1">OFFSET(BS!$B78,0,COLUMN(AD$68)-COLUMN($B$68)+1,1,1)-OFFSET(BS!$B78,0,COLUMN(AD$68)-COLUMN($B$68),1,1)</f>
        <v>10730.257000000005</v>
      </c>
      <c r="AE83" s="52">
        <f ca="1">OFFSET(BS!$B78,0,COLUMN(AE$68)-COLUMN($B$68)+1,1,1)-OFFSET(BS!$B78,0,COLUMN(AE$68)-COLUMN($B$68),1,1)</f>
        <v>8095.6182499999995</v>
      </c>
      <c r="AF83" s="52">
        <f ca="1">OFFSET(BS!$B78,0,COLUMN(AF$68)-COLUMN($B$68)+1,1,1)-OFFSET(BS!$B78,0,COLUMN(AF$68)-COLUMN($B$68),1,1)</f>
        <v>12726.410000000003</v>
      </c>
      <c r="AG83" s="52">
        <f ca="1">OFFSET(BS!$B78,0,COLUMN(AG$68)-COLUMN($B$68)+1,1,1)-OFFSET(BS!$B78,0,COLUMN(AG$68)-COLUMN($B$68),1,1)</f>
        <v>-55728.262500000019</v>
      </c>
      <c r="AH83" s="52">
        <f ca="1">OFFSET(BS!$B78,0,COLUMN(AH$68)-COLUMN($B$68)+1,1,1)-OFFSET(BS!$B78,0,COLUMN(AH$68)-COLUMN($B$68),1,1)</f>
        <v>5635.3009999999995</v>
      </c>
      <c r="AI83" s="52">
        <f ca="1">OFFSET(BS!$B78,0,COLUMN(AI$68)-COLUMN($B$68)+1,1,1)-OFFSET(BS!$B78,0,COLUMN(AI$68)-COLUMN($B$68),1,1)</f>
        <v>9199.7845000000016</v>
      </c>
      <c r="AJ83" s="52">
        <f ca="1">OFFSET(BS!$B78,0,COLUMN(AJ$68)-COLUMN($B$68)+1,1,1)-OFFSET(BS!$B78,0,COLUMN(AJ$68)-COLUMN($B$68),1,1)</f>
        <v>9360.4005000000034</v>
      </c>
      <c r="AK83" s="52">
        <f ca="1">OFFSET(BS!$B78,0,COLUMN(AK$68)-COLUMN($B$68)+1,1,1)-OFFSET(BS!$B78,0,COLUMN(AK$68)-COLUMN($B$68),1,1)</f>
        <v>1718.3767499999958</v>
      </c>
      <c r="AL83" s="52">
        <f ca="1">OFFSET(BS!$B78,0,COLUMN(AL$68)-COLUMN($B$68)+1,1,1)-OFFSET(BS!$B78,0,COLUMN(AL$68)-COLUMN($B$68),1,1)</f>
        <v>6831.7027499999967</v>
      </c>
      <c r="AM83" s="52">
        <f ca="1">OFFSET(BS!$B78,0,COLUMN(AM$68)-COLUMN($B$68)+1,1,1)-OFFSET(BS!$B78,0,COLUMN(AM$68)-COLUMN($B$68),1,1)</f>
        <v>19486.254500000017</v>
      </c>
      <c r="AN83" s="52">
        <f ca="1">OFFSET(BS!$B78,0,COLUMN(AN$68)-COLUMN($B$68)+1,1,1)-OFFSET(BS!$B78,0,COLUMN(AN$68)-COLUMN($B$68),1,1)</f>
        <v>1583.8867499999906</v>
      </c>
      <c r="AO83" s="52">
        <f ca="1">OFFSET(BS!$B78,0,COLUMN(AO$68)-COLUMN($B$68)+1,1,1)-OFFSET(BS!$B78,0,COLUMN(AO$68)-COLUMN($B$68),1,1)</f>
        <v>-56819.734250000009</v>
      </c>
      <c r="AP83" s="52">
        <f ca="1">OFFSET(BS!$B78,0,COLUMN(AP$68)-COLUMN($B$68)+1,1,1)-OFFSET(BS!$B78,0,COLUMN(AP$68)-COLUMN($B$68),1,1)</f>
        <v>11826.952500000007</v>
      </c>
      <c r="AQ83" s="52">
        <f ca="1">OFFSET(BS!$B78,0,COLUMN(AQ$68)-COLUMN($B$68)+1,1,1)-OFFSET(BS!$B78,0,COLUMN(AQ$68)-COLUMN($B$68),1,1)</f>
        <v>4639.1625000000058</v>
      </c>
      <c r="AR83" s="52">
        <f ca="1">OFFSET(BS!$B78,0,COLUMN(AR$68)-COLUMN($B$68)+1,1,1)-OFFSET(BS!$B78,0,COLUMN(AR$68)-COLUMN($B$68),1,1)</f>
        <v>3323.1239999999962</v>
      </c>
      <c r="AS83" s="52">
        <f ca="1">OFFSET(BS!$B78,0,COLUMN(AS$68)-COLUMN($B$68)+1,1,1)-OFFSET(BS!$B78,0,COLUMN(AS$68)-COLUMN($B$68),1,1)</f>
        <v>8346.9849999999933</v>
      </c>
      <c r="AT83" s="52">
        <f ca="1">OFFSET(BS!$B78,0,COLUMN(AT$68)-COLUMN($B$68)+1,1,1)-OFFSET(BS!$B78,0,COLUMN(AT$68)-COLUMN($B$68),1,1)</f>
        <v>-475.11460000000079</v>
      </c>
      <c r="AU83" s="52">
        <f ca="1">OFFSET(BS!$B78,0,COLUMN(AU$68)-COLUMN($B$68)+1,1,1)-OFFSET(BS!$B78,0,COLUMN(AU$68)-COLUMN($B$68),1,1)</f>
        <v>-1422.0299999999916</v>
      </c>
      <c r="AV83" s="52">
        <f ca="1">OFFSET(BS!$B78,0,COLUMN(AV$68)-COLUMN($B$68)+1,1,1)-OFFSET(BS!$B78,0,COLUMN(AV$68)-COLUMN($B$68),1,1)</f>
        <v>10875.636050000008</v>
      </c>
      <c r="AW83" s="52">
        <f ca="1">OFFSET(BS!$B78,0,COLUMN(AW$68)-COLUMN($B$68)+1,1,1)-OFFSET(BS!$B78,0,COLUMN(AW$68)-COLUMN($B$68),1,1)</f>
        <v>7926.4897000000201</v>
      </c>
      <c r="AX83" s="52">
        <f ca="1">OFFSET(BS!$B78,0,COLUMN(AX$68)-COLUMN($B$68)+1,1,1)-OFFSET(BS!$B78,0,COLUMN(AX$68)-COLUMN($B$68),1,1)</f>
        <v>-45505.031550000036</v>
      </c>
      <c r="AY83" s="52">
        <f ca="1">OFFSET(BS!$B78,0,COLUMN(AY$68)-COLUMN($B$68)+1,1,1)-OFFSET(BS!$B78,0,COLUMN(AY$68)-COLUMN($B$68),1,1)</f>
        <v>6082.753650000006</v>
      </c>
      <c r="AZ83" s="52">
        <f ca="1">OFFSET(BS!$B78,0,COLUMN(AZ$68)-COLUMN($B$68)+1,1,1)-OFFSET(BS!$B78,0,COLUMN(AZ$68)-COLUMN($B$68),1,1)</f>
        <v>11343.377250000005</v>
      </c>
      <c r="BA83" s="52">
        <f ca="1">OFFSET(BS!$B78,0,COLUMN(BA$68)-COLUMN($B$68)+1,1,1)-OFFSET(BS!$B78,0,COLUMN(BA$68)-COLUMN($B$68),1,1)</f>
        <v>-983.07810000000609</v>
      </c>
      <c r="BB83" s="52">
        <f ca="1">OFFSET(BS!$B78,0,COLUMN(BB$68)-COLUMN($B$68)+1,1,1)-OFFSET(BS!$B78,0,COLUMN(BB$68)-COLUMN($B$68),1,1)</f>
        <v>8074.6526999999915</v>
      </c>
      <c r="BC83" s="53">
        <f ca="1">SUM(OFFSET($B83,0,1,1,Assumptions!$C$8))</f>
        <v>6932.7280000000028</v>
      </c>
      <c r="BD83" s="53">
        <f ca="1">SUM(OFFSET($B83,0,1+Assumptions!$C$8,1,SUM(Assumptions!$C$9)))</f>
        <v>30544.987500000021</v>
      </c>
      <c r="BE83" s="53">
        <f ca="1">SUM(OFFSET($B83,0,1+SUM(Assumptions!$C$8:$C$9),1,SUM(Assumptions!$C$10)))</f>
        <v>-26406.420500000022</v>
      </c>
      <c r="BF83" s="53">
        <f ca="1">SUM(OFFSET($B83,0,1+SUM(Assumptions!$C$8:$C$10),1,SUM(Assumptions!$C$11)))</f>
        <v>24053.879099999998</v>
      </c>
      <c r="BG83" s="53">
        <f t="shared" ca="1" si="28"/>
        <v>35125.174099999997</v>
      </c>
    </row>
    <row r="84" spans="1:59" ht="16.149999999999999" customHeight="1" x14ac:dyDescent="0.3">
      <c r="A84" s="308" t="s">
        <v>192</v>
      </c>
      <c r="B84" s="56" t="s">
        <v>193</v>
      </c>
      <c r="C84" s="52">
        <f ca="1">OFFSET(BS!$B79,0,COLUMN(C$68)-COLUMN($B$68)+1,1,1)-OFFSET(BS!$B79,0,COLUMN(C$68)-COLUMN($B$68),1,1)</f>
        <v>1646.6799999999967</v>
      </c>
      <c r="D84" s="52">
        <f ca="1">OFFSET(BS!$B79,0,COLUMN(D$68)-COLUMN($B$68)+1,1,1)-OFFSET(BS!$B79,0,COLUMN(D$68)-COLUMN($B$68),1,1)</f>
        <v>-20459.999999999996</v>
      </c>
      <c r="E84" s="52">
        <f ca="1">OFFSET(BS!$B79,0,COLUMN(E$68)-COLUMN($B$68)+1,1,1)-OFFSET(BS!$B79,0,COLUMN(E$68)-COLUMN($B$68),1,1)</f>
        <v>1186.6799999999998</v>
      </c>
      <c r="F84" s="52">
        <f ca="1">OFFSET(BS!$B79,0,COLUMN(F$68)-COLUMN($B$68)+1,1,1)-OFFSET(BS!$B79,0,COLUMN(F$68)-COLUMN($B$68),1,1)</f>
        <v>15508.679999999997</v>
      </c>
      <c r="G84" s="52">
        <f ca="1">OFFSET(BS!$B79,0,COLUMN(G$68)-COLUMN($B$68)+1,1,1)-OFFSET(BS!$B79,0,COLUMN(G$68)-COLUMN($B$68),1,1)</f>
        <v>1186.6800000000003</v>
      </c>
      <c r="H84" s="52">
        <f ca="1">OFFSET(BS!$B79,0,COLUMN(H$68)-COLUMN($B$68)+1,1,1)-OFFSET(BS!$B79,0,COLUMN(H$68)-COLUMN($B$68),1,1)</f>
        <v>-17882.039999999997</v>
      </c>
      <c r="I84" s="52">
        <f ca="1">OFFSET(BS!$B79,0,COLUMN(I$68)-COLUMN($B$68)+1,1,1)-OFFSET(BS!$B79,0,COLUMN(I$68)-COLUMN($B$68),1,1)</f>
        <v>1186.6799999999998</v>
      </c>
      <c r="J84" s="52">
        <f ca="1">OFFSET(BS!$B79,0,COLUMN(J$68)-COLUMN($B$68)+1,1,1)-OFFSET(BS!$B79,0,COLUMN(J$68)-COLUMN($B$68),1,1)</f>
        <v>1186.6799999999998</v>
      </c>
      <c r="K84" s="52">
        <f ca="1">OFFSET(BS!$B79,0,COLUMN(K$68)-COLUMN($B$68)+1,1,1)-OFFSET(BS!$B79,0,COLUMN(K$68)-COLUMN($B$68),1,1)</f>
        <v>15508.679999999998</v>
      </c>
      <c r="L84" s="52">
        <f ca="1">OFFSET(BS!$B79,0,COLUMN(L$68)-COLUMN($B$68)+1,1,1)-OFFSET(BS!$B79,0,COLUMN(L$68)-COLUMN($B$68),1,1)</f>
        <v>-17882.039999999997</v>
      </c>
      <c r="M84" s="52">
        <f ca="1">OFFSET(BS!$B79,0,COLUMN(M$68)-COLUMN($B$68)+1,1,1)-OFFSET(BS!$B79,0,COLUMN(M$68)-COLUMN($B$68),1,1)</f>
        <v>1186.6799999999998</v>
      </c>
      <c r="N84" s="52">
        <f ca="1">OFFSET(BS!$B79,0,COLUMN(N$68)-COLUMN($B$68)+1,1,1)-OFFSET(BS!$B79,0,COLUMN(N$68)-COLUMN($B$68),1,1)</f>
        <v>1186.6799999999998</v>
      </c>
      <c r="O84" s="52">
        <f ca="1">OFFSET(BS!$B79,0,COLUMN(O$68)-COLUMN($B$68)+1,1,1)-OFFSET(BS!$B79,0,COLUMN(O$68)-COLUMN($B$68),1,1)</f>
        <v>15508.679999999998</v>
      </c>
      <c r="P84" s="52">
        <f ca="1">OFFSET(BS!$B79,0,COLUMN(P$68)-COLUMN($B$68)+1,1,1)-OFFSET(BS!$B79,0,COLUMN(P$68)-COLUMN($B$68),1,1)</f>
        <v>1186.6800000000003</v>
      </c>
      <c r="Q84" s="52">
        <f ca="1">OFFSET(BS!$B79,0,COLUMN(Q$68)-COLUMN($B$68)+1,1,1)-OFFSET(BS!$B79,0,COLUMN(Q$68)-COLUMN($B$68),1,1)</f>
        <v>-19068.719999999998</v>
      </c>
      <c r="R84" s="52">
        <f ca="1">OFFSET(BS!$B79,0,COLUMN(R$68)-COLUMN($B$68)+1,1,1)-OFFSET(BS!$B79,0,COLUMN(R$68)-COLUMN($B$68),1,1)</f>
        <v>1186.6799999999998</v>
      </c>
      <c r="S84" s="52">
        <f ca="1">OFFSET(BS!$B79,0,COLUMN(S$68)-COLUMN($B$68)+1,1,1)-OFFSET(BS!$B79,0,COLUMN(S$68)-COLUMN($B$68),1,1)</f>
        <v>15508.679999999997</v>
      </c>
      <c r="T84" s="52">
        <f ca="1">OFFSET(BS!$B79,0,COLUMN(T$68)-COLUMN($B$68)+1,1,1)-OFFSET(BS!$B79,0,COLUMN(T$68)-COLUMN($B$68),1,1)</f>
        <v>1186.6800000000003</v>
      </c>
      <c r="U84" s="52">
        <f ca="1">OFFSET(BS!$B79,0,COLUMN(U$68)-COLUMN($B$68)+1,1,1)-OFFSET(BS!$B79,0,COLUMN(U$68)-COLUMN($B$68),1,1)</f>
        <v>-17882.039999999997</v>
      </c>
      <c r="V84" s="52">
        <f ca="1">OFFSET(BS!$B79,0,COLUMN(V$68)-COLUMN($B$68)+1,1,1)-OFFSET(BS!$B79,0,COLUMN(V$68)-COLUMN($B$68),1,1)</f>
        <v>1186.6799999999998</v>
      </c>
      <c r="W84" s="52">
        <f ca="1">OFFSET(BS!$B79,0,COLUMN(W$68)-COLUMN($B$68)+1,1,1)-OFFSET(BS!$B79,0,COLUMN(W$68)-COLUMN($B$68),1,1)</f>
        <v>1186.6799999999998</v>
      </c>
      <c r="X84" s="52">
        <f ca="1">OFFSET(BS!$B79,0,COLUMN(X$68)-COLUMN($B$68)+1,1,1)-OFFSET(BS!$B79,0,COLUMN(X$68)-COLUMN($B$68),1,1)</f>
        <v>15508.679999999998</v>
      </c>
      <c r="Y84" s="52">
        <f ca="1">OFFSET(BS!$B79,0,COLUMN(Y$68)-COLUMN($B$68)+1,1,1)-OFFSET(BS!$B79,0,COLUMN(Y$68)-COLUMN($B$68),1,1)</f>
        <v>1186.6800000000003</v>
      </c>
      <c r="Z84" s="52">
        <f ca="1">OFFSET(BS!$B79,0,COLUMN(Z$68)-COLUMN($B$68)+1,1,1)-OFFSET(BS!$B79,0,COLUMN(Z$68)-COLUMN($B$68),1,1)</f>
        <v>-19068.719999999998</v>
      </c>
      <c r="AA84" s="52">
        <f ca="1">OFFSET(BS!$B79,0,COLUMN(AA$68)-COLUMN($B$68)+1,1,1)-OFFSET(BS!$B79,0,COLUMN(AA$68)-COLUMN($B$68),1,1)</f>
        <v>1268.52</v>
      </c>
      <c r="AB84" s="52">
        <f ca="1">OFFSET(BS!$B79,0,COLUMN(AB$68)-COLUMN($B$68)+1,1,1)-OFFSET(BS!$B79,0,COLUMN(AB$68)-COLUMN($B$68),1,1)</f>
        <v>15590.519999999997</v>
      </c>
      <c r="AC84" s="52">
        <f ca="1">OFFSET(BS!$B79,0,COLUMN(AC$68)-COLUMN($B$68)+1,1,1)-OFFSET(BS!$B79,0,COLUMN(AC$68)-COLUMN($B$68),1,1)</f>
        <v>1268.5200000000004</v>
      </c>
      <c r="AD84" s="52">
        <f ca="1">OFFSET(BS!$B79,0,COLUMN(AD$68)-COLUMN($B$68)+1,1,1)-OFFSET(BS!$B79,0,COLUMN(AD$68)-COLUMN($B$68),1,1)</f>
        <v>-18045.719999999998</v>
      </c>
      <c r="AE84" s="52">
        <f ca="1">OFFSET(BS!$B79,0,COLUMN(AE$68)-COLUMN($B$68)+1,1,1)-OFFSET(BS!$B79,0,COLUMN(AE$68)-COLUMN($B$68),1,1)</f>
        <v>1268.52</v>
      </c>
      <c r="AF84" s="52">
        <f ca="1">OFFSET(BS!$B79,0,COLUMN(AF$68)-COLUMN($B$68)+1,1,1)-OFFSET(BS!$B79,0,COLUMN(AF$68)-COLUMN($B$68),1,1)</f>
        <v>1268.5199999999995</v>
      </c>
      <c r="AG84" s="52">
        <f ca="1">OFFSET(BS!$B79,0,COLUMN(AG$68)-COLUMN($B$68)+1,1,1)-OFFSET(BS!$B79,0,COLUMN(AG$68)-COLUMN($B$68),1,1)</f>
        <v>15590.519999999999</v>
      </c>
      <c r="AH84" s="52">
        <f ca="1">OFFSET(BS!$B79,0,COLUMN(AH$68)-COLUMN($B$68)+1,1,1)-OFFSET(BS!$B79,0,COLUMN(AH$68)-COLUMN($B$68),1,1)</f>
        <v>-18127.559999999998</v>
      </c>
      <c r="AI84" s="52">
        <f ca="1">OFFSET(BS!$B79,0,COLUMN(AI$68)-COLUMN($B$68)+1,1,1)-OFFSET(BS!$B79,0,COLUMN(AI$68)-COLUMN($B$68),1,1)</f>
        <v>1268.52</v>
      </c>
      <c r="AJ84" s="52">
        <f ca="1">OFFSET(BS!$B79,0,COLUMN(AJ$68)-COLUMN($B$68)+1,1,1)-OFFSET(BS!$B79,0,COLUMN(AJ$68)-COLUMN($B$68),1,1)</f>
        <v>1268.5199999999995</v>
      </c>
      <c r="AK84" s="52">
        <f ca="1">OFFSET(BS!$B79,0,COLUMN(AK$68)-COLUMN($B$68)+1,1,1)-OFFSET(BS!$B79,0,COLUMN(AK$68)-COLUMN($B$68),1,1)</f>
        <v>15590.519999999999</v>
      </c>
      <c r="AL84" s="52">
        <f ca="1">OFFSET(BS!$B79,0,COLUMN(AL$68)-COLUMN($B$68)+1,1,1)-OFFSET(BS!$B79,0,COLUMN(AL$68)-COLUMN($B$68),1,1)</f>
        <v>1268.5200000000004</v>
      </c>
      <c r="AM84" s="52">
        <f ca="1">OFFSET(BS!$B79,0,COLUMN(AM$68)-COLUMN($B$68)+1,1,1)-OFFSET(BS!$B79,0,COLUMN(AM$68)-COLUMN($B$68),1,1)</f>
        <v>-19396.079999999998</v>
      </c>
      <c r="AN84" s="52">
        <f ca="1">OFFSET(BS!$B79,0,COLUMN(AN$68)-COLUMN($B$68)+1,1,1)-OFFSET(BS!$B79,0,COLUMN(AN$68)-COLUMN($B$68),1,1)</f>
        <v>1268.52</v>
      </c>
      <c r="AO84" s="52">
        <f ca="1">OFFSET(BS!$B79,0,COLUMN(AO$68)-COLUMN($B$68)+1,1,1)-OFFSET(BS!$B79,0,COLUMN(AO$68)-COLUMN($B$68),1,1)</f>
        <v>15590.519999999997</v>
      </c>
      <c r="AP84" s="52">
        <f ca="1">OFFSET(BS!$B79,0,COLUMN(AP$68)-COLUMN($B$68)+1,1,1)-OFFSET(BS!$B79,0,COLUMN(AP$68)-COLUMN($B$68),1,1)</f>
        <v>1268.5200000000004</v>
      </c>
      <c r="AQ84" s="52">
        <f ca="1">OFFSET(BS!$B79,0,COLUMN(AQ$68)-COLUMN($B$68)+1,1,1)-OFFSET(BS!$B79,0,COLUMN(AQ$68)-COLUMN($B$68),1,1)</f>
        <v>-18004.8</v>
      </c>
      <c r="AR84" s="52">
        <f ca="1">OFFSET(BS!$B79,0,COLUMN(AR$68)-COLUMN($B$68)+1,1,1)-OFFSET(BS!$B79,0,COLUMN(AR$68)-COLUMN($B$68),1,1)</f>
        <v>1391.28</v>
      </c>
      <c r="AS84" s="52">
        <f ca="1">OFFSET(BS!$B79,0,COLUMN(AS$68)-COLUMN($B$68)+1,1,1)-OFFSET(BS!$B79,0,COLUMN(AS$68)-COLUMN($B$68),1,1)</f>
        <v>16736.279999999995</v>
      </c>
      <c r="AT84" s="52">
        <f ca="1">OFFSET(BS!$B79,0,COLUMN(AT$68)-COLUMN($B$68)+1,1,1)-OFFSET(BS!$B79,0,COLUMN(AT$68)-COLUMN($B$68),1,1)</f>
        <v>1391.2800000000025</v>
      </c>
      <c r="AU84" s="52">
        <f ca="1">OFFSET(BS!$B79,0,COLUMN(AU$68)-COLUMN($B$68)+1,1,1)-OFFSET(BS!$B79,0,COLUMN(AU$68)-COLUMN($B$68),1,1)</f>
        <v>-19518.84</v>
      </c>
      <c r="AV84" s="52">
        <f ca="1">OFFSET(BS!$B79,0,COLUMN(AV$68)-COLUMN($B$68)+1,1,1)-OFFSET(BS!$B79,0,COLUMN(AV$68)-COLUMN($B$68),1,1)</f>
        <v>1391.28</v>
      </c>
      <c r="AW84" s="52">
        <f ca="1">OFFSET(BS!$B79,0,COLUMN(AW$68)-COLUMN($B$68)+1,1,1)-OFFSET(BS!$B79,0,COLUMN(AW$68)-COLUMN($B$68),1,1)</f>
        <v>1391.2799999999993</v>
      </c>
      <c r="AX84" s="52">
        <f ca="1">OFFSET(BS!$B79,0,COLUMN(AX$68)-COLUMN($B$68)+1,1,1)-OFFSET(BS!$B79,0,COLUMN(AX$68)-COLUMN($B$68),1,1)</f>
        <v>15713.279999999999</v>
      </c>
      <c r="AY84" s="52">
        <f ca="1">OFFSET(BS!$B79,0,COLUMN(AY$68)-COLUMN($B$68)+1,1,1)-OFFSET(BS!$B79,0,COLUMN(AY$68)-COLUMN($B$68),1,1)</f>
        <v>1391.2799999999988</v>
      </c>
      <c r="AZ84" s="52">
        <f ca="1">OFFSET(BS!$B79,0,COLUMN(AZ$68)-COLUMN($B$68)+1,1,1)-OFFSET(BS!$B79,0,COLUMN(AZ$68)-COLUMN($B$68),1,1)</f>
        <v>-19887.12</v>
      </c>
      <c r="BA84" s="52">
        <f ca="1">OFFSET(BS!$B79,0,COLUMN(BA$68)-COLUMN($B$68)+1,1,1)-OFFSET(BS!$B79,0,COLUMN(BA$68)-COLUMN($B$68),1,1)</f>
        <v>1391.28</v>
      </c>
      <c r="BB84" s="52">
        <f ca="1">OFFSET(BS!$B79,0,COLUMN(BB$68)-COLUMN($B$68)+1,1,1)-OFFSET(BS!$B79,0,COLUMN(BB$68)-COLUMN($B$68),1,1)</f>
        <v>15713.28</v>
      </c>
      <c r="BC84" s="53">
        <f ca="1">SUM(OFFSET($B84,0,1,1,Assumptions!$C$8))</f>
        <v>-931.28000000000065</v>
      </c>
      <c r="BD84" s="53">
        <f ca="1">SUM(OFFSET($B84,0,1+Assumptions!$C$8,1,SUM(Assumptions!$C$9)))</f>
        <v>-1022.9999999999964</v>
      </c>
      <c r="BE84" s="53">
        <f ca="1">SUM(OFFSET($B84,0,1+SUM(Assumptions!$C$8:$C$9),1,SUM(Assumptions!$C$10)))</f>
        <v>81.840000000000146</v>
      </c>
      <c r="BF84" s="53">
        <f ca="1">SUM(OFFSET($B84,0,1+SUM(Assumptions!$C$8:$C$10),1,SUM(Assumptions!$C$11)))</f>
        <v>368.28000000000247</v>
      </c>
      <c r="BG84" s="53">
        <f t="shared" ca="1" si="28"/>
        <v>-1504.1599999999944</v>
      </c>
    </row>
    <row r="85" spans="1:59" ht="16.149999999999999" customHeight="1" x14ac:dyDescent="0.3">
      <c r="A85" s="308" t="s">
        <v>133</v>
      </c>
      <c r="B85" s="56" t="s">
        <v>134</v>
      </c>
      <c r="C85" s="52">
        <f ca="1">OFFSET(BS!$B80,0,COLUMN(C$68)-COLUMN($B$68)+1,1,1)-OFFSET(BS!$B80,0,COLUMN(C$68)-COLUMN($B$68),1,1)</f>
        <v>-55000</v>
      </c>
      <c r="D85" s="52">
        <f ca="1">OFFSET(BS!$B80,0,COLUMN(D$68)-COLUMN($B$68)+1,1,1)-OFFSET(BS!$B80,0,COLUMN(D$68)-COLUMN($B$68),1,1)</f>
        <v>0</v>
      </c>
      <c r="E85" s="52">
        <f ca="1">OFFSET(BS!$B80,0,COLUMN(E$68)-COLUMN($B$68)+1,1,1)-OFFSET(BS!$B80,0,COLUMN(E$68)-COLUMN($B$68),1,1)</f>
        <v>0</v>
      </c>
      <c r="F85" s="52">
        <f ca="1">OFFSET(BS!$B80,0,COLUMN(F$68)-COLUMN($B$68)+1,1,1)-OFFSET(BS!$B80,0,COLUMN(F$68)-COLUMN($B$68),1,1)</f>
        <v>0</v>
      </c>
      <c r="G85" s="52">
        <f ca="1">OFFSET(BS!$B80,0,COLUMN(G$68)-COLUMN($B$68)+1,1,1)-OFFSET(BS!$B80,0,COLUMN(G$68)-COLUMN($B$68),1,1)</f>
        <v>0</v>
      </c>
      <c r="H85" s="52">
        <f ca="1">OFFSET(BS!$B80,0,COLUMN(H$68)-COLUMN($B$68)+1,1,1)-OFFSET(BS!$B80,0,COLUMN(H$68)-COLUMN($B$68),1,1)</f>
        <v>0</v>
      </c>
      <c r="I85" s="52">
        <f ca="1">OFFSET(BS!$B80,0,COLUMN(I$68)-COLUMN($B$68)+1,1,1)-OFFSET(BS!$B80,0,COLUMN(I$68)-COLUMN($B$68),1,1)</f>
        <v>0</v>
      </c>
      <c r="J85" s="52">
        <f ca="1">OFFSET(BS!$B80,0,COLUMN(J$68)-COLUMN($B$68)+1,1,1)-OFFSET(BS!$B80,0,COLUMN(J$68)-COLUMN($B$68),1,1)</f>
        <v>0</v>
      </c>
      <c r="K85" s="52">
        <f ca="1">OFFSET(BS!$B80,0,COLUMN(K$68)-COLUMN($B$68)+1,1,1)-OFFSET(BS!$B80,0,COLUMN(K$68)-COLUMN($B$68),1,1)</f>
        <v>0</v>
      </c>
      <c r="L85" s="52">
        <f ca="1">OFFSET(BS!$B80,0,COLUMN(L$68)-COLUMN($B$68)+1,1,1)-OFFSET(BS!$B80,0,COLUMN(L$68)-COLUMN($B$68),1,1)</f>
        <v>0</v>
      </c>
      <c r="M85" s="52">
        <f ca="1">OFFSET(BS!$B80,0,COLUMN(M$68)-COLUMN($B$68)+1,1,1)-OFFSET(BS!$B80,0,COLUMN(M$68)-COLUMN($B$68),1,1)</f>
        <v>0</v>
      </c>
      <c r="N85" s="52">
        <f ca="1">OFFSET(BS!$B80,0,COLUMN(N$68)-COLUMN($B$68)+1,1,1)-OFFSET(BS!$B80,0,COLUMN(N$68)-COLUMN($B$68),1,1)</f>
        <v>0</v>
      </c>
      <c r="O85" s="52">
        <f ca="1">OFFSET(BS!$B80,0,COLUMN(O$68)-COLUMN($B$68)+1,1,1)-OFFSET(BS!$B80,0,COLUMN(O$68)-COLUMN($B$68),1,1)</f>
        <v>0</v>
      </c>
      <c r="P85" s="52">
        <f ca="1">OFFSET(BS!$B80,0,COLUMN(P$68)-COLUMN($B$68)+1,1,1)-OFFSET(BS!$B80,0,COLUMN(P$68)-COLUMN($B$68),1,1)</f>
        <v>0</v>
      </c>
      <c r="Q85" s="52">
        <f ca="1">OFFSET(BS!$B80,0,COLUMN(Q$68)-COLUMN($B$68)+1,1,1)-OFFSET(BS!$B80,0,COLUMN(Q$68)-COLUMN($B$68),1,1)</f>
        <v>0</v>
      </c>
      <c r="R85" s="52">
        <f ca="1">OFFSET(BS!$B80,0,COLUMN(R$68)-COLUMN($B$68)+1,1,1)-OFFSET(BS!$B80,0,COLUMN(R$68)-COLUMN($B$68),1,1)</f>
        <v>0</v>
      </c>
      <c r="S85" s="52">
        <f ca="1">OFFSET(BS!$B80,0,COLUMN(S$68)-COLUMN($B$68)+1,1,1)-OFFSET(BS!$B80,0,COLUMN(S$68)-COLUMN($B$68),1,1)</f>
        <v>0</v>
      </c>
      <c r="T85" s="52">
        <f ca="1">OFFSET(BS!$B80,0,COLUMN(T$68)-COLUMN($B$68)+1,1,1)-OFFSET(BS!$B80,0,COLUMN(T$68)-COLUMN($B$68),1,1)</f>
        <v>0</v>
      </c>
      <c r="U85" s="52">
        <f ca="1">OFFSET(BS!$B80,0,COLUMN(U$68)-COLUMN($B$68)+1,1,1)-OFFSET(BS!$B80,0,COLUMN(U$68)-COLUMN($B$68),1,1)</f>
        <v>0</v>
      </c>
      <c r="V85" s="52">
        <f ca="1">OFFSET(BS!$B80,0,COLUMN(V$68)-COLUMN($B$68)+1,1,1)-OFFSET(BS!$B80,0,COLUMN(V$68)-COLUMN($B$68),1,1)</f>
        <v>0</v>
      </c>
      <c r="W85" s="52">
        <f ca="1">OFFSET(BS!$B80,0,COLUMN(W$68)-COLUMN($B$68)+1,1,1)-OFFSET(BS!$B80,0,COLUMN(W$68)-COLUMN($B$68),1,1)</f>
        <v>0</v>
      </c>
      <c r="X85" s="52">
        <f ca="1">OFFSET(BS!$B80,0,COLUMN(X$68)-COLUMN($B$68)+1,1,1)-OFFSET(BS!$B80,0,COLUMN(X$68)-COLUMN($B$68),1,1)</f>
        <v>0</v>
      </c>
      <c r="Y85" s="52">
        <f ca="1">OFFSET(BS!$B80,0,COLUMN(Y$68)-COLUMN($B$68)+1,1,1)-OFFSET(BS!$B80,0,COLUMN(Y$68)-COLUMN($B$68),1,1)</f>
        <v>0</v>
      </c>
      <c r="Z85" s="52">
        <f ca="1">OFFSET(BS!$B80,0,COLUMN(Z$68)-COLUMN($B$68)+1,1,1)-OFFSET(BS!$B80,0,COLUMN(Z$68)-COLUMN($B$68),1,1)</f>
        <v>0</v>
      </c>
      <c r="AA85" s="52">
        <f ca="1">OFFSET(BS!$B80,0,COLUMN(AA$68)-COLUMN($B$68)+1,1,1)-OFFSET(BS!$B80,0,COLUMN(AA$68)-COLUMN($B$68),1,1)</f>
        <v>0</v>
      </c>
      <c r="AB85" s="52">
        <f ca="1">OFFSET(BS!$B80,0,COLUMN(AB$68)-COLUMN($B$68)+1,1,1)-OFFSET(BS!$B80,0,COLUMN(AB$68)-COLUMN($B$68),1,1)</f>
        <v>0</v>
      </c>
      <c r="AC85" s="52">
        <f ca="1">OFFSET(BS!$B80,0,COLUMN(AC$68)-COLUMN($B$68)+1,1,1)-OFFSET(BS!$B80,0,COLUMN(AC$68)-COLUMN($B$68),1,1)</f>
        <v>0</v>
      </c>
      <c r="AD85" s="52">
        <f ca="1">OFFSET(BS!$B80,0,COLUMN(AD$68)-COLUMN($B$68)+1,1,1)-OFFSET(BS!$B80,0,COLUMN(AD$68)-COLUMN($B$68),1,1)</f>
        <v>0</v>
      </c>
      <c r="AE85" s="52">
        <f ca="1">OFFSET(BS!$B80,0,COLUMN(AE$68)-COLUMN($B$68)+1,1,1)-OFFSET(BS!$B80,0,COLUMN(AE$68)-COLUMN($B$68),1,1)</f>
        <v>0</v>
      </c>
      <c r="AF85" s="52">
        <f ca="1">OFFSET(BS!$B80,0,COLUMN(AF$68)-COLUMN($B$68)+1,1,1)-OFFSET(BS!$B80,0,COLUMN(AF$68)-COLUMN($B$68),1,1)</f>
        <v>0</v>
      </c>
      <c r="AG85" s="52">
        <f ca="1">OFFSET(BS!$B80,0,COLUMN(AG$68)-COLUMN($B$68)+1,1,1)-OFFSET(BS!$B80,0,COLUMN(AG$68)-COLUMN($B$68),1,1)</f>
        <v>0</v>
      </c>
      <c r="AH85" s="52">
        <f ca="1">OFFSET(BS!$B80,0,COLUMN(AH$68)-COLUMN($B$68)+1,1,1)-OFFSET(BS!$B80,0,COLUMN(AH$68)-COLUMN($B$68),1,1)</f>
        <v>0</v>
      </c>
      <c r="AI85" s="52">
        <f ca="1">OFFSET(BS!$B80,0,COLUMN(AI$68)-COLUMN($B$68)+1,1,1)-OFFSET(BS!$B80,0,COLUMN(AI$68)-COLUMN($B$68),1,1)</f>
        <v>0</v>
      </c>
      <c r="AJ85" s="52">
        <f ca="1">OFFSET(BS!$B80,0,COLUMN(AJ$68)-COLUMN($B$68)+1,1,1)-OFFSET(BS!$B80,0,COLUMN(AJ$68)-COLUMN($B$68),1,1)</f>
        <v>0</v>
      </c>
      <c r="AK85" s="52">
        <f ca="1">OFFSET(BS!$B80,0,COLUMN(AK$68)-COLUMN($B$68)+1,1,1)-OFFSET(BS!$B80,0,COLUMN(AK$68)-COLUMN($B$68),1,1)</f>
        <v>0</v>
      </c>
      <c r="AL85" s="52">
        <f ca="1">OFFSET(BS!$B80,0,COLUMN(AL$68)-COLUMN($B$68)+1,1,1)-OFFSET(BS!$B80,0,COLUMN(AL$68)-COLUMN($B$68),1,1)</f>
        <v>0</v>
      </c>
      <c r="AM85" s="52">
        <f ca="1">OFFSET(BS!$B80,0,COLUMN(AM$68)-COLUMN($B$68)+1,1,1)-OFFSET(BS!$B80,0,COLUMN(AM$68)-COLUMN($B$68),1,1)</f>
        <v>0</v>
      </c>
      <c r="AN85" s="52">
        <f ca="1">OFFSET(BS!$B80,0,COLUMN(AN$68)-COLUMN($B$68)+1,1,1)-OFFSET(BS!$B80,0,COLUMN(AN$68)-COLUMN($B$68),1,1)</f>
        <v>0</v>
      </c>
      <c r="AO85" s="52">
        <f ca="1">OFFSET(BS!$B80,0,COLUMN(AO$68)-COLUMN($B$68)+1,1,1)-OFFSET(BS!$B80,0,COLUMN(AO$68)-COLUMN($B$68),1,1)</f>
        <v>0</v>
      </c>
      <c r="AP85" s="52">
        <f ca="1">OFFSET(BS!$B80,0,COLUMN(AP$68)-COLUMN($B$68)+1,1,1)-OFFSET(BS!$B80,0,COLUMN(AP$68)-COLUMN($B$68),1,1)</f>
        <v>0</v>
      </c>
      <c r="AQ85" s="52">
        <f ca="1">OFFSET(BS!$B80,0,COLUMN(AQ$68)-COLUMN($B$68)+1,1,1)-OFFSET(BS!$B80,0,COLUMN(AQ$68)-COLUMN($B$68),1,1)</f>
        <v>0</v>
      </c>
      <c r="AR85" s="52">
        <f ca="1">OFFSET(BS!$B80,0,COLUMN(AR$68)-COLUMN($B$68)+1,1,1)-OFFSET(BS!$B80,0,COLUMN(AR$68)-COLUMN($B$68),1,1)</f>
        <v>0</v>
      </c>
      <c r="AS85" s="52">
        <f ca="1">OFFSET(BS!$B80,0,COLUMN(AS$68)-COLUMN($B$68)+1,1,1)-OFFSET(BS!$B80,0,COLUMN(AS$68)-COLUMN($B$68),1,1)</f>
        <v>0</v>
      </c>
      <c r="AT85" s="52">
        <f ca="1">OFFSET(BS!$B80,0,COLUMN(AT$68)-COLUMN($B$68)+1,1,1)-OFFSET(BS!$B80,0,COLUMN(AT$68)-COLUMN($B$68),1,1)</f>
        <v>0</v>
      </c>
      <c r="AU85" s="52">
        <f ca="1">OFFSET(BS!$B80,0,COLUMN(AU$68)-COLUMN($B$68)+1,1,1)-OFFSET(BS!$B80,0,COLUMN(AU$68)-COLUMN($B$68),1,1)</f>
        <v>0</v>
      </c>
      <c r="AV85" s="52">
        <f ca="1">OFFSET(BS!$B80,0,COLUMN(AV$68)-COLUMN($B$68)+1,1,1)-OFFSET(BS!$B80,0,COLUMN(AV$68)-COLUMN($B$68),1,1)</f>
        <v>0</v>
      </c>
      <c r="AW85" s="52">
        <f ca="1">OFFSET(BS!$B80,0,COLUMN(AW$68)-COLUMN($B$68)+1,1,1)-OFFSET(BS!$B80,0,COLUMN(AW$68)-COLUMN($B$68),1,1)</f>
        <v>0</v>
      </c>
      <c r="AX85" s="52">
        <f ca="1">OFFSET(BS!$B80,0,COLUMN(AX$68)-COLUMN($B$68)+1,1,1)-OFFSET(BS!$B80,0,COLUMN(AX$68)-COLUMN($B$68),1,1)</f>
        <v>0</v>
      </c>
      <c r="AY85" s="52">
        <f ca="1">OFFSET(BS!$B80,0,COLUMN(AY$68)-COLUMN($B$68)+1,1,1)-OFFSET(BS!$B80,0,COLUMN(AY$68)-COLUMN($B$68),1,1)</f>
        <v>0</v>
      </c>
      <c r="AZ85" s="52">
        <f ca="1">OFFSET(BS!$B80,0,COLUMN(AZ$68)-COLUMN($B$68)+1,1,1)-OFFSET(BS!$B80,0,COLUMN(AZ$68)-COLUMN($B$68),1,1)</f>
        <v>0</v>
      </c>
      <c r="BA85" s="52">
        <f ca="1">OFFSET(BS!$B80,0,COLUMN(BA$68)-COLUMN($B$68)+1,1,1)-OFFSET(BS!$B80,0,COLUMN(BA$68)-COLUMN($B$68),1,1)</f>
        <v>0</v>
      </c>
      <c r="BB85" s="52">
        <f ca="1">OFFSET(BS!$B80,0,COLUMN(BB$68)-COLUMN($B$68)+1,1,1)-OFFSET(BS!$B80,0,COLUMN(BB$68)-COLUMN($B$68),1,1)</f>
        <v>50000</v>
      </c>
      <c r="BC85" s="53">
        <f ca="1">SUM(OFFSET($B85,0,1,1,Assumptions!$C$8))</f>
        <v>-55000</v>
      </c>
      <c r="BD85" s="53">
        <f ca="1">SUM(OFFSET($B85,0,1+Assumptions!$C$8,1,SUM(Assumptions!$C$9)))</f>
        <v>0</v>
      </c>
      <c r="BE85" s="53">
        <f ca="1">SUM(OFFSET($B85,0,1+SUM(Assumptions!$C$8:$C$9),1,SUM(Assumptions!$C$10)))</f>
        <v>0</v>
      </c>
      <c r="BF85" s="53">
        <f ca="1">SUM(OFFSET($B85,0,1+SUM(Assumptions!$C$8:$C$10),1,SUM(Assumptions!$C$11)))</f>
        <v>50000</v>
      </c>
      <c r="BG85" s="53">
        <f t="shared" ca="1" si="28"/>
        <v>-5000</v>
      </c>
    </row>
    <row r="86" spans="1:59" ht="16.149999999999999" customHeight="1" x14ac:dyDescent="0.3">
      <c r="A86" s="308" t="s">
        <v>135</v>
      </c>
      <c r="B86" s="56" t="s">
        <v>136</v>
      </c>
      <c r="C86" s="80">
        <f ca="1">OFFSET(BS!$B83,0,COLUMN(C$68)-COLUMN($B$68)+1,1,1)-OFFSET(BS!$B83,0,COLUMN(C$68)-COLUMN($B$68),1,1)</f>
        <v>-42000</v>
      </c>
      <c r="D86" s="80">
        <f ca="1">OFFSET(BS!$B83,0,COLUMN(D$68)-COLUMN($B$68)+1,1,1)-OFFSET(BS!$B83,0,COLUMN(D$68)-COLUMN($B$68),1,1)</f>
        <v>0</v>
      </c>
      <c r="E86" s="80">
        <f ca="1">OFFSET(BS!$B83,0,COLUMN(E$68)-COLUMN($B$68)+1,1,1)-OFFSET(BS!$B83,0,COLUMN(E$68)-COLUMN($B$68),1,1)</f>
        <v>0</v>
      </c>
      <c r="F86" s="80">
        <f ca="1">OFFSET(BS!$B83,0,COLUMN(F$68)-COLUMN($B$68)+1,1,1)-OFFSET(BS!$B83,0,COLUMN(F$68)-COLUMN($B$68),1,1)</f>
        <v>0</v>
      </c>
      <c r="G86" s="80">
        <f ca="1">OFFSET(BS!$B83,0,COLUMN(G$68)-COLUMN($B$68)+1,1,1)-OFFSET(BS!$B83,0,COLUMN(G$68)-COLUMN($B$68),1,1)</f>
        <v>0</v>
      </c>
      <c r="H86" s="80">
        <f ca="1">OFFSET(BS!$B83,0,COLUMN(H$68)-COLUMN($B$68)+1,1,1)-OFFSET(BS!$B83,0,COLUMN(H$68)-COLUMN($B$68),1,1)</f>
        <v>0</v>
      </c>
      <c r="I86" s="80">
        <f ca="1">OFFSET(BS!$B83,0,COLUMN(I$68)-COLUMN($B$68)+1,1,1)-OFFSET(BS!$B83,0,COLUMN(I$68)-COLUMN($B$68),1,1)</f>
        <v>0</v>
      </c>
      <c r="J86" s="80">
        <f ca="1">OFFSET(BS!$B83,0,COLUMN(J$68)-COLUMN($B$68)+1,1,1)-OFFSET(BS!$B83,0,COLUMN(J$68)-COLUMN($B$68),1,1)</f>
        <v>0</v>
      </c>
      <c r="K86" s="80">
        <f ca="1">OFFSET(BS!$B83,0,COLUMN(K$68)-COLUMN($B$68)+1,1,1)-OFFSET(BS!$B83,0,COLUMN(K$68)-COLUMN($B$68),1,1)</f>
        <v>0</v>
      </c>
      <c r="L86" s="80">
        <f ca="1">OFFSET(BS!$B83,0,COLUMN(L$68)-COLUMN($B$68)+1,1,1)-OFFSET(BS!$B83,0,COLUMN(L$68)-COLUMN($B$68),1,1)</f>
        <v>0</v>
      </c>
      <c r="M86" s="80">
        <f ca="1">OFFSET(BS!$B83,0,COLUMN(M$68)-COLUMN($B$68)+1,1,1)-OFFSET(BS!$B83,0,COLUMN(M$68)-COLUMN($B$68),1,1)</f>
        <v>0</v>
      </c>
      <c r="N86" s="80">
        <f ca="1">OFFSET(BS!$B83,0,COLUMN(N$68)-COLUMN($B$68)+1,1,1)-OFFSET(BS!$B83,0,COLUMN(N$68)-COLUMN($B$68),1,1)</f>
        <v>0</v>
      </c>
      <c r="O86" s="80">
        <f ca="1">OFFSET(BS!$B83,0,COLUMN(O$68)-COLUMN($B$68)+1,1,1)-OFFSET(BS!$B83,0,COLUMN(O$68)-COLUMN($B$68),1,1)</f>
        <v>0</v>
      </c>
      <c r="P86" s="80">
        <f ca="1">OFFSET(BS!$B83,0,COLUMN(P$68)-COLUMN($B$68)+1,1,1)-OFFSET(BS!$B83,0,COLUMN(P$68)-COLUMN($B$68),1,1)</f>
        <v>0</v>
      </c>
      <c r="Q86" s="80">
        <f ca="1">OFFSET(BS!$B83,0,COLUMN(Q$68)-COLUMN($B$68)+1,1,1)-OFFSET(BS!$B83,0,COLUMN(Q$68)-COLUMN($B$68),1,1)</f>
        <v>0</v>
      </c>
      <c r="R86" s="80">
        <f ca="1">OFFSET(BS!$B83,0,COLUMN(R$68)-COLUMN($B$68)+1,1,1)-OFFSET(BS!$B83,0,COLUMN(R$68)-COLUMN($B$68),1,1)</f>
        <v>0</v>
      </c>
      <c r="S86" s="80">
        <f ca="1">OFFSET(BS!$B83,0,COLUMN(S$68)-COLUMN($B$68)+1,1,1)-OFFSET(BS!$B83,0,COLUMN(S$68)-COLUMN($B$68),1,1)</f>
        <v>0</v>
      </c>
      <c r="T86" s="80">
        <f ca="1">OFFSET(BS!$B83,0,COLUMN(T$68)-COLUMN($B$68)+1,1,1)-OFFSET(BS!$B83,0,COLUMN(T$68)-COLUMN($B$68),1,1)</f>
        <v>0</v>
      </c>
      <c r="U86" s="80">
        <f ca="1">OFFSET(BS!$B83,0,COLUMN(U$68)-COLUMN($B$68)+1,1,1)-OFFSET(BS!$B83,0,COLUMN(U$68)-COLUMN($B$68),1,1)</f>
        <v>0</v>
      </c>
      <c r="V86" s="80">
        <f ca="1">OFFSET(BS!$B83,0,COLUMN(V$68)-COLUMN($B$68)+1,1,1)-OFFSET(BS!$B83,0,COLUMN(V$68)-COLUMN($B$68),1,1)</f>
        <v>0</v>
      </c>
      <c r="W86" s="80">
        <f ca="1">OFFSET(BS!$B83,0,COLUMN(W$68)-COLUMN($B$68)+1,1,1)-OFFSET(BS!$B83,0,COLUMN(W$68)-COLUMN($B$68),1,1)</f>
        <v>0</v>
      </c>
      <c r="X86" s="80">
        <f ca="1">OFFSET(BS!$B83,0,COLUMN(X$68)-COLUMN($B$68)+1,1,1)-OFFSET(BS!$B83,0,COLUMN(X$68)-COLUMN($B$68),1,1)</f>
        <v>0</v>
      </c>
      <c r="Y86" s="80">
        <f ca="1">OFFSET(BS!$B83,0,COLUMN(Y$68)-COLUMN($B$68)+1,1,1)-OFFSET(BS!$B83,0,COLUMN(Y$68)-COLUMN($B$68),1,1)</f>
        <v>0</v>
      </c>
      <c r="Z86" s="80">
        <f ca="1">OFFSET(BS!$B83,0,COLUMN(Z$68)-COLUMN($B$68)+1,1,1)-OFFSET(BS!$B83,0,COLUMN(Z$68)-COLUMN($B$68),1,1)</f>
        <v>0</v>
      </c>
      <c r="AA86" s="80">
        <f ca="1">OFFSET(BS!$B83,0,COLUMN(AA$68)-COLUMN($B$68)+1,1,1)-OFFSET(BS!$B83,0,COLUMN(AA$68)-COLUMN($B$68),1,1)</f>
        <v>0</v>
      </c>
      <c r="AB86" s="80">
        <f ca="1">OFFSET(BS!$B83,0,COLUMN(AB$68)-COLUMN($B$68)+1,1,1)-OFFSET(BS!$B83,0,COLUMN(AB$68)-COLUMN($B$68),1,1)</f>
        <v>0</v>
      </c>
      <c r="AC86" s="80">
        <f ca="1">OFFSET(BS!$B83,0,COLUMN(AC$68)-COLUMN($B$68)+1,1,1)-OFFSET(BS!$B83,0,COLUMN(AC$68)-COLUMN($B$68),1,1)</f>
        <v>0</v>
      </c>
      <c r="AD86" s="80">
        <f ca="1">OFFSET(BS!$B83,0,COLUMN(AD$68)-COLUMN($B$68)+1,1,1)-OFFSET(BS!$B83,0,COLUMN(AD$68)-COLUMN($B$68),1,1)</f>
        <v>0</v>
      </c>
      <c r="AE86" s="80">
        <f ca="1">OFFSET(BS!$B83,0,COLUMN(AE$68)-COLUMN($B$68)+1,1,1)-OFFSET(BS!$B83,0,COLUMN(AE$68)-COLUMN($B$68),1,1)</f>
        <v>0</v>
      </c>
      <c r="AF86" s="80">
        <f ca="1">OFFSET(BS!$B83,0,COLUMN(AF$68)-COLUMN($B$68)+1,1,1)-OFFSET(BS!$B83,0,COLUMN(AF$68)-COLUMN($B$68),1,1)</f>
        <v>0</v>
      </c>
      <c r="AG86" s="80">
        <f ca="1">OFFSET(BS!$B83,0,COLUMN(AG$68)-COLUMN($B$68)+1,1,1)-OFFSET(BS!$B83,0,COLUMN(AG$68)-COLUMN($B$68),1,1)</f>
        <v>0</v>
      </c>
      <c r="AH86" s="80">
        <f ca="1">OFFSET(BS!$B83,0,COLUMN(AH$68)-COLUMN($B$68)+1,1,1)-OFFSET(BS!$B83,0,COLUMN(AH$68)-COLUMN($B$68),1,1)</f>
        <v>0</v>
      </c>
      <c r="AI86" s="80">
        <f ca="1">OFFSET(BS!$B83,0,COLUMN(AI$68)-COLUMN($B$68)+1,1,1)-OFFSET(BS!$B83,0,COLUMN(AI$68)-COLUMN($B$68),1,1)</f>
        <v>0</v>
      </c>
      <c r="AJ86" s="80">
        <f ca="1">OFFSET(BS!$B83,0,COLUMN(AJ$68)-COLUMN($B$68)+1,1,1)-OFFSET(BS!$B83,0,COLUMN(AJ$68)-COLUMN($B$68),1,1)</f>
        <v>0</v>
      </c>
      <c r="AK86" s="80">
        <f ca="1">OFFSET(BS!$B83,0,COLUMN(AK$68)-COLUMN($B$68)+1,1,1)-OFFSET(BS!$B83,0,COLUMN(AK$68)-COLUMN($B$68),1,1)</f>
        <v>0</v>
      </c>
      <c r="AL86" s="80">
        <f ca="1">OFFSET(BS!$B83,0,COLUMN(AL$68)-COLUMN($B$68)+1,1,1)-OFFSET(BS!$B83,0,COLUMN(AL$68)-COLUMN($B$68),1,1)</f>
        <v>0</v>
      </c>
      <c r="AM86" s="80">
        <f ca="1">OFFSET(BS!$B83,0,COLUMN(AM$68)-COLUMN($B$68)+1,1,1)-OFFSET(BS!$B83,0,COLUMN(AM$68)-COLUMN($B$68),1,1)</f>
        <v>0</v>
      </c>
      <c r="AN86" s="80">
        <f ca="1">OFFSET(BS!$B83,0,COLUMN(AN$68)-COLUMN($B$68)+1,1,1)-OFFSET(BS!$B83,0,COLUMN(AN$68)-COLUMN($B$68),1,1)</f>
        <v>0</v>
      </c>
      <c r="AO86" s="80">
        <f ca="1">OFFSET(BS!$B83,0,COLUMN(AO$68)-COLUMN($B$68)+1,1,1)-OFFSET(BS!$B83,0,COLUMN(AO$68)-COLUMN($B$68),1,1)</f>
        <v>0</v>
      </c>
      <c r="AP86" s="80">
        <f ca="1">OFFSET(BS!$B83,0,COLUMN(AP$68)-COLUMN($B$68)+1,1,1)-OFFSET(BS!$B83,0,COLUMN(AP$68)-COLUMN($B$68),1,1)</f>
        <v>0</v>
      </c>
      <c r="AQ86" s="80">
        <f ca="1">OFFSET(BS!$B83,0,COLUMN(AQ$68)-COLUMN($B$68)+1,1,1)-OFFSET(BS!$B83,0,COLUMN(AQ$68)-COLUMN($B$68),1,1)</f>
        <v>0</v>
      </c>
      <c r="AR86" s="80">
        <f ca="1">OFFSET(BS!$B83,0,COLUMN(AR$68)-COLUMN($B$68)+1,1,1)-OFFSET(BS!$B83,0,COLUMN(AR$68)-COLUMN($B$68),1,1)</f>
        <v>0</v>
      </c>
      <c r="AS86" s="80">
        <f ca="1">OFFSET(BS!$B83,0,COLUMN(AS$68)-COLUMN($B$68)+1,1,1)-OFFSET(BS!$B83,0,COLUMN(AS$68)-COLUMN($B$68),1,1)</f>
        <v>0</v>
      </c>
      <c r="AT86" s="80">
        <f ca="1">OFFSET(BS!$B83,0,COLUMN(AT$68)-COLUMN($B$68)+1,1,1)-OFFSET(BS!$B83,0,COLUMN(AT$68)-COLUMN($B$68),1,1)</f>
        <v>0</v>
      </c>
      <c r="AU86" s="80">
        <f ca="1">OFFSET(BS!$B83,0,COLUMN(AU$68)-COLUMN($B$68)+1,1,1)-OFFSET(BS!$B83,0,COLUMN(AU$68)-COLUMN($B$68),1,1)</f>
        <v>0</v>
      </c>
      <c r="AV86" s="80">
        <f ca="1">OFFSET(BS!$B83,0,COLUMN(AV$68)-COLUMN($B$68)+1,1,1)-OFFSET(BS!$B83,0,COLUMN(AV$68)-COLUMN($B$68),1,1)</f>
        <v>0</v>
      </c>
      <c r="AW86" s="80">
        <f ca="1">OFFSET(BS!$B83,0,COLUMN(AW$68)-COLUMN($B$68)+1,1,1)-OFFSET(BS!$B83,0,COLUMN(AW$68)-COLUMN($B$68),1,1)</f>
        <v>0</v>
      </c>
      <c r="AX86" s="80">
        <f ca="1">OFFSET(BS!$B83,0,COLUMN(AX$68)-COLUMN($B$68)+1,1,1)-OFFSET(BS!$B83,0,COLUMN(AX$68)-COLUMN($B$68),1,1)</f>
        <v>0</v>
      </c>
      <c r="AY86" s="80">
        <f ca="1">OFFSET(BS!$B83,0,COLUMN(AY$68)-COLUMN($B$68)+1,1,1)-OFFSET(BS!$B83,0,COLUMN(AY$68)-COLUMN($B$68),1,1)</f>
        <v>0</v>
      </c>
      <c r="AZ86" s="80">
        <f ca="1">OFFSET(BS!$B83,0,COLUMN(AZ$68)-COLUMN($B$68)+1,1,1)-OFFSET(BS!$B83,0,COLUMN(AZ$68)-COLUMN($B$68),1,1)</f>
        <v>0</v>
      </c>
      <c r="BA86" s="80">
        <f ca="1">OFFSET(BS!$B83,0,COLUMN(BA$68)-COLUMN($B$68)+1,1,1)-OFFSET(BS!$B83,0,COLUMN(BA$68)-COLUMN($B$68),1,1)</f>
        <v>0</v>
      </c>
      <c r="BB86" s="80">
        <f ca="1">OFFSET(BS!$B83,0,COLUMN(BB$68)-COLUMN($B$68)+1,1,1)-OFFSET(BS!$B83,0,COLUMN(BB$68)-COLUMN($B$68),1,1)</f>
        <v>32000</v>
      </c>
      <c r="BC86" s="81">
        <f ca="1">SUM(OFFSET($B86,0,1,1,Assumptions!$C$8))</f>
        <v>-42000</v>
      </c>
      <c r="BD86" s="81">
        <f ca="1">SUM(OFFSET($B86,0,1+Assumptions!$C$8,1,SUM(Assumptions!$C$9)))</f>
        <v>0</v>
      </c>
      <c r="BE86" s="81">
        <f ca="1">SUM(OFFSET($B86,0,1+SUM(Assumptions!$C$8:$C$9),1,SUM(Assumptions!$C$10)))</f>
        <v>0</v>
      </c>
      <c r="BF86" s="81">
        <f ca="1">SUM(OFFSET($B86,0,1+SUM(Assumptions!$C$8:$C$10),1,SUM(Assumptions!$C$11)))</f>
        <v>32000</v>
      </c>
      <c r="BG86" s="81">
        <f t="shared" ca="1" si="28"/>
        <v>-10000</v>
      </c>
    </row>
    <row r="87" spans="1:59" ht="16.149999999999999" customHeight="1" x14ac:dyDescent="0.25">
      <c r="A87" s="309"/>
      <c r="B87" s="6" t="s">
        <v>61</v>
      </c>
      <c r="C87" s="82">
        <f t="shared" ref="C87:AH87" ca="1" si="29">SUM(C70:C86)</f>
        <v>-11848.570000000007</v>
      </c>
      <c r="D87" s="82">
        <f t="shared" ca="1" si="29"/>
        <v>3399.3289333333196</v>
      </c>
      <c r="E87" s="82">
        <f t="shared" ca="1" si="29"/>
        <v>46642.860952380965</v>
      </c>
      <c r="F87" s="82">
        <f t="shared" ca="1" si="29"/>
        <v>-15052.57163809524</v>
      </c>
      <c r="G87" s="82">
        <f t="shared" ca="1" si="29"/>
        <v>67759.94844285713</v>
      </c>
      <c r="H87" s="82">
        <f t="shared" ca="1" si="29"/>
        <v>-35776.744359523844</v>
      </c>
      <c r="I87" s="82">
        <f t="shared" ca="1" si="29"/>
        <v>73877.169650000025</v>
      </c>
      <c r="J87" s="82">
        <f t="shared" ca="1" si="29"/>
        <v>17210.181257142875</v>
      </c>
      <c r="K87" s="82">
        <f t="shared" ca="1" si="29"/>
        <v>-15816.898871428568</v>
      </c>
      <c r="L87" s="82">
        <f t="shared" ca="1" si="29"/>
        <v>-12373.118199999986</v>
      </c>
      <c r="M87" s="82">
        <f t="shared" ca="1" si="29"/>
        <v>25805.071242857106</v>
      </c>
      <c r="N87" s="82">
        <f t="shared" ca="1" si="29"/>
        <v>50109.457590476224</v>
      </c>
      <c r="O87" s="82">
        <f t="shared" ca="1" si="29"/>
        <v>-45283.751333333326</v>
      </c>
      <c r="P87" s="82">
        <f t="shared" ca="1" si="29"/>
        <v>49929.679666666685</v>
      </c>
      <c r="Q87" s="82">
        <f t="shared" ca="1" si="29"/>
        <v>14800.71999999999</v>
      </c>
      <c r="R87" s="82">
        <f t="shared" ca="1" si="29"/>
        <v>31945.232333333344</v>
      </c>
      <c r="S87" s="82">
        <f t="shared" ca="1" si="29"/>
        <v>-25681.60689285718</v>
      </c>
      <c r="T87" s="82">
        <f t="shared" ca="1" si="29"/>
        <v>69661.150642857159</v>
      </c>
      <c r="U87" s="82">
        <f t="shared" ca="1" si="29"/>
        <v>20794.964583333338</v>
      </c>
      <c r="V87" s="82">
        <f t="shared" ca="1" si="29"/>
        <v>41804.996642857179</v>
      </c>
      <c r="W87" s="82">
        <f t="shared" ca="1" si="29"/>
        <v>29687.227357142838</v>
      </c>
      <c r="X87" s="82">
        <f t="shared" ca="1" si="29"/>
        <v>-54751.221249999995</v>
      </c>
      <c r="Y87" s="82">
        <f t="shared" ca="1" si="29"/>
        <v>40845.73483333335</v>
      </c>
      <c r="Z87" s="82">
        <f t="shared" ca="1" si="29"/>
        <v>28529.3835714286</v>
      </c>
      <c r="AA87" s="82">
        <f t="shared" ca="1" si="29"/>
        <v>23852.140535714261</v>
      </c>
      <c r="AB87" s="82">
        <f t="shared" ca="1" si="29"/>
        <v>16089.979642857179</v>
      </c>
      <c r="AC87" s="82">
        <f t="shared" ca="1" si="29"/>
        <v>1410.8667499999756</v>
      </c>
      <c r="AD87" s="82">
        <f t="shared" ca="1" si="29"/>
        <v>48863.988142857153</v>
      </c>
      <c r="AE87" s="82">
        <f t="shared" ca="1" si="29"/>
        <v>22750.409964285685</v>
      </c>
      <c r="AF87" s="82">
        <f t="shared" ca="1" si="29"/>
        <v>62303.875000000022</v>
      </c>
      <c r="AG87" s="82">
        <f t="shared" ca="1" si="29"/>
        <v>-75782.816071428606</v>
      </c>
      <c r="AH87" s="82">
        <f t="shared" ca="1" si="29"/>
        <v>-11886.151380952368</v>
      </c>
      <c r="AI87" s="82">
        <f t="shared" ref="AI87:BG87" ca="1" si="30">SUM(AI70:AI86)</f>
        <v>77016.692357142907</v>
      </c>
      <c r="AJ87" s="82">
        <f t="shared" ca="1" si="30"/>
        <v>80245.701928571449</v>
      </c>
      <c r="AK87" s="82">
        <f t="shared" ca="1" si="30"/>
        <v>-8288.4903928571639</v>
      </c>
      <c r="AL87" s="82">
        <f t="shared" ca="1" si="30"/>
        <v>44572.320607142901</v>
      </c>
      <c r="AM87" s="82">
        <f t="shared" ca="1" si="30"/>
        <v>22782.969499999996</v>
      </c>
      <c r="AN87" s="82">
        <f t="shared" ca="1" si="30"/>
        <v>27277.086178571419</v>
      </c>
      <c r="AO87" s="82">
        <f t="shared" ca="1" si="30"/>
        <v>-12911.423250000007</v>
      </c>
      <c r="AP87" s="82">
        <f t="shared" ca="1" si="30"/>
        <v>52815.563000000009</v>
      </c>
      <c r="AQ87" s="82">
        <f t="shared" ca="1" si="30"/>
        <v>46506.463142857174</v>
      </c>
      <c r="AR87" s="82">
        <f t="shared" ca="1" si="30"/>
        <v>32250.889857142814</v>
      </c>
      <c r="AS87" s="82">
        <f t="shared" ca="1" si="30"/>
        <v>-7857.002428571428</v>
      </c>
      <c r="AT87" s="82">
        <f t="shared" ca="1" si="30"/>
        <v>87877.91403809523</v>
      </c>
      <c r="AU87" s="82">
        <f t="shared" ca="1" si="30"/>
        <v>9329.3087428571562</v>
      </c>
      <c r="AV87" s="82">
        <f t="shared" ca="1" si="30"/>
        <v>49527.049678571435</v>
      </c>
      <c r="AW87" s="82">
        <f t="shared" ca="1" si="30"/>
        <v>24488.906671428602</v>
      </c>
      <c r="AX87" s="82">
        <f t="shared" ca="1" si="30"/>
        <v>-89469.233769047627</v>
      </c>
      <c r="AY87" s="82">
        <f t="shared" ca="1" si="30"/>
        <v>-45108.615483333349</v>
      </c>
      <c r="AZ87" s="82">
        <f t="shared" ca="1" si="30"/>
        <v>13794.412145238126</v>
      </c>
      <c r="BA87" s="82">
        <f t="shared" ca="1" si="30"/>
        <v>79138.848185714247</v>
      </c>
      <c r="BB87" s="82">
        <f t="shared" ca="1" si="30"/>
        <v>98974.003200000065</v>
      </c>
      <c r="BC87" s="83">
        <f t="shared" ca="1" si="30"/>
        <v>148652.3636666667</v>
      </c>
      <c r="BD87" s="83">
        <f t="shared" ca="1" si="30"/>
        <v>287508.38166666677</v>
      </c>
      <c r="BE87" s="83">
        <f t="shared" ca="1" si="30"/>
        <v>278355.02933333331</v>
      </c>
      <c r="BF87" s="83">
        <f t="shared" ca="1" si="30"/>
        <v>352268.50698095252</v>
      </c>
      <c r="BG87" s="83">
        <f t="shared" ca="1" si="30"/>
        <v>1066784.2816476191</v>
      </c>
    </row>
    <row r="88" spans="1:59" ht="16.149999999999999" customHeight="1" x14ac:dyDescent="0.3">
      <c r="B88" s="12" t="s">
        <v>62</v>
      </c>
      <c r="C88" s="52">
        <f t="shared" ref="C88:AH88" ca="1" si="31">-C71</f>
        <v>-4166.666666666667</v>
      </c>
      <c r="D88" s="52">
        <f t="shared" ca="1" si="31"/>
        <v>-14895.833333333334</v>
      </c>
      <c r="E88" s="52">
        <f t="shared" ca="1" si="31"/>
        <v>0</v>
      </c>
      <c r="F88" s="52">
        <f t="shared" ca="1" si="31"/>
        <v>0</v>
      </c>
      <c r="G88" s="52">
        <f t="shared" ca="1" si="31"/>
        <v>-4138.1632051480383</v>
      </c>
      <c r="H88" s="52">
        <f t="shared" ca="1" si="31"/>
        <v>-10949.308320912218</v>
      </c>
      <c r="I88" s="52">
        <f t="shared" ca="1" si="31"/>
        <v>-3830.8552903817708</v>
      </c>
      <c r="J88" s="52">
        <f t="shared" ca="1" si="31"/>
        <v>0</v>
      </c>
      <c r="K88" s="52">
        <f t="shared" ca="1" si="31"/>
        <v>0</v>
      </c>
      <c r="L88" s="52">
        <f t="shared" ca="1" si="31"/>
        <v>-15007.574182882883</v>
      </c>
      <c r="M88" s="52">
        <f t="shared" ca="1" si="31"/>
        <v>-3765.2816153698186</v>
      </c>
      <c r="N88" s="52">
        <f t="shared" ca="1" si="31"/>
        <v>0</v>
      </c>
      <c r="O88" s="52">
        <f t="shared" ca="1" si="31"/>
        <v>0</v>
      </c>
      <c r="P88" s="52">
        <f t="shared" ca="1" si="31"/>
        <v>-4080.4417161657643</v>
      </c>
      <c r="Q88" s="52">
        <f t="shared" ca="1" si="31"/>
        <v>-14545.633530389519</v>
      </c>
      <c r="R88" s="52">
        <f t="shared" ca="1" si="31"/>
        <v>0</v>
      </c>
      <c r="S88" s="52">
        <f t="shared" ca="1" si="31"/>
        <v>0</v>
      </c>
      <c r="T88" s="52">
        <f t="shared" ca="1" si="31"/>
        <v>-4051.2197133929608</v>
      </c>
      <c r="U88" s="52">
        <f t="shared" ca="1" si="31"/>
        <v>-10794.428164216964</v>
      </c>
      <c r="V88" s="52">
        <f t="shared" ca="1" si="31"/>
        <v>-3632.3254792728935</v>
      </c>
      <c r="W88" s="52">
        <f t="shared" ca="1" si="31"/>
        <v>0</v>
      </c>
      <c r="X88" s="52">
        <f t="shared" ca="1" si="31"/>
        <v>0</v>
      </c>
      <c r="Y88" s="52">
        <f t="shared" ca="1" si="31"/>
        <v>-15596.939603898223</v>
      </c>
      <c r="Z88" s="52">
        <f t="shared" ca="1" si="31"/>
        <v>-3564.9319476591104</v>
      </c>
      <c r="AA88" s="52">
        <f t="shared" ca="1" si="31"/>
        <v>0</v>
      </c>
      <c r="AB88" s="52">
        <f t="shared" ca="1" si="31"/>
        <v>0</v>
      </c>
      <c r="AC88" s="52">
        <f t="shared" ca="1" si="31"/>
        <v>-4819.6757695018941</v>
      </c>
      <c r="AD88" s="52">
        <f t="shared" ca="1" si="31"/>
        <v>-10688.79404158254</v>
      </c>
      <c r="AE88" s="52">
        <f t="shared" ca="1" si="31"/>
        <v>-3496.9206420055343</v>
      </c>
      <c r="AF88" s="52">
        <f t="shared" ca="1" si="31"/>
        <v>0</v>
      </c>
      <c r="AG88" s="52">
        <f t="shared" ca="1" si="31"/>
        <v>-4783.9689137587211</v>
      </c>
      <c r="AH88" s="52">
        <f t="shared" ca="1" si="31"/>
        <v>-10635.249641209264</v>
      </c>
      <c r="AI88" s="52">
        <f t="shared" ref="AI88:BB88" ca="1" si="32">-AI71</f>
        <v>-3428.2858993834666</v>
      </c>
      <c r="AJ88" s="52">
        <f t="shared" ca="1" si="32"/>
        <v>0</v>
      </c>
      <c r="AK88" s="52">
        <f t="shared" ca="1" si="32"/>
        <v>0</v>
      </c>
      <c r="AL88" s="52">
        <f t="shared" ca="1" si="32"/>
        <v>-4747.9645008843554</v>
      </c>
      <c r="AM88" s="52">
        <f t="shared" ca="1" si="32"/>
        <v>-13940.23642211993</v>
      </c>
      <c r="AN88" s="52">
        <f t="shared" ca="1" si="32"/>
        <v>0</v>
      </c>
      <c r="AO88" s="52">
        <f t="shared" ca="1" si="32"/>
        <v>0</v>
      </c>
      <c r="AP88" s="52">
        <f t="shared" ca="1" si="32"/>
        <v>-4711.6600512360355</v>
      </c>
      <c r="AQ88" s="52">
        <f t="shared" ca="1" si="32"/>
        <v>-10526.683870235474</v>
      </c>
      <c r="AR88" s="52">
        <f t="shared" ca="1" si="32"/>
        <v>-3289.1231914923233</v>
      </c>
      <c r="AS88" s="52">
        <f t="shared" ca="1" si="32"/>
        <v>0</v>
      </c>
      <c r="AT88" s="52">
        <f t="shared" ca="1" si="32"/>
        <v>-4675.053064507315</v>
      </c>
      <c r="AU88" s="52">
        <f t="shared" ca="1" si="32"/>
        <v>-10471.653459958185</v>
      </c>
      <c r="AV88" s="52">
        <f t="shared" ca="1" si="32"/>
        <v>-3218.5836389072178</v>
      </c>
      <c r="AW88" s="52">
        <f t="shared" ca="1" si="32"/>
        <v>0</v>
      </c>
      <c r="AX88" s="52">
        <f t="shared" ca="1" si="32"/>
        <v>0</v>
      </c>
      <c r="AY88" s="52">
        <f t="shared" ca="1" si="32"/>
        <v>-7033.9743528891886</v>
      </c>
      <c r="AZ88" s="52">
        <f t="shared" ca="1" si="32"/>
        <v>-13563.516078010103</v>
      </c>
      <c r="BA88" s="52">
        <f t="shared" ca="1" si="32"/>
        <v>0</v>
      </c>
      <c r="BB88" s="52">
        <f t="shared" ca="1" si="32"/>
        <v>0</v>
      </c>
      <c r="BC88" s="53">
        <f ca="1">SUM(OFFSET($B88,0,1,1,Assumptions!$C$8))</f>
        <v>-56753.682614694728</v>
      </c>
      <c r="BD88" s="53">
        <f ca="1">SUM(OFFSET($B88,0,1+Assumptions!$C$8,1,SUM(Assumptions!$C$9)))</f>
        <v>-56265.920154995438</v>
      </c>
      <c r="BE88" s="53">
        <f ca="1">SUM(OFFSET($B88,0,1+SUM(Assumptions!$C$8:$C$9),1,SUM(Assumptions!$C$10)))</f>
        <v>-56541.095830445709</v>
      </c>
      <c r="BF88" s="53">
        <f ca="1">SUM(OFFSET($B88,0,1+SUM(Assumptions!$C$8:$C$10),1,SUM(Assumptions!$C$11)))</f>
        <v>-57490.247707235845</v>
      </c>
      <c r="BG88" s="53">
        <f ca="1">SUM(BC88:BF88)</f>
        <v>-227050.94630737172</v>
      </c>
    </row>
    <row r="89" spans="1:59" ht="16.149999999999999" customHeight="1" x14ac:dyDescent="0.3">
      <c r="B89" s="12" t="s">
        <v>63</v>
      </c>
      <c r="C89" s="52">
        <f ca="1">OFFSET(BS!$B$81,0,COLUMN(C$68)-COLUMN($B$68)+1,1,1)-OFFSET(BS!$B$81,0,COLUMN(C$68)-COLUMN($B$68),1,1)-C72</f>
        <v>0</v>
      </c>
      <c r="D89" s="52">
        <f ca="1">OFFSET(BS!$B$81,0,COLUMN(D$68)-COLUMN($B$68)+1,1,1)-OFFSET(BS!$B$81,0,COLUMN(D$68)-COLUMN($B$68),1,1)-D72</f>
        <v>0</v>
      </c>
      <c r="E89" s="52">
        <f ca="1">OFFSET(BS!$B$81,0,COLUMN(E$68)-COLUMN($B$68)+1,1,1)-OFFSET(BS!$B$81,0,COLUMN(E$68)-COLUMN($B$68),1,1)-E72</f>
        <v>0</v>
      </c>
      <c r="F89" s="52">
        <f ca="1">OFFSET(BS!$B$81,0,COLUMN(F$68)-COLUMN($B$68)+1,1,1)-OFFSET(BS!$B$81,0,COLUMN(F$68)-COLUMN($B$68),1,1)-F72</f>
        <v>0</v>
      </c>
      <c r="G89" s="52">
        <f ca="1">OFFSET(BS!$B$81,0,COLUMN(G$68)-COLUMN($B$68)+1,1,1)-OFFSET(BS!$B$81,0,COLUMN(G$68)-COLUMN($B$68),1,1)-G72</f>
        <v>0</v>
      </c>
      <c r="H89" s="52">
        <f ca="1">OFFSET(BS!$B$81,0,COLUMN(H$68)-COLUMN($B$68)+1,1,1)-OFFSET(BS!$B$81,0,COLUMN(H$68)-COLUMN($B$68),1,1)-H72</f>
        <v>-1.4779288903810084E-12</v>
      </c>
      <c r="I89" s="52">
        <f ca="1">OFFSET(BS!$B$81,0,COLUMN(I$68)-COLUMN($B$68)+1,1,1)-OFFSET(BS!$B$81,0,COLUMN(I$68)-COLUMN($B$68),1,1)-I72</f>
        <v>0</v>
      </c>
      <c r="J89" s="52">
        <f ca="1">OFFSET(BS!$B$81,0,COLUMN(J$68)-COLUMN($B$68)+1,1,1)-OFFSET(BS!$B$81,0,COLUMN(J$68)-COLUMN($B$68),1,1)-J72</f>
        <v>0</v>
      </c>
      <c r="K89" s="52">
        <f ca="1">OFFSET(BS!$B$81,0,COLUMN(K$68)-COLUMN($B$68)+1,1,1)-OFFSET(BS!$B$81,0,COLUMN(K$68)-COLUMN($B$68),1,1)-K72</f>
        <v>0</v>
      </c>
      <c r="L89" s="52">
        <f ca="1">OFFSET(BS!$B$81,0,COLUMN(L$68)-COLUMN($B$68)+1,1,1)-OFFSET(BS!$B$81,0,COLUMN(L$68)-COLUMN($B$68),1,1)-L72</f>
        <v>0</v>
      </c>
      <c r="M89" s="52">
        <f ca="1">OFFSET(BS!$B$81,0,COLUMN(M$68)-COLUMN($B$68)+1,1,1)-OFFSET(BS!$B$81,0,COLUMN(M$68)-COLUMN($B$68),1,1)-M72</f>
        <v>0</v>
      </c>
      <c r="N89" s="52">
        <f ca="1">OFFSET(BS!$B$81,0,COLUMN(N$68)-COLUMN($B$68)+1,1,1)-OFFSET(BS!$B$81,0,COLUMN(N$68)-COLUMN($B$68),1,1)-N72</f>
        <v>0</v>
      </c>
      <c r="O89" s="52">
        <f ca="1">OFFSET(BS!$B$81,0,COLUMN(O$68)-COLUMN($B$68)+1,1,1)-OFFSET(BS!$B$81,0,COLUMN(O$68)-COLUMN($B$68),1,1)-O72</f>
        <v>0</v>
      </c>
      <c r="P89" s="52">
        <f ca="1">OFFSET(BS!$B$81,0,COLUMN(P$68)-COLUMN($B$68)+1,1,1)-OFFSET(BS!$B$81,0,COLUMN(P$68)-COLUMN($B$68),1,1)-P72</f>
        <v>0</v>
      </c>
      <c r="Q89" s="52">
        <f ca="1">OFFSET(BS!$B$81,0,COLUMN(Q$68)-COLUMN($B$68)+1,1,1)-OFFSET(BS!$B$81,0,COLUMN(Q$68)-COLUMN($B$68),1,1)-Q72</f>
        <v>0</v>
      </c>
      <c r="R89" s="52">
        <f ca="1">OFFSET(BS!$B$81,0,COLUMN(R$68)-COLUMN($B$68)+1,1,1)-OFFSET(BS!$B$81,0,COLUMN(R$68)-COLUMN($B$68),1,1)-R72</f>
        <v>0</v>
      </c>
      <c r="S89" s="52">
        <f ca="1">OFFSET(BS!$B$81,0,COLUMN(S$68)-COLUMN($B$68)+1,1,1)-OFFSET(BS!$B$81,0,COLUMN(S$68)-COLUMN($B$68),1,1)-S72</f>
        <v>0</v>
      </c>
      <c r="T89" s="52">
        <f ca="1">OFFSET(BS!$B$81,0,COLUMN(T$68)-COLUMN($B$68)+1,1,1)-OFFSET(BS!$B$81,0,COLUMN(T$68)-COLUMN($B$68),1,1)-T72</f>
        <v>0</v>
      </c>
      <c r="U89" s="52">
        <f ca="1">OFFSET(BS!$B$81,0,COLUMN(U$68)-COLUMN($B$68)+1,1,1)-OFFSET(BS!$B$81,0,COLUMN(U$68)-COLUMN($B$68),1,1)-U72</f>
        <v>0</v>
      </c>
      <c r="V89" s="52">
        <f ca="1">OFFSET(BS!$B$81,0,COLUMN(V$68)-COLUMN($B$68)+1,1,1)-OFFSET(BS!$B$81,0,COLUMN(V$68)-COLUMN($B$68),1,1)-V72</f>
        <v>0</v>
      </c>
      <c r="W89" s="52">
        <f ca="1">OFFSET(BS!$B$81,0,COLUMN(W$68)-COLUMN($B$68)+1,1,1)-OFFSET(BS!$B$81,0,COLUMN(W$68)-COLUMN($B$68),1,1)-W72</f>
        <v>0</v>
      </c>
      <c r="X89" s="52">
        <f ca="1">OFFSET(BS!$B$81,0,COLUMN(X$68)-COLUMN($B$68)+1,1,1)-OFFSET(BS!$B$81,0,COLUMN(X$68)-COLUMN($B$68),1,1)-X72</f>
        <v>0</v>
      </c>
      <c r="Y89" s="52">
        <f ca="1">OFFSET(BS!$B$81,0,COLUMN(Y$68)-COLUMN($B$68)+1,1,1)-OFFSET(BS!$B$81,0,COLUMN(Y$68)-COLUMN($B$68),1,1)-Y72</f>
        <v>0</v>
      </c>
      <c r="Z89" s="52">
        <f ca="1">OFFSET(BS!$B$81,0,COLUMN(Z$68)-COLUMN($B$68)+1,1,1)-OFFSET(BS!$B$81,0,COLUMN(Z$68)-COLUMN($B$68),1,1)-Z72</f>
        <v>0</v>
      </c>
      <c r="AA89" s="52">
        <f ca="1">OFFSET(BS!$B$81,0,COLUMN(AA$68)-COLUMN($B$68)+1,1,1)-OFFSET(BS!$B$81,0,COLUMN(AA$68)-COLUMN($B$68),1,1)-AA72</f>
        <v>0</v>
      </c>
      <c r="AB89" s="52">
        <f ca="1">OFFSET(BS!$B$81,0,COLUMN(AB$68)-COLUMN($B$68)+1,1,1)-OFFSET(BS!$B$81,0,COLUMN(AB$68)-COLUMN($B$68),1,1)-AB72</f>
        <v>0</v>
      </c>
      <c r="AC89" s="52">
        <f ca="1">OFFSET(BS!$B$81,0,COLUMN(AC$68)-COLUMN($B$68)+1,1,1)-OFFSET(BS!$B$81,0,COLUMN(AC$68)-COLUMN($B$68),1,1)-AC72</f>
        <v>-81940.587062359584</v>
      </c>
      <c r="AD89" s="52">
        <f ca="1">OFFSET(BS!$B$81,0,COLUMN(AD$68)-COLUMN($B$68)+1,1,1)-OFFSET(BS!$B$81,0,COLUMN(AD$68)-COLUMN($B$68),1,1)-AD72</f>
        <v>0</v>
      </c>
      <c r="AE89" s="52">
        <f ca="1">OFFSET(BS!$B$81,0,COLUMN(AE$68)-COLUMN($B$68)+1,1,1)-OFFSET(BS!$B$81,0,COLUMN(AE$68)-COLUMN($B$68),1,1)-AE72</f>
        <v>0</v>
      </c>
      <c r="AF89" s="52">
        <f ca="1">OFFSET(BS!$B$81,0,COLUMN(AF$68)-COLUMN($B$68)+1,1,1)-OFFSET(BS!$B$81,0,COLUMN(AF$68)-COLUMN($B$68),1,1)-AF72</f>
        <v>0</v>
      </c>
      <c r="AG89" s="52">
        <f ca="1">OFFSET(BS!$B$81,0,COLUMN(AG$68)-COLUMN($B$68)+1,1,1)-OFFSET(BS!$B$81,0,COLUMN(AG$68)-COLUMN($B$68),1,1)-AG72</f>
        <v>0</v>
      </c>
      <c r="AH89" s="52">
        <f ca="1">OFFSET(BS!$B$81,0,COLUMN(AH$68)-COLUMN($B$68)+1,1,1)-OFFSET(BS!$B$81,0,COLUMN(AH$68)-COLUMN($B$68),1,1)-AH72</f>
        <v>0</v>
      </c>
      <c r="AI89" s="52">
        <f ca="1">OFFSET(BS!$B$81,0,COLUMN(AI$68)-COLUMN($B$68)+1,1,1)-OFFSET(BS!$B$81,0,COLUMN(AI$68)-COLUMN($B$68),1,1)-AI72</f>
        <v>0</v>
      </c>
      <c r="AJ89" s="52">
        <f ca="1">OFFSET(BS!$B$81,0,COLUMN(AJ$68)-COLUMN($B$68)+1,1,1)-OFFSET(BS!$B$81,0,COLUMN(AJ$68)-COLUMN($B$68),1,1)-AJ72</f>
        <v>0</v>
      </c>
      <c r="AK89" s="52">
        <f ca="1">OFFSET(BS!$B$81,0,COLUMN(AK$68)-COLUMN($B$68)+1,1,1)-OFFSET(BS!$B$81,0,COLUMN(AK$68)-COLUMN($B$68),1,1)-AK72</f>
        <v>0</v>
      </c>
      <c r="AL89" s="52">
        <f ca="1">OFFSET(BS!$B$81,0,COLUMN(AL$68)-COLUMN($B$68)+1,1,1)-OFFSET(BS!$B$81,0,COLUMN(AL$68)-COLUMN($B$68),1,1)-AL72</f>
        <v>0</v>
      </c>
      <c r="AM89" s="52">
        <f ca="1">OFFSET(BS!$B$81,0,COLUMN(AM$68)-COLUMN($B$68)+1,1,1)-OFFSET(BS!$B$81,0,COLUMN(AM$68)-COLUMN($B$68),1,1)-AM72</f>
        <v>0</v>
      </c>
      <c r="AN89" s="52">
        <f ca="1">OFFSET(BS!$B$81,0,COLUMN(AN$68)-COLUMN($B$68)+1,1,1)-OFFSET(BS!$B$81,0,COLUMN(AN$68)-COLUMN($B$68),1,1)-AN72</f>
        <v>0</v>
      </c>
      <c r="AO89" s="52">
        <f ca="1">OFFSET(BS!$B$81,0,COLUMN(AO$68)-COLUMN($B$68)+1,1,1)-OFFSET(BS!$B$81,0,COLUMN(AO$68)-COLUMN($B$68),1,1)-AO72</f>
        <v>0</v>
      </c>
      <c r="AP89" s="52">
        <f ca="1">OFFSET(BS!$B$81,0,COLUMN(AP$68)-COLUMN($B$68)+1,1,1)-OFFSET(BS!$B$81,0,COLUMN(AP$68)-COLUMN($B$68),1,1)-AP72</f>
        <v>0</v>
      </c>
      <c r="AQ89" s="52">
        <f ca="1">OFFSET(BS!$B$81,0,COLUMN(AQ$68)-COLUMN($B$68)+1,1,1)-OFFSET(BS!$B$81,0,COLUMN(AQ$68)-COLUMN($B$68),1,1)-AQ72</f>
        <v>-6.3664629124104977E-12</v>
      </c>
      <c r="AR89" s="52">
        <f ca="1">OFFSET(BS!$B$81,0,COLUMN(AR$68)-COLUMN($B$68)+1,1,1)-OFFSET(BS!$B$81,0,COLUMN(AR$68)-COLUMN($B$68),1,1)-AR72</f>
        <v>0</v>
      </c>
      <c r="AS89" s="52">
        <f ca="1">OFFSET(BS!$B$81,0,COLUMN(AS$68)-COLUMN($B$68)+1,1,1)-OFFSET(BS!$B$81,0,COLUMN(AS$68)-COLUMN($B$68),1,1)-AS72</f>
        <v>0</v>
      </c>
      <c r="AT89" s="52">
        <f ca="1">OFFSET(BS!$B$81,0,COLUMN(AT$68)-COLUMN($B$68)+1,1,1)-OFFSET(BS!$B$81,0,COLUMN(AT$68)-COLUMN($B$68),1,1)-AT72</f>
        <v>0</v>
      </c>
      <c r="AU89" s="52">
        <f ca="1">OFFSET(BS!$B$81,0,COLUMN(AU$68)-COLUMN($B$68)+1,1,1)-OFFSET(BS!$B$81,0,COLUMN(AU$68)-COLUMN($B$68),1,1)-AU72</f>
        <v>0</v>
      </c>
      <c r="AV89" s="52">
        <f ca="1">OFFSET(BS!$B$81,0,COLUMN(AV$68)-COLUMN($B$68)+1,1,1)-OFFSET(BS!$B$81,0,COLUMN(AV$68)-COLUMN($B$68),1,1)-AV72</f>
        <v>0</v>
      </c>
      <c r="AW89" s="52">
        <f ca="1">OFFSET(BS!$B$81,0,COLUMN(AW$68)-COLUMN($B$68)+1,1,1)-OFFSET(BS!$B$81,0,COLUMN(AW$68)-COLUMN($B$68),1,1)-AW72</f>
        <v>0</v>
      </c>
      <c r="AX89" s="52">
        <f ca="1">OFFSET(BS!$B$81,0,COLUMN(AX$68)-COLUMN($B$68)+1,1,1)-OFFSET(BS!$B$81,0,COLUMN(AX$68)-COLUMN($B$68),1,1)-AX72</f>
        <v>0</v>
      </c>
      <c r="AY89" s="52">
        <f ca="1">OFFSET(BS!$B$81,0,COLUMN(AY$68)-COLUMN($B$68)+1,1,1)-OFFSET(BS!$B$81,0,COLUMN(AY$68)-COLUMN($B$68),1,1)-AY72</f>
        <v>0</v>
      </c>
      <c r="AZ89" s="52">
        <f ca="1">OFFSET(BS!$B$81,0,COLUMN(AZ$68)-COLUMN($B$68)+1,1,1)-OFFSET(BS!$B$81,0,COLUMN(AZ$68)-COLUMN($B$68),1,1)-AZ72</f>
        <v>0</v>
      </c>
      <c r="BA89" s="52">
        <f ca="1">OFFSET(BS!$B$81,0,COLUMN(BA$68)-COLUMN($B$68)+1,1,1)-OFFSET(BS!$B$81,0,COLUMN(BA$68)-COLUMN($B$68),1,1)-BA72</f>
        <v>0</v>
      </c>
      <c r="BB89" s="52">
        <f ca="1">OFFSET(BS!$B$81,0,COLUMN(BB$68)-COLUMN($B$68)+1,1,1)-OFFSET(BS!$B$81,0,COLUMN(BB$68)-COLUMN($B$68),1,1)-BB72</f>
        <v>0</v>
      </c>
      <c r="BC89" s="53">
        <f ca="1">SUM(OFFSET($B89,0,1,1,Assumptions!$C$8))</f>
        <v>-1.4779288903810084E-12</v>
      </c>
      <c r="BD89" s="53">
        <f ca="1">SUM(OFFSET($B89,0,1+Assumptions!$C$8,1,SUM(Assumptions!$C$9)))</f>
        <v>0</v>
      </c>
      <c r="BE89" s="53">
        <f ca="1">SUM(OFFSET($B89,0,1+SUM(Assumptions!$C$8:$C$9),1,SUM(Assumptions!$C$10)))</f>
        <v>-81940.587062359584</v>
      </c>
      <c r="BF89" s="53">
        <f ca="1">SUM(OFFSET($B89,0,1+SUM(Assumptions!$C$8:$C$10),1,SUM(Assumptions!$C$11)))</f>
        <v>-6.3664629124104977E-12</v>
      </c>
      <c r="BG89" s="53">
        <f ca="1">SUM(BC89:BF89)</f>
        <v>-81940.587062359584</v>
      </c>
    </row>
    <row r="90" spans="1:59" ht="16.149999999999999" customHeight="1" thickBot="1" x14ac:dyDescent="0.35">
      <c r="B90" s="6" t="s">
        <v>64</v>
      </c>
      <c r="C90" s="84">
        <f t="shared" ref="C90:BG90" ca="1" si="33">SUM(C87:C89)</f>
        <v>-16015.236666666675</v>
      </c>
      <c r="D90" s="84">
        <f t="shared" ca="1" si="33"/>
        <v>-11496.504400000014</v>
      </c>
      <c r="E90" s="84">
        <f t="shared" ca="1" si="33"/>
        <v>46642.860952380965</v>
      </c>
      <c r="F90" s="84">
        <f t="shared" ca="1" si="33"/>
        <v>-15052.57163809524</v>
      </c>
      <c r="G90" s="84">
        <f t="shared" ca="1" si="33"/>
        <v>63621.785237709089</v>
      </c>
      <c r="H90" s="84">
        <f t="shared" ca="1" si="33"/>
        <v>-46726.052680436063</v>
      </c>
      <c r="I90" s="84">
        <f t="shared" ca="1" si="33"/>
        <v>70046.314359618249</v>
      </c>
      <c r="J90" s="84">
        <f t="shared" ca="1" si="33"/>
        <v>17210.181257142875</v>
      </c>
      <c r="K90" s="84">
        <f t="shared" ca="1" si="33"/>
        <v>-15816.898871428568</v>
      </c>
      <c r="L90" s="84">
        <f t="shared" ca="1" si="33"/>
        <v>-27380.692382882869</v>
      </c>
      <c r="M90" s="84">
        <f t="shared" ca="1" si="33"/>
        <v>22039.789627487287</v>
      </c>
      <c r="N90" s="84">
        <f t="shared" ca="1" si="33"/>
        <v>50109.457590476224</v>
      </c>
      <c r="O90" s="84">
        <f t="shared" ca="1" si="33"/>
        <v>-45283.751333333326</v>
      </c>
      <c r="P90" s="84">
        <f t="shared" ca="1" si="33"/>
        <v>45849.237950500923</v>
      </c>
      <c r="Q90" s="84">
        <f t="shared" ca="1" si="33"/>
        <v>255.08646961047089</v>
      </c>
      <c r="R90" s="84">
        <f t="shared" ca="1" si="33"/>
        <v>31945.232333333344</v>
      </c>
      <c r="S90" s="84">
        <f t="shared" ca="1" si="33"/>
        <v>-25681.60689285718</v>
      </c>
      <c r="T90" s="84">
        <f t="shared" ca="1" si="33"/>
        <v>65609.930929464201</v>
      </c>
      <c r="U90" s="84">
        <f t="shared" ca="1" si="33"/>
        <v>10000.536419116374</v>
      </c>
      <c r="V90" s="84">
        <f t="shared" ca="1" si="33"/>
        <v>38172.671163584288</v>
      </c>
      <c r="W90" s="84">
        <f t="shared" ca="1" si="33"/>
        <v>29687.227357142838</v>
      </c>
      <c r="X90" s="84">
        <f t="shared" ca="1" si="33"/>
        <v>-54751.221249999995</v>
      </c>
      <c r="Y90" s="84">
        <f t="shared" ca="1" si="33"/>
        <v>25248.795229435127</v>
      </c>
      <c r="Z90" s="84">
        <f t="shared" ca="1" si="33"/>
        <v>24964.451623769488</v>
      </c>
      <c r="AA90" s="84">
        <f t="shared" ca="1" si="33"/>
        <v>23852.140535714261</v>
      </c>
      <c r="AB90" s="84">
        <f t="shared" ca="1" si="33"/>
        <v>16089.979642857179</v>
      </c>
      <c r="AC90" s="84">
        <f t="shared" ca="1" si="33"/>
        <v>-85349.396081861501</v>
      </c>
      <c r="AD90" s="84">
        <f t="shared" ca="1" si="33"/>
        <v>38175.19410127461</v>
      </c>
      <c r="AE90" s="84">
        <f t="shared" ca="1" si="33"/>
        <v>19253.489322280151</v>
      </c>
      <c r="AF90" s="84">
        <f t="shared" ca="1" si="33"/>
        <v>62303.875000000022</v>
      </c>
      <c r="AG90" s="84">
        <f t="shared" ca="1" si="33"/>
        <v>-80566.784985187332</v>
      </c>
      <c r="AH90" s="84">
        <f t="shared" ca="1" si="33"/>
        <v>-22521.401022161634</v>
      </c>
      <c r="AI90" s="84">
        <f t="shared" ca="1" si="33"/>
        <v>73588.40645775944</v>
      </c>
      <c r="AJ90" s="84">
        <f t="shared" ca="1" si="33"/>
        <v>80245.701928571449</v>
      </c>
      <c r="AK90" s="84">
        <f t="shared" ca="1" si="33"/>
        <v>-8288.4903928571639</v>
      </c>
      <c r="AL90" s="84">
        <f t="shared" ca="1" si="33"/>
        <v>39824.356106258543</v>
      </c>
      <c r="AM90" s="84">
        <f t="shared" ca="1" si="33"/>
        <v>8842.733077880066</v>
      </c>
      <c r="AN90" s="84">
        <f t="shared" ca="1" si="33"/>
        <v>27277.086178571419</v>
      </c>
      <c r="AO90" s="84">
        <f t="shared" ca="1" si="33"/>
        <v>-12911.423250000007</v>
      </c>
      <c r="AP90" s="84">
        <f t="shared" ca="1" si="33"/>
        <v>48103.902948763971</v>
      </c>
      <c r="AQ90" s="84">
        <f t="shared" ca="1" si="33"/>
        <v>35979.779272621694</v>
      </c>
      <c r="AR90" s="84">
        <f t="shared" ca="1" si="33"/>
        <v>28961.766665650492</v>
      </c>
      <c r="AS90" s="84">
        <f t="shared" ca="1" si="33"/>
        <v>-7857.002428571428</v>
      </c>
      <c r="AT90" s="84">
        <f t="shared" ca="1" si="33"/>
        <v>83202.860973587914</v>
      </c>
      <c r="AU90" s="84">
        <f t="shared" ca="1" si="33"/>
        <v>-1142.3447171010284</v>
      </c>
      <c r="AV90" s="84">
        <f t="shared" ca="1" si="33"/>
        <v>46308.466039664214</v>
      </c>
      <c r="AW90" s="84">
        <f t="shared" ca="1" si="33"/>
        <v>24488.906671428602</v>
      </c>
      <c r="AX90" s="84">
        <f t="shared" ca="1" si="33"/>
        <v>-89469.233769047627</v>
      </c>
      <c r="AY90" s="84">
        <f t="shared" ca="1" si="33"/>
        <v>-52142.589836222542</v>
      </c>
      <c r="AZ90" s="84">
        <f t="shared" ca="1" si="33"/>
        <v>230.89606722802273</v>
      </c>
      <c r="BA90" s="84">
        <f t="shared" ca="1" si="33"/>
        <v>79138.848185714247</v>
      </c>
      <c r="BB90" s="84">
        <f t="shared" ca="1" si="33"/>
        <v>98974.003200000065</v>
      </c>
      <c r="BC90" s="85">
        <f t="shared" ca="1" si="33"/>
        <v>91898.681051971973</v>
      </c>
      <c r="BD90" s="85">
        <f t="shared" ca="1" si="33"/>
        <v>231242.46151167134</v>
      </c>
      <c r="BE90" s="85">
        <f t="shared" ca="1" si="33"/>
        <v>139873.34644052802</v>
      </c>
      <c r="BF90" s="85">
        <f t="shared" ca="1" si="33"/>
        <v>294778.25927371666</v>
      </c>
      <c r="BG90" s="85">
        <f t="shared" ca="1" si="33"/>
        <v>757792.74827788782</v>
      </c>
    </row>
    <row r="91" spans="1:59" ht="16.149999999999999" customHeight="1" x14ac:dyDescent="0.3">
      <c r="B91" s="3" t="s">
        <v>65</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3"/>
      <c r="BD91" s="53"/>
      <c r="BE91" s="53"/>
      <c r="BF91" s="53"/>
      <c r="BG91" s="53"/>
    </row>
    <row r="92" spans="1:59" ht="16.149999999999999" customHeight="1" x14ac:dyDescent="0.3">
      <c r="A92" s="310" t="s">
        <v>137</v>
      </c>
      <c r="B92" s="56" t="s">
        <v>66</v>
      </c>
      <c r="C92" s="52">
        <f ca="1">OFFSET(BS!$B51,0,COLUMN(C$68)-COLUMN($B$68),1,1)-OFFSET(BS!$B51,0,COLUMN(C$68)-COLUMN($B$68)+1,1,1)-C74</f>
        <v>0</v>
      </c>
      <c r="D92" s="52">
        <f ca="1">OFFSET(BS!$B51,0,COLUMN(D$68)-COLUMN($B$68),1,1)-OFFSET(BS!$B51,0,COLUMN(D$68)-COLUMN($B$68)+1,1,1)-D74</f>
        <v>0</v>
      </c>
      <c r="E92" s="52">
        <f ca="1">OFFSET(BS!$B51,0,COLUMN(E$68)-COLUMN($B$68),1,1)-OFFSET(BS!$B51,0,COLUMN(E$68)-COLUMN($B$68)+1,1,1)-E74</f>
        <v>0</v>
      </c>
      <c r="F92" s="52">
        <f ca="1">OFFSET(BS!$B51,0,COLUMN(F$68)-COLUMN($B$68),1,1)-OFFSET(BS!$B51,0,COLUMN(F$68)-COLUMN($B$68)+1,1,1)-F74</f>
        <v>0</v>
      </c>
      <c r="G92" s="52">
        <f ca="1">OFFSET(BS!$B51,0,COLUMN(G$68)-COLUMN($B$68),1,1)-OFFSET(BS!$B51,0,COLUMN(G$68)-COLUMN($B$68)+1,1,1)-G74</f>
        <v>0</v>
      </c>
      <c r="H92" s="52">
        <f ca="1">OFFSET(BS!$B51,0,COLUMN(H$68)-COLUMN($B$68),1,1)-OFFSET(BS!$B51,0,COLUMN(H$68)-COLUMN($B$68)+1,1,1)-H74</f>
        <v>0</v>
      </c>
      <c r="I92" s="52">
        <f ca="1">OFFSET(BS!$B51,0,COLUMN(I$68)-COLUMN($B$68),1,1)-OFFSET(BS!$B51,0,COLUMN(I$68)-COLUMN($B$68)+1,1,1)-I74</f>
        <v>0</v>
      </c>
      <c r="J92" s="52">
        <f ca="1">OFFSET(BS!$B51,0,COLUMN(J$68)-COLUMN($B$68),1,1)-OFFSET(BS!$B51,0,COLUMN(J$68)-COLUMN($B$68)+1,1,1)-J74</f>
        <v>0</v>
      </c>
      <c r="K92" s="52">
        <f ca="1">OFFSET(BS!$B51,0,COLUMN(K$68)-COLUMN($B$68),1,1)-OFFSET(BS!$B51,0,COLUMN(K$68)-COLUMN($B$68)+1,1,1)-K74</f>
        <v>0</v>
      </c>
      <c r="L92" s="52">
        <f ca="1">OFFSET(BS!$B51,0,COLUMN(L$68)-COLUMN($B$68),1,1)-OFFSET(BS!$B51,0,COLUMN(L$68)-COLUMN($B$68)+1,1,1)-L74</f>
        <v>0</v>
      </c>
      <c r="M92" s="52">
        <f ca="1">OFFSET(BS!$B51,0,COLUMN(M$68)-COLUMN($B$68),1,1)-OFFSET(BS!$B51,0,COLUMN(M$68)-COLUMN($B$68)+1,1,1)-M74</f>
        <v>0</v>
      </c>
      <c r="N92" s="52">
        <f ca="1">OFFSET(BS!$B51,0,COLUMN(N$68)-COLUMN($B$68),1,1)-OFFSET(BS!$B51,0,COLUMN(N$68)-COLUMN($B$68)+1,1,1)-N74</f>
        <v>0</v>
      </c>
      <c r="O92" s="52">
        <f ca="1">OFFSET(BS!$B51,0,COLUMN(O$68)-COLUMN($B$68),1,1)-OFFSET(BS!$B51,0,COLUMN(O$68)-COLUMN($B$68)+1,1,1)-O74</f>
        <v>0</v>
      </c>
      <c r="P92" s="52">
        <f ca="1">OFFSET(BS!$B51,0,COLUMN(P$68)-COLUMN($B$68),1,1)-OFFSET(BS!$B51,0,COLUMN(P$68)-COLUMN($B$68)+1,1,1)-P74</f>
        <v>0</v>
      </c>
      <c r="Q92" s="52">
        <f ca="1">OFFSET(BS!$B51,0,COLUMN(Q$68)-COLUMN($B$68),1,1)-OFFSET(BS!$B51,0,COLUMN(Q$68)-COLUMN($B$68)+1,1,1)-Q74</f>
        <v>0</v>
      </c>
      <c r="R92" s="52">
        <f ca="1">OFFSET(BS!$B51,0,COLUMN(R$68)-COLUMN($B$68),1,1)-OFFSET(BS!$B51,0,COLUMN(R$68)-COLUMN($B$68)+1,1,1)-R74</f>
        <v>0</v>
      </c>
      <c r="S92" s="52">
        <f ca="1">OFFSET(BS!$B51,0,COLUMN(S$68)-COLUMN($B$68),1,1)-OFFSET(BS!$B51,0,COLUMN(S$68)-COLUMN($B$68)+1,1,1)-S74</f>
        <v>0</v>
      </c>
      <c r="T92" s="52">
        <f ca="1">OFFSET(BS!$B51,0,COLUMN(T$68)-COLUMN($B$68),1,1)-OFFSET(BS!$B51,0,COLUMN(T$68)-COLUMN($B$68)+1,1,1)-T74</f>
        <v>0</v>
      </c>
      <c r="U92" s="52">
        <f ca="1">OFFSET(BS!$B51,0,COLUMN(U$68)-COLUMN($B$68),1,1)-OFFSET(BS!$B51,0,COLUMN(U$68)-COLUMN($B$68)+1,1,1)-U74</f>
        <v>0</v>
      </c>
      <c r="V92" s="52">
        <f ca="1">OFFSET(BS!$B51,0,COLUMN(V$68)-COLUMN($B$68),1,1)-OFFSET(BS!$B51,0,COLUMN(V$68)-COLUMN($B$68)+1,1,1)-V74</f>
        <v>0</v>
      </c>
      <c r="W92" s="52">
        <f ca="1">OFFSET(BS!$B51,0,COLUMN(W$68)-COLUMN($B$68),1,1)-OFFSET(BS!$B51,0,COLUMN(W$68)-COLUMN($B$68)+1,1,1)-W74</f>
        <v>0</v>
      </c>
      <c r="X92" s="52">
        <f ca="1">OFFSET(BS!$B51,0,COLUMN(X$68)-COLUMN($B$68),1,1)-OFFSET(BS!$B51,0,COLUMN(X$68)-COLUMN($B$68)+1,1,1)-X74</f>
        <v>0</v>
      </c>
      <c r="Y92" s="52">
        <f ca="1">OFFSET(BS!$B51,0,COLUMN(Y$68)-COLUMN($B$68),1,1)-OFFSET(BS!$B51,0,COLUMN(Y$68)-COLUMN($B$68)+1,1,1)-Y74</f>
        <v>0</v>
      </c>
      <c r="Z92" s="52">
        <f ca="1">OFFSET(BS!$B51,0,COLUMN(Z$68)-COLUMN($B$68),1,1)-OFFSET(BS!$B51,0,COLUMN(Z$68)-COLUMN($B$68)+1,1,1)-Z74</f>
        <v>0</v>
      </c>
      <c r="AA92" s="52">
        <f ca="1">OFFSET(BS!$B51,0,COLUMN(AA$68)-COLUMN($B$68),1,1)-OFFSET(BS!$B51,0,COLUMN(AA$68)-COLUMN($B$68)+1,1,1)-AA74</f>
        <v>0</v>
      </c>
      <c r="AB92" s="52">
        <f ca="1">OFFSET(BS!$B51,0,COLUMN(AB$68)-COLUMN($B$68),1,1)-OFFSET(BS!$B51,0,COLUMN(AB$68)-COLUMN($B$68)+1,1,1)-AB74</f>
        <v>0</v>
      </c>
      <c r="AC92" s="52">
        <f ca="1">OFFSET(BS!$B51,0,COLUMN(AC$68)-COLUMN($B$68),1,1)-OFFSET(BS!$B51,0,COLUMN(AC$68)-COLUMN($B$68)+1,1,1)-AC74</f>
        <v>0</v>
      </c>
      <c r="AD92" s="52">
        <f ca="1">OFFSET(BS!$B51,0,COLUMN(AD$68)-COLUMN($B$68),1,1)-OFFSET(BS!$B51,0,COLUMN(AD$68)-COLUMN($B$68)+1,1,1)-AD74</f>
        <v>0</v>
      </c>
      <c r="AE92" s="52">
        <f ca="1">OFFSET(BS!$B51,0,COLUMN(AE$68)-COLUMN($B$68),1,1)-OFFSET(BS!$B51,0,COLUMN(AE$68)-COLUMN($B$68)+1,1,1)-AE74</f>
        <v>0</v>
      </c>
      <c r="AF92" s="52">
        <f ca="1">OFFSET(BS!$B51,0,COLUMN(AF$68)-COLUMN($B$68),1,1)-OFFSET(BS!$B51,0,COLUMN(AF$68)-COLUMN($B$68)+1,1,1)-AF74</f>
        <v>0</v>
      </c>
      <c r="AG92" s="52">
        <f ca="1">OFFSET(BS!$B51,0,COLUMN(AG$68)-COLUMN($B$68),1,1)-OFFSET(BS!$B51,0,COLUMN(AG$68)-COLUMN($B$68)+1,1,1)-AG74</f>
        <v>0</v>
      </c>
      <c r="AH92" s="52">
        <f ca="1">OFFSET(BS!$B51,0,COLUMN(AH$68)-COLUMN($B$68),1,1)-OFFSET(BS!$B51,0,COLUMN(AH$68)-COLUMN($B$68)+1,1,1)-AH74</f>
        <v>0</v>
      </c>
      <c r="AI92" s="52">
        <f ca="1">OFFSET(BS!$B51,0,COLUMN(AI$68)-COLUMN($B$68),1,1)-OFFSET(BS!$B51,0,COLUMN(AI$68)-COLUMN($B$68)+1,1,1)-AI74</f>
        <v>0</v>
      </c>
      <c r="AJ92" s="52">
        <f ca="1">OFFSET(BS!$B51,0,COLUMN(AJ$68)-COLUMN($B$68),1,1)-OFFSET(BS!$B51,0,COLUMN(AJ$68)-COLUMN($B$68)+1,1,1)-AJ74</f>
        <v>0</v>
      </c>
      <c r="AK92" s="52">
        <f ca="1">OFFSET(BS!$B51,0,COLUMN(AK$68)-COLUMN($B$68),1,1)-OFFSET(BS!$B51,0,COLUMN(AK$68)-COLUMN($B$68)+1,1,1)-AK74</f>
        <v>0</v>
      </c>
      <c r="AL92" s="52">
        <f ca="1">OFFSET(BS!$B51,0,COLUMN(AL$68)-COLUMN($B$68),1,1)-OFFSET(BS!$B51,0,COLUMN(AL$68)-COLUMN($B$68)+1,1,1)-AL74</f>
        <v>0</v>
      </c>
      <c r="AM92" s="52">
        <f ca="1">OFFSET(BS!$B51,0,COLUMN(AM$68)-COLUMN($B$68),1,1)-OFFSET(BS!$B51,0,COLUMN(AM$68)-COLUMN($B$68)+1,1,1)-AM74</f>
        <v>0</v>
      </c>
      <c r="AN92" s="52">
        <f ca="1">OFFSET(BS!$B51,0,COLUMN(AN$68)-COLUMN($B$68),1,1)-OFFSET(BS!$B51,0,COLUMN(AN$68)-COLUMN($B$68)+1,1,1)-AN74</f>
        <v>0</v>
      </c>
      <c r="AO92" s="52">
        <f ca="1">OFFSET(BS!$B51,0,COLUMN(AO$68)-COLUMN($B$68),1,1)-OFFSET(BS!$B51,0,COLUMN(AO$68)-COLUMN($B$68)+1,1,1)-AO74</f>
        <v>0</v>
      </c>
      <c r="AP92" s="52">
        <f ca="1">OFFSET(BS!$B51,0,COLUMN(AP$68)-COLUMN($B$68),1,1)-OFFSET(BS!$B51,0,COLUMN(AP$68)-COLUMN($B$68)+1,1,1)-AP74</f>
        <v>0</v>
      </c>
      <c r="AQ92" s="52">
        <f ca="1">OFFSET(BS!$B51,0,COLUMN(AQ$68)-COLUMN($B$68),1,1)-OFFSET(BS!$B51,0,COLUMN(AQ$68)-COLUMN($B$68)+1,1,1)-AQ74</f>
        <v>0</v>
      </c>
      <c r="AR92" s="52">
        <f ca="1">OFFSET(BS!$B51,0,COLUMN(AR$68)-COLUMN($B$68),1,1)-OFFSET(BS!$B51,0,COLUMN(AR$68)-COLUMN($B$68)+1,1,1)-AR74</f>
        <v>0</v>
      </c>
      <c r="AS92" s="52">
        <f ca="1">OFFSET(BS!$B51,0,COLUMN(AS$68)-COLUMN($B$68),1,1)-OFFSET(BS!$B51,0,COLUMN(AS$68)-COLUMN($B$68)+1,1,1)-AS74</f>
        <v>0</v>
      </c>
      <c r="AT92" s="52">
        <f ca="1">OFFSET(BS!$B51,0,COLUMN(AT$68)-COLUMN($B$68),1,1)-OFFSET(BS!$B51,0,COLUMN(AT$68)-COLUMN($B$68)+1,1,1)-AT74</f>
        <v>0</v>
      </c>
      <c r="AU92" s="52">
        <f ca="1">OFFSET(BS!$B51,0,COLUMN(AU$68)-COLUMN($B$68),1,1)-OFFSET(BS!$B51,0,COLUMN(AU$68)-COLUMN($B$68)+1,1,1)-AU74</f>
        <v>0</v>
      </c>
      <c r="AV92" s="52">
        <f ca="1">OFFSET(BS!$B51,0,COLUMN(AV$68)-COLUMN($B$68),1,1)-OFFSET(BS!$B51,0,COLUMN(AV$68)-COLUMN($B$68)+1,1,1)-AV74</f>
        <v>0</v>
      </c>
      <c r="AW92" s="52">
        <f ca="1">OFFSET(BS!$B51,0,COLUMN(AW$68)-COLUMN($B$68),1,1)-OFFSET(BS!$B51,0,COLUMN(AW$68)-COLUMN($B$68)+1,1,1)-AW74</f>
        <v>0</v>
      </c>
      <c r="AX92" s="52">
        <f ca="1">OFFSET(BS!$B51,0,COLUMN(AX$68)-COLUMN($B$68),1,1)-OFFSET(BS!$B51,0,COLUMN(AX$68)-COLUMN($B$68)+1,1,1)-AX74</f>
        <v>0</v>
      </c>
      <c r="AY92" s="52">
        <f ca="1">OFFSET(BS!$B51,0,COLUMN(AY$68)-COLUMN($B$68),1,1)-OFFSET(BS!$B51,0,COLUMN(AY$68)-COLUMN($B$68)+1,1,1)-AY74</f>
        <v>-250000</v>
      </c>
      <c r="AZ92" s="52">
        <f ca="1">OFFSET(BS!$B51,0,COLUMN(AZ$68)-COLUMN($B$68),1,1)-OFFSET(BS!$B51,0,COLUMN(AZ$68)-COLUMN($B$68)+1,1,1)-AZ74</f>
        <v>0</v>
      </c>
      <c r="BA92" s="52">
        <f ca="1">OFFSET(BS!$B51,0,COLUMN(BA$68)-COLUMN($B$68),1,1)-OFFSET(BS!$B51,0,COLUMN(BA$68)-COLUMN($B$68)+1,1,1)-BA74</f>
        <v>0</v>
      </c>
      <c r="BB92" s="52">
        <f ca="1">OFFSET(BS!$B51,0,COLUMN(BB$68)-COLUMN($B$68),1,1)-OFFSET(BS!$B51,0,COLUMN(BB$68)-COLUMN($B$68)+1,1,1)-BB74</f>
        <v>0</v>
      </c>
      <c r="BC92" s="53">
        <f ca="1">SUM(OFFSET($B92,0,1,1,Assumptions!$C$8))</f>
        <v>0</v>
      </c>
      <c r="BD92" s="53">
        <f ca="1">SUM(OFFSET($B92,0,1+Assumptions!$C$8,1,SUM(Assumptions!$C$9)))</f>
        <v>0</v>
      </c>
      <c r="BE92" s="53">
        <f ca="1">SUM(OFFSET($B92,0,1+SUM(Assumptions!$C$8:$C$9),1,SUM(Assumptions!$C$10)))</f>
        <v>0</v>
      </c>
      <c r="BF92" s="53">
        <f ca="1">SUM(OFFSET($B92,0,1+SUM(Assumptions!$C$8:$C$10),1,SUM(Assumptions!$C$11)))</f>
        <v>-250000</v>
      </c>
      <c r="BG92" s="53">
        <f t="shared" ref="BG92:BG94" ca="1" si="34">SUM(BC92:BF92)</f>
        <v>-250000</v>
      </c>
    </row>
    <row r="93" spans="1:59" ht="16.149999999999999" customHeight="1" x14ac:dyDescent="0.3">
      <c r="A93" s="310" t="s">
        <v>138</v>
      </c>
      <c r="B93" s="56" t="s">
        <v>139</v>
      </c>
      <c r="C93" s="52">
        <f ca="1">OFFSET(BS!$B52,0,COLUMN(C$68)-COLUMN($B$68),1,1)-OFFSET(BS!$B52,0,COLUMN(C$68)-COLUMN($B$68)+1,1,1)-C75</f>
        <v>0</v>
      </c>
      <c r="D93" s="52">
        <f ca="1">OFFSET(BS!$B52,0,COLUMN(D$68)-COLUMN($B$68),1,1)-OFFSET(BS!$B52,0,COLUMN(D$68)-COLUMN($B$68)+1,1,1)-D75</f>
        <v>0</v>
      </c>
      <c r="E93" s="52">
        <f ca="1">OFFSET(BS!$B52,0,COLUMN(E$68)-COLUMN($B$68),1,1)-OFFSET(BS!$B52,0,COLUMN(E$68)-COLUMN($B$68)+1,1,1)-E75</f>
        <v>0</v>
      </c>
      <c r="F93" s="52">
        <f ca="1">OFFSET(BS!$B52,0,COLUMN(F$68)-COLUMN($B$68),1,1)-OFFSET(BS!$B52,0,COLUMN(F$68)-COLUMN($B$68)+1,1,1)-F75</f>
        <v>0</v>
      </c>
      <c r="G93" s="52">
        <f ca="1">OFFSET(BS!$B52,0,COLUMN(G$68)-COLUMN($B$68),1,1)-OFFSET(BS!$B52,0,COLUMN(G$68)-COLUMN($B$68)+1,1,1)-G75</f>
        <v>0</v>
      </c>
      <c r="H93" s="52">
        <f ca="1">OFFSET(BS!$B52,0,COLUMN(H$68)-COLUMN($B$68),1,1)-OFFSET(BS!$B52,0,COLUMN(H$68)-COLUMN($B$68)+1,1,1)-H75</f>
        <v>0</v>
      </c>
      <c r="I93" s="52">
        <f ca="1">OFFSET(BS!$B52,0,COLUMN(I$68)-COLUMN($B$68),1,1)-OFFSET(BS!$B52,0,COLUMN(I$68)-COLUMN($B$68)+1,1,1)-I75</f>
        <v>0</v>
      </c>
      <c r="J93" s="52">
        <f ca="1">OFFSET(BS!$B52,0,COLUMN(J$68)-COLUMN($B$68),1,1)-OFFSET(BS!$B52,0,COLUMN(J$68)-COLUMN($B$68)+1,1,1)-J75</f>
        <v>0</v>
      </c>
      <c r="K93" s="52">
        <f ca="1">OFFSET(BS!$B52,0,COLUMN(K$68)-COLUMN($B$68),1,1)-OFFSET(BS!$B52,0,COLUMN(K$68)-COLUMN($B$68)+1,1,1)-K75</f>
        <v>0</v>
      </c>
      <c r="L93" s="52">
        <f ca="1">OFFSET(BS!$B52,0,COLUMN(L$68)-COLUMN($B$68),1,1)-OFFSET(BS!$B52,0,COLUMN(L$68)-COLUMN($B$68)+1,1,1)-L75</f>
        <v>0</v>
      </c>
      <c r="M93" s="52">
        <f ca="1">OFFSET(BS!$B52,0,COLUMN(M$68)-COLUMN($B$68),1,1)-OFFSET(BS!$B52,0,COLUMN(M$68)-COLUMN($B$68)+1,1,1)-M75</f>
        <v>0</v>
      </c>
      <c r="N93" s="52">
        <f ca="1">OFFSET(BS!$B52,0,COLUMN(N$68)-COLUMN($B$68),1,1)-OFFSET(BS!$B52,0,COLUMN(N$68)-COLUMN($B$68)+1,1,1)-N75</f>
        <v>0</v>
      </c>
      <c r="O93" s="52">
        <f ca="1">OFFSET(BS!$B52,0,COLUMN(O$68)-COLUMN($B$68),1,1)-OFFSET(BS!$B52,0,COLUMN(O$68)-COLUMN($B$68)+1,1,1)-O75</f>
        <v>0</v>
      </c>
      <c r="P93" s="52">
        <f ca="1">OFFSET(BS!$B52,0,COLUMN(P$68)-COLUMN($B$68),1,1)-OFFSET(BS!$B52,0,COLUMN(P$68)-COLUMN($B$68)+1,1,1)-P75</f>
        <v>0</v>
      </c>
      <c r="Q93" s="52">
        <f ca="1">OFFSET(BS!$B52,0,COLUMN(Q$68)-COLUMN($B$68),1,1)-OFFSET(BS!$B52,0,COLUMN(Q$68)-COLUMN($B$68)+1,1,1)-Q75</f>
        <v>0</v>
      </c>
      <c r="R93" s="52">
        <f ca="1">OFFSET(BS!$B52,0,COLUMN(R$68)-COLUMN($B$68),1,1)-OFFSET(BS!$B52,0,COLUMN(R$68)-COLUMN($B$68)+1,1,1)-R75</f>
        <v>0</v>
      </c>
      <c r="S93" s="52">
        <f ca="1">OFFSET(BS!$B52,0,COLUMN(S$68)-COLUMN($B$68),1,1)-OFFSET(BS!$B52,0,COLUMN(S$68)-COLUMN($B$68)+1,1,1)-S75</f>
        <v>0</v>
      </c>
      <c r="T93" s="52">
        <f ca="1">OFFSET(BS!$B52,0,COLUMN(T$68)-COLUMN($B$68),1,1)-OFFSET(BS!$B52,0,COLUMN(T$68)-COLUMN($B$68)+1,1,1)-T75</f>
        <v>0</v>
      </c>
      <c r="U93" s="52">
        <f ca="1">OFFSET(BS!$B52,0,COLUMN(U$68)-COLUMN($B$68),1,1)-OFFSET(BS!$B52,0,COLUMN(U$68)-COLUMN($B$68)+1,1,1)-U75</f>
        <v>0</v>
      </c>
      <c r="V93" s="52">
        <f ca="1">OFFSET(BS!$B52,0,COLUMN(V$68)-COLUMN($B$68),1,1)-OFFSET(BS!$B52,0,COLUMN(V$68)-COLUMN($B$68)+1,1,1)-V75</f>
        <v>0</v>
      </c>
      <c r="W93" s="52">
        <f ca="1">OFFSET(BS!$B52,0,COLUMN(W$68)-COLUMN($B$68),1,1)-OFFSET(BS!$B52,0,COLUMN(W$68)-COLUMN($B$68)+1,1,1)-W75</f>
        <v>0</v>
      </c>
      <c r="X93" s="52">
        <f ca="1">OFFSET(BS!$B52,0,COLUMN(X$68)-COLUMN($B$68),1,1)-OFFSET(BS!$B52,0,COLUMN(X$68)-COLUMN($B$68)+1,1,1)-X75</f>
        <v>0</v>
      </c>
      <c r="Y93" s="52">
        <f ca="1">OFFSET(BS!$B52,0,COLUMN(Y$68)-COLUMN($B$68),1,1)-OFFSET(BS!$B52,0,COLUMN(Y$68)-COLUMN($B$68)+1,1,1)-Y75</f>
        <v>0</v>
      </c>
      <c r="Z93" s="52">
        <f ca="1">OFFSET(BS!$B52,0,COLUMN(Z$68)-COLUMN($B$68),1,1)-OFFSET(BS!$B52,0,COLUMN(Z$68)-COLUMN($B$68)+1,1,1)-Z75</f>
        <v>0</v>
      </c>
      <c r="AA93" s="52">
        <f ca="1">OFFSET(BS!$B52,0,COLUMN(AA$68)-COLUMN($B$68),1,1)-OFFSET(BS!$B52,0,COLUMN(AA$68)-COLUMN($B$68)+1,1,1)-AA75</f>
        <v>0</v>
      </c>
      <c r="AB93" s="52">
        <f ca="1">OFFSET(BS!$B52,0,COLUMN(AB$68)-COLUMN($B$68),1,1)-OFFSET(BS!$B52,0,COLUMN(AB$68)-COLUMN($B$68)+1,1,1)-AB75</f>
        <v>0</v>
      </c>
      <c r="AC93" s="52">
        <f ca="1">OFFSET(BS!$B52,0,COLUMN(AC$68)-COLUMN($B$68),1,1)-OFFSET(BS!$B52,0,COLUMN(AC$68)-COLUMN($B$68)+1,1,1)-AC75</f>
        <v>0</v>
      </c>
      <c r="AD93" s="52">
        <f ca="1">OFFSET(BS!$B52,0,COLUMN(AD$68)-COLUMN($B$68),1,1)-OFFSET(BS!$B52,0,COLUMN(AD$68)-COLUMN($B$68)+1,1,1)-AD75</f>
        <v>0</v>
      </c>
      <c r="AE93" s="52">
        <f ca="1">OFFSET(BS!$B52,0,COLUMN(AE$68)-COLUMN($B$68),1,1)-OFFSET(BS!$B52,0,COLUMN(AE$68)-COLUMN($B$68)+1,1,1)-AE75</f>
        <v>0</v>
      </c>
      <c r="AF93" s="52">
        <f ca="1">OFFSET(BS!$B52,0,COLUMN(AF$68)-COLUMN($B$68),1,1)-OFFSET(BS!$B52,0,COLUMN(AF$68)-COLUMN($B$68)+1,1,1)-AF75</f>
        <v>0</v>
      </c>
      <c r="AG93" s="52">
        <f ca="1">OFFSET(BS!$B52,0,COLUMN(AG$68)-COLUMN($B$68),1,1)-OFFSET(BS!$B52,0,COLUMN(AG$68)-COLUMN($B$68)+1,1,1)-AG75</f>
        <v>0</v>
      </c>
      <c r="AH93" s="52">
        <f ca="1">OFFSET(BS!$B52,0,COLUMN(AH$68)-COLUMN($B$68),1,1)-OFFSET(BS!$B52,0,COLUMN(AH$68)-COLUMN($B$68)+1,1,1)-AH75</f>
        <v>0</v>
      </c>
      <c r="AI93" s="52">
        <f ca="1">OFFSET(BS!$B52,0,COLUMN(AI$68)-COLUMN($B$68),1,1)-OFFSET(BS!$B52,0,COLUMN(AI$68)-COLUMN($B$68)+1,1,1)-AI75</f>
        <v>0</v>
      </c>
      <c r="AJ93" s="52">
        <f ca="1">OFFSET(BS!$B52,0,COLUMN(AJ$68)-COLUMN($B$68),1,1)-OFFSET(BS!$B52,0,COLUMN(AJ$68)-COLUMN($B$68)+1,1,1)-AJ75</f>
        <v>0</v>
      </c>
      <c r="AK93" s="52">
        <f ca="1">OFFSET(BS!$B52,0,COLUMN(AK$68)-COLUMN($B$68),1,1)-OFFSET(BS!$B52,0,COLUMN(AK$68)-COLUMN($B$68)+1,1,1)-AK75</f>
        <v>0</v>
      </c>
      <c r="AL93" s="52">
        <f ca="1">OFFSET(BS!$B52,0,COLUMN(AL$68)-COLUMN($B$68),1,1)-OFFSET(BS!$B52,0,COLUMN(AL$68)-COLUMN($B$68)+1,1,1)-AL75</f>
        <v>0</v>
      </c>
      <c r="AM93" s="52">
        <f ca="1">OFFSET(BS!$B52,0,COLUMN(AM$68)-COLUMN($B$68),1,1)-OFFSET(BS!$B52,0,COLUMN(AM$68)-COLUMN($B$68)+1,1,1)-AM75</f>
        <v>0</v>
      </c>
      <c r="AN93" s="52">
        <f ca="1">OFFSET(BS!$B52,0,COLUMN(AN$68)-COLUMN($B$68),1,1)-OFFSET(BS!$B52,0,COLUMN(AN$68)-COLUMN($B$68)+1,1,1)-AN75</f>
        <v>0</v>
      </c>
      <c r="AO93" s="52">
        <f ca="1">OFFSET(BS!$B52,0,COLUMN(AO$68)-COLUMN($B$68),1,1)-OFFSET(BS!$B52,0,COLUMN(AO$68)-COLUMN($B$68)+1,1,1)-AO75</f>
        <v>0</v>
      </c>
      <c r="AP93" s="52">
        <f ca="1">OFFSET(BS!$B52,0,COLUMN(AP$68)-COLUMN($B$68),1,1)-OFFSET(BS!$B52,0,COLUMN(AP$68)-COLUMN($B$68)+1,1,1)-AP75</f>
        <v>0</v>
      </c>
      <c r="AQ93" s="52">
        <f ca="1">OFFSET(BS!$B52,0,COLUMN(AQ$68)-COLUMN($B$68),1,1)-OFFSET(BS!$B52,0,COLUMN(AQ$68)-COLUMN($B$68)+1,1,1)-AQ75</f>
        <v>0</v>
      </c>
      <c r="AR93" s="52">
        <f ca="1">OFFSET(BS!$B52,0,COLUMN(AR$68)-COLUMN($B$68),1,1)-OFFSET(BS!$B52,0,COLUMN(AR$68)-COLUMN($B$68)+1,1,1)-AR75</f>
        <v>0</v>
      </c>
      <c r="AS93" s="52">
        <f ca="1">OFFSET(BS!$B52,0,COLUMN(AS$68)-COLUMN($B$68),1,1)-OFFSET(BS!$B52,0,COLUMN(AS$68)-COLUMN($B$68)+1,1,1)-AS75</f>
        <v>0</v>
      </c>
      <c r="AT93" s="52">
        <f ca="1">OFFSET(BS!$B52,0,COLUMN(AT$68)-COLUMN($B$68),1,1)-OFFSET(BS!$B52,0,COLUMN(AT$68)-COLUMN($B$68)+1,1,1)-AT75</f>
        <v>0</v>
      </c>
      <c r="AU93" s="52">
        <f ca="1">OFFSET(BS!$B52,0,COLUMN(AU$68)-COLUMN($B$68),1,1)-OFFSET(BS!$B52,0,COLUMN(AU$68)-COLUMN($B$68)+1,1,1)-AU75</f>
        <v>0</v>
      </c>
      <c r="AV93" s="52">
        <f ca="1">OFFSET(BS!$B52,0,COLUMN(AV$68)-COLUMN($B$68),1,1)-OFFSET(BS!$B52,0,COLUMN(AV$68)-COLUMN($B$68)+1,1,1)-AV75</f>
        <v>0</v>
      </c>
      <c r="AW93" s="52">
        <f ca="1">OFFSET(BS!$B52,0,COLUMN(AW$68)-COLUMN($B$68),1,1)-OFFSET(BS!$B52,0,COLUMN(AW$68)-COLUMN($B$68)+1,1,1)-AW75</f>
        <v>0</v>
      </c>
      <c r="AX93" s="52">
        <f ca="1">OFFSET(BS!$B52,0,COLUMN(AX$68)-COLUMN($B$68),1,1)-OFFSET(BS!$B52,0,COLUMN(AX$68)-COLUMN($B$68)+1,1,1)-AX75</f>
        <v>0</v>
      </c>
      <c r="AY93" s="52">
        <f ca="1">OFFSET(BS!$B52,0,COLUMN(AY$68)-COLUMN($B$68),1,1)-OFFSET(BS!$B52,0,COLUMN(AY$68)-COLUMN($B$68)+1,1,1)-AY75</f>
        <v>0</v>
      </c>
      <c r="AZ93" s="52">
        <f ca="1">OFFSET(BS!$B52,0,COLUMN(AZ$68)-COLUMN($B$68),1,1)-OFFSET(BS!$B52,0,COLUMN(AZ$68)-COLUMN($B$68)+1,1,1)-AZ75</f>
        <v>0</v>
      </c>
      <c r="BA93" s="52">
        <f ca="1">OFFSET(BS!$B52,0,COLUMN(BA$68)-COLUMN($B$68),1,1)-OFFSET(BS!$B52,0,COLUMN(BA$68)-COLUMN($B$68)+1,1,1)-BA75</f>
        <v>0</v>
      </c>
      <c r="BB93" s="52">
        <f ca="1">OFFSET(BS!$B52,0,COLUMN(BB$68)-COLUMN($B$68),1,1)-OFFSET(BS!$B52,0,COLUMN(BB$68)-COLUMN($B$68)+1,1,1)-BB75</f>
        <v>0</v>
      </c>
      <c r="BC93" s="53">
        <f ca="1">SUM(OFFSET($B93,0,1,1,Assumptions!$C$8))</f>
        <v>0</v>
      </c>
      <c r="BD93" s="53">
        <f ca="1">SUM(OFFSET($B93,0,1+Assumptions!$C$8,1,SUM(Assumptions!$C$9)))</f>
        <v>0</v>
      </c>
      <c r="BE93" s="53">
        <f ca="1">SUM(OFFSET($B93,0,1+SUM(Assumptions!$C$8:$C$9),1,SUM(Assumptions!$C$10)))</f>
        <v>0</v>
      </c>
      <c r="BF93" s="53">
        <f ca="1">SUM(OFFSET($B93,0,1+SUM(Assumptions!$C$8:$C$10),1,SUM(Assumptions!$C$11)))</f>
        <v>0</v>
      </c>
      <c r="BG93" s="53">
        <f t="shared" ca="1" si="34"/>
        <v>0</v>
      </c>
    </row>
    <row r="94" spans="1:59" ht="16.149999999999999" customHeight="1" x14ac:dyDescent="0.3">
      <c r="A94" s="310" t="s">
        <v>140</v>
      </c>
      <c r="B94" s="56" t="s">
        <v>141</v>
      </c>
      <c r="C94" s="52">
        <f ca="1">OFFSET(BS!$B53,0,COLUMN(C$68)-COLUMN($B$68),1,1)-OFFSET(BS!$B53,0,COLUMN(C$68)-COLUMN($B$68)+1,1,1)</f>
        <v>0</v>
      </c>
      <c r="D94" s="52">
        <f ca="1">OFFSET(BS!$B53,0,COLUMN(D$68)-COLUMN($B$68),1,1)-OFFSET(BS!$B53,0,COLUMN(D$68)-COLUMN($B$68)+1,1,1)</f>
        <v>0</v>
      </c>
      <c r="E94" s="52">
        <f ca="1">OFFSET(BS!$B53,0,COLUMN(E$68)-COLUMN($B$68),1,1)-OFFSET(BS!$B53,0,COLUMN(E$68)-COLUMN($B$68)+1,1,1)</f>
        <v>0</v>
      </c>
      <c r="F94" s="52">
        <f ca="1">OFFSET(BS!$B53,0,COLUMN(F$68)-COLUMN($B$68),1,1)-OFFSET(BS!$B53,0,COLUMN(F$68)-COLUMN($B$68)+1,1,1)</f>
        <v>0</v>
      </c>
      <c r="G94" s="52">
        <f ca="1">OFFSET(BS!$B53,0,COLUMN(G$68)-COLUMN($B$68),1,1)-OFFSET(BS!$B53,0,COLUMN(G$68)-COLUMN($B$68)+1,1,1)</f>
        <v>0</v>
      </c>
      <c r="H94" s="52">
        <f ca="1">OFFSET(BS!$B53,0,COLUMN(H$68)-COLUMN($B$68),1,1)-OFFSET(BS!$B53,0,COLUMN(H$68)-COLUMN($B$68)+1,1,1)</f>
        <v>0</v>
      </c>
      <c r="I94" s="52">
        <f ca="1">OFFSET(BS!$B53,0,COLUMN(I$68)-COLUMN($B$68),1,1)-OFFSET(BS!$B53,0,COLUMN(I$68)-COLUMN($B$68)+1,1,1)</f>
        <v>0</v>
      </c>
      <c r="J94" s="52">
        <f ca="1">OFFSET(BS!$B53,0,COLUMN(J$68)-COLUMN($B$68),1,1)-OFFSET(BS!$B53,0,COLUMN(J$68)-COLUMN($B$68)+1,1,1)</f>
        <v>0</v>
      </c>
      <c r="K94" s="52">
        <f ca="1">OFFSET(BS!$B53,0,COLUMN(K$68)-COLUMN($B$68),1,1)-OFFSET(BS!$B53,0,COLUMN(K$68)-COLUMN($B$68)+1,1,1)</f>
        <v>0</v>
      </c>
      <c r="L94" s="52">
        <f ca="1">OFFSET(BS!$B53,0,COLUMN(L$68)-COLUMN($B$68),1,1)-OFFSET(BS!$B53,0,COLUMN(L$68)-COLUMN($B$68)+1,1,1)</f>
        <v>0</v>
      </c>
      <c r="M94" s="52">
        <f ca="1">OFFSET(BS!$B53,0,COLUMN(M$68)-COLUMN($B$68),1,1)-OFFSET(BS!$B53,0,COLUMN(M$68)-COLUMN($B$68)+1,1,1)</f>
        <v>0</v>
      </c>
      <c r="N94" s="52">
        <f ca="1">OFFSET(BS!$B53,0,COLUMN(N$68)-COLUMN($B$68),1,1)-OFFSET(BS!$B53,0,COLUMN(N$68)-COLUMN($B$68)+1,1,1)</f>
        <v>0</v>
      </c>
      <c r="O94" s="52">
        <f ca="1">OFFSET(BS!$B53,0,COLUMN(O$68)-COLUMN($B$68),1,1)-OFFSET(BS!$B53,0,COLUMN(O$68)-COLUMN($B$68)+1,1,1)</f>
        <v>0</v>
      </c>
      <c r="P94" s="52">
        <f ca="1">OFFSET(BS!$B53,0,COLUMN(P$68)-COLUMN($B$68),1,1)-OFFSET(BS!$B53,0,COLUMN(P$68)-COLUMN($B$68)+1,1,1)</f>
        <v>0</v>
      </c>
      <c r="Q94" s="52">
        <f ca="1">OFFSET(BS!$B53,0,COLUMN(Q$68)-COLUMN($B$68),1,1)-OFFSET(BS!$B53,0,COLUMN(Q$68)-COLUMN($B$68)+1,1,1)</f>
        <v>0</v>
      </c>
      <c r="R94" s="52">
        <f ca="1">OFFSET(BS!$B53,0,COLUMN(R$68)-COLUMN($B$68),1,1)-OFFSET(BS!$B53,0,COLUMN(R$68)-COLUMN($B$68)+1,1,1)</f>
        <v>0</v>
      </c>
      <c r="S94" s="52">
        <f ca="1">OFFSET(BS!$B53,0,COLUMN(S$68)-COLUMN($B$68),1,1)-OFFSET(BS!$B53,0,COLUMN(S$68)-COLUMN($B$68)+1,1,1)</f>
        <v>0</v>
      </c>
      <c r="T94" s="52">
        <f ca="1">OFFSET(BS!$B53,0,COLUMN(T$68)-COLUMN($B$68),1,1)-OFFSET(BS!$B53,0,COLUMN(T$68)-COLUMN($B$68)+1,1,1)</f>
        <v>0</v>
      </c>
      <c r="U94" s="52">
        <f ca="1">OFFSET(BS!$B53,0,COLUMN(U$68)-COLUMN($B$68),1,1)-OFFSET(BS!$B53,0,COLUMN(U$68)-COLUMN($B$68)+1,1,1)</f>
        <v>0</v>
      </c>
      <c r="V94" s="52">
        <f ca="1">OFFSET(BS!$B53,0,COLUMN(V$68)-COLUMN($B$68),1,1)-OFFSET(BS!$B53,0,COLUMN(V$68)-COLUMN($B$68)+1,1,1)</f>
        <v>0</v>
      </c>
      <c r="W94" s="52">
        <f ca="1">OFFSET(BS!$B53,0,COLUMN(W$68)-COLUMN($B$68),1,1)-OFFSET(BS!$B53,0,COLUMN(W$68)-COLUMN($B$68)+1,1,1)</f>
        <v>0</v>
      </c>
      <c r="X94" s="52">
        <f ca="1">OFFSET(BS!$B53,0,COLUMN(X$68)-COLUMN($B$68),1,1)-OFFSET(BS!$B53,0,COLUMN(X$68)-COLUMN($B$68)+1,1,1)</f>
        <v>0</v>
      </c>
      <c r="Y94" s="52">
        <f ca="1">OFFSET(BS!$B53,0,COLUMN(Y$68)-COLUMN($B$68),1,1)-OFFSET(BS!$B53,0,COLUMN(Y$68)-COLUMN($B$68)+1,1,1)</f>
        <v>0</v>
      </c>
      <c r="Z94" s="52">
        <f ca="1">OFFSET(BS!$B53,0,COLUMN(Z$68)-COLUMN($B$68),1,1)-OFFSET(BS!$B53,0,COLUMN(Z$68)-COLUMN($B$68)+1,1,1)</f>
        <v>0</v>
      </c>
      <c r="AA94" s="52">
        <f ca="1">OFFSET(BS!$B53,0,COLUMN(AA$68)-COLUMN($B$68),1,1)-OFFSET(BS!$B53,0,COLUMN(AA$68)-COLUMN($B$68)+1,1,1)</f>
        <v>0</v>
      </c>
      <c r="AB94" s="52">
        <f ca="1">OFFSET(BS!$B53,0,COLUMN(AB$68)-COLUMN($B$68),1,1)-OFFSET(BS!$B53,0,COLUMN(AB$68)-COLUMN($B$68)+1,1,1)</f>
        <v>0</v>
      </c>
      <c r="AC94" s="52">
        <f ca="1">OFFSET(BS!$B53,0,COLUMN(AC$68)-COLUMN($B$68),1,1)-OFFSET(BS!$B53,0,COLUMN(AC$68)-COLUMN($B$68)+1,1,1)</f>
        <v>0</v>
      </c>
      <c r="AD94" s="52">
        <f ca="1">OFFSET(BS!$B53,0,COLUMN(AD$68)-COLUMN($B$68),1,1)-OFFSET(BS!$B53,0,COLUMN(AD$68)-COLUMN($B$68)+1,1,1)</f>
        <v>0</v>
      </c>
      <c r="AE94" s="52">
        <f ca="1">OFFSET(BS!$B53,0,COLUMN(AE$68)-COLUMN($B$68),1,1)-OFFSET(BS!$B53,0,COLUMN(AE$68)-COLUMN($B$68)+1,1,1)</f>
        <v>0</v>
      </c>
      <c r="AF94" s="52">
        <f ca="1">OFFSET(BS!$B53,0,COLUMN(AF$68)-COLUMN($B$68),1,1)-OFFSET(BS!$B53,0,COLUMN(AF$68)-COLUMN($B$68)+1,1,1)</f>
        <v>0</v>
      </c>
      <c r="AG94" s="52">
        <f ca="1">OFFSET(BS!$B53,0,COLUMN(AG$68)-COLUMN($B$68),1,1)-OFFSET(BS!$B53,0,COLUMN(AG$68)-COLUMN($B$68)+1,1,1)</f>
        <v>0</v>
      </c>
      <c r="AH94" s="52">
        <f ca="1">OFFSET(BS!$B53,0,COLUMN(AH$68)-COLUMN($B$68),1,1)-OFFSET(BS!$B53,0,COLUMN(AH$68)-COLUMN($B$68)+1,1,1)</f>
        <v>0</v>
      </c>
      <c r="AI94" s="52">
        <f ca="1">OFFSET(BS!$B53,0,COLUMN(AI$68)-COLUMN($B$68),1,1)-OFFSET(BS!$B53,0,COLUMN(AI$68)-COLUMN($B$68)+1,1,1)</f>
        <v>0</v>
      </c>
      <c r="AJ94" s="52">
        <f ca="1">OFFSET(BS!$B53,0,COLUMN(AJ$68)-COLUMN($B$68),1,1)-OFFSET(BS!$B53,0,COLUMN(AJ$68)-COLUMN($B$68)+1,1,1)</f>
        <v>0</v>
      </c>
      <c r="AK94" s="52">
        <f ca="1">OFFSET(BS!$B53,0,COLUMN(AK$68)-COLUMN($B$68),1,1)-OFFSET(BS!$B53,0,COLUMN(AK$68)-COLUMN($B$68)+1,1,1)</f>
        <v>0</v>
      </c>
      <c r="AL94" s="52">
        <f ca="1">OFFSET(BS!$B53,0,COLUMN(AL$68)-COLUMN($B$68),1,1)-OFFSET(BS!$B53,0,COLUMN(AL$68)-COLUMN($B$68)+1,1,1)</f>
        <v>0</v>
      </c>
      <c r="AM94" s="52">
        <f ca="1">OFFSET(BS!$B53,0,COLUMN(AM$68)-COLUMN($B$68),1,1)-OFFSET(BS!$B53,0,COLUMN(AM$68)-COLUMN($B$68)+1,1,1)</f>
        <v>0</v>
      </c>
      <c r="AN94" s="52">
        <f ca="1">OFFSET(BS!$B53,0,COLUMN(AN$68)-COLUMN($B$68),1,1)-OFFSET(BS!$B53,0,COLUMN(AN$68)-COLUMN($B$68)+1,1,1)</f>
        <v>0</v>
      </c>
      <c r="AO94" s="52">
        <f ca="1">OFFSET(BS!$B53,0,COLUMN(AO$68)-COLUMN($B$68),1,1)-OFFSET(BS!$B53,0,COLUMN(AO$68)-COLUMN($B$68)+1,1,1)</f>
        <v>0</v>
      </c>
      <c r="AP94" s="52">
        <f ca="1">OFFSET(BS!$B53,0,COLUMN(AP$68)-COLUMN($B$68),1,1)-OFFSET(BS!$B53,0,COLUMN(AP$68)-COLUMN($B$68)+1,1,1)</f>
        <v>0</v>
      </c>
      <c r="AQ94" s="52">
        <f ca="1">OFFSET(BS!$B53,0,COLUMN(AQ$68)-COLUMN($B$68),1,1)-OFFSET(BS!$B53,0,COLUMN(AQ$68)-COLUMN($B$68)+1,1,1)</f>
        <v>0</v>
      </c>
      <c r="AR94" s="52">
        <f ca="1">OFFSET(BS!$B53,0,COLUMN(AR$68)-COLUMN($B$68),1,1)-OFFSET(BS!$B53,0,COLUMN(AR$68)-COLUMN($B$68)+1,1,1)</f>
        <v>0</v>
      </c>
      <c r="AS94" s="52">
        <f ca="1">OFFSET(BS!$B53,0,COLUMN(AS$68)-COLUMN($B$68),1,1)-OFFSET(BS!$B53,0,COLUMN(AS$68)-COLUMN($B$68)+1,1,1)</f>
        <v>0</v>
      </c>
      <c r="AT94" s="52">
        <f ca="1">OFFSET(BS!$B53,0,COLUMN(AT$68)-COLUMN($B$68),1,1)-OFFSET(BS!$B53,0,COLUMN(AT$68)-COLUMN($B$68)+1,1,1)</f>
        <v>0</v>
      </c>
      <c r="AU94" s="52">
        <f ca="1">OFFSET(BS!$B53,0,COLUMN(AU$68)-COLUMN($B$68),1,1)-OFFSET(BS!$B53,0,COLUMN(AU$68)-COLUMN($B$68)+1,1,1)</f>
        <v>0</v>
      </c>
      <c r="AV94" s="52">
        <f ca="1">OFFSET(BS!$B53,0,COLUMN(AV$68)-COLUMN($B$68),1,1)-OFFSET(BS!$B53,0,COLUMN(AV$68)-COLUMN($B$68)+1,1,1)</f>
        <v>0</v>
      </c>
      <c r="AW94" s="52">
        <f ca="1">OFFSET(BS!$B53,0,COLUMN(AW$68)-COLUMN($B$68),1,1)-OFFSET(BS!$B53,0,COLUMN(AW$68)-COLUMN($B$68)+1,1,1)</f>
        <v>0</v>
      </c>
      <c r="AX94" s="52">
        <f ca="1">OFFSET(BS!$B53,0,COLUMN(AX$68)-COLUMN($B$68),1,1)-OFFSET(BS!$B53,0,COLUMN(AX$68)-COLUMN($B$68)+1,1,1)</f>
        <v>0</v>
      </c>
      <c r="AY94" s="52">
        <f ca="1">OFFSET(BS!$B53,0,COLUMN(AY$68)-COLUMN($B$68),1,1)-OFFSET(BS!$B53,0,COLUMN(AY$68)-COLUMN($B$68)+1,1,1)</f>
        <v>0</v>
      </c>
      <c r="AZ94" s="52">
        <f ca="1">OFFSET(BS!$B53,0,COLUMN(AZ$68)-COLUMN($B$68),1,1)-OFFSET(BS!$B53,0,COLUMN(AZ$68)-COLUMN($B$68)+1,1,1)</f>
        <v>0</v>
      </c>
      <c r="BA94" s="52">
        <f ca="1">OFFSET(BS!$B53,0,COLUMN(BA$68)-COLUMN($B$68),1,1)-OFFSET(BS!$B53,0,COLUMN(BA$68)-COLUMN($B$68)+1,1,1)</f>
        <v>0</v>
      </c>
      <c r="BB94" s="52">
        <f ca="1">OFFSET(BS!$B53,0,COLUMN(BB$68)-COLUMN($B$68),1,1)-OFFSET(BS!$B53,0,COLUMN(BB$68)-COLUMN($B$68)+1,1,1)</f>
        <v>0</v>
      </c>
      <c r="BC94" s="53">
        <f ca="1">SUM(OFFSET($B94,0,1,1,Assumptions!$C$8))</f>
        <v>0</v>
      </c>
      <c r="BD94" s="53">
        <f ca="1">SUM(OFFSET($B94,0,1+Assumptions!$C$8,1,SUM(Assumptions!$C$9)))</f>
        <v>0</v>
      </c>
      <c r="BE94" s="53">
        <f ca="1">SUM(OFFSET($B94,0,1+SUM(Assumptions!$C$8:$C$9),1,SUM(Assumptions!$C$10)))</f>
        <v>0</v>
      </c>
      <c r="BF94" s="53">
        <f ca="1">SUM(OFFSET($B94,0,1+SUM(Assumptions!$C$8:$C$10),1,SUM(Assumptions!$C$11)))</f>
        <v>0</v>
      </c>
      <c r="BG94" s="53">
        <f t="shared" ca="1" si="34"/>
        <v>0</v>
      </c>
    </row>
    <row r="95" spans="1:59" ht="16.149999999999999" customHeight="1" thickBot="1" x14ac:dyDescent="0.35">
      <c r="B95" s="6" t="s">
        <v>67</v>
      </c>
      <c r="C95" s="84">
        <f ca="1">SUM(C92:C94)</f>
        <v>0</v>
      </c>
      <c r="D95" s="84">
        <f t="shared" ref="D95:BG95" ca="1" si="35">SUM(D92:D94)</f>
        <v>0</v>
      </c>
      <c r="E95" s="84">
        <f t="shared" ca="1" si="35"/>
        <v>0</v>
      </c>
      <c r="F95" s="84">
        <f t="shared" ca="1" si="35"/>
        <v>0</v>
      </c>
      <c r="G95" s="84">
        <f t="shared" ca="1" si="35"/>
        <v>0</v>
      </c>
      <c r="H95" s="84">
        <f t="shared" ca="1" si="35"/>
        <v>0</v>
      </c>
      <c r="I95" s="84">
        <f t="shared" ca="1" si="35"/>
        <v>0</v>
      </c>
      <c r="J95" s="84">
        <f t="shared" ca="1" si="35"/>
        <v>0</v>
      </c>
      <c r="K95" s="84">
        <f t="shared" ca="1" si="35"/>
        <v>0</v>
      </c>
      <c r="L95" s="84">
        <f t="shared" ca="1" si="35"/>
        <v>0</v>
      </c>
      <c r="M95" s="84">
        <f t="shared" ca="1" si="35"/>
        <v>0</v>
      </c>
      <c r="N95" s="84">
        <f t="shared" ca="1" si="35"/>
        <v>0</v>
      </c>
      <c r="O95" s="84">
        <f t="shared" ca="1" si="35"/>
        <v>0</v>
      </c>
      <c r="P95" s="84">
        <f t="shared" ca="1" si="35"/>
        <v>0</v>
      </c>
      <c r="Q95" s="84">
        <f t="shared" ca="1" si="35"/>
        <v>0</v>
      </c>
      <c r="R95" s="84">
        <f t="shared" ca="1" si="35"/>
        <v>0</v>
      </c>
      <c r="S95" s="84">
        <f t="shared" ca="1" si="35"/>
        <v>0</v>
      </c>
      <c r="T95" s="84">
        <f t="shared" ca="1" si="35"/>
        <v>0</v>
      </c>
      <c r="U95" s="84">
        <f t="shared" ca="1" si="35"/>
        <v>0</v>
      </c>
      <c r="V95" s="84">
        <f t="shared" ca="1" si="35"/>
        <v>0</v>
      </c>
      <c r="W95" s="84">
        <f t="shared" ca="1" si="35"/>
        <v>0</v>
      </c>
      <c r="X95" s="84">
        <f t="shared" ca="1" si="35"/>
        <v>0</v>
      </c>
      <c r="Y95" s="84">
        <f t="shared" ca="1" si="35"/>
        <v>0</v>
      </c>
      <c r="Z95" s="84">
        <f t="shared" ca="1" si="35"/>
        <v>0</v>
      </c>
      <c r="AA95" s="84">
        <f t="shared" ca="1" si="35"/>
        <v>0</v>
      </c>
      <c r="AB95" s="84">
        <f t="shared" ca="1" si="35"/>
        <v>0</v>
      </c>
      <c r="AC95" s="84">
        <f t="shared" ca="1" si="35"/>
        <v>0</v>
      </c>
      <c r="AD95" s="84">
        <f t="shared" ca="1" si="35"/>
        <v>0</v>
      </c>
      <c r="AE95" s="84">
        <f t="shared" ca="1" si="35"/>
        <v>0</v>
      </c>
      <c r="AF95" s="84">
        <f t="shared" ca="1" si="35"/>
        <v>0</v>
      </c>
      <c r="AG95" s="84">
        <f t="shared" ca="1" si="35"/>
        <v>0</v>
      </c>
      <c r="AH95" s="84">
        <f t="shared" ca="1" si="35"/>
        <v>0</v>
      </c>
      <c r="AI95" s="84">
        <f t="shared" ca="1" si="35"/>
        <v>0</v>
      </c>
      <c r="AJ95" s="84">
        <f t="shared" ca="1" si="35"/>
        <v>0</v>
      </c>
      <c r="AK95" s="84">
        <f t="shared" ca="1" si="35"/>
        <v>0</v>
      </c>
      <c r="AL95" s="84">
        <f t="shared" ca="1" si="35"/>
        <v>0</v>
      </c>
      <c r="AM95" s="84">
        <f t="shared" ca="1" si="35"/>
        <v>0</v>
      </c>
      <c r="AN95" s="84">
        <f t="shared" ca="1" si="35"/>
        <v>0</v>
      </c>
      <c r="AO95" s="84">
        <f t="shared" ca="1" si="35"/>
        <v>0</v>
      </c>
      <c r="AP95" s="84">
        <f t="shared" ca="1" si="35"/>
        <v>0</v>
      </c>
      <c r="AQ95" s="84">
        <f t="shared" ca="1" si="35"/>
        <v>0</v>
      </c>
      <c r="AR95" s="84">
        <f t="shared" ca="1" si="35"/>
        <v>0</v>
      </c>
      <c r="AS95" s="84">
        <f t="shared" ca="1" si="35"/>
        <v>0</v>
      </c>
      <c r="AT95" s="84">
        <f t="shared" ca="1" si="35"/>
        <v>0</v>
      </c>
      <c r="AU95" s="84">
        <f t="shared" ca="1" si="35"/>
        <v>0</v>
      </c>
      <c r="AV95" s="84">
        <f t="shared" ca="1" si="35"/>
        <v>0</v>
      </c>
      <c r="AW95" s="84">
        <f t="shared" ca="1" si="35"/>
        <v>0</v>
      </c>
      <c r="AX95" s="84">
        <f t="shared" ca="1" si="35"/>
        <v>0</v>
      </c>
      <c r="AY95" s="84">
        <f t="shared" ca="1" si="35"/>
        <v>-250000</v>
      </c>
      <c r="AZ95" s="84">
        <f t="shared" ca="1" si="35"/>
        <v>0</v>
      </c>
      <c r="BA95" s="84">
        <f t="shared" ca="1" si="35"/>
        <v>0</v>
      </c>
      <c r="BB95" s="84">
        <f t="shared" ca="1" si="35"/>
        <v>0</v>
      </c>
      <c r="BC95" s="85">
        <f t="shared" ca="1" si="35"/>
        <v>0</v>
      </c>
      <c r="BD95" s="85">
        <f t="shared" ca="1" si="35"/>
        <v>0</v>
      </c>
      <c r="BE95" s="85">
        <f t="shared" ca="1" si="35"/>
        <v>0</v>
      </c>
      <c r="BF95" s="85">
        <f t="shared" ca="1" si="35"/>
        <v>-250000</v>
      </c>
      <c r="BG95" s="85">
        <f t="shared" ca="1" si="35"/>
        <v>-250000</v>
      </c>
    </row>
    <row r="96" spans="1:59" ht="16.149999999999999" customHeight="1" x14ac:dyDescent="0.3">
      <c r="B96" s="3" t="s">
        <v>68</v>
      </c>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row>
    <row r="97" spans="1:59" ht="16.149999999999999" customHeight="1" x14ac:dyDescent="0.3">
      <c r="A97" s="310" t="s">
        <v>142</v>
      </c>
      <c r="B97" s="56" t="s">
        <v>69</v>
      </c>
      <c r="C97" s="52">
        <f ca="1">OFFSET(BS!$B65,0,COLUMN(C$68)-COLUMN($B$68)+1,1,1)-OFFSET(BS!$B65,0,COLUMN(C$68)-COLUMN($B$68),1,1)</f>
        <v>0</v>
      </c>
      <c r="D97" s="52">
        <f ca="1">OFFSET(BS!$B65,0,COLUMN(D$68)-COLUMN($B$68)+1,1,1)-OFFSET(BS!$B65,0,COLUMN(D$68)-COLUMN($B$68),1,1)</f>
        <v>0</v>
      </c>
      <c r="E97" s="52">
        <f ca="1">OFFSET(BS!$B65,0,COLUMN(E$68)-COLUMN($B$68)+1,1,1)-OFFSET(BS!$B65,0,COLUMN(E$68)-COLUMN($B$68),1,1)</f>
        <v>0</v>
      </c>
      <c r="F97" s="52">
        <f ca="1">OFFSET(BS!$B65,0,COLUMN(F$68)-COLUMN($B$68)+1,1,1)-OFFSET(BS!$B65,0,COLUMN(F$68)-COLUMN($B$68),1,1)</f>
        <v>0</v>
      </c>
      <c r="G97" s="52">
        <f ca="1">OFFSET(BS!$B65,0,COLUMN(G$68)-COLUMN($B$68)+1,1,1)-OFFSET(BS!$B65,0,COLUMN(G$68)-COLUMN($B$68),1,1)</f>
        <v>0</v>
      </c>
      <c r="H97" s="52">
        <f ca="1">OFFSET(BS!$B65,0,COLUMN(H$68)-COLUMN($B$68)+1,1,1)-OFFSET(BS!$B65,0,COLUMN(H$68)-COLUMN($B$68),1,1)</f>
        <v>0</v>
      </c>
      <c r="I97" s="52">
        <f ca="1">OFFSET(BS!$B65,0,COLUMN(I$68)-COLUMN($B$68)+1,1,1)-OFFSET(BS!$B65,0,COLUMN(I$68)-COLUMN($B$68),1,1)</f>
        <v>0</v>
      </c>
      <c r="J97" s="52">
        <f ca="1">OFFSET(BS!$B65,0,COLUMN(J$68)-COLUMN($B$68)+1,1,1)-OFFSET(BS!$B65,0,COLUMN(J$68)-COLUMN($B$68),1,1)</f>
        <v>0</v>
      </c>
      <c r="K97" s="52">
        <f ca="1">OFFSET(BS!$B65,0,COLUMN(K$68)-COLUMN($B$68)+1,1,1)-OFFSET(BS!$B65,0,COLUMN(K$68)-COLUMN($B$68),1,1)</f>
        <v>0</v>
      </c>
      <c r="L97" s="52">
        <f ca="1">OFFSET(BS!$B65,0,COLUMN(L$68)-COLUMN($B$68)+1,1,1)-OFFSET(BS!$B65,0,COLUMN(L$68)-COLUMN($B$68),1,1)</f>
        <v>0</v>
      </c>
      <c r="M97" s="52">
        <f ca="1">OFFSET(BS!$B65,0,COLUMN(M$68)-COLUMN($B$68)+1,1,1)-OFFSET(BS!$B65,0,COLUMN(M$68)-COLUMN($B$68),1,1)</f>
        <v>0</v>
      </c>
      <c r="N97" s="52">
        <f ca="1">OFFSET(BS!$B65,0,COLUMN(N$68)-COLUMN($B$68)+1,1,1)-OFFSET(BS!$B65,0,COLUMN(N$68)-COLUMN($B$68),1,1)</f>
        <v>0</v>
      </c>
      <c r="O97" s="52">
        <f ca="1">OFFSET(BS!$B65,0,COLUMN(O$68)-COLUMN($B$68)+1,1,1)-OFFSET(BS!$B65,0,COLUMN(O$68)-COLUMN($B$68),1,1)</f>
        <v>0</v>
      </c>
      <c r="P97" s="52">
        <f ca="1">OFFSET(BS!$B65,0,COLUMN(P$68)-COLUMN($B$68)+1,1,1)-OFFSET(BS!$B65,0,COLUMN(P$68)-COLUMN($B$68),1,1)</f>
        <v>0</v>
      </c>
      <c r="Q97" s="52">
        <f ca="1">OFFSET(BS!$B65,0,COLUMN(Q$68)-COLUMN($B$68)+1,1,1)-OFFSET(BS!$B65,0,COLUMN(Q$68)-COLUMN($B$68),1,1)</f>
        <v>0</v>
      </c>
      <c r="R97" s="52">
        <f ca="1">OFFSET(BS!$B65,0,COLUMN(R$68)-COLUMN($B$68)+1,1,1)-OFFSET(BS!$B65,0,COLUMN(R$68)-COLUMN($B$68),1,1)</f>
        <v>0</v>
      </c>
      <c r="S97" s="52">
        <f ca="1">OFFSET(BS!$B65,0,COLUMN(S$68)-COLUMN($B$68)+1,1,1)-OFFSET(BS!$B65,0,COLUMN(S$68)-COLUMN($B$68),1,1)</f>
        <v>0</v>
      </c>
      <c r="T97" s="52">
        <f ca="1">OFFSET(BS!$B65,0,COLUMN(T$68)-COLUMN($B$68)+1,1,1)-OFFSET(BS!$B65,0,COLUMN(T$68)-COLUMN($B$68),1,1)</f>
        <v>0</v>
      </c>
      <c r="U97" s="52">
        <f ca="1">OFFSET(BS!$B65,0,COLUMN(U$68)-COLUMN($B$68)+1,1,1)-OFFSET(BS!$B65,0,COLUMN(U$68)-COLUMN($B$68),1,1)</f>
        <v>0</v>
      </c>
      <c r="V97" s="52">
        <f ca="1">OFFSET(BS!$B65,0,COLUMN(V$68)-COLUMN($B$68)+1,1,1)-OFFSET(BS!$B65,0,COLUMN(V$68)-COLUMN($B$68),1,1)</f>
        <v>0</v>
      </c>
      <c r="W97" s="52">
        <f ca="1">OFFSET(BS!$B65,0,COLUMN(W$68)-COLUMN($B$68)+1,1,1)-OFFSET(BS!$B65,0,COLUMN(W$68)-COLUMN($B$68),1,1)</f>
        <v>0</v>
      </c>
      <c r="X97" s="52">
        <f ca="1">OFFSET(BS!$B65,0,COLUMN(X$68)-COLUMN($B$68)+1,1,1)-OFFSET(BS!$B65,0,COLUMN(X$68)-COLUMN($B$68),1,1)</f>
        <v>0</v>
      </c>
      <c r="Y97" s="52">
        <f ca="1">OFFSET(BS!$B65,0,COLUMN(Y$68)-COLUMN($B$68)+1,1,1)-OFFSET(BS!$B65,0,COLUMN(Y$68)-COLUMN($B$68),1,1)</f>
        <v>0</v>
      </c>
      <c r="Z97" s="52">
        <f ca="1">OFFSET(BS!$B65,0,COLUMN(Z$68)-COLUMN($B$68)+1,1,1)-OFFSET(BS!$B65,0,COLUMN(Z$68)-COLUMN($B$68),1,1)</f>
        <v>0</v>
      </c>
      <c r="AA97" s="52">
        <f ca="1">OFFSET(BS!$B65,0,COLUMN(AA$68)-COLUMN($B$68)+1,1,1)-OFFSET(BS!$B65,0,COLUMN(AA$68)-COLUMN($B$68),1,1)</f>
        <v>0</v>
      </c>
      <c r="AB97" s="52">
        <f ca="1">OFFSET(BS!$B65,0,COLUMN(AB$68)-COLUMN($B$68)+1,1,1)-OFFSET(BS!$B65,0,COLUMN(AB$68)-COLUMN($B$68),1,1)</f>
        <v>0</v>
      </c>
      <c r="AC97" s="52">
        <f ca="1">OFFSET(BS!$B65,0,COLUMN(AC$68)-COLUMN($B$68)+1,1,1)-OFFSET(BS!$B65,0,COLUMN(AC$68)-COLUMN($B$68),1,1)</f>
        <v>0</v>
      </c>
      <c r="AD97" s="52">
        <f ca="1">OFFSET(BS!$B65,0,COLUMN(AD$68)-COLUMN($B$68)+1,1,1)-OFFSET(BS!$B65,0,COLUMN(AD$68)-COLUMN($B$68),1,1)</f>
        <v>0</v>
      </c>
      <c r="AE97" s="52">
        <f ca="1">OFFSET(BS!$B65,0,COLUMN(AE$68)-COLUMN($B$68)+1,1,1)-OFFSET(BS!$B65,0,COLUMN(AE$68)-COLUMN($B$68),1,1)</f>
        <v>0</v>
      </c>
      <c r="AF97" s="52">
        <f ca="1">OFFSET(BS!$B65,0,COLUMN(AF$68)-COLUMN($B$68)+1,1,1)-OFFSET(BS!$B65,0,COLUMN(AF$68)-COLUMN($B$68),1,1)</f>
        <v>0</v>
      </c>
      <c r="AG97" s="52">
        <f ca="1">OFFSET(BS!$B65,0,COLUMN(AG$68)-COLUMN($B$68)+1,1,1)-OFFSET(BS!$B65,0,COLUMN(AG$68)-COLUMN($B$68),1,1)</f>
        <v>0</v>
      </c>
      <c r="AH97" s="52">
        <f ca="1">OFFSET(BS!$B65,0,COLUMN(AH$68)-COLUMN($B$68)+1,1,1)-OFFSET(BS!$B65,0,COLUMN(AH$68)-COLUMN($B$68),1,1)</f>
        <v>0</v>
      </c>
      <c r="AI97" s="52">
        <f ca="1">OFFSET(BS!$B65,0,COLUMN(AI$68)-COLUMN($B$68)+1,1,1)-OFFSET(BS!$B65,0,COLUMN(AI$68)-COLUMN($B$68),1,1)</f>
        <v>0</v>
      </c>
      <c r="AJ97" s="52">
        <f ca="1">OFFSET(BS!$B65,0,COLUMN(AJ$68)-COLUMN($B$68)+1,1,1)-OFFSET(BS!$B65,0,COLUMN(AJ$68)-COLUMN($B$68),1,1)</f>
        <v>0</v>
      </c>
      <c r="AK97" s="52">
        <f ca="1">OFFSET(BS!$B65,0,COLUMN(AK$68)-COLUMN($B$68)+1,1,1)-OFFSET(BS!$B65,0,COLUMN(AK$68)-COLUMN($B$68),1,1)</f>
        <v>0</v>
      </c>
      <c r="AL97" s="52">
        <f ca="1">OFFSET(BS!$B65,0,COLUMN(AL$68)-COLUMN($B$68)+1,1,1)-OFFSET(BS!$B65,0,COLUMN(AL$68)-COLUMN($B$68),1,1)</f>
        <v>0</v>
      </c>
      <c r="AM97" s="52">
        <f ca="1">OFFSET(BS!$B65,0,COLUMN(AM$68)-COLUMN($B$68)+1,1,1)-OFFSET(BS!$B65,0,COLUMN(AM$68)-COLUMN($B$68),1,1)</f>
        <v>0</v>
      </c>
      <c r="AN97" s="52">
        <f ca="1">OFFSET(BS!$B65,0,COLUMN(AN$68)-COLUMN($B$68)+1,1,1)-OFFSET(BS!$B65,0,COLUMN(AN$68)-COLUMN($B$68),1,1)</f>
        <v>0</v>
      </c>
      <c r="AO97" s="52">
        <f ca="1">OFFSET(BS!$B65,0,COLUMN(AO$68)-COLUMN($B$68)+1,1,1)-OFFSET(BS!$B65,0,COLUMN(AO$68)-COLUMN($B$68),1,1)</f>
        <v>0</v>
      </c>
      <c r="AP97" s="52">
        <f ca="1">OFFSET(BS!$B65,0,COLUMN(AP$68)-COLUMN($B$68)+1,1,1)-OFFSET(BS!$B65,0,COLUMN(AP$68)-COLUMN($B$68),1,1)</f>
        <v>0</v>
      </c>
      <c r="AQ97" s="52">
        <f ca="1">OFFSET(BS!$B65,0,COLUMN(AQ$68)-COLUMN($B$68)+1,1,1)-OFFSET(BS!$B65,0,COLUMN(AQ$68)-COLUMN($B$68),1,1)</f>
        <v>0</v>
      </c>
      <c r="AR97" s="52">
        <f ca="1">OFFSET(BS!$B65,0,COLUMN(AR$68)-COLUMN($B$68)+1,1,1)-OFFSET(BS!$B65,0,COLUMN(AR$68)-COLUMN($B$68),1,1)</f>
        <v>0</v>
      </c>
      <c r="AS97" s="52">
        <f ca="1">OFFSET(BS!$B65,0,COLUMN(AS$68)-COLUMN($B$68)+1,1,1)-OFFSET(BS!$B65,0,COLUMN(AS$68)-COLUMN($B$68),1,1)</f>
        <v>0</v>
      </c>
      <c r="AT97" s="52">
        <f ca="1">OFFSET(BS!$B65,0,COLUMN(AT$68)-COLUMN($B$68)+1,1,1)-OFFSET(BS!$B65,0,COLUMN(AT$68)-COLUMN($B$68),1,1)</f>
        <v>0</v>
      </c>
      <c r="AU97" s="52">
        <f ca="1">OFFSET(BS!$B65,0,COLUMN(AU$68)-COLUMN($B$68)+1,1,1)-OFFSET(BS!$B65,0,COLUMN(AU$68)-COLUMN($B$68),1,1)</f>
        <v>0</v>
      </c>
      <c r="AV97" s="52">
        <f ca="1">OFFSET(BS!$B65,0,COLUMN(AV$68)-COLUMN($B$68)+1,1,1)-OFFSET(BS!$B65,0,COLUMN(AV$68)-COLUMN($B$68),1,1)</f>
        <v>0</v>
      </c>
      <c r="AW97" s="52">
        <f ca="1">OFFSET(BS!$B65,0,COLUMN(AW$68)-COLUMN($B$68)+1,1,1)-OFFSET(BS!$B65,0,COLUMN(AW$68)-COLUMN($B$68),1,1)</f>
        <v>0</v>
      </c>
      <c r="AX97" s="52">
        <f ca="1">OFFSET(BS!$B65,0,COLUMN(AX$68)-COLUMN($B$68)+1,1,1)-OFFSET(BS!$B65,0,COLUMN(AX$68)-COLUMN($B$68),1,1)</f>
        <v>0</v>
      </c>
      <c r="AY97" s="52">
        <f ca="1">OFFSET(BS!$B65,0,COLUMN(AY$68)-COLUMN($B$68)+1,1,1)-OFFSET(BS!$B65,0,COLUMN(AY$68)-COLUMN($B$68),1,1)</f>
        <v>0</v>
      </c>
      <c r="AZ97" s="52">
        <f ca="1">OFFSET(BS!$B65,0,COLUMN(AZ$68)-COLUMN($B$68)+1,1,1)-OFFSET(BS!$B65,0,COLUMN(AZ$68)-COLUMN($B$68),1,1)</f>
        <v>0</v>
      </c>
      <c r="BA97" s="52">
        <f ca="1">OFFSET(BS!$B65,0,COLUMN(BA$68)-COLUMN($B$68)+1,1,1)-OFFSET(BS!$B65,0,COLUMN(BA$68)-COLUMN($B$68),1,1)</f>
        <v>0</v>
      </c>
      <c r="BB97" s="52">
        <f ca="1">OFFSET(BS!$B65,0,COLUMN(BB$68)-COLUMN($B$68)+1,1,1)-OFFSET(BS!$B65,0,COLUMN(BB$68)-COLUMN($B$68),1,1)</f>
        <v>0</v>
      </c>
      <c r="BC97" s="53">
        <f ca="1">SUM(OFFSET($B97,0,1,1,Assumptions!$C$8))</f>
        <v>0</v>
      </c>
      <c r="BD97" s="53">
        <f ca="1">SUM(OFFSET($B97,0,1+Assumptions!$C$8,1,SUM(Assumptions!$C$9)))</f>
        <v>0</v>
      </c>
      <c r="BE97" s="53">
        <f ca="1">SUM(OFFSET($B97,0,1+SUM(Assumptions!$C$8:$C$9),1,SUM(Assumptions!$C$10)))</f>
        <v>0</v>
      </c>
      <c r="BF97" s="53">
        <f ca="1">SUM(OFFSET($B97,0,1+SUM(Assumptions!$C$8:$C$10),1,SUM(Assumptions!$C$11)))</f>
        <v>0</v>
      </c>
      <c r="BG97" s="53">
        <f t="shared" ref="BG97:BG106" ca="1" si="36">SUM(BC97:BF97)</f>
        <v>0</v>
      </c>
    </row>
    <row r="98" spans="1:59" ht="16.149999999999999" customHeight="1" x14ac:dyDescent="0.3">
      <c r="A98" s="310" t="s">
        <v>276</v>
      </c>
      <c r="B98" s="56" t="s">
        <v>277</v>
      </c>
      <c r="C98" s="52">
        <f>BS!D82-BS!C82-Actual!C60</f>
        <v>0</v>
      </c>
      <c r="D98" s="52">
        <f>BS!E82-BS!D82-Actual!D60</f>
        <v>0</v>
      </c>
      <c r="E98" s="52">
        <f>BS!F82-BS!E82-Actual!E60</f>
        <v>0</v>
      </c>
      <c r="F98" s="52">
        <f>BS!G82-BS!F82-Actual!F60</f>
        <v>0</v>
      </c>
      <c r="G98" s="52">
        <f>BS!H82-BS!G82-Actual!G60</f>
        <v>0</v>
      </c>
      <c r="H98" s="52">
        <f>BS!I82-BS!H82-Actual!H60</f>
        <v>0</v>
      </c>
      <c r="I98" s="52">
        <f>BS!J82-BS!I82-Actual!I60</f>
        <v>0</v>
      </c>
      <c r="J98" s="52">
        <f>BS!K82-BS!J82-Actual!J60</f>
        <v>0</v>
      </c>
      <c r="K98" s="52">
        <f>BS!L82-BS!K82-Actual!K60</f>
        <v>0</v>
      </c>
      <c r="L98" s="52">
        <f>BS!M82-BS!L82-Actual!L60</f>
        <v>0</v>
      </c>
      <c r="M98" s="52">
        <f>BS!N82-BS!M82-Actual!M60</f>
        <v>0</v>
      </c>
      <c r="N98" s="52">
        <f>BS!O82-BS!N82-Actual!N60</f>
        <v>0</v>
      </c>
      <c r="O98" s="52">
        <f>BS!P82-BS!O82-Actual!O60</f>
        <v>0</v>
      </c>
      <c r="P98" s="52">
        <f>BS!Q82-BS!P82-Actual!P60</f>
        <v>0</v>
      </c>
      <c r="Q98" s="52">
        <f>BS!R82-BS!Q82-Actual!Q60</f>
        <v>0</v>
      </c>
      <c r="R98" s="52">
        <f>BS!S82-BS!R82-Actual!R60</f>
        <v>0</v>
      </c>
      <c r="S98" s="52">
        <f>BS!T82-BS!S82-Actual!S60</f>
        <v>0</v>
      </c>
      <c r="T98" s="52">
        <f>BS!U82-BS!T82-Actual!T60</f>
        <v>0</v>
      </c>
      <c r="U98" s="52">
        <f>BS!V82-BS!U82-Actual!U60</f>
        <v>0</v>
      </c>
      <c r="V98" s="52">
        <f>BS!W82-BS!V82-Actual!V60</f>
        <v>0</v>
      </c>
      <c r="W98" s="52">
        <f>BS!X82-BS!W82-Actual!W60</f>
        <v>0</v>
      </c>
      <c r="X98" s="52">
        <f>BS!Y82-BS!X82-Actual!X60</f>
        <v>0</v>
      </c>
      <c r="Y98" s="52">
        <f>BS!Z82-BS!Y82-Actual!Y60</f>
        <v>0</v>
      </c>
      <c r="Z98" s="52">
        <f>BS!AA82-BS!Z82-Actual!Z60</f>
        <v>0</v>
      </c>
      <c r="AA98" s="52">
        <f>BS!AB82-BS!AA82-Actual!AA60</f>
        <v>0</v>
      </c>
      <c r="AB98" s="52">
        <f>BS!AC82-BS!AB82-Actual!AB60</f>
        <v>0</v>
      </c>
      <c r="AC98" s="52">
        <f>BS!AD82-BS!AC82-Actual!AC60</f>
        <v>0</v>
      </c>
      <c r="AD98" s="52">
        <f>BS!AE82-BS!AD82-Actual!AD60</f>
        <v>0</v>
      </c>
      <c r="AE98" s="52">
        <f>BS!AF82-BS!AE82-Actual!AE60</f>
        <v>0</v>
      </c>
      <c r="AF98" s="52">
        <f>BS!AG82-BS!AF82-Actual!AF60</f>
        <v>0</v>
      </c>
      <c r="AG98" s="52">
        <f>BS!AH82-BS!AG82-Actual!AG60</f>
        <v>0</v>
      </c>
      <c r="AH98" s="52">
        <f>BS!AI82-BS!AH82-Actual!AH60</f>
        <v>0</v>
      </c>
      <c r="AI98" s="52">
        <f>BS!AJ82-BS!AI82-Actual!AI60</f>
        <v>0</v>
      </c>
      <c r="AJ98" s="52">
        <f>BS!AK82-BS!AJ82-Actual!AJ60</f>
        <v>0</v>
      </c>
      <c r="AK98" s="52">
        <f>BS!AL82-BS!AK82-Actual!AK60</f>
        <v>0</v>
      </c>
      <c r="AL98" s="52">
        <f>BS!AM82-BS!AL82-Actual!AL60</f>
        <v>0</v>
      </c>
      <c r="AM98" s="52">
        <f>BS!AN82-BS!AM82-Actual!AM60</f>
        <v>0</v>
      </c>
      <c r="AN98" s="52">
        <f>BS!AO82-BS!AN82-Actual!AN60</f>
        <v>0</v>
      </c>
      <c r="AO98" s="52">
        <f>BS!AP82-BS!AO82-Actual!AO60</f>
        <v>0</v>
      </c>
      <c r="AP98" s="52">
        <f>BS!AQ82-BS!AP82-Actual!AP60</f>
        <v>0</v>
      </c>
      <c r="AQ98" s="52">
        <f>BS!AR82-BS!AQ82-Actual!AQ60</f>
        <v>0</v>
      </c>
      <c r="AR98" s="52">
        <f>BS!AS82-BS!AR82-Actual!AR60</f>
        <v>0</v>
      </c>
      <c r="AS98" s="52">
        <f>BS!AT82-BS!AS82-Actual!AS60</f>
        <v>0</v>
      </c>
      <c r="AT98" s="52">
        <f>BS!AU82-BS!AT82-Actual!AT60</f>
        <v>0</v>
      </c>
      <c r="AU98" s="52">
        <f>BS!AV82-BS!AU82-Actual!AU60</f>
        <v>0</v>
      </c>
      <c r="AV98" s="52">
        <f>BS!AW82-BS!AV82-Actual!AV60</f>
        <v>0</v>
      </c>
      <c r="AW98" s="52">
        <f>BS!AX82-BS!AW82-Actual!AW60</f>
        <v>0</v>
      </c>
      <c r="AX98" s="52">
        <f>BS!AY82-BS!AX82-Actual!AX60</f>
        <v>0</v>
      </c>
      <c r="AY98" s="52">
        <f>BS!AZ82-BS!AY82-Actual!AY60</f>
        <v>0</v>
      </c>
      <c r="AZ98" s="52">
        <f>BS!BA82-BS!AZ82-Actual!AZ60</f>
        <v>0</v>
      </c>
      <c r="BA98" s="52">
        <f>BS!BB82-BS!BA82-Actual!BA60</f>
        <v>0</v>
      </c>
      <c r="BB98" s="52">
        <f>BS!BC82-BS!BB82-Actual!BB60</f>
        <v>0</v>
      </c>
      <c r="BC98" s="53">
        <f ca="1">SUM(OFFSET($B98,0,1,1,Assumptions!$C$8))</f>
        <v>0</v>
      </c>
      <c r="BD98" s="53">
        <f ca="1">SUM(OFFSET($B98,0,1+Assumptions!$C$8,1,SUM(Assumptions!$C$9)))</f>
        <v>0</v>
      </c>
      <c r="BE98" s="53">
        <f ca="1">SUM(OFFSET($B98,0,1+SUM(Assumptions!$C$8:$C$9),1,SUM(Assumptions!$C$10)))</f>
        <v>0</v>
      </c>
      <c r="BF98" s="53">
        <f ca="1">SUM(OFFSET($B98,0,1+SUM(Assumptions!$C$8:$C$10),1,SUM(Assumptions!$C$11)))</f>
        <v>0</v>
      </c>
      <c r="BG98" s="53">
        <f t="shared" ref="BG98" ca="1" si="37">SUM(BC98:BF98)</f>
        <v>0</v>
      </c>
    </row>
    <row r="99" spans="1:59" ht="16.149999999999999" customHeight="1" x14ac:dyDescent="0.3">
      <c r="A99" s="311" t="s">
        <v>143</v>
      </c>
      <c r="B99" s="56" t="s">
        <v>227</v>
      </c>
      <c r="C99" s="52">
        <v>0</v>
      </c>
      <c r="D99" s="52">
        <v>0</v>
      </c>
      <c r="E99" s="52">
        <v>0</v>
      </c>
      <c r="F99" s="52">
        <v>0</v>
      </c>
      <c r="G99" s="52">
        <v>0</v>
      </c>
      <c r="H99" s="52">
        <v>0</v>
      </c>
      <c r="I99" s="52">
        <v>0</v>
      </c>
      <c r="J99" s="52">
        <v>0</v>
      </c>
      <c r="K99" s="52">
        <v>0</v>
      </c>
      <c r="L99" s="52">
        <v>0</v>
      </c>
      <c r="M99" s="52">
        <v>0</v>
      </c>
      <c r="N99" s="52">
        <v>0</v>
      </c>
      <c r="O99" s="52">
        <v>0</v>
      </c>
      <c r="P99" s="52">
        <v>0</v>
      </c>
      <c r="Q99" s="52">
        <v>0</v>
      </c>
      <c r="R99" s="52">
        <v>0</v>
      </c>
      <c r="S99" s="52">
        <v>0</v>
      </c>
      <c r="T99" s="52">
        <v>0</v>
      </c>
      <c r="U99" s="52">
        <v>0</v>
      </c>
      <c r="V99" s="52">
        <v>0</v>
      </c>
      <c r="W99" s="52">
        <v>0</v>
      </c>
      <c r="X99" s="52">
        <v>0</v>
      </c>
      <c r="Y99" s="52">
        <v>0</v>
      </c>
      <c r="Z99" s="52">
        <v>0</v>
      </c>
      <c r="AA99" s="52">
        <v>0</v>
      </c>
      <c r="AB99" s="52">
        <v>0</v>
      </c>
      <c r="AC99" s="52">
        <v>0</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v>0</v>
      </c>
      <c r="AY99" s="52">
        <v>0</v>
      </c>
      <c r="AZ99" s="52">
        <v>0</v>
      </c>
      <c r="BA99" s="52">
        <v>0</v>
      </c>
      <c r="BB99" s="52">
        <v>0</v>
      </c>
      <c r="BC99" s="53">
        <f ca="1">SUM(OFFSET($B99,0,1,1,Assumptions!$C$8))</f>
        <v>0</v>
      </c>
      <c r="BD99" s="53">
        <f ca="1">SUM(OFFSET($B99,0,1+Assumptions!$C$8,1,SUM(Assumptions!$C$9)))</f>
        <v>0</v>
      </c>
      <c r="BE99" s="53">
        <f ca="1">SUM(OFFSET($B99,0,1+SUM(Assumptions!$C$8:$C$9),1,SUM(Assumptions!$C$10)))</f>
        <v>0</v>
      </c>
      <c r="BF99" s="53">
        <f ca="1">SUM(OFFSET($B99,0,1+SUM(Assumptions!$C$8:$C$10),1,SUM(Assumptions!$C$11)))</f>
        <v>0</v>
      </c>
      <c r="BG99" s="53">
        <f t="shared" ca="1" si="36"/>
        <v>0</v>
      </c>
    </row>
    <row r="100" spans="1:59" ht="16.149999999999999" customHeight="1" x14ac:dyDescent="0.3">
      <c r="A100" s="311" t="s">
        <v>145</v>
      </c>
      <c r="B100" s="56" t="s">
        <v>228</v>
      </c>
      <c r="C100" s="52">
        <v>0</v>
      </c>
      <c r="D100" s="52">
        <v>0</v>
      </c>
      <c r="E100" s="52">
        <v>0</v>
      </c>
      <c r="F100" s="52">
        <v>0</v>
      </c>
      <c r="G100" s="52">
        <v>0</v>
      </c>
      <c r="H100" s="52">
        <v>0</v>
      </c>
      <c r="I100" s="52">
        <v>0</v>
      </c>
      <c r="J100" s="52">
        <v>0</v>
      </c>
      <c r="K100" s="52">
        <v>0</v>
      </c>
      <c r="L100" s="52">
        <v>0</v>
      </c>
      <c r="M100" s="52">
        <v>0</v>
      </c>
      <c r="N100" s="52">
        <v>0</v>
      </c>
      <c r="O100" s="52">
        <v>0</v>
      </c>
      <c r="P100" s="52">
        <v>0</v>
      </c>
      <c r="Q100" s="52">
        <v>0</v>
      </c>
      <c r="R100" s="52">
        <v>0</v>
      </c>
      <c r="S100" s="52">
        <v>0</v>
      </c>
      <c r="T100" s="52">
        <v>0</v>
      </c>
      <c r="U100" s="52">
        <v>0</v>
      </c>
      <c r="V100" s="52">
        <v>0</v>
      </c>
      <c r="W100" s="52">
        <v>0</v>
      </c>
      <c r="X100" s="52">
        <v>0</v>
      </c>
      <c r="Y100" s="52">
        <v>100000</v>
      </c>
      <c r="Z100" s="52">
        <v>0</v>
      </c>
      <c r="AA100" s="52">
        <v>0</v>
      </c>
      <c r="AB100" s="52">
        <v>0</v>
      </c>
      <c r="AC100" s="52">
        <v>0</v>
      </c>
      <c r="AD100" s="52">
        <v>0</v>
      </c>
      <c r="AE100" s="52">
        <v>0</v>
      </c>
      <c r="AF100" s="52">
        <v>0</v>
      </c>
      <c r="AG100" s="52">
        <v>0</v>
      </c>
      <c r="AH100" s="52">
        <v>0</v>
      </c>
      <c r="AI100" s="52">
        <v>0</v>
      </c>
      <c r="AJ100" s="52">
        <v>0</v>
      </c>
      <c r="AK100" s="52">
        <v>0</v>
      </c>
      <c r="AL100" s="52">
        <v>0</v>
      </c>
      <c r="AM100" s="52">
        <v>0</v>
      </c>
      <c r="AN100" s="52">
        <v>0</v>
      </c>
      <c r="AO100" s="52">
        <v>0</v>
      </c>
      <c r="AP100" s="52">
        <v>0</v>
      </c>
      <c r="AQ100" s="52">
        <v>0</v>
      </c>
      <c r="AR100" s="52">
        <v>0</v>
      </c>
      <c r="AS100" s="52">
        <v>0</v>
      </c>
      <c r="AT100" s="52">
        <v>0</v>
      </c>
      <c r="AU100" s="52">
        <v>0</v>
      </c>
      <c r="AV100" s="52">
        <v>0</v>
      </c>
      <c r="AW100" s="52">
        <v>0</v>
      </c>
      <c r="AX100" s="52">
        <v>0</v>
      </c>
      <c r="AY100" s="52">
        <v>0</v>
      </c>
      <c r="AZ100" s="52">
        <v>0</v>
      </c>
      <c r="BA100" s="52">
        <v>0</v>
      </c>
      <c r="BB100" s="52">
        <v>0</v>
      </c>
      <c r="BC100" s="53">
        <f ca="1">SUM(OFFSET($B100,0,1,1,Assumptions!$C$8))</f>
        <v>0</v>
      </c>
      <c r="BD100" s="53">
        <f ca="1">SUM(OFFSET($B100,0,1+Assumptions!$C$8,1,SUM(Assumptions!$C$9)))</f>
        <v>100000</v>
      </c>
      <c r="BE100" s="53">
        <f ca="1">SUM(OFFSET($B100,0,1+SUM(Assumptions!$C$8:$C$9),1,SUM(Assumptions!$C$10)))</f>
        <v>0</v>
      </c>
      <c r="BF100" s="53">
        <f ca="1">SUM(OFFSET($B100,0,1+SUM(Assumptions!$C$8:$C$10),1,SUM(Assumptions!$C$11)))</f>
        <v>0</v>
      </c>
      <c r="BG100" s="53">
        <f t="shared" ca="1" si="36"/>
        <v>100000</v>
      </c>
    </row>
    <row r="101" spans="1:59" ht="16.149999999999999" customHeight="1" x14ac:dyDescent="0.3">
      <c r="A101" s="311" t="s">
        <v>147</v>
      </c>
      <c r="B101" s="56" t="s">
        <v>229</v>
      </c>
      <c r="C101" s="52">
        <v>0</v>
      </c>
      <c r="D101" s="52">
        <v>0</v>
      </c>
      <c r="E101" s="52">
        <v>0</v>
      </c>
      <c r="F101" s="52">
        <v>0</v>
      </c>
      <c r="G101" s="52">
        <v>0</v>
      </c>
      <c r="H101" s="52">
        <v>0</v>
      </c>
      <c r="I101" s="52">
        <v>0</v>
      </c>
      <c r="J101" s="52">
        <v>0</v>
      </c>
      <c r="K101" s="52">
        <v>0</v>
      </c>
      <c r="L101" s="52">
        <v>0</v>
      </c>
      <c r="M101" s="52">
        <v>0</v>
      </c>
      <c r="N101" s="52">
        <v>0</v>
      </c>
      <c r="O101" s="52">
        <v>0</v>
      </c>
      <c r="P101" s="52">
        <v>0</v>
      </c>
      <c r="Q101" s="52">
        <v>0</v>
      </c>
      <c r="R101" s="52">
        <v>0</v>
      </c>
      <c r="S101" s="52">
        <v>0</v>
      </c>
      <c r="T101" s="52">
        <v>0</v>
      </c>
      <c r="U101" s="52">
        <v>0</v>
      </c>
      <c r="V101" s="52">
        <v>0</v>
      </c>
      <c r="W101" s="52">
        <v>0</v>
      </c>
      <c r="X101" s="52">
        <v>0</v>
      </c>
      <c r="Y101" s="52">
        <v>0</v>
      </c>
      <c r="Z101" s="52">
        <v>0</v>
      </c>
      <c r="AA101" s="52">
        <v>0</v>
      </c>
      <c r="AB101" s="52">
        <v>0</v>
      </c>
      <c r="AC101" s="52">
        <v>0</v>
      </c>
      <c r="AD101" s="52">
        <v>0</v>
      </c>
      <c r="AE101" s="52">
        <v>0</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250000</v>
      </c>
      <c r="AV101" s="52">
        <v>0</v>
      </c>
      <c r="AW101" s="52">
        <v>0</v>
      </c>
      <c r="AX101" s="52">
        <v>0</v>
      </c>
      <c r="AY101" s="52">
        <v>0</v>
      </c>
      <c r="AZ101" s="52">
        <v>0</v>
      </c>
      <c r="BA101" s="52">
        <v>0</v>
      </c>
      <c r="BB101" s="52">
        <v>0</v>
      </c>
      <c r="BC101" s="53">
        <f ca="1">SUM(OFFSET($B101,0,1,1,Assumptions!$C$8))</f>
        <v>0</v>
      </c>
      <c r="BD101" s="53">
        <f ca="1">SUM(OFFSET($B101,0,1+Assumptions!$C$8,1,SUM(Assumptions!$C$9)))</f>
        <v>0</v>
      </c>
      <c r="BE101" s="53">
        <f ca="1">SUM(OFFSET($B101,0,1+SUM(Assumptions!$C$8:$C$9),1,SUM(Assumptions!$C$10)))</f>
        <v>0</v>
      </c>
      <c r="BF101" s="53">
        <f ca="1">SUM(OFFSET($B101,0,1+SUM(Assumptions!$C$8:$C$10),1,SUM(Assumptions!$C$11)))</f>
        <v>250000</v>
      </c>
      <c r="BG101" s="53">
        <f t="shared" ca="1" si="36"/>
        <v>250000</v>
      </c>
    </row>
    <row r="102" spans="1:59" ht="16.149999999999999" customHeight="1" x14ac:dyDescent="0.3">
      <c r="A102" s="311" t="s">
        <v>149</v>
      </c>
      <c r="B102" s="56" t="s">
        <v>230</v>
      </c>
      <c r="C102" s="52">
        <v>0</v>
      </c>
      <c r="D102" s="52">
        <v>0</v>
      </c>
      <c r="E102" s="52">
        <v>0</v>
      </c>
      <c r="F102" s="52">
        <v>0</v>
      </c>
      <c r="G102" s="52">
        <v>0</v>
      </c>
      <c r="H102" s="52">
        <v>0</v>
      </c>
      <c r="I102" s="52">
        <v>0</v>
      </c>
      <c r="J102" s="52">
        <v>0</v>
      </c>
      <c r="K102" s="52">
        <v>0</v>
      </c>
      <c r="L102" s="52">
        <v>0</v>
      </c>
      <c r="M102" s="52">
        <v>0</v>
      </c>
      <c r="N102" s="52">
        <v>0</v>
      </c>
      <c r="O102" s="52">
        <v>0</v>
      </c>
      <c r="P102" s="52">
        <v>0</v>
      </c>
      <c r="Q102" s="52">
        <v>0</v>
      </c>
      <c r="R102" s="52">
        <v>0</v>
      </c>
      <c r="S102" s="52">
        <v>0</v>
      </c>
      <c r="T102" s="52">
        <v>0</v>
      </c>
      <c r="U102" s="52">
        <v>0</v>
      </c>
      <c r="V102" s="52">
        <v>0</v>
      </c>
      <c r="W102" s="52">
        <v>0</v>
      </c>
      <c r="X102" s="52">
        <v>0</v>
      </c>
      <c r="Y102" s="52">
        <v>0</v>
      </c>
      <c r="Z102" s="52">
        <v>0</v>
      </c>
      <c r="AA102" s="52">
        <v>0</v>
      </c>
      <c r="AB102" s="52">
        <v>0</v>
      </c>
      <c r="AC102" s="52">
        <v>0</v>
      </c>
      <c r="AD102" s="52">
        <v>0</v>
      </c>
      <c r="AE102" s="52">
        <v>0</v>
      </c>
      <c r="AF102" s="52">
        <v>0</v>
      </c>
      <c r="AG102" s="52">
        <v>0</v>
      </c>
      <c r="AH102" s="52">
        <v>0</v>
      </c>
      <c r="AI102" s="52">
        <v>0</v>
      </c>
      <c r="AJ102" s="52">
        <v>0</v>
      </c>
      <c r="AK102" s="52">
        <v>0</v>
      </c>
      <c r="AL102" s="52">
        <v>0</v>
      </c>
      <c r="AM102" s="52">
        <v>0</v>
      </c>
      <c r="AN102" s="52">
        <v>0</v>
      </c>
      <c r="AO102" s="52">
        <v>0</v>
      </c>
      <c r="AP102" s="52">
        <v>0</v>
      </c>
      <c r="AQ102" s="52">
        <v>0</v>
      </c>
      <c r="AR102" s="52">
        <v>0</v>
      </c>
      <c r="AS102" s="52">
        <v>0</v>
      </c>
      <c r="AT102" s="52">
        <v>0</v>
      </c>
      <c r="AU102" s="52">
        <v>0</v>
      </c>
      <c r="AV102" s="52">
        <v>0</v>
      </c>
      <c r="AW102" s="52">
        <v>0</v>
      </c>
      <c r="AX102" s="52">
        <v>0</v>
      </c>
      <c r="AY102" s="52">
        <v>0</v>
      </c>
      <c r="AZ102" s="52">
        <v>0</v>
      </c>
      <c r="BA102" s="52">
        <v>0</v>
      </c>
      <c r="BB102" s="52">
        <v>0</v>
      </c>
      <c r="BC102" s="53">
        <f ca="1">SUM(OFFSET($B102,0,1,1,Assumptions!$C$8))</f>
        <v>0</v>
      </c>
      <c r="BD102" s="53">
        <f ca="1">SUM(OFFSET($B102,0,1+Assumptions!$C$8,1,SUM(Assumptions!$C$9)))</f>
        <v>0</v>
      </c>
      <c r="BE102" s="53">
        <f ca="1">SUM(OFFSET($B102,0,1+SUM(Assumptions!$C$8:$C$9),1,SUM(Assumptions!$C$10)))</f>
        <v>0</v>
      </c>
      <c r="BF102" s="53">
        <f ca="1">SUM(OFFSET($B102,0,1+SUM(Assumptions!$C$8:$C$10),1,SUM(Assumptions!$C$11)))</f>
        <v>0</v>
      </c>
      <c r="BG102" s="53">
        <f t="shared" ca="1" si="36"/>
        <v>0</v>
      </c>
    </row>
    <row r="103" spans="1:59" ht="16.149999999999999" customHeight="1" x14ac:dyDescent="0.3">
      <c r="A103" s="310" t="s">
        <v>143</v>
      </c>
      <c r="B103" s="56" t="s">
        <v>231</v>
      </c>
      <c r="C103" s="52">
        <f ca="1">OFFSET(BS!$B70,0,COLUMN(C$68)-COLUMN($B$68)+1,1,1)-OFFSET(BS!$B70,0,COLUMN(C$68)-COLUMN($B$68),1,1)-C99</f>
        <v>0</v>
      </c>
      <c r="D103" s="52">
        <f ca="1">OFFSET(BS!$B70,0,COLUMN(D$68)-COLUMN($B$68)+1,1,1)-OFFSET(BS!$B70,0,COLUMN(D$68)-COLUMN($B$68),1,1)-D99</f>
        <v>-5530.0013550308067</v>
      </c>
      <c r="E103" s="52">
        <f ca="1">OFFSET(BS!$B70,0,COLUMN(E$68)-COLUMN($B$68)+1,1,1)-OFFSET(BS!$B70,0,COLUMN(E$68)-COLUMN($B$68),1,1)-E99</f>
        <v>0</v>
      </c>
      <c r="F103" s="52">
        <f ca="1">OFFSET(BS!$B70,0,COLUMN(F$68)-COLUMN($B$68)+1,1,1)-OFFSET(BS!$B70,0,COLUMN(F$68)-COLUMN($B$68),1,1)-F99</f>
        <v>0</v>
      </c>
      <c r="G103" s="52">
        <f ca="1">OFFSET(BS!$B70,0,COLUMN(G$68)-COLUMN($B$68)+1,1,1)-OFFSET(BS!$B70,0,COLUMN(G$68)-COLUMN($B$68),1,1)-G99</f>
        <v>0</v>
      </c>
      <c r="H103" s="52">
        <f ca="1">OFFSET(BS!$B70,0,COLUMN(H$68)-COLUMN($B$68)+1,1,1)-OFFSET(BS!$B70,0,COLUMN(H$68)-COLUMN($B$68),1,1)-H99</f>
        <v>-5580.6930341185071</v>
      </c>
      <c r="I103" s="52">
        <f ca="1">OFFSET(BS!$B70,0,COLUMN(I$68)-COLUMN($B$68)+1,1,1)-OFFSET(BS!$B70,0,COLUMN(I$68)-COLUMN($B$68),1,1)-I99</f>
        <v>0</v>
      </c>
      <c r="J103" s="52">
        <f ca="1">OFFSET(BS!$B70,0,COLUMN(J$68)-COLUMN($B$68)+1,1,1)-OFFSET(BS!$B70,0,COLUMN(J$68)-COLUMN($B$68),1,1)-J99</f>
        <v>0</v>
      </c>
      <c r="K103" s="52">
        <f ca="1">OFFSET(BS!$B70,0,COLUMN(K$68)-COLUMN($B$68)+1,1,1)-OFFSET(BS!$B70,0,COLUMN(K$68)-COLUMN($B$68),1,1)-K99</f>
        <v>0</v>
      </c>
      <c r="L103" s="52">
        <f ca="1">OFFSET(BS!$B70,0,COLUMN(L$68)-COLUMN($B$68)+1,1,1)-OFFSET(BS!$B70,0,COLUMN(L$68)-COLUMN($B$68),1,1)-L99</f>
        <v>-5631.8493869311642</v>
      </c>
      <c r="M103" s="52">
        <f ca="1">OFFSET(BS!$B70,0,COLUMN(M$68)-COLUMN($B$68)+1,1,1)-OFFSET(BS!$B70,0,COLUMN(M$68)-COLUMN($B$68),1,1)-M99</f>
        <v>0</v>
      </c>
      <c r="N103" s="52">
        <f ca="1">OFFSET(BS!$B70,0,COLUMN(N$68)-COLUMN($B$68)+1,1,1)-OFFSET(BS!$B70,0,COLUMN(N$68)-COLUMN($B$68),1,1)-N99</f>
        <v>0</v>
      </c>
      <c r="O103" s="52">
        <f ca="1">OFFSET(BS!$B70,0,COLUMN(O$68)-COLUMN($B$68)+1,1,1)-OFFSET(BS!$B70,0,COLUMN(O$68)-COLUMN($B$68),1,1)-O99</f>
        <v>0</v>
      </c>
      <c r="P103" s="52">
        <f ca="1">OFFSET(BS!$B70,0,COLUMN(P$68)-COLUMN($B$68)+1,1,1)-OFFSET(BS!$B70,0,COLUMN(P$68)-COLUMN($B$68),1,1)-P99</f>
        <v>0</v>
      </c>
      <c r="Q103" s="52">
        <f ca="1">OFFSET(BS!$B70,0,COLUMN(Q$68)-COLUMN($B$68)+1,1,1)-OFFSET(BS!$B70,0,COLUMN(Q$68)-COLUMN($B$68),1,1)-Q99</f>
        <v>-5683.4746729780454</v>
      </c>
      <c r="R103" s="52">
        <f ca="1">OFFSET(BS!$B70,0,COLUMN(R$68)-COLUMN($B$68)+1,1,1)-OFFSET(BS!$B70,0,COLUMN(R$68)-COLUMN($B$68),1,1)-R99</f>
        <v>0</v>
      </c>
      <c r="S103" s="52">
        <f ca="1">OFFSET(BS!$B70,0,COLUMN(S$68)-COLUMN($B$68)+1,1,1)-OFFSET(BS!$B70,0,COLUMN(S$68)-COLUMN($B$68),1,1)-S99</f>
        <v>0</v>
      </c>
      <c r="T103" s="52">
        <f ca="1">OFFSET(BS!$B70,0,COLUMN(T$68)-COLUMN($B$68)+1,1,1)-OFFSET(BS!$B70,0,COLUMN(T$68)-COLUMN($B$68),1,1)-T99</f>
        <v>0</v>
      </c>
      <c r="U103" s="52">
        <f ca="1">OFFSET(BS!$B70,0,COLUMN(U$68)-COLUMN($B$68)+1,1,1)-OFFSET(BS!$B70,0,COLUMN(U$68)-COLUMN($B$68),1,1)-U99</f>
        <v>-5735.5731908136513</v>
      </c>
      <c r="V103" s="52">
        <f ca="1">OFFSET(BS!$B70,0,COLUMN(V$68)-COLUMN($B$68)+1,1,1)-OFFSET(BS!$B70,0,COLUMN(V$68)-COLUMN($B$68),1,1)-V99</f>
        <v>0</v>
      </c>
      <c r="W103" s="52">
        <f ca="1">OFFSET(BS!$B70,0,COLUMN(W$68)-COLUMN($B$68)+1,1,1)-OFFSET(BS!$B70,0,COLUMN(W$68)-COLUMN($B$68),1,1)-W99</f>
        <v>0</v>
      </c>
      <c r="X103" s="52">
        <f ca="1">OFFSET(BS!$B70,0,COLUMN(X$68)-COLUMN($B$68)+1,1,1)-OFFSET(BS!$B70,0,COLUMN(X$68)-COLUMN($B$68),1,1)-X99</f>
        <v>0</v>
      </c>
      <c r="Y103" s="52">
        <f ca="1">OFFSET(BS!$B70,0,COLUMN(Y$68)-COLUMN($B$68)+1,1,1)-OFFSET(BS!$B70,0,COLUMN(Y$68)-COLUMN($B$68),1,1)-Y99</f>
        <v>-5788.1492783962749</v>
      </c>
      <c r="Z103" s="52">
        <f ca="1">OFFSET(BS!$B70,0,COLUMN(Z$68)-COLUMN($B$68)+1,1,1)-OFFSET(BS!$B70,0,COLUMN(Z$68)-COLUMN($B$68),1,1)-Z99</f>
        <v>0</v>
      </c>
      <c r="AA103" s="52">
        <f ca="1">OFFSET(BS!$B70,0,COLUMN(AA$68)-COLUMN($B$68)+1,1,1)-OFFSET(BS!$B70,0,COLUMN(AA$68)-COLUMN($B$68),1,1)-AA99</f>
        <v>0</v>
      </c>
      <c r="AB103" s="52">
        <f ca="1">OFFSET(BS!$B70,0,COLUMN(AB$68)-COLUMN($B$68)+1,1,1)-OFFSET(BS!$B70,0,COLUMN(AB$68)-COLUMN($B$68),1,1)-AB99</f>
        <v>0</v>
      </c>
      <c r="AC103" s="52">
        <f ca="1">OFFSET(BS!$B70,0,COLUMN(AC$68)-COLUMN($B$68)+1,1,1)-OFFSET(BS!$B70,0,COLUMN(AC$68)-COLUMN($B$68),1,1)-AC99</f>
        <v>0</v>
      </c>
      <c r="AD103" s="52">
        <f ca="1">OFFSET(BS!$B70,0,COLUMN(AD$68)-COLUMN($B$68)+1,1,1)-OFFSET(BS!$B70,0,COLUMN(AD$68)-COLUMN($B$68),1,1)-AD99</f>
        <v>-5841.2073134481907</v>
      </c>
      <c r="AE103" s="52">
        <f ca="1">OFFSET(BS!$B70,0,COLUMN(AE$68)-COLUMN($B$68)+1,1,1)-OFFSET(BS!$B70,0,COLUMN(AE$68)-COLUMN($B$68),1,1)-AE99</f>
        <v>0</v>
      </c>
      <c r="AF103" s="52">
        <f ca="1">OFFSET(BS!$B70,0,COLUMN(AF$68)-COLUMN($B$68)+1,1,1)-OFFSET(BS!$B70,0,COLUMN(AF$68)-COLUMN($B$68),1,1)-AF99</f>
        <v>0</v>
      </c>
      <c r="AG103" s="52">
        <f ca="1">OFFSET(BS!$B70,0,COLUMN(AG$68)-COLUMN($B$68)+1,1,1)-OFFSET(BS!$B70,0,COLUMN(AG$68)-COLUMN($B$68),1,1)-AG99</f>
        <v>0</v>
      </c>
      <c r="AH103" s="52">
        <f ca="1">OFFSET(BS!$B70,0,COLUMN(AH$68)-COLUMN($B$68)+1,1,1)-OFFSET(BS!$B70,0,COLUMN(AH$68)-COLUMN($B$68),1,1)-AH99</f>
        <v>-5894.7517138214316</v>
      </c>
      <c r="AI103" s="52">
        <f ca="1">OFFSET(BS!$B70,0,COLUMN(AI$68)-COLUMN($B$68)+1,1,1)-OFFSET(BS!$B70,0,COLUMN(AI$68)-COLUMN($B$68),1,1)-AI99</f>
        <v>0</v>
      </c>
      <c r="AJ103" s="52">
        <f ca="1">OFFSET(BS!$B70,0,COLUMN(AJ$68)-COLUMN($B$68)+1,1,1)-OFFSET(BS!$B70,0,COLUMN(AJ$68)-COLUMN($B$68),1,1)-AJ99</f>
        <v>0</v>
      </c>
      <c r="AK103" s="52">
        <f ca="1">OFFSET(BS!$B70,0,COLUMN(AK$68)-COLUMN($B$68)+1,1,1)-OFFSET(BS!$B70,0,COLUMN(AK$68)-COLUMN($B$68),1,1)-AK99</f>
        <v>0</v>
      </c>
      <c r="AL103" s="52">
        <f ca="1">OFFSET(BS!$B70,0,COLUMN(AL$68)-COLUMN($B$68)+1,1,1)-OFFSET(BS!$B70,0,COLUMN(AL$68)-COLUMN($B$68),1,1)-AL99</f>
        <v>0</v>
      </c>
      <c r="AM103" s="52">
        <f ca="1">OFFSET(BS!$B70,0,COLUMN(AM$68)-COLUMN($B$68)+1,1,1)-OFFSET(BS!$B70,0,COLUMN(AM$68)-COLUMN($B$68),1,1)-AM99</f>
        <v>-5948.7869378647301</v>
      </c>
      <c r="AN103" s="52">
        <f ca="1">OFFSET(BS!$B70,0,COLUMN(AN$68)-COLUMN($B$68)+1,1,1)-OFFSET(BS!$B70,0,COLUMN(AN$68)-COLUMN($B$68),1,1)-AN99</f>
        <v>0</v>
      </c>
      <c r="AO103" s="52">
        <f ca="1">OFFSET(BS!$B70,0,COLUMN(AO$68)-COLUMN($B$68)+1,1,1)-OFFSET(BS!$B70,0,COLUMN(AO$68)-COLUMN($B$68),1,1)-AO99</f>
        <v>0</v>
      </c>
      <c r="AP103" s="52">
        <f ca="1">OFFSET(BS!$B70,0,COLUMN(AP$68)-COLUMN($B$68)+1,1,1)-OFFSET(BS!$B70,0,COLUMN(AP$68)-COLUMN($B$68),1,1)-AP99</f>
        <v>0</v>
      </c>
      <c r="AQ103" s="52">
        <f ca="1">OFFSET(BS!$B70,0,COLUMN(AQ$68)-COLUMN($B$68)+1,1,1)-OFFSET(BS!$B70,0,COLUMN(AQ$68)-COLUMN($B$68),1,1)-AQ99</f>
        <v>-6003.3174847951159</v>
      </c>
      <c r="AR103" s="52">
        <f ca="1">OFFSET(BS!$B70,0,COLUMN(AR$68)-COLUMN($B$68)+1,1,1)-OFFSET(BS!$B70,0,COLUMN(AR$68)-COLUMN($B$68),1,1)-AR99</f>
        <v>0</v>
      </c>
      <c r="AS103" s="52">
        <f ca="1">OFFSET(BS!$B70,0,COLUMN(AS$68)-COLUMN($B$68)+1,1,1)-OFFSET(BS!$B70,0,COLUMN(AS$68)-COLUMN($B$68),1,1)-AS99</f>
        <v>0</v>
      </c>
      <c r="AT103" s="52">
        <f ca="1">OFFSET(BS!$B70,0,COLUMN(AT$68)-COLUMN($B$68)+1,1,1)-OFFSET(BS!$B70,0,COLUMN(AT$68)-COLUMN($B$68),1,1)-AT99</f>
        <v>0</v>
      </c>
      <c r="AU103" s="52">
        <f ca="1">OFFSET(BS!$B70,0,COLUMN(AU$68)-COLUMN($B$68)+1,1,1)-OFFSET(BS!$B70,0,COLUMN(AU$68)-COLUMN($B$68),1,1)-AU99</f>
        <v>-6058.3478950725403</v>
      </c>
      <c r="AV103" s="52">
        <f ca="1">OFFSET(BS!$B70,0,COLUMN(AV$68)-COLUMN($B$68)+1,1,1)-OFFSET(BS!$B70,0,COLUMN(AV$68)-COLUMN($B$68),1,1)-AV99</f>
        <v>0</v>
      </c>
      <c r="AW103" s="52">
        <f ca="1">OFFSET(BS!$B70,0,COLUMN(AW$68)-COLUMN($B$68)+1,1,1)-OFFSET(BS!$B70,0,COLUMN(AW$68)-COLUMN($B$68),1,1)-AW99</f>
        <v>0</v>
      </c>
      <c r="AX103" s="52">
        <f ca="1">OFFSET(BS!$B70,0,COLUMN(AX$68)-COLUMN($B$68)+1,1,1)-OFFSET(BS!$B70,0,COLUMN(AX$68)-COLUMN($B$68),1,1)-AX99</f>
        <v>0</v>
      </c>
      <c r="AY103" s="52">
        <f ca="1">OFFSET(BS!$B70,0,COLUMN(AY$68)-COLUMN($B$68)+1,1,1)-OFFSET(BS!$B70,0,COLUMN(AY$68)-COLUMN($B$68),1,1)-AY99</f>
        <v>0</v>
      </c>
      <c r="AZ103" s="52">
        <f ca="1">OFFSET(BS!$B70,0,COLUMN(AZ$68)-COLUMN($B$68)+1,1,1)-OFFSET(BS!$B70,0,COLUMN(AZ$68)-COLUMN($B$68),1,1)-AZ99</f>
        <v>-6113.8827507772949</v>
      </c>
      <c r="BA103" s="52">
        <f ca="1">OFFSET(BS!$B70,0,COLUMN(BA$68)-COLUMN($B$68)+1,1,1)-OFFSET(BS!$B70,0,COLUMN(BA$68)-COLUMN($B$68),1,1)-BA99</f>
        <v>0</v>
      </c>
      <c r="BB103" s="52">
        <f ca="1">OFFSET(BS!$B70,0,COLUMN(BB$68)-COLUMN($B$68)+1,1,1)-OFFSET(BS!$B70,0,COLUMN(BB$68)-COLUMN($B$68),1,1)-BB99</f>
        <v>0</v>
      </c>
      <c r="BC103" s="53">
        <f ca="1">SUM(OFFSET($B103,0,1,1,Assumptions!$C$8))</f>
        <v>-16742.543776080478</v>
      </c>
      <c r="BD103" s="53">
        <f ca="1">SUM(OFFSET($B103,0,1+Assumptions!$C$8,1,SUM(Assumptions!$C$9)))</f>
        <v>-17207.197142187972</v>
      </c>
      <c r="BE103" s="53">
        <f ca="1">SUM(OFFSET($B103,0,1+SUM(Assumptions!$C$8:$C$9),1,SUM(Assumptions!$C$10)))</f>
        <v>-17684.745965134352</v>
      </c>
      <c r="BF103" s="53">
        <f ca="1">SUM(OFFSET($B103,0,1+SUM(Assumptions!$C$8:$C$10),1,SUM(Assumptions!$C$11)))</f>
        <v>-18175.548130644951</v>
      </c>
      <c r="BG103" s="53">
        <f t="shared" ca="1" si="36"/>
        <v>-69810.035014047753</v>
      </c>
    </row>
    <row r="104" spans="1:59" ht="16.149999999999999" customHeight="1" x14ac:dyDescent="0.3">
      <c r="A104" s="310" t="s">
        <v>145</v>
      </c>
      <c r="B104" s="56" t="s">
        <v>232</v>
      </c>
      <c r="C104" s="52">
        <f ca="1">OFFSET(BS!$B71,0,COLUMN(C$68)-COLUMN($B$68)+1,1,1)-OFFSET(BS!$B71,0,COLUMN(C$68)-COLUMN($B$68),1,1)-C100</f>
        <v>-3420.4153822354856</v>
      </c>
      <c r="D104" s="52">
        <f ca="1">OFFSET(BS!$B71,0,COLUMN(D$68)-COLUMN($B$68)+1,1,1)-OFFSET(BS!$B71,0,COLUMN(D$68)-COLUMN($B$68),1,1)-D100</f>
        <v>0</v>
      </c>
      <c r="E104" s="52">
        <f ca="1">OFFSET(BS!$B71,0,COLUMN(E$68)-COLUMN($B$68)+1,1,1)-OFFSET(BS!$B71,0,COLUMN(E$68)-COLUMN($B$68),1,1)-E100</f>
        <v>0</v>
      </c>
      <c r="F104" s="52">
        <f ca="1">OFFSET(BS!$B71,0,COLUMN(F$68)-COLUMN($B$68)+1,1,1)-OFFSET(BS!$B71,0,COLUMN(F$68)-COLUMN($B$68),1,1)-F100</f>
        <v>0</v>
      </c>
      <c r="G104" s="52">
        <f ca="1">OFFSET(BS!$B71,0,COLUMN(G$68)-COLUMN($B$68)+1,1,1)-OFFSET(BS!$B71,0,COLUMN(G$68)-COLUMN($B$68),1,1)-G100</f>
        <v>-3448.9188437541015</v>
      </c>
      <c r="H104" s="52">
        <f ca="1">OFFSET(BS!$B71,0,COLUMN(H$68)-COLUMN($B$68)+1,1,1)-OFFSET(BS!$B71,0,COLUMN(H$68)-COLUMN($B$68),1,1)-H100</f>
        <v>0</v>
      </c>
      <c r="I104" s="52">
        <f ca="1">OFFSET(BS!$B71,0,COLUMN(I$68)-COLUMN($B$68)+1,1,1)-OFFSET(BS!$B71,0,COLUMN(I$68)-COLUMN($B$68),1,1)-I100</f>
        <v>0</v>
      </c>
      <c r="J104" s="52">
        <f ca="1">OFFSET(BS!$B71,0,COLUMN(J$68)-COLUMN($B$68)+1,1,1)-OFFSET(BS!$B71,0,COLUMN(J$68)-COLUMN($B$68),1,1)-J100</f>
        <v>0</v>
      </c>
      <c r="K104" s="52">
        <f ca="1">OFFSET(BS!$B71,0,COLUMN(K$68)-COLUMN($B$68)+1,1,1)-OFFSET(BS!$B71,0,COLUMN(K$68)-COLUMN($B$68),1,1)-K100</f>
        <v>0</v>
      </c>
      <c r="L104" s="52">
        <f ca="1">OFFSET(BS!$B71,0,COLUMN(L$68)-COLUMN($B$68)+1,1,1)-OFFSET(BS!$B71,0,COLUMN(L$68)-COLUMN($B$68),1,1)-L100</f>
        <v>-3477.6598341187346</v>
      </c>
      <c r="M104" s="52">
        <f ca="1">OFFSET(BS!$B71,0,COLUMN(M$68)-COLUMN($B$68)+1,1,1)-OFFSET(BS!$B71,0,COLUMN(M$68)-COLUMN($B$68),1,1)-M100</f>
        <v>0</v>
      </c>
      <c r="N104" s="52">
        <f ca="1">OFFSET(BS!$B71,0,COLUMN(N$68)-COLUMN($B$68)+1,1,1)-OFFSET(BS!$B71,0,COLUMN(N$68)-COLUMN($B$68),1,1)-N100</f>
        <v>0</v>
      </c>
      <c r="O104" s="52">
        <f ca="1">OFFSET(BS!$B71,0,COLUMN(O$68)-COLUMN($B$68)+1,1,1)-OFFSET(BS!$B71,0,COLUMN(O$68)-COLUMN($B$68),1,1)-O100</f>
        <v>0</v>
      </c>
      <c r="P104" s="52">
        <f ca="1">OFFSET(BS!$B71,0,COLUMN(P$68)-COLUMN($B$68)+1,1,1)-OFFSET(BS!$B71,0,COLUMN(P$68)-COLUMN($B$68),1,1)-P100</f>
        <v>-3506.6403327364242</v>
      </c>
      <c r="Q104" s="52">
        <f ca="1">OFFSET(BS!$B71,0,COLUMN(Q$68)-COLUMN($B$68)+1,1,1)-OFFSET(BS!$B71,0,COLUMN(Q$68)-COLUMN($B$68),1,1)-Q100</f>
        <v>0</v>
      </c>
      <c r="R104" s="52">
        <f ca="1">OFFSET(BS!$B71,0,COLUMN(R$68)-COLUMN($B$68)+1,1,1)-OFFSET(BS!$B71,0,COLUMN(R$68)-COLUMN($B$68),1,1)-R100</f>
        <v>0</v>
      </c>
      <c r="S104" s="52">
        <f ca="1">OFFSET(BS!$B71,0,COLUMN(S$68)-COLUMN($B$68)+1,1,1)-OFFSET(BS!$B71,0,COLUMN(S$68)-COLUMN($B$68),1,1)-S100</f>
        <v>0</v>
      </c>
      <c r="T104" s="52">
        <f ca="1">OFFSET(BS!$B71,0,COLUMN(T$68)-COLUMN($B$68)+1,1,1)-OFFSET(BS!$B71,0,COLUMN(T$68)-COLUMN($B$68),1,1)-T100</f>
        <v>-3535.8623355092132</v>
      </c>
      <c r="U104" s="52">
        <f ca="1">OFFSET(BS!$B71,0,COLUMN(U$68)-COLUMN($B$68)+1,1,1)-OFFSET(BS!$B71,0,COLUMN(U$68)-COLUMN($B$68),1,1)-U100</f>
        <v>0</v>
      </c>
      <c r="V104" s="52">
        <f ca="1">OFFSET(BS!$B71,0,COLUMN(V$68)-COLUMN($B$68)+1,1,1)-OFFSET(BS!$B71,0,COLUMN(V$68)-COLUMN($B$68),1,1)-V100</f>
        <v>0</v>
      </c>
      <c r="W104" s="52">
        <f ca="1">OFFSET(BS!$B71,0,COLUMN(W$68)-COLUMN($B$68)+1,1,1)-OFFSET(BS!$B71,0,COLUMN(W$68)-COLUMN($B$68),1,1)-W100</f>
        <v>0</v>
      </c>
      <c r="X104" s="52">
        <f ca="1">OFFSET(BS!$B71,0,COLUMN(X$68)-COLUMN($B$68)+1,1,1)-OFFSET(BS!$B71,0,COLUMN(X$68)-COLUMN($B$68),1,1)-X100</f>
        <v>0</v>
      </c>
      <c r="Y104" s="52">
        <f ca="1">OFFSET(BS!$B71,0,COLUMN(Y$68)-COLUMN($B$68)+1,1,1)-OFFSET(BS!$B71,0,COLUMN(Y$68)-COLUMN($B$68),1,1)-Y100</f>
        <v>-4249.4109314188245</v>
      </c>
      <c r="Z104" s="52">
        <f ca="1">OFFSET(BS!$B71,0,COLUMN(Z$68)-COLUMN($B$68)+1,1,1)-OFFSET(BS!$B71,0,COLUMN(Z$68)-COLUMN($B$68),1,1)-Z100</f>
        <v>0</v>
      </c>
      <c r="AA104" s="52">
        <f ca="1">OFFSET(BS!$B71,0,COLUMN(AA$68)-COLUMN($B$68)+1,1,1)-OFFSET(BS!$B71,0,COLUMN(AA$68)-COLUMN($B$68),1,1)-AA100</f>
        <v>0</v>
      </c>
      <c r="AB104" s="52">
        <f ca="1">OFFSET(BS!$B71,0,COLUMN(AB$68)-COLUMN($B$68)+1,1,1)-OFFSET(BS!$B71,0,COLUMN(AB$68)-COLUMN($B$68),1,1)-AB100</f>
        <v>0</v>
      </c>
      <c r="AC104" s="52">
        <f ca="1">OFFSET(BS!$B71,0,COLUMN(AC$68)-COLUMN($B$68)+1,1,1)-OFFSET(BS!$B71,0,COLUMN(AC$68)-COLUMN($B$68),1,1)-AC100</f>
        <v>-4284.822689180728</v>
      </c>
      <c r="AD104" s="52">
        <f ca="1">OFFSET(BS!$B71,0,COLUMN(AD$68)-COLUMN($B$68)+1,1,1)-OFFSET(BS!$B71,0,COLUMN(AD$68)-COLUMN($B$68),1,1)-AD100</f>
        <v>0</v>
      </c>
      <c r="AE104" s="52">
        <f ca="1">OFFSET(BS!$B71,0,COLUMN(AE$68)-COLUMN($B$68)+1,1,1)-OFFSET(BS!$B71,0,COLUMN(AE$68)-COLUMN($B$68),1,1)-AE100</f>
        <v>0</v>
      </c>
      <c r="AF104" s="52">
        <f ca="1">OFFSET(BS!$B71,0,COLUMN(AF$68)-COLUMN($B$68)+1,1,1)-OFFSET(BS!$B71,0,COLUMN(AF$68)-COLUMN($B$68),1,1)-AF100</f>
        <v>0</v>
      </c>
      <c r="AG104" s="52">
        <f ca="1">OFFSET(BS!$B71,0,COLUMN(AG$68)-COLUMN($B$68)+1,1,1)-OFFSET(BS!$B71,0,COLUMN(AG$68)-COLUMN($B$68),1,1)-AG100</f>
        <v>-4320.5295449239202</v>
      </c>
      <c r="AH104" s="52">
        <f ca="1">OFFSET(BS!$B71,0,COLUMN(AH$68)-COLUMN($B$68)+1,1,1)-OFFSET(BS!$B71,0,COLUMN(AH$68)-COLUMN($B$68),1,1)-AH100</f>
        <v>0</v>
      </c>
      <c r="AI104" s="52">
        <f ca="1">OFFSET(BS!$B71,0,COLUMN(AI$68)-COLUMN($B$68)+1,1,1)-OFFSET(BS!$B71,0,COLUMN(AI$68)-COLUMN($B$68),1,1)-AI100</f>
        <v>0</v>
      </c>
      <c r="AJ104" s="52">
        <f ca="1">OFFSET(BS!$B71,0,COLUMN(AJ$68)-COLUMN($B$68)+1,1,1)-OFFSET(BS!$B71,0,COLUMN(AJ$68)-COLUMN($B$68),1,1)-AJ100</f>
        <v>0</v>
      </c>
      <c r="AK104" s="52">
        <f ca="1">OFFSET(BS!$B71,0,COLUMN(AK$68)-COLUMN($B$68)+1,1,1)-OFFSET(BS!$B71,0,COLUMN(AK$68)-COLUMN($B$68),1,1)-AK100</f>
        <v>0</v>
      </c>
      <c r="AL104" s="52">
        <f ca="1">OFFSET(BS!$B71,0,COLUMN(AL$68)-COLUMN($B$68)+1,1,1)-OFFSET(BS!$B71,0,COLUMN(AL$68)-COLUMN($B$68),1,1)-AL100</f>
        <v>-4356.5339577982668</v>
      </c>
      <c r="AM104" s="52">
        <f ca="1">OFFSET(BS!$B71,0,COLUMN(AM$68)-COLUMN($B$68)+1,1,1)-OFFSET(BS!$B71,0,COLUMN(AM$68)-COLUMN($B$68),1,1)-AM100</f>
        <v>0</v>
      </c>
      <c r="AN104" s="52">
        <f ca="1">OFFSET(BS!$B71,0,COLUMN(AN$68)-COLUMN($B$68)+1,1,1)-OFFSET(BS!$B71,0,COLUMN(AN$68)-COLUMN($B$68),1,1)-AN100</f>
        <v>0</v>
      </c>
      <c r="AO104" s="52">
        <f ca="1">OFFSET(BS!$B71,0,COLUMN(AO$68)-COLUMN($B$68)+1,1,1)-OFFSET(BS!$B71,0,COLUMN(AO$68)-COLUMN($B$68),1,1)-AO100</f>
        <v>0</v>
      </c>
      <c r="AP104" s="52">
        <f ca="1">OFFSET(BS!$B71,0,COLUMN(AP$68)-COLUMN($B$68)+1,1,1)-OFFSET(BS!$B71,0,COLUMN(AP$68)-COLUMN($B$68),1,1)-AP100</f>
        <v>-4392.8384074465139</v>
      </c>
      <c r="AQ104" s="52">
        <f ca="1">OFFSET(BS!$B71,0,COLUMN(AQ$68)-COLUMN($B$68)+1,1,1)-OFFSET(BS!$B71,0,COLUMN(AQ$68)-COLUMN($B$68),1,1)-AQ100</f>
        <v>0</v>
      </c>
      <c r="AR104" s="52">
        <f ca="1">OFFSET(BS!$B71,0,COLUMN(AR$68)-COLUMN($B$68)+1,1,1)-OFFSET(BS!$B71,0,COLUMN(AR$68)-COLUMN($B$68),1,1)-AR100</f>
        <v>0</v>
      </c>
      <c r="AS104" s="52">
        <f ca="1">OFFSET(BS!$B71,0,COLUMN(AS$68)-COLUMN($B$68)+1,1,1)-OFFSET(BS!$B71,0,COLUMN(AS$68)-COLUMN($B$68),1,1)-AS100</f>
        <v>0</v>
      </c>
      <c r="AT104" s="52">
        <f ca="1">OFFSET(BS!$B71,0,COLUMN(AT$68)-COLUMN($B$68)+1,1,1)-OFFSET(BS!$B71,0,COLUMN(AT$68)-COLUMN($B$68),1,1)-AT100</f>
        <v>-4429.4453941752436</v>
      </c>
      <c r="AU104" s="52">
        <f ca="1">OFFSET(BS!$B71,0,COLUMN(AU$68)-COLUMN($B$68)+1,1,1)-OFFSET(BS!$B71,0,COLUMN(AU$68)-COLUMN($B$68),1,1)-AU100</f>
        <v>0</v>
      </c>
      <c r="AV104" s="52">
        <f ca="1">OFFSET(BS!$B71,0,COLUMN(AV$68)-COLUMN($B$68)+1,1,1)-OFFSET(BS!$B71,0,COLUMN(AV$68)-COLUMN($B$68),1,1)-AV100</f>
        <v>0</v>
      </c>
      <c r="AW104" s="52">
        <f ca="1">OFFSET(BS!$B71,0,COLUMN(AW$68)-COLUMN($B$68)+1,1,1)-OFFSET(BS!$B71,0,COLUMN(AW$68)-COLUMN($B$68),1,1)-AW100</f>
        <v>0</v>
      </c>
      <c r="AX104" s="52">
        <f ca="1">OFFSET(BS!$B71,0,COLUMN(AX$68)-COLUMN($B$68)+1,1,1)-OFFSET(BS!$B71,0,COLUMN(AX$68)-COLUMN($B$68),1,1)-AX100</f>
        <v>0</v>
      </c>
      <c r="AY104" s="52">
        <f ca="1">OFFSET(BS!$B71,0,COLUMN(AY$68)-COLUMN($B$68)+1,1,1)-OFFSET(BS!$B71,0,COLUMN(AY$68)-COLUMN($B$68),1,1)-AY100</f>
        <v>-4466.357439126703</v>
      </c>
      <c r="AZ104" s="52">
        <f ca="1">OFFSET(BS!$B71,0,COLUMN(AZ$68)-COLUMN($B$68)+1,1,1)-OFFSET(BS!$B71,0,COLUMN(AZ$68)-COLUMN($B$68),1,1)-AZ100</f>
        <v>0</v>
      </c>
      <c r="BA104" s="52">
        <f ca="1">OFFSET(BS!$B71,0,COLUMN(BA$68)-COLUMN($B$68)+1,1,1)-OFFSET(BS!$B71,0,COLUMN(BA$68)-COLUMN($B$68),1,1)-BA100</f>
        <v>0</v>
      </c>
      <c r="BB104" s="52">
        <f ca="1">OFFSET(BS!$B71,0,COLUMN(BB$68)-COLUMN($B$68)+1,1,1)-OFFSET(BS!$B71,0,COLUMN(BB$68)-COLUMN($B$68),1,1)-BB100</f>
        <v>0</v>
      </c>
      <c r="BC104" s="53">
        <f ca="1">SUM(OFFSET($B104,0,1,1,Assumptions!$C$8))</f>
        <v>-10346.994060108322</v>
      </c>
      <c r="BD104" s="53">
        <f ca="1">SUM(OFFSET($B104,0,1+Assumptions!$C$8,1,SUM(Assumptions!$C$9)))</f>
        <v>-11291.913599664462</v>
      </c>
      <c r="BE104" s="53">
        <f ca="1">SUM(OFFSET($B104,0,1+SUM(Assumptions!$C$8:$C$9),1,SUM(Assumptions!$C$10)))</f>
        <v>-12961.886191902915</v>
      </c>
      <c r="BF104" s="53">
        <f ca="1">SUM(OFFSET($B104,0,1+SUM(Assumptions!$C$8:$C$10),1,SUM(Assumptions!$C$11)))</f>
        <v>-13288.64124074846</v>
      </c>
      <c r="BG104" s="53">
        <f t="shared" ca="1" si="36"/>
        <v>-47889.435092424159</v>
      </c>
    </row>
    <row r="105" spans="1:59" ht="16.149999999999999" customHeight="1" x14ac:dyDescent="0.3">
      <c r="A105" s="310" t="s">
        <v>147</v>
      </c>
      <c r="B105" s="56" t="s">
        <v>233</v>
      </c>
      <c r="C105" s="52">
        <f ca="1">OFFSET(BS!$B72,0,COLUMN(C$68)-COLUMN($B$68)+1,1,1)-OFFSET(BS!$B72,0,COLUMN(C$68)-COLUMN($B$68),1,1)-C101</f>
        <v>0</v>
      </c>
      <c r="D105" s="52">
        <f ca="1">OFFSET(BS!$B72,0,COLUMN(D$68)-COLUMN($B$68)+1,1,1)-OFFSET(BS!$B72,0,COLUMN(D$68)-COLUMN($B$68),1,1)-D101</f>
        <v>0</v>
      </c>
      <c r="E105" s="52">
        <f ca="1">OFFSET(BS!$B72,0,COLUMN(E$68)-COLUMN($B$68)+1,1,1)-OFFSET(BS!$B72,0,COLUMN(E$68)-COLUMN($B$68),1,1)-E101</f>
        <v>0</v>
      </c>
      <c r="F105" s="52">
        <f ca="1">OFFSET(BS!$B72,0,COLUMN(F$68)-COLUMN($B$68)+1,1,1)-OFFSET(BS!$B72,0,COLUMN(F$68)-COLUMN($B$68),1,1)-F101</f>
        <v>0</v>
      </c>
      <c r="G105" s="52">
        <f ca="1">OFFSET(BS!$B72,0,COLUMN(G$68)-COLUMN($B$68)+1,1,1)-OFFSET(BS!$B72,0,COLUMN(G$68)-COLUMN($B$68),1,1)-G101</f>
        <v>0</v>
      </c>
      <c r="H105" s="52">
        <f ca="1">OFFSET(BS!$B72,0,COLUMN(H$68)-COLUMN($B$68)+1,1,1)-OFFSET(BS!$B72,0,COLUMN(H$68)-COLUMN($B$68),1,1)-H101</f>
        <v>0</v>
      </c>
      <c r="I105" s="52">
        <f ca="1">OFFSET(BS!$B72,0,COLUMN(I$68)-COLUMN($B$68)+1,1,1)-OFFSET(BS!$B72,0,COLUMN(I$68)-COLUMN($B$68),1,1)-I101</f>
        <v>0</v>
      </c>
      <c r="J105" s="52">
        <f ca="1">OFFSET(BS!$B72,0,COLUMN(J$68)-COLUMN($B$68)+1,1,1)-OFFSET(BS!$B72,0,COLUMN(J$68)-COLUMN($B$68),1,1)-J101</f>
        <v>0</v>
      </c>
      <c r="K105" s="52">
        <f ca="1">OFFSET(BS!$B72,0,COLUMN(K$68)-COLUMN($B$68)+1,1,1)-OFFSET(BS!$B72,0,COLUMN(K$68)-COLUMN($B$68),1,1)-K101</f>
        <v>0</v>
      </c>
      <c r="L105" s="52">
        <f ca="1">OFFSET(BS!$B72,0,COLUMN(L$68)-COLUMN($B$68)+1,1,1)-OFFSET(BS!$B72,0,COLUMN(L$68)-COLUMN($B$68),1,1)-L101</f>
        <v>0</v>
      </c>
      <c r="M105" s="52">
        <f ca="1">OFFSET(BS!$B72,0,COLUMN(M$68)-COLUMN($B$68)+1,1,1)-OFFSET(BS!$B72,0,COLUMN(M$68)-COLUMN($B$68),1,1)-M101</f>
        <v>0</v>
      </c>
      <c r="N105" s="52">
        <f ca="1">OFFSET(BS!$B72,0,COLUMN(N$68)-COLUMN($B$68)+1,1,1)-OFFSET(BS!$B72,0,COLUMN(N$68)-COLUMN($B$68),1,1)-N101</f>
        <v>0</v>
      </c>
      <c r="O105" s="52">
        <f ca="1">OFFSET(BS!$B72,0,COLUMN(O$68)-COLUMN($B$68)+1,1,1)-OFFSET(BS!$B72,0,COLUMN(O$68)-COLUMN($B$68),1,1)-O101</f>
        <v>0</v>
      </c>
      <c r="P105" s="52">
        <f ca="1">OFFSET(BS!$B72,0,COLUMN(P$68)-COLUMN($B$68)+1,1,1)-OFFSET(BS!$B72,0,COLUMN(P$68)-COLUMN($B$68),1,1)-P101</f>
        <v>0</v>
      </c>
      <c r="Q105" s="52">
        <f ca="1">OFFSET(BS!$B72,0,COLUMN(Q$68)-COLUMN($B$68)+1,1,1)-OFFSET(BS!$B72,0,COLUMN(Q$68)-COLUMN($B$68),1,1)-Q101</f>
        <v>0</v>
      </c>
      <c r="R105" s="52">
        <f ca="1">OFFSET(BS!$B72,0,COLUMN(R$68)-COLUMN($B$68)+1,1,1)-OFFSET(BS!$B72,0,COLUMN(R$68)-COLUMN($B$68),1,1)-R101</f>
        <v>0</v>
      </c>
      <c r="S105" s="52">
        <f ca="1">OFFSET(BS!$B72,0,COLUMN(S$68)-COLUMN($B$68)+1,1,1)-OFFSET(BS!$B72,0,COLUMN(S$68)-COLUMN($B$68),1,1)-S101</f>
        <v>0</v>
      </c>
      <c r="T105" s="52">
        <f ca="1">OFFSET(BS!$B72,0,COLUMN(T$68)-COLUMN($B$68)+1,1,1)-OFFSET(BS!$B72,0,COLUMN(T$68)-COLUMN($B$68),1,1)-T101</f>
        <v>0</v>
      </c>
      <c r="U105" s="52">
        <f ca="1">OFFSET(BS!$B72,0,COLUMN(U$68)-COLUMN($B$68)+1,1,1)-OFFSET(BS!$B72,0,COLUMN(U$68)-COLUMN($B$68),1,1)-U101</f>
        <v>0</v>
      </c>
      <c r="V105" s="52">
        <f ca="1">OFFSET(BS!$B72,0,COLUMN(V$68)-COLUMN($B$68)+1,1,1)-OFFSET(BS!$B72,0,COLUMN(V$68)-COLUMN($B$68),1,1)-V101</f>
        <v>0</v>
      </c>
      <c r="W105" s="52">
        <f ca="1">OFFSET(BS!$B72,0,COLUMN(W$68)-COLUMN($B$68)+1,1,1)-OFFSET(BS!$B72,0,COLUMN(W$68)-COLUMN($B$68),1,1)-W101</f>
        <v>0</v>
      </c>
      <c r="X105" s="52">
        <f ca="1">OFFSET(BS!$B72,0,COLUMN(X$68)-COLUMN($B$68)+1,1,1)-OFFSET(BS!$B72,0,COLUMN(X$68)-COLUMN($B$68),1,1)-X101</f>
        <v>0</v>
      </c>
      <c r="Y105" s="52">
        <f ca="1">OFFSET(BS!$B72,0,COLUMN(Y$68)-COLUMN($B$68)+1,1,1)-OFFSET(BS!$B72,0,COLUMN(Y$68)-COLUMN($B$68),1,1)-Y101</f>
        <v>0</v>
      </c>
      <c r="Z105" s="52">
        <f ca="1">OFFSET(BS!$B72,0,COLUMN(Z$68)-COLUMN($B$68)+1,1,1)-OFFSET(BS!$B72,0,COLUMN(Z$68)-COLUMN($B$68),1,1)-Z101</f>
        <v>0</v>
      </c>
      <c r="AA105" s="52">
        <f ca="1">OFFSET(BS!$B72,0,COLUMN(AA$68)-COLUMN($B$68)+1,1,1)-OFFSET(BS!$B72,0,COLUMN(AA$68)-COLUMN($B$68),1,1)-AA101</f>
        <v>0</v>
      </c>
      <c r="AB105" s="52">
        <f ca="1">OFFSET(BS!$B72,0,COLUMN(AB$68)-COLUMN($B$68)+1,1,1)-OFFSET(BS!$B72,0,COLUMN(AB$68)-COLUMN($B$68),1,1)-AB101</f>
        <v>0</v>
      </c>
      <c r="AC105" s="52">
        <f ca="1">OFFSET(BS!$B72,0,COLUMN(AC$68)-COLUMN($B$68)+1,1,1)-OFFSET(BS!$B72,0,COLUMN(AC$68)-COLUMN($B$68),1,1)-AC101</f>
        <v>0</v>
      </c>
      <c r="AD105" s="52">
        <f ca="1">OFFSET(BS!$B72,0,COLUMN(AD$68)-COLUMN($B$68)+1,1,1)-OFFSET(BS!$B72,0,COLUMN(AD$68)-COLUMN($B$68),1,1)-AD101</f>
        <v>0</v>
      </c>
      <c r="AE105" s="52">
        <f ca="1">OFFSET(BS!$B72,0,COLUMN(AE$68)-COLUMN($B$68)+1,1,1)-OFFSET(BS!$B72,0,COLUMN(AE$68)-COLUMN($B$68),1,1)-AE101</f>
        <v>0</v>
      </c>
      <c r="AF105" s="52">
        <f ca="1">OFFSET(BS!$B72,0,COLUMN(AF$68)-COLUMN($B$68)+1,1,1)-OFFSET(BS!$B72,0,COLUMN(AF$68)-COLUMN($B$68),1,1)-AF101</f>
        <v>0</v>
      </c>
      <c r="AG105" s="52">
        <f ca="1">OFFSET(BS!$B72,0,COLUMN(AG$68)-COLUMN($B$68)+1,1,1)-OFFSET(BS!$B72,0,COLUMN(AG$68)-COLUMN($B$68),1,1)-AG101</f>
        <v>0</v>
      </c>
      <c r="AH105" s="52">
        <f ca="1">OFFSET(BS!$B72,0,COLUMN(AH$68)-COLUMN($B$68)+1,1,1)-OFFSET(BS!$B72,0,COLUMN(AH$68)-COLUMN($B$68),1,1)-AH101</f>
        <v>0</v>
      </c>
      <c r="AI105" s="52">
        <f ca="1">OFFSET(BS!$B72,0,COLUMN(AI$68)-COLUMN($B$68)+1,1,1)-OFFSET(BS!$B72,0,COLUMN(AI$68)-COLUMN($B$68),1,1)-AI101</f>
        <v>0</v>
      </c>
      <c r="AJ105" s="52">
        <f ca="1">OFFSET(BS!$B72,0,COLUMN(AJ$68)-COLUMN($B$68)+1,1,1)-OFFSET(BS!$B72,0,COLUMN(AJ$68)-COLUMN($B$68),1,1)-AJ101</f>
        <v>0</v>
      </c>
      <c r="AK105" s="52">
        <f ca="1">OFFSET(BS!$B72,0,COLUMN(AK$68)-COLUMN($B$68)+1,1,1)-OFFSET(BS!$B72,0,COLUMN(AK$68)-COLUMN($B$68),1,1)-AK101</f>
        <v>0</v>
      </c>
      <c r="AL105" s="52">
        <f ca="1">OFFSET(BS!$B72,0,COLUMN(AL$68)-COLUMN($B$68)+1,1,1)-OFFSET(BS!$B72,0,COLUMN(AL$68)-COLUMN($B$68),1,1)-AL101</f>
        <v>0</v>
      </c>
      <c r="AM105" s="52">
        <f ca="1">OFFSET(BS!$B72,0,COLUMN(AM$68)-COLUMN($B$68)+1,1,1)-OFFSET(BS!$B72,0,COLUMN(AM$68)-COLUMN($B$68),1,1)-AM101</f>
        <v>0</v>
      </c>
      <c r="AN105" s="52">
        <f ca="1">OFFSET(BS!$B72,0,COLUMN(AN$68)-COLUMN($B$68)+1,1,1)-OFFSET(BS!$B72,0,COLUMN(AN$68)-COLUMN($B$68),1,1)-AN101</f>
        <v>0</v>
      </c>
      <c r="AO105" s="52">
        <f ca="1">OFFSET(BS!$B72,0,COLUMN(AO$68)-COLUMN($B$68)+1,1,1)-OFFSET(BS!$B72,0,COLUMN(AO$68)-COLUMN($B$68),1,1)-AO101</f>
        <v>0</v>
      </c>
      <c r="AP105" s="52">
        <f ca="1">OFFSET(BS!$B72,0,COLUMN(AP$68)-COLUMN($B$68)+1,1,1)-OFFSET(BS!$B72,0,COLUMN(AP$68)-COLUMN($B$68),1,1)-AP101</f>
        <v>0</v>
      </c>
      <c r="AQ105" s="52">
        <f ca="1">OFFSET(BS!$B72,0,COLUMN(AQ$68)-COLUMN($B$68)+1,1,1)-OFFSET(BS!$B72,0,COLUMN(AQ$68)-COLUMN($B$68),1,1)-AQ101</f>
        <v>0</v>
      </c>
      <c r="AR105" s="52">
        <f ca="1">OFFSET(BS!$B72,0,COLUMN(AR$68)-COLUMN($B$68)+1,1,1)-OFFSET(BS!$B72,0,COLUMN(AR$68)-COLUMN($B$68),1,1)-AR101</f>
        <v>0</v>
      </c>
      <c r="AS105" s="52">
        <f ca="1">OFFSET(BS!$B72,0,COLUMN(AS$68)-COLUMN($B$68)+1,1,1)-OFFSET(BS!$B72,0,COLUMN(AS$68)-COLUMN($B$68),1,1)-AS101</f>
        <v>0</v>
      </c>
      <c r="AT105" s="52">
        <f ca="1">OFFSET(BS!$B72,0,COLUMN(AT$68)-COLUMN($B$68)+1,1,1)-OFFSET(BS!$B72,0,COLUMN(AT$68)-COLUMN($B$68),1,1)-AT101</f>
        <v>0</v>
      </c>
      <c r="AU105" s="52">
        <f ca="1">OFFSET(BS!$B72,0,COLUMN(AU$68)-COLUMN($B$68)+1,1,1)-OFFSET(BS!$B72,0,COLUMN(AU$68)-COLUMN($B$68),1,1)-AU101</f>
        <v>-250000</v>
      </c>
      <c r="AV105" s="52">
        <f ca="1">OFFSET(BS!$B72,0,COLUMN(AV$68)-COLUMN($B$68)+1,1,1)-OFFSET(BS!$B72,0,COLUMN(AV$68)-COLUMN($B$68),1,1)-AV101</f>
        <v>0</v>
      </c>
      <c r="AW105" s="52">
        <f ca="1">OFFSET(BS!$B72,0,COLUMN(AW$68)-COLUMN($B$68)+1,1,1)-OFFSET(BS!$B72,0,COLUMN(AW$68)-COLUMN($B$68),1,1)-AW101</f>
        <v>0</v>
      </c>
      <c r="AX105" s="52">
        <f ca="1">OFFSET(BS!$B72,0,COLUMN(AX$68)-COLUMN($B$68)+1,1,1)-OFFSET(BS!$B72,0,COLUMN(AX$68)-COLUMN($B$68),1,1)-AX101</f>
        <v>0</v>
      </c>
      <c r="AY105" s="52">
        <f ca="1">OFFSET(BS!$B72,0,COLUMN(AY$68)-COLUMN($B$68)+1,1,1)-OFFSET(BS!$B72,0,COLUMN(AY$68)-COLUMN($B$68),1,1)-AY101</f>
        <v>246897.68148961573</v>
      </c>
      <c r="AZ105" s="52">
        <f ca="1">OFFSET(BS!$B72,0,COLUMN(AZ$68)-COLUMN($B$68)+1,1,1)-OFFSET(BS!$B72,0,COLUMN(AZ$68)-COLUMN($B$68),1,1)-AZ101</f>
        <v>0</v>
      </c>
      <c r="BA105" s="52">
        <f ca="1">OFFSET(BS!$B72,0,COLUMN(BA$68)-COLUMN($B$68)+1,1,1)-OFFSET(BS!$B72,0,COLUMN(BA$68)-COLUMN($B$68),1,1)-BA101</f>
        <v>0</v>
      </c>
      <c r="BB105" s="52">
        <f ca="1">OFFSET(BS!$B72,0,COLUMN(BB$68)-COLUMN($B$68)+1,1,1)-OFFSET(BS!$B72,0,COLUMN(BB$68)-COLUMN($B$68),1,1)-BB101</f>
        <v>0</v>
      </c>
      <c r="BC105" s="53">
        <f ca="1">SUM(OFFSET($B105,0,1,1,Assumptions!$C$8))</f>
        <v>0</v>
      </c>
      <c r="BD105" s="53">
        <f ca="1">SUM(OFFSET($B105,0,1+Assumptions!$C$8,1,SUM(Assumptions!$C$9)))</f>
        <v>0</v>
      </c>
      <c r="BE105" s="53">
        <f ca="1">SUM(OFFSET($B105,0,1+SUM(Assumptions!$C$8:$C$9),1,SUM(Assumptions!$C$10)))</f>
        <v>0</v>
      </c>
      <c r="BF105" s="53">
        <f ca="1">SUM(OFFSET($B105,0,1+SUM(Assumptions!$C$8:$C$10),1,SUM(Assumptions!$C$11)))</f>
        <v>-3102.3185103842698</v>
      </c>
      <c r="BG105" s="53">
        <f t="shared" ca="1" si="36"/>
        <v>-3102.3185103842698</v>
      </c>
    </row>
    <row r="106" spans="1:59" ht="16.149999999999999" customHeight="1" x14ac:dyDescent="0.3">
      <c r="A106" s="310" t="s">
        <v>149</v>
      </c>
      <c r="B106" s="56" t="s">
        <v>234</v>
      </c>
      <c r="C106" s="52">
        <f ca="1">OFFSET(BS!$B73,0,COLUMN(C$68)-COLUMN($B$68)+1,1,1)-OFFSET(BS!$B73,0,COLUMN(C$68)-COLUMN($B$68),1,1)-C102</f>
        <v>0</v>
      </c>
      <c r="D106" s="52">
        <f ca="1">OFFSET(BS!$B73,0,COLUMN(D$68)-COLUMN($B$68)+1,1,1)-OFFSET(BS!$B73,0,COLUMN(D$68)-COLUMN($B$68),1,1)-D102</f>
        <v>-7088.5137765341206</v>
      </c>
      <c r="E106" s="52">
        <f ca="1">OFFSET(BS!$B73,0,COLUMN(E$68)-COLUMN($B$68)+1,1,1)-OFFSET(BS!$B73,0,COLUMN(E$68)-COLUMN($B$68),1,1)-E102</f>
        <v>0</v>
      </c>
      <c r="F106" s="52">
        <f ca="1">OFFSET(BS!$B73,0,COLUMN(F$68)-COLUMN($B$68)+1,1,1)-OFFSET(BS!$B73,0,COLUMN(F$68)-COLUMN($B$68),1,1)-F102</f>
        <v>0</v>
      </c>
      <c r="G106" s="52">
        <f ca="1">OFFSET(BS!$B73,0,COLUMN(G$68)-COLUMN($B$68)+1,1,1)-OFFSET(BS!$B73,0,COLUMN(G$68)-COLUMN($B$68),1,1)-G102</f>
        <v>0</v>
      </c>
      <c r="H106" s="52">
        <f ca="1">OFFSET(BS!$B73,0,COLUMN(H$68)-COLUMN($B$68)+1,1,1)-OFFSET(BS!$B73,0,COLUMN(H$68)-COLUMN($B$68),1,1)-H102</f>
        <v>0</v>
      </c>
      <c r="I106" s="52">
        <f ca="1">OFFSET(BS!$B73,0,COLUMN(I$68)-COLUMN($B$68)+1,1,1)-OFFSET(BS!$B73,0,COLUMN(I$68)-COLUMN($B$68),1,1)-I102</f>
        <v>-7153.4918194856727</v>
      </c>
      <c r="J106" s="52">
        <f ca="1">OFFSET(BS!$B73,0,COLUMN(J$68)-COLUMN($B$68)+1,1,1)-OFFSET(BS!$B73,0,COLUMN(J$68)-COLUMN($B$68),1,1)-J102</f>
        <v>0</v>
      </c>
      <c r="K106" s="52">
        <f ca="1">OFFSET(BS!$B73,0,COLUMN(K$68)-COLUMN($B$68)+1,1,1)-OFFSET(BS!$B73,0,COLUMN(K$68)-COLUMN($B$68),1,1)-K102</f>
        <v>0</v>
      </c>
      <c r="L106" s="52">
        <f ca="1">OFFSET(BS!$B73,0,COLUMN(L$68)-COLUMN($B$68)+1,1,1)-OFFSET(BS!$B73,0,COLUMN(L$68)-COLUMN($B$68),1,1)-L102</f>
        <v>0</v>
      </c>
      <c r="M106" s="52">
        <f ca="1">OFFSET(BS!$B73,0,COLUMN(M$68)-COLUMN($B$68)+1,1,1)-OFFSET(BS!$B73,0,COLUMN(M$68)-COLUMN($B$68),1,1)-M102</f>
        <v>-7219.0654944976559</v>
      </c>
      <c r="N106" s="52">
        <f ca="1">OFFSET(BS!$B73,0,COLUMN(N$68)-COLUMN($B$68)+1,1,1)-OFFSET(BS!$B73,0,COLUMN(N$68)-COLUMN($B$68),1,1)-N102</f>
        <v>0</v>
      </c>
      <c r="O106" s="52">
        <f ca="1">OFFSET(BS!$B73,0,COLUMN(O$68)-COLUMN($B$68)+1,1,1)-OFFSET(BS!$B73,0,COLUMN(O$68)-COLUMN($B$68),1,1)-O102</f>
        <v>0</v>
      </c>
      <c r="P106" s="52">
        <f ca="1">OFFSET(BS!$B73,0,COLUMN(P$68)-COLUMN($B$68)+1,1,1)-OFFSET(BS!$B73,0,COLUMN(P$68)-COLUMN($B$68),1,1)-P102</f>
        <v>0</v>
      </c>
      <c r="Q106" s="52">
        <f ca="1">OFFSET(BS!$B73,0,COLUMN(Q$68)-COLUMN($B$68)+1,1,1)-OFFSET(BS!$B73,0,COLUMN(Q$68)-COLUMN($B$68),1,1)-Q102</f>
        <v>-7285.2402615305036</v>
      </c>
      <c r="R106" s="52">
        <f ca="1">OFFSET(BS!$B73,0,COLUMN(R$68)-COLUMN($B$68)+1,1,1)-OFFSET(BS!$B73,0,COLUMN(R$68)-COLUMN($B$68),1,1)-R102</f>
        <v>0</v>
      </c>
      <c r="S106" s="52">
        <f ca="1">OFFSET(BS!$B73,0,COLUMN(S$68)-COLUMN($B$68)+1,1,1)-OFFSET(BS!$B73,0,COLUMN(S$68)-COLUMN($B$68),1,1)-S102</f>
        <v>0</v>
      </c>
      <c r="T106" s="52">
        <f ca="1">OFFSET(BS!$B73,0,COLUMN(T$68)-COLUMN($B$68)+1,1,1)-OFFSET(BS!$B73,0,COLUMN(T$68)-COLUMN($B$68),1,1)-T102</f>
        <v>0</v>
      </c>
      <c r="U106" s="52">
        <f ca="1">OFFSET(BS!$B73,0,COLUMN(U$68)-COLUMN($B$68)+1,1,1)-OFFSET(BS!$B73,0,COLUMN(U$68)-COLUMN($B$68),1,1)-U102</f>
        <v>0</v>
      </c>
      <c r="V106" s="52">
        <f ca="1">OFFSET(BS!$B73,0,COLUMN(V$68)-COLUMN($B$68)+1,1,1)-OFFSET(BS!$B73,0,COLUMN(V$68)-COLUMN($B$68),1,1)-V102</f>
        <v>-7352.0216305945651</v>
      </c>
      <c r="W106" s="52">
        <f ca="1">OFFSET(BS!$B73,0,COLUMN(W$68)-COLUMN($B$68)+1,1,1)-OFFSET(BS!$B73,0,COLUMN(W$68)-COLUMN($B$68),1,1)-W102</f>
        <v>0</v>
      </c>
      <c r="X106" s="52">
        <f ca="1">OFFSET(BS!$B73,0,COLUMN(X$68)-COLUMN($B$68)+1,1,1)-OFFSET(BS!$B73,0,COLUMN(X$68)-COLUMN($B$68),1,1)-X102</f>
        <v>0</v>
      </c>
      <c r="Y106" s="52">
        <f ca="1">OFFSET(BS!$B73,0,COLUMN(Y$68)-COLUMN($B$68)+1,1,1)-OFFSET(BS!$B73,0,COLUMN(Y$68)-COLUMN($B$68),1,1)-Y102</f>
        <v>0</v>
      </c>
      <c r="Z106" s="52">
        <f ca="1">OFFSET(BS!$B73,0,COLUMN(Z$68)-COLUMN($B$68)+1,1,1)-OFFSET(BS!$B73,0,COLUMN(Z$68)-COLUMN($B$68),1,1)-Z102</f>
        <v>-7419.4151622083155</v>
      </c>
      <c r="AA106" s="52">
        <f ca="1">OFFSET(BS!$B73,0,COLUMN(AA$68)-COLUMN($B$68)+1,1,1)-OFFSET(BS!$B73,0,COLUMN(AA$68)-COLUMN($B$68),1,1)-AA102</f>
        <v>0</v>
      </c>
      <c r="AB106" s="52">
        <f ca="1">OFFSET(BS!$B73,0,COLUMN(AB$68)-COLUMN($B$68)+1,1,1)-OFFSET(BS!$B73,0,COLUMN(AB$68)-COLUMN($B$68),1,1)-AB102</f>
        <v>0</v>
      </c>
      <c r="AC106" s="52">
        <f ca="1">OFFSET(BS!$B73,0,COLUMN(AC$68)-COLUMN($B$68)+1,1,1)-OFFSET(BS!$B73,0,COLUMN(AC$68)-COLUMN($B$68),1,1)-AC102</f>
        <v>0</v>
      </c>
      <c r="AD106" s="52">
        <f ca="1">OFFSET(BS!$B73,0,COLUMN(AD$68)-COLUMN($B$68)+1,1,1)-OFFSET(BS!$B73,0,COLUMN(AD$68)-COLUMN($B$68),1,1)-AD102</f>
        <v>0</v>
      </c>
      <c r="AE106" s="52">
        <f ca="1">OFFSET(BS!$B73,0,COLUMN(AE$68)-COLUMN($B$68)+1,1,1)-OFFSET(BS!$B73,0,COLUMN(AE$68)-COLUMN($B$68),1,1)-AE102</f>
        <v>-7487.426467861922</v>
      </c>
      <c r="AF106" s="52">
        <f ca="1">OFFSET(BS!$B73,0,COLUMN(AF$68)-COLUMN($B$68)+1,1,1)-OFFSET(BS!$B73,0,COLUMN(AF$68)-COLUMN($B$68),1,1)-AF102</f>
        <v>0</v>
      </c>
      <c r="AG106" s="52">
        <f ca="1">OFFSET(BS!$B73,0,COLUMN(AG$68)-COLUMN($B$68)+1,1,1)-OFFSET(BS!$B73,0,COLUMN(AG$68)-COLUMN($B$68),1,1)-AG102</f>
        <v>0</v>
      </c>
      <c r="AH106" s="52">
        <f ca="1">OFFSET(BS!$B73,0,COLUMN(AH$68)-COLUMN($B$68)+1,1,1)-OFFSET(BS!$B73,0,COLUMN(AH$68)-COLUMN($B$68),1,1)-AH102</f>
        <v>0</v>
      </c>
      <c r="AI106" s="52">
        <f ca="1">OFFSET(BS!$B73,0,COLUMN(AI$68)-COLUMN($B$68)+1,1,1)-OFFSET(BS!$B73,0,COLUMN(AI$68)-COLUMN($B$68),1,1)-AI102</f>
        <v>-7556.0612104839529</v>
      </c>
      <c r="AJ106" s="52">
        <f ca="1">OFFSET(BS!$B73,0,COLUMN(AJ$68)-COLUMN($B$68)+1,1,1)-OFFSET(BS!$B73,0,COLUMN(AJ$68)-COLUMN($B$68),1,1)-AJ102</f>
        <v>0</v>
      </c>
      <c r="AK106" s="52">
        <f ca="1">OFFSET(BS!$B73,0,COLUMN(AK$68)-COLUMN($B$68)+1,1,1)-OFFSET(BS!$B73,0,COLUMN(AK$68)-COLUMN($B$68),1,1)-AK102</f>
        <v>0</v>
      </c>
      <c r="AL106" s="52">
        <f ca="1">OFFSET(BS!$B73,0,COLUMN(AL$68)-COLUMN($B$68)+1,1,1)-OFFSET(BS!$B73,0,COLUMN(AL$68)-COLUMN($B$68),1,1)-AL102</f>
        <v>0</v>
      </c>
      <c r="AM106" s="52">
        <f ca="1">OFFSET(BS!$B73,0,COLUMN(AM$68)-COLUMN($B$68)+1,1,1)-OFFSET(BS!$B73,0,COLUMN(AM$68)-COLUMN($B$68),1,1)-AM102</f>
        <v>-7625.3251049134415</v>
      </c>
      <c r="AN106" s="52">
        <f ca="1">OFFSET(BS!$B73,0,COLUMN(AN$68)-COLUMN($B$68)+1,1,1)-OFFSET(BS!$B73,0,COLUMN(AN$68)-COLUMN($B$68),1,1)-AN102</f>
        <v>0</v>
      </c>
      <c r="AO106" s="52">
        <f ca="1">OFFSET(BS!$B73,0,COLUMN(AO$68)-COLUMN($B$68)+1,1,1)-OFFSET(BS!$B73,0,COLUMN(AO$68)-COLUMN($B$68),1,1)-AO102</f>
        <v>0</v>
      </c>
      <c r="AP106" s="52">
        <f ca="1">OFFSET(BS!$B73,0,COLUMN(AP$68)-COLUMN($B$68)+1,1,1)-OFFSET(BS!$B73,0,COLUMN(AP$68)-COLUMN($B$68),1,1)-AP102</f>
        <v>0</v>
      </c>
      <c r="AQ106" s="52">
        <f ca="1">OFFSET(BS!$B73,0,COLUMN(AQ$68)-COLUMN($B$68)+1,1,1)-OFFSET(BS!$B73,0,COLUMN(AQ$68)-COLUMN($B$68),1,1)-AQ102</f>
        <v>0</v>
      </c>
      <c r="AR106" s="52">
        <f ca="1">OFFSET(BS!$B73,0,COLUMN(AR$68)-COLUMN($B$68)+1,1,1)-OFFSET(BS!$B73,0,COLUMN(AR$68)-COLUMN($B$68),1,1)-AR102</f>
        <v>-7695.2239183751517</v>
      </c>
      <c r="AS106" s="52">
        <f ca="1">OFFSET(BS!$B73,0,COLUMN(AS$68)-COLUMN($B$68)+1,1,1)-OFFSET(BS!$B73,0,COLUMN(AS$68)-COLUMN($B$68),1,1)-AS102</f>
        <v>0</v>
      </c>
      <c r="AT106" s="52">
        <f ca="1">OFFSET(BS!$B73,0,COLUMN(AT$68)-COLUMN($B$68)+1,1,1)-OFFSET(BS!$B73,0,COLUMN(AT$68)-COLUMN($B$68),1,1)-AT102</f>
        <v>0</v>
      </c>
      <c r="AU106" s="52">
        <f ca="1">OFFSET(BS!$B73,0,COLUMN(AU$68)-COLUMN($B$68)+1,1,1)-OFFSET(BS!$B73,0,COLUMN(AU$68)-COLUMN($B$68),1,1)-AU102</f>
        <v>0</v>
      </c>
      <c r="AV106" s="52">
        <f ca="1">OFFSET(BS!$B73,0,COLUMN(AV$68)-COLUMN($B$68)+1,1,1)-OFFSET(BS!$B73,0,COLUMN(AV$68)-COLUMN($B$68),1,1)-AV102</f>
        <v>-7765.7634709602571</v>
      </c>
      <c r="AW106" s="52">
        <f ca="1">OFFSET(BS!$B73,0,COLUMN(AW$68)-COLUMN($B$68)+1,1,1)-OFFSET(BS!$B73,0,COLUMN(AW$68)-COLUMN($B$68),1,1)-AW102</f>
        <v>0</v>
      </c>
      <c r="AX106" s="52">
        <f ca="1">OFFSET(BS!$B73,0,COLUMN(AX$68)-COLUMN($B$68)+1,1,1)-OFFSET(BS!$B73,0,COLUMN(AX$68)-COLUMN($B$68),1,1)-AX102</f>
        <v>0</v>
      </c>
      <c r="AY106" s="52">
        <f ca="1">OFFSET(BS!$B73,0,COLUMN(AY$68)-COLUMN($B$68)+1,1,1)-OFFSET(BS!$B73,0,COLUMN(AY$68)-COLUMN($B$68),1,1)-AY102</f>
        <v>0</v>
      </c>
      <c r="AZ106" s="52">
        <f ca="1">OFFSET(BS!$B73,0,COLUMN(AZ$68)-COLUMN($B$68)+1,1,1)-OFFSET(BS!$B73,0,COLUMN(AZ$68)-COLUMN($B$68),1,1)-AZ102</f>
        <v>-7836.9496361106867</v>
      </c>
      <c r="BA106" s="52">
        <f ca="1">OFFSET(BS!$B73,0,COLUMN(BA$68)-COLUMN($B$68)+1,1,1)-OFFSET(BS!$B73,0,COLUMN(BA$68)-COLUMN($B$68),1,1)-BA102</f>
        <v>0</v>
      </c>
      <c r="BB106" s="52">
        <f ca="1">OFFSET(BS!$B73,0,COLUMN(BB$68)-COLUMN($B$68)+1,1,1)-OFFSET(BS!$B73,0,COLUMN(BB$68)-COLUMN($B$68),1,1)-BB102</f>
        <v>0</v>
      </c>
      <c r="BC106" s="53">
        <f ca="1">SUM(OFFSET($B106,0,1,1,Assumptions!$C$8))</f>
        <v>-21461.071090517449</v>
      </c>
      <c r="BD106" s="53">
        <f ca="1">SUM(OFFSET($B106,0,1+Assumptions!$C$8,1,SUM(Assumptions!$C$9)))</f>
        <v>-22056.677054333384</v>
      </c>
      <c r="BE106" s="53">
        <f ca="1">SUM(OFFSET($B106,0,1+SUM(Assumptions!$C$8:$C$9),1,SUM(Assumptions!$C$10)))</f>
        <v>-22668.812783259316</v>
      </c>
      <c r="BF106" s="53">
        <f ca="1">SUM(OFFSET($B106,0,1+SUM(Assumptions!$C$8:$C$10),1,SUM(Assumptions!$C$11)))</f>
        <v>-23297.937025446096</v>
      </c>
      <c r="BG106" s="53">
        <f t="shared" ca="1" si="36"/>
        <v>-89484.497953556245</v>
      </c>
    </row>
    <row r="107" spans="1:59" ht="16.149999999999999" customHeight="1" thickBot="1" x14ac:dyDescent="0.3">
      <c r="A107" s="309"/>
      <c r="B107" s="86" t="s">
        <v>70</v>
      </c>
      <c r="C107" s="84">
        <f ca="1">SUM(C97:C106)</f>
        <v>-3420.4153822354856</v>
      </c>
      <c r="D107" s="84">
        <f t="shared" ref="D107:BG107" ca="1" si="38">SUM(D97:D106)</f>
        <v>-12618.515131564927</v>
      </c>
      <c r="E107" s="84">
        <f t="shared" ca="1" si="38"/>
        <v>0</v>
      </c>
      <c r="F107" s="84">
        <f t="shared" ca="1" si="38"/>
        <v>0</v>
      </c>
      <c r="G107" s="84">
        <f t="shared" ca="1" si="38"/>
        <v>-3448.9188437541015</v>
      </c>
      <c r="H107" s="84">
        <f t="shared" ca="1" si="38"/>
        <v>-5580.6930341185071</v>
      </c>
      <c r="I107" s="84">
        <f t="shared" ca="1" si="38"/>
        <v>-7153.4918194856727</v>
      </c>
      <c r="J107" s="84">
        <f t="shared" ca="1" si="38"/>
        <v>0</v>
      </c>
      <c r="K107" s="84">
        <f t="shared" ca="1" si="38"/>
        <v>0</v>
      </c>
      <c r="L107" s="84">
        <f t="shared" ca="1" si="38"/>
        <v>-9109.5092210498988</v>
      </c>
      <c r="M107" s="84">
        <f t="shared" ca="1" si="38"/>
        <v>-7219.0654944976559</v>
      </c>
      <c r="N107" s="84">
        <f t="shared" ca="1" si="38"/>
        <v>0</v>
      </c>
      <c r="O107" s="84">
        <f t="shared" ca="1" si="38"/>
        <v>0</v>
      </c>
      <c r="P107" s="84">
        <f t="shared" ca="1" si="38"/>
        <v>-3506.6403327364242</v>
      </c>
      <c r="Q107" s="84">
        <f t="shared" ca="1" si="38"/>
        <v>-12968.714934508549</v>
      </c>
      <c r="R107" s="84">
        <f t="shared" ca="1" si="38"/>
        <v>0</v>
      </c>
      <c r="S107" s="84">
        <f t="shared" ca="1" si="38"/>
        <v>0</v>
      </c>
      <c r="T107" s="84">
        <f t="shared" ca="1" si="38"/>
        <v>-3535.8623355092132</v>
      </c>
      <c r="U107" s="84">
        <f t="shared" ca="1" si="38"/>
        <v>-5735.5731908136513</v>
      </c>
      <c r="V107" s="84">
        <f t="shared" ca="1" si="38"/>
        <v>-7352.0216305945651</v>
      </c>
      <c r="W107" s="84">
        <f t="shared" ca="1" si="38"/>
        <v>0</v>
      </c>
      <c r="X107" s="84">
        <f t="shared" ca="1" si="38"/>
        <v>0</v>
      </c>
      <c r="Y107" s="84">
        <f t="shared" ca="1" si="38"/>
        <v>89962.439790184901</v>
      </c>
      <c r="Z107" s="84">
        <f t="shared" ca="1" si="38"/>
        <v>-7419.4151622083155</v>
      </c>
      <c r="AA107" s="84">
        <f t="shared" ca="1" si="38"/>
        <v>0</v>
      </c>
      <c r="AB107" s="84">
        <f t="shared" ca="1" si="38"/>
        <v>0</v>
      </c>
      <c r="AC107" s="84">
        <f t="shared" ca="1" si="38"/>
        <v>-4284.822689180728</v>
      </c>
      <c r="AD107" s="84">
        <f t="shared" ca="1" si="38"/>
        <v>-5841.2073134481907</v>
      </c>
      <c r="AE107" s="84">
        <f t="shared" ca="1" si="38"/>
        <v>-7487.426467861922</v>
      </c>
      <c r="AF107" s="84">
        <f t="shared" ca="1" si="38"/>
        <v>0</v>
      </c>
      <c r="AG107" s="84">
        <f t="shared" ca="1" si="38"/>
        <v>-4320.5295449239202</v>
      </c>
      <c r="AH107" s="84">
        <f t="shared" ca="1" si="38"/>
        <v>-5894.7517138214316</v>
      </c>
      <c r="AI107" s="84">
        <f t="shared" ca="1" si="38"/>
        <v>-7556.0612104839529</v>
      </c>
      <c r="AJ107" s="84">
        <f t="shared" ca="1" si="38"/>
        <v>0</v>
      </c>
      <c r="AK107" s="84">
        <f t="shared" ca="1" si="38"/>
        <v>0</v>
      </c>
      <c r="AL107" s="84">
        <f t="shared" ca="1" si="38"/>
        <v>-4356.5339577982668</v>
      </c>
      <c r="AM107" s="84">
        <f t="shared" ca="1" si="38"/>
        <v>-13574.112042778172</v>
      </c>
      <c r="AN107" s="84">
        <f t="shared" ca="1" si="38"/>
        <v>0</v>
      </c>
      <c r="AO107" s="84">
        <f t="shared" ca="1" si="38"/>
        <v>0</v>
      </c>
      <c r="AP107" s="84">
        <f t="shared" ca="1" si="38"/>
        <v>-4392.8384074465139</v>
      </c>
      <c r="AQ107" s="84">
        <f t="shared" ca="1" si="38"/>
        <v>-6003.3174847951159</v>
      </c>
      <c r="AR107" s="84">
        <f t="shared" ca="1" si="38"/>
        <v>-7695.2239183751517</v>
      </c>
      <c r="AS107" s="84">
        <f t="shared" ca="1" si="38"/>
        <v>0</v>
      </c>
      <c r="AT107" s="84">
        <f t="shared" ca="1" si="38"/>
        <v>-4429.4453941752436</v>
      </c>
      <c r="AU107" s="84">
        <f t="shared" ca="1" si="38"/>
        <v>-6058.3478950725403</v>
      </c>
      <c r="AV107" s="84">
        <f t="shared" ca="1" si="38"/>
        <v>-7765.7634709602571</v>
      </c>
      <c r="AW107" s="84">
        <f t="shared" ca="1" si="38"/>
        <v>0</v>
      </c>
      <c r="AX107" s="84">
        <f t="shared" ca="1" si="38"/>
        <v>0</v>
      </c>
      <c r="AY107" s="84">
        <f t="shared" ca="1" si="38"/>
        <v>242431.32405048903</v>
      </c>
      <c r="AZ107" s="84">
        <f t="shared" ca="1" si="38"/>
        <v>-13950.832386887982</v>
      </c>
      <c r="BA107" s="84">
        <f t="shared" ca="1" si="38"/>
        <v>0</v>
      </c>
      <c r="BB107" s="84">
        <f t="shared" ca="1" si="38"/>
        <v>0</v>
      </c>
      <c r="BC107" s="85">
        <f t="shared" ca="1" si="38"/>
        <v>-48550.608926706249</v>
      </c>
      <c r="BD107" s="85">
        <f t="shared" ca="1" si="38"/>
        <v>49444.212203814182</v>
      </c>
      <c r="BE107" s="85">
        <f t="shared" ca="1" si="38"/>
        <v>-53315.444940296584</v>
      </c>
      <c r="BF107" s="85">
        <f t="shared" ca="1" si="38"/>
        <v>192135.55509277622</v>
      </c>
      <c r="BG107" s="85">
        <f t="shared" ca="1" si="38"/>
        <v>139713.71342958757</v>
      </c>
    </row>
    <row r="108" spans="1:59" ht="16.149999999999999" customHeight="1" x14ac:dyDescent="0.3">
      <c r="B108" s="12" t="s">
        <v>71</v>
      </c>
      <c r="C108" s="52">
        <f t="shared" ref="C108:AH108" ca="1" si="39">SUM(C90,C95,C107)</f>
        <v>-19435.65204890216</v>
      </c>
      <c r="D108" s="52">
        <f t="shared" ca="1" si="39"/>
        <v>-24115.01953156494</v>
      </c>
      <c r="E108" s="52">
        <f t="shared" ca="1" si="39"/>
        <v>46642.860952380965</v>
      </c>
      <c r="F108" s="52">
        <f t="shared" ca="1" si="39"/>
        <v>-15052.57163809524</v>
      </c>
      <c r="G108" s="52">
        <f t="shared" ca="1" si="39"/>
        <v>60172.866393954988</v>
      </c>
      <c r="H108" s="52">
        <f t="shared" ca="1" si="39"/>
        <v>-52306.74571455457</v>
      </c>
      <c r="I108" s="52">
        <f t="shared" ca="1" si="39"/>
        <v>62892.822540132576</v>
      </c>
      <c r="J108" s="52">
        <f t="shared" ca="1" si="39"/>
        <v>17210.181257142875</v>
      </c>
      <c r="K108" s="52">
        <f t="shared" ca="1" si="39"/>
        <v>-15816.898871428568</v>
      </c>
      <c r="L108" s="52">
        <f t="shared" ca="1" si="39"/>
        <v>-36490.201603932772</v>
      </c>
      <c r="M108" s="52">
        <f t="shared" ca="1" si="39"/>
        <v>14820.724132989631</v>
      </c>
      <c r="N108" s="52">
        <f t="shared" ca="1" si="39"/>
        <v>50109.457590476224</v>
      </c>
      <c r="O108" s="52">
        <f t="shared" ca="1" si="39"/>
        <v>-45283.751333333326</v>
      </c>
      <c r="P108" s="52">
        <f t="shared" ca="1" si="39"/>
        <v>42342.597617764499</v>
      </c>
      <c r="Q108" s="52">
        <f t="shared" ca="1" si="39"/>
        <v>-12713.628464898078</v>
      </c>
      <c r="R108" s="52">
        <f t="shared" ca="1" si="39"/>
        <v>31945.232333333344</v>
      </c>
      <c r="S108" s="52">
        <f t="shared" ca="1" si="39"/>
        <v>-25681.60689285718</v>
      </c>
      <c r="T108" s="52">
        <f t="shared" ca="1" si="39"/>
        <v>62074.068593954988</v>
      </c>
      <c r="U108" s="52">
        <f t="shared" ca="1" si="39"/>
        <v>4264.9632283027222</v>
      </c>
      <c r="V108" s="52">
        <f t="shared" ca="1" si="39"/>
        <v>30820.649532989723</v>
      </c>
      <c r="W108" s="52">
        <f t="shared" ca="1" si="39"/>
        <v>29687.227357142838</v>
      </c>
      <c r="X108" s="52">
        <f t="shared" ca="1" si="39"/>
        <v>-54751.221249999995</v>
      </c>
      <c r="Y108" s="52">
        <f t="shared" ca="1" si="39"/>
        <v>115211.23501962003</v>
      </c>
      <c r="Z108" s="52">
        <f t="shared" ca="1" si="39"/>
        <v>17545.036461561172</v>
      </c>
      <c r="AA108" s="52">
        <f t="shared" ca="1" si="39"/>
        <v>23852.140535714261</v>
      </c>
      <c r="AB108" s="52">
        <f t="shared" ca="1" si="39"/>
        <v>16089.979642857179</v>
      </c>
      <c r="AC108" s="52">
        <f t="shared" ca="1" si="39"/>
        <v>-89634.218771042229</v>
      </c>
      <c r="AD108" s="52">
        <f t="shared" ca="1" si="39"/>
        <v>32333.986787826419</v>
      </c>
      <c r="AE108" s="52">
        <f t="shared" ca="1" si="39"/>
        <v>11766.062854418229</v>
      </c>
      <c r="AF108" s="52">
        <f t="shared" ca="1" si="39"/>
        <v>62303.875000000022</v>
      </c>
      <c r="AG108" s="52">
        <f t="shared" ca="1" si="39"/>
        <v>-84887.314530111253</v>
      </c>
      <c r="AH108" s="52">
        <f t="shared" ca="1" si="39"/>
        <v>-28416.152735983065</v>
      </c>
      <c r="AI108" s="52">
        <f t="shared" ref="AI108:BG108" ca="1" si="40">SUM(AI90,AI95,AI107)</f>
        <v>66032.345247275487</v>
      </c>
      <c r="AJ108" s="52">
        <f t="shared" ca="1" si="40"/>
        <v>80245.701928571449</v>
      </c>
      <c r="AK108" s="52">
        <f t="shared" ca="1" si="40"/>
        <v>-8288.4903928571639</v>
      </c>
      <c r="AL108" s="52">
        <f t="shared" ca="1" si="40"/>
        <v>35467.822148460276</v>
      </c>
      <c r="AM108" s="52">
        <f t="shared" ca="1" si="40"/>
        <v>-4731.3789648981056</v>
      </c>
      <c r="AN108" s="52">
        <f t="shared" ca="1" si="40"/>
        <v>27277.086178571419</v>
      </c>
      <c r="AO108" s="52">
        <f t="shared" ca="1" si="40"/>
        <v>-12911.423250000007</v>
      </c>
      <c r="AP108" s="52">
        <f t="shared" ca="1" si="40"/>
        <v>43711.064541317457</v>
      </c>
      <c r="AQ108" s="52">
        <f t="shared" ca="1" si="40"/>
        <v>29976.461787826578</v>
      </c>
      <c r="AR108" s="52">
        <f t="shared" ca="1" si="40"/>
        <v>21266.54274727534</v>
      </c>
      <c r="AS108" s="52">
        <f t="shared" ca="1" si="40"/>
        <v>-7857.002428571428</v>
      </c>
      <c r="AT108" s="52">
        <f t="shared" ca="1" si="40"/>
        <v>78773.415579412671</v>
      </c>
      <c r="AU108" s="52">
        <f t="shared" ca="1" si="40"/>
        <v>-7200.6926121735687</v>
      </c>
      <c r="AV108" s="52">
        <f t="shared" ca="1" si="40"/>
        <v>38542.702568703957</v>
      </c>
      <c r="AW108" s="52">
        <f t="shared" ca="1" si="40"/>
        <v>24488.906671428602</v>
      </c>
      <c r="AX108" s="52">
        <f t="shared" ca="1" si="40"/>
        <v>-89469.233769047627</v>
      </c>
      <c r="AY108" s="52">
        <f t="shared" ca="1" si="40"/>
        <v>-59711.2657857335</v>
      </c>
      <c r="AZ108" s="52">
        <f t="shared" ca="1" si="40"/>
        <v>-13719.936319659959</v>
      </c>
      <c r="BA108" s="52">
        <f t="shared" ca="1" si="40"/>
        <v>79138.848185714247</v>
      </c>
      <c r="BB108" s="52">
        <f t="shared" ca="1" si="40"/>
        <v>98974.003200000065</v>
      </c>
      <c r="BC108" s="53">
        <f t="shared" ca="1" si="40"/>
        <v>43348.072125265724</v>
      </c>
      <c r="BD108" s="53">
        <f t="shared" ca="1" si="40"/>
        <v>280686.67371548549</v>
      </c>
      <c r="BE108" s="53">
        <f t="shared" ca="1" si="40"/>
        <v>86557.901500231441</v>
      </c>
      <c r="BF108" s="53">
        <f t="shared" ca="1" si="40"/>
        <v>236913.81436649288</v>
      </c>
      <c r="BG108" s="53">
        <f t="shared" ca="1" si="40"/>
        <v>647506.46170747536</v>
      </c>
    </row>
    <row r="109" spans="1:59" ht="16.149999999999999" customHeight="1" x14ac:dyDescent="0.3">
      <c r="B109" s="12" t="s">
        <v>72</v>
      </c>
      <c r="C109" s="52">
        <f ca="1">OFFSET(BS!$B$60,0,COLUMN(C$68)-COLUMN($B$68),1,1)-OFFSET(BS!$B$76,0,COLUMN(C$68)-COLUMN($B$68),1,1)</f>
        <v>171000</v>
      </c>
      <c r="D109" s="52">
        <f ca="1">OFFSET(BS!$B$60,0,COLUMN(D$68)-COLUMN($B$68),1,1)-OFFSET(BS!$B$76,0,COLUMN(D$68)-COLUMN($B$68),1,1)</f>
        <v>151564.34795109785</v>
      </c>
      <c r="E109" s="52">
        <f ca="1">OFFSET(BS!$B$60,0,COLUMN(E$68)-COLUMN($B$68),1,1)-OFFSET(BS!$B$76,0,COLUMN(E$68)-COLUMN($B$68),1,1)</f>
        <v>127449.32841953292</v>
      </c>
      <c r="F109" s="52">
        <f ca="1">OFFSET(BS!$B$60,0,COLUMN(F$68)-COLUMN($B$68),1,1)-OFFSET(BS!$B$76,0,COLUMN(F$68)-COLUMN($B$68),1,1)</f>
        <v>174092.18937191388</v>
      </c>
      <c r="G109" s="52">
        <f ca="1">OFFSET(BS!$B$60,0,COLUMN(G$68)-COLUMN($B$68),1,1)-OFFSET(BS!$B$76,0,COLUMN(G$68)-COLUMN($B$68),1,1)</f>
        <v>159039.61773381862</v>
      </c>
      <c r="H109" s="52">
        <f ca="1">OFFSET(BS!$B$60,0,COLUMN(H$68)-COLUMN($B$68),1,1)-OFFSET(BS!$B$76,0,COLUMN(H$68)-COLUMN($B$68),1,1)</f>
        <v>219212.48412777361</v>
      </c>
      <c r="I109" s="52">
        <f ca="1">OFFSET(BS!$B$60,0,COLUMN(I$68)-COLUMN($B$68),1,1)-OFFSET(BS!$B$76,0,COLUMN(I$68)-COLUMN($B$68),1,1)</f>
        <v>166905.73841321905</v>
      </c>
      <c r="J109" s="52">
        <f ca="1">OFFSET(BS!$B$60,0,COLUMN(J$68)-COLUMN($B$68),1,1)-OFFSET(BS!$B$76,0,COLUMN(J$68)-COLUMN($B$68),1,1)</f>
        <v>229798.56095335161</v>
      </c>
      <c r="K109" s="52">
        <f ca="1">OFFSET(BS!$B$60,0,COLUMN(K$68)-COLUMN($B$68),1,1)-OFFSET(BS!$B$76,0,COLUMN(K$68)-COLUMN($B$68),1,1)</f>
        <v>247008.74221049447</v>
      </c>
      <c r="L109" s="52">
        <f ca="1">OFFSET(BS!$B$60,0,COLUMN(L$68)-COLUMN($B$68),1,1)-OFFSET(BS!$B$76,0,COLUMN(L$68)-COLUMN($B$68),1,1)</f>
        <v>231191.8433390659</v>
      </c>
      <c r="M109" s="52">
        <f ca="1">OFFSET(BS!$B$60,0,COLUMN(M$68)-COLUMN($B$68),1,1)-OFFSET(BS!$B$76,0,COLUMN(M$68)-COLUMN($B$68),1,1)</f>
        <v>194701.64173513313</v>
      </c>
      <c r="N109" s="52">
        <f ca="1">OFFSET(BS!$B$60,0,COLUMN(N$68)-COLUMN($B$68),1,1)-OFFSET(BS!$B$76,0,COLUMN(N$68)-COLUMN($B$68),1,1)</f>
        <v>209522.36586812275</v>
      </c>
      <c r="O109" s="52">
        <f ca="1">OFFSET(BS!$B$60,0,COLUMN(O$68)-COLUMN($B$68),1,1)-OFFSET(BS!$B$76,0,COLUMN(O$68)-COLUMN($B$68),1,1)</f>
        <v>259631.82345859898</v>
      </c>
      <c r="P109" s="52">
        <f ca="1">OFFSET(BS!$B$60,0,COLUMN(P$68)-COLUMN($B$68),1,1)-OFFSET(BS!$B$76,0,COLUMN(P$68)-COLUMN($B$68),1,1)</f>
        <v>214348.07212526567</v>
      </c>
      <c r="Q109" s="52">
        <f ca="1">OFFSET(BS!$B$60,0,COLUMN(Q$68)-COLUMN($B$68),1,1)-OFFSET(BS!$B$76,0,COLUMN(Q$68)-COLUMN($B$68),1,1)</f>
        <v>256690.66974303016</v>
      </c>
      <c r="R109" s="52">
        <f ca="1">OFFSET(BS!$B$60,0,COLUMN(R$68)-COLUMN($B$68),1,1)-OFFSET(BS!$B$76,0,COLUMN(R$68)-COLUMN($B$68),1,1)</f>
        <v>243977.04127813209</v>
      </c>
      <c r="S109" s="52">
        <f ca="1">OFFSET(BS!$B$60,0,COLUMN(S$68)-COLUMN($B$68),1,1)-OFFSET(BS!$B$76,0,COLUMN(S$68)-COLUMN($B$68),1,1)</f>
        <v>275922.27361146541</v>
      </c>
      <c r="T109" s="52">
        <f ca="1">OFFSET(BS!$B$60,0,COLUMN(T$68)-COLUMN($B$68),1,1)-OFFSET(BS!$B$76,0,COLUMN(T$68)-COLUMN($B$68),1,1)</f>
        <v>250240.66671860823</v>
      </c>
      <c r="U109" s="52">
        <f ca="1">OFFSET(BS!$B$60,0,COLUMN(U$68)-COLUMN($B$68),1,1)-OFFSET(BS!$B$76,0,COLUMN(U$68)-COLUMN($B$68),1,1)</f>
        <v>312314.73531256325</v>
      </c>
      <c r="V109" s="52">
        <f ca="1">OFFSET(BS!$B$60,0,COLUMN(V$68)-COLUMN($B$68),1,1)-OFFSET(BS!$B$76,0,COLUMN(V$68)-COLUMN($B$68),1,1)</f>
        <v>316579.69854086597</v>
      </c>
      <c r="W109" s="52">
        <f ca="1">OFFSET(BS!$B$60,0,COLUMN(W$68)-COLUMN($B$68),1,1)-OFFSET(BS!$B$76,0,COLUMN(W$68)-COLUMN($B$68),1,1)</f>
        <v>347400.34807385568</v>
      </c>
      <c r="X109" s="52">
        <f ca="1">OFFSET(BS!$B$60,0,COLUMN(X$68)-COLUMN($B$68),1,1)-OFFSET(BS!$B$76,0,COLUMN(X$68)-COLUMN($B$68),1,1)</f>
        <v>377087.57543099852</v>
      </c>
      <c r="Y109" s="52">
        <f ca="1">OFFSET(BS!$B$60,0,COLUMN(Y$68)-COLUMN($B$68),1,1)-OFFSET(BS!$B$76,0,COLUMN(Y$68)-COLUMN($B$68),1,1)</f>
        <v>322336.35418099852</v>
      </c>
      <c r="Z109" s="52">
        <f ca="1">OFFSET(BS!$B$60,0,COLUMN(Z$68)-COLUMN($B$68),1,1)-OFFSET(BS!$B$76,0,COLUMN(Z$68)-COLUMN($B$68),1,1)</f>
        <v>437547.58920061856</v>
      </c>
      <c r="AA109" s="52">
        <f ca="1">OFFSET(BS!$B$60,0,COLUMN(AA$68)-COLUMN($B$68),1,1)-OFFSET(BS!$B$76,0,COLUMN(AA$68)-COLUMN($B$68),1,1)</f>
        <v>455092.62566217972</v>
      </c>
      <c r="AB109" s="52">
        <f ca="1">OFFSET(BS!$B$60,0,COLUMN(AB$68)-COLUMN($B$68),1,1)-OFFSET(BS!$B$76,0,COLUMN(AB$68)-COLUMN($B$68),1,1)</f>
        <v>478944.766197894</v>
      </c>
      <c r="AC109" s="52">
        <f ca="1">OFFSET(BS!$B$60,0,COLUMN(AC$68)-COLUMN($B$68),1,1)-OFFSET(BS!$B$76,0,COLUMN(AC$68)-COLUMN($B$68),1,1)</f>
        <v>495034.74584075116</v>
      </c>
      <c r="AD109" s="52">
        <f ca="1">OFFSET(BS!$B$60,0,COLUMN(AD$68)-COLUMN($B$68),1,1)-OFFSET(BS!$B$76,0,COLUMN(AD$68)-COLUMN($B$68),1,1)</f>
        <v>405400.52706970891</v>
      </c>
      <c r="AE109" s="52">
        <f ca="1">OFFSET(BS!$B$60,0,COLUMN(AE$68)-COLUMN($B$68),1,1)-OFFSET(BS!$B$76,0,COLUMN(AE$68)-COLUMN($B$68),1,1)</f>
        <v>437734.51385753532</v>
      </c>
      <c r="AF109" s="52">
        <f ca="1">OFFSET(BS!$B$60,0,COLUMN(AF$68)-COLUMN($B$68),1,1)-OFFSET(BS!$B$76,0,COLUMN(AF$68)-COLUMN($B$68),1,1)</f>
        <v>449500.57671195356</v>
      </c>
      <c r="AG109" s="52">
        <f ca="1">OFFSET(BS!$B$60,0,COLUMN(AG$68)-COLUMN($B$68),1,1)-OFFSET(BS!$B$76,0,COLUMN(AG$68)-COLUMN($B$68),1,1)</f>
        <v>511804.45171195356</v>
      </c>
      <c r="AH109" s="52">
        <f ca="1">OFFSET(BS!$B$60,0,COLUMN(AH$68)-COLUMN($B$68),1,1)-OFFSET(BS!$B$76,0,COLUMN(AH$68)-COLUMN($B$68),1,1)</f>
        <v>426917.13718184229</v>
      </c>
      <c r="AI109" s="52">
        <f ca="1">OFFSET(BS!$B$60,0,COLUMN(AI$68)-COLUMN($B$68),1,1)-OFFSET(BS!$B$76,0,COLUMN(AI$68)-COLUMN($B$68),1,1)</f>
        <v>398500.98444585921</v>
      </c>
      <c r="AJ109" s="52">
        <f ca="1">OFFSET(BS!$B$60,0,COLUMN(AJ$68)-COLUMN($B$68),1,1)-OFFSET(BS!$B$76,0,COLUMN(AJ$68)-COLUMN($B$68),1,1)</f>
        <v>464533.3296931347</v>
      </c>
      <c r="AK109" s="52">
        <f ca="1">OFFSET(BS!$B$60,0,COLUMN(AK$68)-COLUMN($B$68),1,1)-OFFSET(BS!$B$76,0,COLUMN(AK$68)-COLUMN($B$68),1,1)</f>
        <v>544779.03162170621</v>
      </c>
      <c r="AL109" s="52">
        <f ca="1">OFFSET(BS!$B$60,0,COLUMN(AL$68)-COLUMN($B$68),1,1)-OFFSET(BS!$B$76,0,COLUMN(AL$68)-COLUMN($B$68),1,1)</f>
        <v>536490.54122884909</v>
      </c>
      <c r="AM109" s="52">
        <f ca="1">OFFSET(BS!$B$60,0,COLUMN(AM$68)-COLUMN($B$68),1,1)-OFFSET(BS!$B$76,0,COLUMN(AM$68)-COLUMN($B$68),1,1)</f>
        <v>571958.3633773094</v>
      </c>
      <c r="AN109" s="52">
        <f ca="1">OFFSET(BS!$B$60,0,COLUMN(AN$68)-COLUMN($B$68),1,1)-OFFSET(BS!$B$76,0,COLUMN(AN$68)-COLUMN($B$68),1,1)</f>
        <v>567226.98441241134</v>
      </c>
      <c r="AO109" s="52">
        <f ca="1">OFFSET(BS!$B$60,0,COLUMN(AO$68)-COLUMN($B$68),1,1)-OFFSET(BS!$B$76,0,COLUMN(AO$68)-COLUMN($B$68),1,1)</f>
        <v>594504.0705909828</v>
      </c>
      <c r="AP109" s="52">
        <f ca="1">OFFSET(BS!$B$60,0,COLUMN(AP$68)-COLUMN($B$68),1,1)-OFFSET(BS!$B$76,0,COLUMN(AP$68)-COLUMN($B$68),1,1)</f>
        <v>581592.6473409828</v>
      </c>
      <c r="AQ109" s="52">
        <f ca="1">OFFSET(BS!$B$60,0,COLUMN(AQ$68)-COLUMN($B$68),1,1)-OFFSET(BS!$B$76,0,COLUMN(AQ$68)-COLUMN($B$68),1,1)</f>
        <v>625303.71188230021</v>
      </c>
      <c r="AR109" s="52">
        <f ca="1">OFFSET(BS!$B$60,0,COLUMN(AR$68)-COLUMN($B$68),1,1)-OFFSET(BS!$B$76,0,COLUMN(AR$68)-COLUMN($B$68),1,1)</f>
        <v>655280.17367012682</v>
      </c>
      <c r="AS109" s="52">
        <f ca="1">OFFSET(BS!$B$60,0,COLUMN(AS$68)-COLUMN($B$68),1,1)-OFFSET(BS!$B$76,0,COLUMN(AS$68)-COLUMN($B$68),1,1)</f>
        <v>676546.71641740215</v>
      </c>
      <c r="AT109" s="52">
        <f ca="1">OFFSET(BS!$B$60,0,COLUMN(AT$68)-COLUMN($B$68),1,1)-OFFSET(BS!$B$76,0,COLUMN(AT$68)-COLUMN($B$68),1,1)</f>
        <v>668689.71398883068</v>
      </c>
      <c r="AU109" s="52">
        <f ca="1">OFFSET(BS!$B$60,0,COLUMN(AU$68)-COLUMN($B$68),1,1)-OFFSET(BS!$B$76,0,COLUMN(AU$68)-COLUMN($B$68),1,1)</f>
        <v>747463.1295682434</v>
      </c>
      <c r="AV109" s="52">
        <f ca="1">OFFSET(BS!$B$60,0,COLUMN(AV$68)-COLUMN($B$68),1,1)-OFFSET(BS!$B$76,0,COLUMN(AV$68)-COLUMN($B$68),1,1)</f>
        <v>740262.43695606978</v>
      </c>
      <c r="AW109" s="52">
        <f ca="1">OFFSET(BS!$B$60,0,COLUMN(AW$68)-COLUMN($B$68),1,1)-OFFSET(BS!$B$76,0,COLUMN(AW$68)-COLUMN($B$68),1,1)</f>
        <v>778805.13952477369</v>
      </c>
      <c r="AX109" s="52">
        <f ca="1">OFFSET(BS!$B$60,0,COLUMN(AX$68)-COLUMN($B$68),1,1)-OFFSET(BS!$B$76,0,COLUMN(AX$68)-COLUMN($B$68),1,1)</f>
        <v>803294.04619620228</v>
      </c>
      <c r="AY109" s="52">
        <f ca="1">OFFSET(BS!$B$60,0,COLUMN(AY$68)-COLUMN($B$68),1,1)-OFFSET(BS!$B$76,0,COLUMN(AY$68)-COLUMN($B$68),1,1)</f>
        <v>713824.81242715463</v>
      </c>
      <c r="AZ109" s="52">
        <f ca="1">OFFSET(BS!$B$60,0,COLUMN(AZ$68)-COLUMN($B$68),1,1)-OFFSET(BS!$B$76,0,COLUMN(AZ$68)-COLUMN($B$68),1,1)</f>
        <v>654113.54664142116</v>
      </c>
      <c r="BA109" s="52">
        <f ca="1">OFFSET(BS!$B$60,0,COLUMN(BA$68)-COLUMN($B$68),1,1)-OFFSET(BS!$B$76,0,COLUMN(BA$68)-COLUMN($B$68),1,1)</f>
        <v>640393.61032176123</v>
      </c>
      <c r="BB109" s="52">
        <f ca="1">OFFSET(BS!$B$60,0,COLUMN(BB$68)-COLUMN($B$68),1,1)-OFFSET(BS!$B$76,0,COLUMN(BB$68)-COLUMN($B$68),1,1)</f>
        <v>719532.45850747544</v>
      </c>
      <c r="BC109" s="53">
        <f ca="1">OFFSET($B$109,0,1,1,1)</f>
        <v>171000</v>
      </c>
      <c r="BD109" s="53">
        <f ca="1">BC110</f>
        <v>214348.07212526572</v>
      </c>
      <c r="BE109" s="53">
        <f ca="1">BD110</f>
        <v>495034.74584075122</v>
      </c>
      <c r="BF109" s="53">
        <f ca="1">BE110</f>
        <v>581592.64734098269</v>
      </c>
      <c r="BG109" s="53">
        <f ca="1">OFFSET($B$109,0,1,1,1)</f>
        <v>171000</v>
      </c>
    </row>
    <row r="110" spans="1:59" ht="16.149999999999999" customHeight="1" thickBot="1" x14ac:dyDescent="0.35">
      <c r="B110" s="3" t="s">
        <v>73</v>
      </c>
      <c r="C110" s="87">
        <f t="shared" ref="C110:AH110" ca="1" si="41">SUM(C108,C109)</f>
        <v>151564.34795109785</v>
      </c>
      <c r="D110" s="87">
        <f t="shared" ca="1" si="41"/>
        <v>127449.32841953292</v>
      </c>
      <c r="E110" s="87">
        <f t="shared" ca="1" si="41"/>
        <v>174092.18937191388</v>
      </c>
      <c r="F110" s="87">
        <f t="shared" ca="1" si="41"/>
        <v>159039.61773381862</v>
      </c>
      <c r="G110" s="87">
        <f t="shared" ca="1" si="41"/>
        <v>219212.48412777361</v>
      </c>
      <c r="H110" s="87">
        <f t="shared" ca="1" si="41"/>
        <v>166905.73841321905</v>
      </c>
      <c r="I110" s="87">
        <f t="shared" ca="1" si="41"/>
        <v>229798.56095335161</v>
      </c>
      <c r="J110" s="87">
        <f t="shared" ca="1" si="41"/>
        <v>247008.74221049447</v>
      </c>
      <c r="K110" s="87">
        <f t="shared" ca="1" si="41"/>
        <v>231191.8433390659</v>
      </c>
      <c r="L110" s="87">
        <f t="shared" ca="1" si="41"/>
        <v>194701.64173513313</v>
      </c>
      <c r="M110" s="87">
        <f t="shared" ca="1" si="41"/>
        <v>209522.36586812275</v>
      </c>
      <c r="N110" s="87">
        <f t="shared" ca="1" si="41"/>
        <v>259631.82345859898</v>
      </c>
      <c r="O110" s="87">
        <f t="shared" ca="1" si="41"/>
        <v>214348.07212526567</v>
      </c>
      <c r="P110" s="87">
        <f t="shared" ca="1" si="41"/>
        <v>256690.66974303016</v>
      </c>
      <c r="Q110" s="87">
        <f t="shared" ca="1" si="41"/>
        <v>243977.04127813209</v>
      </c>
      <c r="R110" s="87">
        <f t="shared" ca="1" si="41"/>
        <v>275922.27361146541</v>
      </c>
      <c r="S110" s="87">
        <f t="shared" ca="1" si="41"/>
        <v>250240.66671860823</v>
      </c>
      <c r="T110" s="87">
        <f t="shared" ca="1" si="41"/>
        <v>312314.73531256325</v>
      </c>
      <c r="U110" s="87">
        <f t="shared" ca="1" si="41"/>
        <v>316579.69854086597</v>
      </c>
      <c r="V110" s="87">
        <f t="shared" ca="1" si="41"/>
        <v>347400.34807385568</v>
      </c>
      <c r="W110" s="87">
        <f t="shared" ca="1" si="41"/>
        <v>377087.57543099852</v>
      </c>
      <c r="X110" s="87">
        <f t="shared" ca="1" si="41"/>
        <v>322336.35418099852</v>
      </c>
      <c r="Y110" s="87">
        <f t="shared" ca="1" si="41"/>
        <v>437547.58920061856</v>
      </c>
      <c r="Z110" s="87">
        <f t="shared" ca="1" si="41"/>
        <v>455092.62566217972</v>
      </c>
      <c r="AA110" s="87">
        <f t="shared" ca="1" si="41"/>
        <v>478944.766197894</v>
      </c>
      <c r="AB110" s="87">
        <f t="shared" ca="1" si="41"/>
        <v>495034.74584075116</v>
      </c>
      <c r="AC110" s="87">
        <f t="shared" ca="1" si="41"/>
        <v>405400.52706970891</v>
      </c>
      <c r="AD110" s="87">
        <f t="shared" ca="1" si="41"/>
        <v>437734.51385753532</v>
      </c>
      <c r="AE110" s="87">
        <f t="shared" ca="1" si="41"/>
        <v>449500.57671195356</v>
      </c>
      <c r="AF110" s="87">
        <f t="shared" ca="1" si="41"/>
        <v>511804.45171195356</v>
      </c>
      <c r="AG110" s="87">
        <f t="shared" ca="1" si="41"/>
        <v>426917.13718184229</v>
      </c>
      <c r="AH110" s="87">
        <f t="shared" ca="1" si="41"/>
        <v>398500.98444585921</v>
      </c>
      <c r="AI110" s="87">
        <f t="shared" ref="AI110:BG110" ca="1" si="42">SUM(AI108,AI109)</f>
        <v>464533.3296931347</v>
      </c>
      <c r="AJ110" s="87">
        <f t="shared" ca="1" si="42"/>
        <v>544779.03162170621</v>
      </c>
      <c r="AK110" s="87">
        <f t="shared" ca="1" si="42"/>
        <v>536490.54122884909</v>
      </c>
      <c r="AL110" s="87">
        <f t="shared" ca="1" si="42"/>
        <v>571958.3633773094</v>
      </c>
      <c r="AM110" s="87">
        <f t="shared" ca="1" si="42"/>
        <v>567226.98441241134</v>
      </c>
      <c r="AN110" s="87">
        <f t="shared" ca="1" si="42"/>
        <v>594504.0705909828</v>
      </c>
      <c r="AO110" s="87">
        <f t="shared" ca="1" si="42"/>
        <v>581592.6473409828</v>
      </c>
      <c r="AP110" s="87">
        <f t="shared" ca="1" si="42"/>
        <v>625303.71188230021</v>
      </c>
      <c r="AQ110" s="87">
        <f t="shared" ca="1" si="42"/>
        <v>655280.17367012682</v>
      </c>
      <c r="AR110" s="87">
        <f t="shared" ca="1" si="42"/>
        <v>676546.71641740215</v>
      </c>
      <c r="AS110" s="87">
        <f t="shared" ca="1" si="42"/>
        <v>668689.71398883068</v>
      </c>
      <c r="AT110" s="87">
        <f t="shared" ca="1" si="42"/>
        <v>747463.1295682434</v>
      </c>
      <c r="AU110" s="87">
        <f t="shared" ca="1" si="42"/>
        <v>740262.43695606978</v>
      </c>
      <c r="AV110" s="87">
        <f t="shared" ca="1" si="42"/>
        <v>778805.13952477369</v>
      </c>
      <c r="AW110" s="87">
        <f t="shared" ca="1" si="42"/>
        <v>803294.04619620228</v>
      </c>
      <c r="AX110" s="87">
        <f t="shared" ca="1" si="42"/>
        <v>713824.81242715463</v>
      </c>
      <c r="AY110" s="87">
        <f t="shared" ca="1" si="42"/>
        <v>654113.54664142116</v>
      </c>
      <c r="AZ110" s="87">
        <f t="shared" ca="1" si="42"/>
        <v>640393.61032176123</v>
      </c>
      <c r="BA110" s="87">
        <f t="shared" ca="1" si="42"/>
        <v>719532.45850747544</v>
      </c>
      <c r="BB110" s="87">
        <f t="shared" ca="1" si="42"/>
        <v>818506.46170747548</v>
      </c>
      <c r="BC110" s="87">
        <f t="shared" ca="1" si="42"/>
        <v>214348.07212526572</v>
      </c>
      <c r="BD110" s="87">
        <f t="shared" ca="1" si="42"/>
        <v>495034.74584075122</v>
      </c>
      <c r="BE110" s="87">
        <f t="shared" ca="1" si="42"/>
        <v>581592.64734098269</v>
      </c>
      <c r="BF110" s="87">
        <f t="shared" ca="1" si="42"/>
        <v>818506.4617074756</v>
      </c>
      <c r="BG110" s="87">
        <f t="shared" ca="1" si="42"/>
        <v>818506.46170747536</v>
      </c>
    </row>
    <row r="111" spans="1:59" ht="16.149999999999999" customHeight="1" thickTop="1" x14ac:dyDescent="0.3">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2"/>
      <c r="BD111" s="72"/>
      <c r="BE111" s="72"/>
      <c r="BF111" s="72"/>
      <c r="BG111" s="72"/>
    </row>
    <row r="112" spans="1:59" ht="16.149999999999999" customHeight="1" x14ac:dyDescent="0.3">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c r="BA112" s="17"/>
      <c r="BB112" s="17"/>
    </row>
    <row r="113" spans="8:54" ht="16.149999999999999" customHeight="1" x14ac:dyDescent="0.3">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c r="BA113" s="17"/>
      <c r="BB113" s="17"/>
    </row>
  </sheetData>
  <pageMargins left="0.59055118110236227" right="0.59055118110236227" top="0.59055118110236227" bottom="0.59055118110236227" header="0.39370078740157483" footer="0.39370078740157483"/>
  <pageSetup paperSize="9" scale="54" fitToWidth="5" fitToHeight="2" orientation="landscape"/>
  <headerFooter alignWithMargins="0">
    <oddFooter>&amp;C&amp;9Page &amp;P of &amp;N</oddFooter>
  </headerFooter>
  <rowBreaks count="1" manualBreakCount="1">
    <brk id="64" min="1" max="58" man="1"/>
  </rowBreaks>
  <colBreaks count="4" manualBreakCount="4">
    <brk id="15" max="109" man="1"/>
    <brk id="28" max="109" man="1"/>
    <brk id="41" max="109" man="1"/>
    <brk id="54" max="109" man="1"/>
  </colBreaks>
  <ignoredErrors>
    <ignoredError sqref="BC87:BG87 BC59:BG59 BC60:BG60"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H123"/>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40625" defaultRowHeight="16.149999999999999" customHeight="1" x14ac:dyDescent="0.3"/>
  <cols>
    <col min="1" max="1" width="5.7109375" style="291" customWidth="1"/>
    <col min="2" max="2" width="33.7109375" style="12" customWidth="1"/>
    <col min="3" max="9" width="12.7109375" style="17" customWidth="1"/>
    <col min="10" max="55" width="12.7109375" style="2" customWidth="1"/>
    <col min="56" max="60" width="14.7109375" style="10" customWidth="1"/>
    <col min="61" max="77" width="9.140625" style="2" customWidth="1"/>
    <col min="78" max="16384" width="9.140625" style="2"/>
  </cols>
  <sheetData>
    <row r="1" spans="1:60" ht="16.149999999999999" customHeight="1" x14ac:dyDescent="0.3">
      <c r="B1" s="290" t="str">
        <f>IF(ISBLANK(Assumptions!$C$4),"Example Limited",Assumptions!$C$4)</f>
        <v>Example (Pty) Limited</v>
      </c>
      <c r="C1" s="4"/>
      <c r="Q1" s="95"/>
      <c r="AD1" s="95"/>
      <c r="AQ1" s="95"/>
    </row>
    <row r="2" spans="1:60" ht="16.149999999999999" customHeight="1" x14ac:dyDescent="0.3">
      <c r="B2" s="6" t="s">
        <v>102</v>
      </c>
      <c r="C2" s="4"/>
    </row>
    <row r="3" spans="1:60" s="20" customFormat="1" ht="16.149999999999999" customHeight="1" x14ac:dyDescent="0.25">
      <c r="A3" s="292"/>
      <c r="B3" s="73" t="s">
        <v>50</v>
      </c>
      <c r="C3" s="25" t="s">
        <v>94</v>
      </c>
      <c r="D3" s="25" t="str">
        <f>IF(COLUMN(D4)-3&lt;=Assumptions!$C$8,"Q1",IF(COLUMN(D4)-3&lt;=SUM(Assumptions!$C$8:$C$9),"Q2",IF(COLUMN(D4)-3&lt;=SUM(Assumptions!$C$8:$C$10),"Q3","Q4")))</f>
        <v>Q1</v>
      </c>
      <c r="E3" s="25" t="str">
        <f>IF(COLUMN(E4)-3&lt;=Assumptions!$C$8,"Q1",IF(COLUMN(E4)-3&lt;=SUM(Assumptions!$C$8:$C$9),"Q2",IF(COLUMN(E4)-3&lt;=SUM(Assumptions!$C$8:$C$10),"Q3","Q4")))</f>
        <v>Q1</v>
      </c>
      <c r="F3" s="25" t="str">
        <f>IF(COLUMN(F4)-3&lt;=Assumptions!$C$8,"Q1",IF(COLUMN(F4)-3&lt;=SUM(Assumptions!$C$8:$C$9),"Q2",IF(COLUMN(F4)-3&lt;=SUM(Assumptions!$C$8:$C$10),"Q3","Q4")))</f>
        <v>Q1</v>
      </c>
      <c r="G3" s="25" t="str">
        <f>IF(COLUMN(G4)-3&lt;=Assumptions!$C$8,"Q1",IF(COLUMN(G4)-3&lt;=SUM(Assumptions!$C$8:$C$9),"Q2",IF(COLUMN(G4)-3&lt;=SUM(Assumptions!$C$8:$C$10),"Q3","Q4")))</f>
        <v>Q1</v>
      </c>
      <c r="H3" s="25" t="str">
        <f>IF(COLUMN(H4)-3&lt;=Assumptions!$C$8,"Q1",IF(COLUMN(H4)-3&lt;=SUM(Assumptions!$C$8:$C$9),"Q2",IF(COLUMN(H4)-3&lt;=SUM(Assumptions!$C$8:$C$10),"Q3","Q4")))</f>
        <v>Q1</v>
      </c>
      <c r="I3" s="25" t="str">
        <f>IF(COLUMN(I4)-3&lt;=Assumptions!$C$8,"Q1",IF(COLUMN(I4)-3&lt;=SUM(Assumptions!$C$8:$C$9),"Q2",IF(COLUMN(I4)-3&lt;=SUM(Assumptions!$C$8:$C$10),"Q3","Q4")))</f>
        <v>Q1</v>
      </c>
      <c r="J3" s="25" t="str">
        <f>IF(COLUMN(J4)-3&lt;=Assumptions!$C$8,"Q1",IF(COLUMN(J4)-3&lt;=SUM(Assumptions!$C$8:$C$9),"Q2",IF(COLUMN(J4)-3&lt;=SUM(Assumptions!$C$8:$C$10),"Q3","Q4")))</f>
        <v>Q1</v>
      </c>
      <c r="K3" s="25" t="str">
        <f>IF(COLUMN(K4)-3&lt;=Assumptions!$C$8,"Q1",IF(COLUMN(K4)-3&lt;=SUM(Assumptions!$C$8:$C$9),"Q2",IF(COLUMN(K4)-3&lt;=SUM(Assumptions!$C$8:$C$10),"Q3","Q4")))</f>
        <v>Q1</v>
      </c>
      <c r="L3" s="25" t="str">
        <f>IF(COLUMN(L4)-3&lt;=Assumptions!$C$8,"Q1",IF(COLUMN(L4)-3&lt;=SUM(Assumptions!$C$8:$C$9),"Q2",IF(COLUMN(L4)-3&lt;=SUM(Assumptions!$C$8:$C$10),"Q3","Q4")))</f>
        <v>Q1</v>
      </c>
      <c r="M3" s="25" t="str">
        <f>IF(COLUMN(M4)-3&lt;=Assumptions!$C$8,"Q1",IF(COLUMN(M4)-3&lt;=SUM(Assumptions!$C$8:$C$9),"Q2",IF(COLUMN(M4)-3&lt;=SUM(Assumptions!$C$8:$C$10),"Q3","Q4")))</f>
        <v>Q1</v>
      </c>
      <c r="N3" s="25" t="str">
        <f>IF(COLUMN(N4)-3&lt;=Assumptions!$C$8,"Q1",IF(COLUMN(N4)-3&lt;=SUM(Assumptions!$C$8:$C$9),"Q2",IF(COLUMN(N4)-3&lt;=SUM(Assumptions!$C$8:$C$10),"Q3","Q4")))</f>
        <v>Q1</v>
      </c>
      <c r="O3" s="25" t="str">
        <f>IF(COLUMN(O4)-3&lt;=Assumptions!$C$8,"Q1",IF(COLUMN(O4)-3&lt;=SUM(Assumptions!$C$8:$C$9),"Q2",IF(COLUMN(O4)-3&lt;=SUM(Assumptions!$C$8:$C$10),"Q3","Q4")))</f>
        <v>Q1</v>
      </c>
      <c r="P3" s="25" t="str">
        <f>IF(COLUMN(P4)-3&lt;=Assumptions!$C$8,"Q1",IF(COLUMN(P4)-3&lt;=SUM(Assumptions!$C$8:$C$9),"Q2",IF(COLUMN(P4)-3&lt;=SUM(Assumptions!$C$8:$C$10),"Q3","Q4")))</f>
        <v>Q1</v>
      </c>
      <c r="Q3" s="25" t="str">
        <f>IF(COLUMN(Q4)-3&lt;=Assumptions!$C$8,"Q1",IF(COLUMN(Q4)-3&lt;=SUM(Assumptions!$C$8:$C$9),"Q2",IF(COLUMN(Q4)-3&lt;=SUM(Assumptions!$C$8:$C$10),"Q3","Q4")))</f>
        <v>Q2</v>
      </c>
      <c r="R3" s="25" t="str">
        <f>IF(COLUMN(R4)-3&lt;=Assumptions!$C$8,"Q1",IF(COLUMN(R4)-3&lt;=SUM(Assumptions!$C$8:$C$9),"Q2",IF(COLUMN(R4)-3&lt;=SUM(Assumptions!$C$8:$C$10),"Q3","Q4")))</f>
        <v>Q2</v>
      </c>
      <c r="S3" s="25" t="str">
        <f>IF(COLUMN(S4)-3&lt;=Assumptions!$C$8,"Q1",IF(COLUMN(S4)-3&lt;=SUM(Assumptions!$C$8:$C$9),"Q2",IF(COLUMN(S4)-3&lt;=SUM(Assumptions!$C$8:$C$10),"Q3","Q4")))</f>
        <v>Q2</v>
      </c>
      <c r="T3" s="25" t="str">
        <f>IF(COLUMN(T4)-3&lt;=Assumptions!$C$8,"Q1",IF(COLUMN(T4)-3&lt;=SUM(Assumptions!$C$8:$C$9),"Q2",IF(COLUMN(T4)-3&lt;=SUM(Assumptions!$C$8:$C$10),"Q3","Q4")))</f>
        <v>Q2</v>
      </c>
      <c r="U3" s="25" t="str">
        <f>IF(COLUMN(U4)-3&lt;=Assumptions!$C$8,"Q1",IF(COLUMN(U4)-3&lt;=SUM(Assumptions!$C$8:$C$9),"Q2",IF(COLUMN(U4)-3&lt;=SUM(Assumptions!$C$8:$C$10),"Q3","Q4")))</f>
        <v>Q2</v>
      </c>
      <c r="V3" s="25" t="str">
        <f>IF(COLUMN(V4)-3&lt;=Assumptions!$C$8,"Q1",IF(COLUMN(V4)-3&lt;=SUM(Assumptions!$C$8:$C$9),"Q2",IF(COLUMN(V4)-3&lt;=SUM(Assumptions!$C$8:$C$10),"Q3","Q4")))</f>
        <v>Q2</v>
      </c>
      <c r="W3" s="25" t="str">
        <f>IF(COLUMN(W4)-3&lt;=Assumptions!$C$8,"Q1",IF(COLUMN(W4)-3&lt;=SUM(Assumptions!$C$8:$C$9),"Q2",IF(COLUMN(W4)-3&lt;=SUM(Assumptions!$C$8:$C$10),"Q3","Q4")))</f>
        <v>Q2</v>
      </c>
      <c r="X3" s="25" t="str">
        <f>IF(COLUMN(X4)-3&lt;=Assumptions!$C$8,"Q1",IF(COLUMN(X4)-3&lt;=SUM(Assumptions!$C$8:$C$9),"Q2",IF(COLUMN(X4)-3&lt;=SUM(Assumptions!$C$8:$C$10),"Q3","Q4")))</f>
        <v>Q2</v>
      </c>
      <c r="Y3" s="25" t="str">
        <f>IF(COLUMN(Y4)-3&lt;=Assumptions!$C$8,"Q1",IF(COLUMN(Y4)-3&lt;=SUM(Assumptions!$C$8:$C$9),"Q2",IF(COLUMN(Y4)-3&lt;=SUM(Assumptions!$C$8:$C$10),"Q3","Q4")))</f>
        <v>Q2</v>
      </c>
      <c r="Z3" s="25" t="str">
        <f>IF(COLUMN(Z4)-3&lt;=Assumptions!$C$8,"Q1",IF(COLUMN(Z4)-3&lt;=SUM(Assumptions!$C$8:$C$9),"Q2",IF(COLUMN(Z4)-3&lt;=SUM(Assumptions!$C$8:$C$10),"Q3","Q4")))</f>
        <v>Q2</v>
      </c>
      <c r="AA3" s="25" t="str">
        <f>IF(COLUMN(AA4)-3&lt;=Assumptions!$C$8,"Q1",IF(COLUMN(AA4)-3&lt;=SUM(Assumptions!$C$8:$C$9),"Q2",IF(COLUMN(AA4)-3&lt;=SUM(Assumptions!$C$8:$C$10),"Q3","Q4")))</f>
        <v>Q2</v>
      </c>
      <c r="AB3" s="25" t="str">
        <f>IF(COLUMN(AB4)-3&lt;=Assumptions!$C$8,"Q1",IF(COLUMN(AB4)-3&lt;=SUM(Assumptions!$C$8:$C$9),"Q2",IF(COLUMN(AB4)-3&lt;=SUM(Assumptions!$C$8:$C$10),"Q3","Q4")))</f>
        <v>Q2</v>
      </c>
      <c r="AC3" s="25" t="str">
        <f>IF(COLUMN(AC4)-3&lt;=Assumptions!$C$8,"Q1",IF(COLUMN(AC4)-3&lt;=SUM(Assumptions!$C$8:$C$9),"Q2",IF(COLUMN(AC4)-3&lt;=SUM(Assumptions!$C$8:$C$10),"Q3","Q4")))</f>
        <v>Q2</v>
      </c>
      <c r="AD3" s="25" t="str">
        <f>IF(COLUMN(AD4)-3&lt;=Assumptions!$C$8,"Q1",IF(COLUMN(AD4)-3&lt;=SUM(Assumptions!$C$8:$C$9),"Q2",IF(COLUMN(AD4)-3&lt;=SUM(Assumptions!$C$8:$C$10),"Q3","Q4")))</f>
        <v>Q3</v>
      </c>
      <c r="AE3" s="25" t="str">
        <f>IF(COLUMN(AE4)-3&lt;=Assumptions!$C$8,"Q1",IF(COLUMN(AE4)-3&lt;=SUM(Assumptions!$C$8:$C$9),"Q2",IF(COLUMN(AE4)-3&lt;=SUM(Assumptions!$C$8:$C$10),"Q3","Q4")))</f>
        <v>Q3</v>
      </c>
      <c r="AF3" s="25" t="str">
        <f>IF(COLUMN(AF4)-3&lt;=Assumptions!$C$8,"Q1",IF(COLUMN(AF4)-3&lt;=SUM(Assumptions!$C$8:$C$9),"Q2",IF(COLUMN(AF4)-3&lt;=SUM(Assumptions!$C$8:$C$10),"Q3","Q4")))</f>
        <v>Q3</v>
      </c>
      <c r="AG3" s="25" t="str">
        <f>IF(COLUMN(AG4)-3&lt;=Assumptions!$C$8,"Q1",IF(COLUMN(AG4)-3&lt;=SUM(Assumptions!$C$8:$C$9),"Q2",IF(COLUMN(AG4)-3&lt;=SUM(Assumptions!$C$8:$C$10),"Q3","Q4")))</f>
        <v>Q3</v>
      </c>
      <c r="AH3" s="25" t="str">
        <f>IF(COLUMN(AH4)-3&lt;=Assumptions!$C$8,"Q1",IF(COLUMN(AH4)-3&lt;=SUM(Assumptions!$C$8:$C$9),"Q2",IF(COLUMN(AH4)-3&lt;=SUM(Assumptions!$C$8:$C$10),"Q3","Q4")))</f>
        <v>Q3</v>
      </c>
      <c r="AI3" s="25" t="str">
        <f>IF(COLUMN(AI4)-3&lt;=Assumptions!$C$8,"Q1",IF(COLUMN(AI4)-3&lt;=SUM(Assumptions!$C$8:$C$9),"Q2",IF(COLUMN(AI4)-3&lt;=SUM(Assumptions!$C$8:$C$10),"Q3","Q4")))</f>
        <v>Q3</v>
      </c>
      <c r="AJ3" s="25" t="str">
        <f>IF(COLUMN(AJ4)-3&lt;=Assumptions!$C$8,"Q1",IF(COLUMN(AJ4)-3&lt;=SUM(Assumptions!$C$8:$C$9),"Q2",IF(COLUMN(AJ4)-3&lt;=SUM(Assumptions!$C$8:$C$10),"Q3","Q4")))</f>
        <v>Q3</v>
      </c>
      <c r="AK3" s="25" t="str">
        <f>IF(COLUMN(AK4)-3&lt;=Assumptions!$C$8,"Q1",IF(COLUMN(AK4)-3&lt;=SUM(Assumptions!$C$8:$C$9),"Q2",IF(COLUMN(AK4)-3&lt;=SUM(Assumptions!$C$8:$C$10),"Q3","Q4")))</f>
        <v>Q3</v>
      </c>
      <c r="AL3" s="25" t="str">
        <f>IF(COLUMN(AL4)-3&lt;=Assumptions!$C$8,"Q1",IF(COLUMN(AL4)-3&lt;=SUM(Assumptions!$C$8:$C$9),"Q2",IF(COLUMN(AL4)-3&lt;=SUM(Assumptions!$C$8:$C$10),"Q3","Q4")))</f>
        <v>Q3</v>
      </c>
      <c r="AM3" s="25" t="str">
        <f>IF(COLUMN(AM4)-3&lt;=Assumptions!$C$8,"Q1",IF(COLUMN(AM4)-3&lt;=SUM(Assumptions!$C$8:$C$9),"Q2",IF(COLUMN(AM4)-3&lt;=SUM(Assumptions!$C$8:$C$10),"Q3","Q4")))</f>
        <v>Q3</v>
      </c>
      <c r="AN3" s="25" t="str">
        <f>IF(COLUMN(AN4)-3&lt;=Assumptions!$C$8,"Q1",IF(COLUMN(AN4)-3&lt;=SUM(Assumptions!$C$8:$C$9),"Q2",IF(COLUMN(AN4)-3&lt;=SUM(Assumptions!$C$8:$C$10),"Q3","Q4")))</f>
        <v>Q3</v>
      </c>
      <c r="AO3" s="25" t="str">
        <f>IF(COLUMN(AO4)-3&lt;=Assumptions!$C$8,"Q1",IF(COLUMN(AO4)-3&lt;=SUM(Assumptions!$C$8:$C$9),"Q2",IF(COLUMN(AO4)-3&lt;=SUM(Assumptions!$C$8:$C$10),"Q3","Q4")))</f>
        <v>Q3</v>
      </c>
      <c r="AP3" s="25" t="str">
        <f>IF(COLUMN(AP4)-3&lt;=Assumptions!$C$8,"Q1",IF(COLUMN(AP4)-3&lt;=SUM(Assumptions!$C$8:$C$9),"Q2",IF(COLUMN(AP4)-3&lt;=SUM(Assumptions!$C$8:$C$10),"Q3","Q4")))</f>
        <v>Q3</v>
      </c>
      <c r="AQ3" s="25" t="str">
        <f>IF(COLUMN(AQ4)-3&lt;=Assumptions!$C$8,"Q1",IF(COLUMN(AQ4)-3&lt;=SUM(Assumptions!$C$8:$C$9),"Q2",IF(COLUMN(AQ4)-3&lt;=SUM(Assumptions!$C$8:$C$10),"Q3","Q4")))</f>
        <v>Q4</v>
      </c>
      <c r="AR3" s="25" t="str">
        <f>IF(COLUMN(AR4)-3&lt;=Assumptions!$C$8,"Q1",IF(COLUMN(AR4)-3&lt;=SUM(Assumptions!$C$8:$C$9),"Q2",IF(COLUMN(AR4)-3&lt;=SUM(Assumptions!$C$8:$C$10),"Q3","Q4")))</f>
        <v>Q4</v>
      </c>
      <c r="AS3" s="25" t="str">
        <f>IF(COLUMN(AS4)-3&lt;=Assumptions!$C$8,"Q1",IF(COLUMN(AS4)-3&lt;=SUM(Assumptions!$C$8:$C$9),"Q2",IF(COLUMN(AS4)-3&lt;=SUM(Assumptions!$C$8:$C$10),"Q3","Q4")))</f>
        <v>Q4</v>
      </c>
      <c r="AT3" s="25" t="str">
        <f>IF(COLUMN(AT4)-3&lt;=Assumptions!$C$8,"Q1",IF(COLUMN(AT4)-3&lt;=SUM(Assumptions!$C$8:$C$9),"Q2",IF(COLUMN(AT4)-3&lt;=SUM(Assumptions!$C$8:$C$10),"Q3","Q4")))</f>
        <v>Q4</v>
      </c>
      <c r="AU3" s="25" t="str">
        <f>IF(COLUMN(AU4)-3&lt;=Assumptions!$C$8,"Q1",IF(COLUMN(AU4)-3&lt;=SUM(Assumptions!$C$8:$C$9),"Q2",IF(COLUMN(AU4)-3&lt;=SUM(Assumptions!$C$8:$C$10),"Q3","Q4")))</f>
        <v>Q4</v>
      </c>
      <c r="AV3" s="25" t="str">
        <f>IF(COLUMN(AV4)-3&lt;=Assumptions!$C$8,"Q1",IF(COLUMN(AV4)-3&lt;=SUM(Assumptions!$C$8:$C$9),"Q2",IF(COLUMN(AV4)-3&lt;=SUM(Assumptions!$C$8:$C$10),"Q3","Q4")))</f>
        <v>Q4</v>
      </c>
      <c r="AW3" s="25" t="str">
        <f>IF(COLUMN(AW4)-3&lt;=Assumptions!$C$8,"Q1",IF(COLUMN(AW4)-3&lt;=SUM(Assumptions!$C$8:$C$9),"Q2",IF(COLUMN(AW4)-3&lt;=SUM(Assumptions!$C$8:$C$10),"Q3","Q4")))</f>
        <v>Q4</v>
      </c>
      <c r="AX3" s="25" t="str">
        <f>IF(COLUMN(AX4)-3&lt;=Assumptions!$C$8,"Q1",IF(COLUMN(AX4)-3&lt;=SUM(Assumptions!$C$8:$C$9),"Q2",IF(COLUMN(AX4)-3&lt;=SUM(Assumptions!$C$8:$C$10),"Q3","Q4")))</f>
        <v>Q4</v>
      </c>
      <c r="AY3" s="25" t="str">
        <f>IF(COLUMN(AY4)-3&lt;=Assumptions!$C$8,"Q1",IF(COLUMN(AY4)-3&lt;=SUM(Assumptions!$C$8:$C$9),"Q2",IF(COLUMN(AY4)-3&lt;=SUM(Assumptions!$C$8:$C$10),"Q3","Q4")))</f>
        <v>Q4</v>
      </c>
      <c r="AZ3" s="25" t="str">
        <f>IF(COLUMN(AZ4)-3&lt;=Assumptions!$C$8,"Q1",IF(COLUMN(AZ4)-3&lt;=SUM(Assumptions!$C$8:$C$9),"Q2",IF(COLUMN(AZ4)-3&lt;=SUM(Assumptions!$C$8:$C$10),"Q3","Q4")))</f>
        <v>Q4</v>
      </c>
      <c r="BA3" s="25" t="str">
        <f>IF(COLUMN(BA4)-3&lt;=Assumptions!$C$8,"Q1",IF(COLUMN(BA4)-3&lt;=SUM(Assumptions!$C$8:$C$9),"Q2",IF(COLUMN(BA4)-3&lt;=SUM(Assumptions!$C$8:$C$10),"Q3","Q4")))</f>
        <v>Q4</v>
      </c>
      <c r="BB3" s="25" t="str">
        <f>IF(COLUMN(BB4)-3&lt;=Assumptions!$C$8,"Q1",IF(COLUMN(BB4)-3&lt;=SUM(Assumptions!$C$8:$C$9),"Q2",IF(COLUMN(BB4)-3&lt;=SUM(Assumptions!$C$8:$C$10),"Q3","Q4")))</f>
        <v>Q4</v>
      </c>
      <c r="BC3" s="25" t="str">
        <f>IF(COLUMN(BC4)-3&lt;=Assumptions!$C$8,"Q1",IF(COLUMN(BC4)-3&lt;=SUM(Assumptions!$C$8:$C$9),"Q2",IF(COLUMN(BC4)-3&lt;=SUM(Assumptions!$C$8:$C$10),"Q3","Q4")))</f>
        <v>Q4</v>
      </c>
      <c r="BD3" s="39" t="s">
        <v>90</v>
      </c>
      <c r="BE3" s="39" t="s">
        <v>91</v>
      </c>
      <c r="BF3" s="39" t="s">
        <v>92</v>
      </c>
      <c r="BG3" s="39" t="s">
        <v>93</v>
      </c>
      <c r="BH3" s="39"/>
    </row>
    <row r="4" spans="1:60" s="45" customFormat="1" ht="18" customHeight="1" x14ac:dyDescent="0.25">
      <c r="A4" s="293"/>
      <c r="B4" s="42"/>
      <c r="C4" s="96">
        <f ca="1">IF(ISBLANK(Assumptions!$C$5)=TRUE,DATE(YEAR(TODAY()),MONTH(TODAY()),0),DATE(YEAR(Assumptions!$C$5),MONTH(Assumptions!$C$5),DAY(Assumptions!$C$5)-1))</f>
        <v>43890</v>
      </c>
      <c r="D4" s="43">
        <f ca="1">IF(ISBLANK(Assumptions!$C$5)=TRUE,DATE(YEAR(TODAY()),MONTH(TODAY()),7),DATE(YEAR(Assumptions!$C$5),MONTH(Assumptions!$C$5),DAY(Assumptions!$C$5)+6))</f>
        <v>43897</v>
      </c>
      <c r="E4" s="43">
        <f t="shared" ref="E4:AJ4" ca="1" si="0">DATE(YEAR(OFFSET(E3,1,-1,1,1)),MONTH(OFFSET(E3,1,-1,1,1)),DAY(OFFSET(E3,1,-1,1,1))+7)</f>
        <v>43904</v>
      </c>
      <c r="F4" s="43">
        <f t="shared" ca="1" si="0"/>
        <v>43911</v>
      </c>
      <c r="G4" s="43">
        <f t="shared" ca="1" si="0"/>
        <v>43918</v>
      </c>
      <c r="H4" s="43">
        <f t="shared" ca="1" si="0"/>
        <v>43925</v>
      </c>
      <c r="I4" s="43">
        <f t="shared" ca="1" si="0"/>
        <v>43932</v>
      </c>
      <c r="J4" s="43">
        <f t="shared" ca="1" si="0"/>
        <v>43939</v>
      </c>
      <c r="K4" s="43">
        <f t="shared" ca="1" si="0"/>
        <v>43946</v>
      </c>
      <c r="L4" s="43">
        <f t="shared" ca="1" si="0"/>
        <v>43953</v>
      </c>
      <c r="M4" s="43">
        <f t="shared" ca="1" si="0"/>
        <v>43960</v>
      </c>
      <c r="N4" s="43">
        <f t="shared" ca="1" si="0"/>
        <v>43967</v>
      </c>
      <c r="O4" s="43">
        <f t="shared" ca="1" si="0"/>
        <v>43974</v>
      </c>
      <c r="P4" s="43">
        <f t="shared" ca="1" si="0"/>
        <v>43981</v>
      </c>
      <c r="Q4" s="43">
        <f t="shared" ca="1" si="0"/>
        <v>43988</v>
      </c>
      <c r="R4" s="43">
        <f t="shared" ca="1" si="0"/>
        <v>43995</v>
      </c>
      <c r="S4" s="43">
        <f t="shared" ca="1" si="0"/>
        <v>44002</v>
      </c>
      <c r="T4" s="43">
        <f t="shared" ca="1" si="0"/>
        <v>44009</v>
      </c>
      <c r="U4" s="43">
        <f t="shared" ca="1" si="0"/>
        <v>44016</v>
      </c>
      <c r="V4" s="43">
        <f t="shared" ca="1" si="0"/>
        <v>44023</v>
      </c>
      <c r="W4" s="43">
        <f t="shared" ca="1" si="0"/>
        <v>44030</v>
      </c>
      <c r="X4" s="43">
        <f t="shared" ca="1" si="0"/>
        <v>44037</v>
      </c>
      <c r="Y4" s="43">
        <f t="shared" ca="1" si="0"/>
        <v>44044</v>
      </c>
      <c r="Z4" s="43">
        <f t="shared" ca="1" si="0"/>
        <v>44051</v>
      </c>
      <c r="AA4" s="43">
        <f t="shared" ca="1" si="0"/>
        <v>44058</v>
      </c>
      <c r="AB4" s="43">
        <f t="shared" ca="1" si="0"/>
        <v>44065</v>
      </c>
      <c r="AC4" s="43">
        <f t="shared" ca="1" si="0"/>
        <v>44072</v>
      </c>
      <c r="AD4" s="43">
        <f t="shared" ca="1" si="0"/>
        <v>44079</v>
      </c>
      <c r="AE4" s="43">
        <f t="shared" ca="1" si="0"/>
        <v>44086</v>
      </c>
      <c r="AF4" s="43">
        <f t="shared" ca="1" si="0"/>
        <v>44093</v>
      </c>
      <c r="AG4" s="43">
        <f t="shared" ca="1" si="0"/>
        <v>44100</v>
      </c>
      <c r="AH4" s="43">
        <f t="shared" ca="1" si="0"/>
        <v>44107</v>
      </c>
      <c r="AI4" s="43">
        <f t="shared" ca="1" si="0"/>
        <v>44114</v>
      </c>
      <c r="AJ4" s="43">
        <f t="shared" ca="1" si="0"/>
        <v>44121</v>
      </c>
      <c r="AK4" s="43">
        <f t="shared" ref="AK4:BC4" ca="1" si="1">DATE(YEAR(OFFSET(AK3,1,-1,1,1)),MONTH(OFFSET(AK3,1,-1,1,1)),DAY(OFFSET(AK3,1,-1,1,1))+7)</f>
        <v>44128</v>
      </c>
      <c r="AL4" s="43">
        <f t="shared" ca="1" si="1"/>
        <v>44135</v>
      </c>
      <c r="AM4" s="43">
        <f t="shared" ca="1" si="1"/>
        <v>44142</v>
      </c>
      <c r="AN4" s="43">
        <f t="shared" ca="1" si="1"/>
        <v>44149</v>
      </c>
      <c r="AO4" s="43">
        <f t="shared" ca="1" si="1"/>
        <v>44156</v>
      </c>
      <c r="AP4" s="43">
        <f t="shared" ca="1" si="1"/>
        <v>44163</v>
      </c>
      <c r="AQ4" s="43">
        <f t="shared" ca="1" si="1"/>
        <v>44170</v>
      </c>
      <c r="AR4" s="43">
        <f t="shared" ca="1" si="1"/>
        <v>44177</v>
      </c>
      <c r="AS4" s="43">
        <f t="shared" ca="1" si="1"/>
        <v>44184</v>
      </c>
      <c r="AT4" s="43">
        <f t="shared" ca="1" si="1"/>
        <v>44191</v>
      </c>
      <c r="AU4" s="43">
        <f t="shared" ca="1" si="1"/>
        <v>44198</v>
      </c>
      <c r="AV4" s="43">
        <f t="shared" ca="1" si="1"/>
        <v>44205</v>
      </c>
      <c r="AW4" s="43">
        <f t="shared" ca="1" si="1"/>
        <v>44212</v>
      </c>
      <c r="AX4" s="43">
        <f t="shared" ca="1" si="1"/>
        <v>44219</v>
      </c>
      <c r="AY4" s="43">
        <f t="shared" ca="1" si="1"/>
        <v>44226</v>
      </c>
      <c r="AZ4" s="43">
        <f t="shared" ca="1" si="1"/>
        <v>44233</v>
      </c>
      <c r="BA4" s="43">
        <f t="shared" ca="1" si="1"/>
        <v>44240</v>
      </c>
      <c r="BB4" s="43">
        <f t="shared" ca="1" si="1"/>
        <v>44247</v>
      </c>
      <c r="BC4" s="43">
        <f t="shared" ca="1" si="1"/>
        <v>44254</v>
      </c>
      <c r="BD4" s="44" t="s">
        <v>76</v>
      </c>
      <c r="BE4" s="44" t="s">
        <v>77</v>
      </c>
      <c r="BF4" s="44" t="s">
        <v>78</v>
      </c>
      <c r="BG4" s="44" t="s">
        <v>79</v>
      </c>
      <c r="BH4" s="44" t="str">
        <f ca="1">"Total "&amp;YEAR(OFFSET($BD$4,0,-1,1,1))</f>
        <v>Total 2021</v>
      </c>
    </row>
    <row r="5" spans="1:60" s="10" customFormat="1" ht="16.149999999999999" customHeight="1" x14ac:dyDescent="0.25">
      <c r="A5" s="294"/>
      <c r="B5" s="3" t="s">
        <v>235</v>
      </c>
      <c r="C5" s="49"/>
      <c r="D5" s="97"/>
      <c r="E5" s="49"/>
      <c r="F5" s="49"/>
      <c r="G5" s="49"/>
      <c r="H5" s="49"/>
      <c r="I5" s="49"/>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row>
    <row r="6" spans="1:60" s="10" customFormat="1" ht="16.149999999999999" customHeight="1" x14ac:dyDescent="0.25">
      <c r="A6" s="294"/>
      <c r="B6" s="3" t="s">
        <v>236</v>
      </c>
      <c r="C6" s="53"/>
      <c r="D6" s="99"/>
      <c r="E6" s="53"/>
      <c r="F6" s="53"/>
      <c r="G6" s="53"/>
      <c r="H6" s="53"/>
      <c r="I6" s="53"/>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row>
    <row r="7" spans="1:60" s="10" customFormat="1" ht="16.149999999999999" customHeight="1" x14ac:dyDescent="0.3">
      <c r="A7" s="291" t="s">
        <v>137</v>
      </c>
      <c r="B7" s="12" t="s">
        <v>48</v>
      </c>
      <c r="C7" s="52">
        <f ca="1">SUMIF(Assumptions!$A$81:$C$104,$A7,Assumptions!$C$81:$C$104)</f>
        <v>1050000</v>
      </c>
      <c r="D7" s="52">
        <f ca="1">OFFSET(D$4,ROW($B7)-ROW($B$4),-1,1,1)-OFFSET(Forecast!$B92,0,COLUMN(D$4)-COLUMN($C$4),1,1)-OFFSET(Forecast!$B74,0,COLUMN(D$4)-COLUMN($C$4),1,1)</f>
        <v>1050000</v>
      </c>
      <c r="E7" s="52">
        <f ca="1">OFFSET(E$4,ROW($B7)-ROW($B$4),-1,1,1)-OFFSET(Forecast!$B92,0,COLUMN(E$4)-COLUMN($C$4),1,1)-OFFSET(Forecast!$B74,0,COLUMN(E$4)-COLUMN($C$4),1,1)</f>
        <v>1050000</v>
      </c>
      <c r="F7" s="52">
        <f ca="1">OFFSET(F$4,ROW($B7)-ROW($B$4),-1,1,1)-OFFSET(Forecast!$B92,0,COLUMN(F$4)-COLUMN($C$4),1,1)-OFFSET(Forecast!$B74,0,COLUMN(F$4)-COLUMN($C$4),1,1)</f>
        <v>1050000</v>
      </c>
      <c r="G7" s="52">
        <f ca="1">OFFSET(G$4,ROW($B7)-ROW($B$4),-1,1,1)-OFFSET(Forecast!$B92,0,COLUMN(G$4)-COLUMN($C$4),1,1)-OFFSET(Forecast!$B74,0,COLUMN(G$4)-COLUMN($C$4),1,1)</f>
        <v>1050000</v>
      </c>
      <c r="H7" s="52">
        <f ca="1">OFFSET(H$4,ROW($B7)-ROW($B$4),-1,1,1)-OFFSET(Forecast!$B92,0,COLUMN(H$4)-COLUMN($C$4),1,1)-OFFSET(Forecast!$B74,0,COLUMN(H$4)-COLUMN($C$4),1,1)</f>
        <v>1035000</v>
      </c>
      <c r="I7" s="52">
        <f ca="1">OFFSET(I$4,ROW($B7)-ROW($B$4),-1,1,1)-OFFSET(Forecast!$B92,0,COLUMN(I$4)-COLUMN($C$4),1,1)-OFFSET(Forecast!$B74,0,COLUMN(I$4)-COLUMN($C$4),1,1)</f>
        <v>1035000</v>
      </c>
      <c r="J7" s="52">
        <f ca="1">OFFSET(J$4,ROW($B7)-ROW($B$4),-1,1,1)-OFFSET(Forecast!$B92,0,COLUMN(J$4)-COLUMN($C$4),1,1)-OFFSET(Forecast!$B74,0,COLUMN(J$4)-COLUMN($C$4),1,1)</f>
        <v>1035000</v>
      </c>
      <c r="K7" s="52">
        <f ca="1">OFFSET(K$4,ROW($B7)-ROW($B$4),-1,1,1)-OFFSET(Forecast!$B92,0,COLUMN(K$4)-COLUMN($C$4),1,1)-OFFSET(Forecast!$B74,0,COLUMN(K$4)-COLUMN($C$4),1,1)</f>
        <v>1035000</v>
      </c>
      <c r="L7" s="52">
        <f ca="1">OFFSET(L$4,ROW($B7)-ROW($B$4),-1,1,1)-OFFSET(Forecast!$B92,0,COLUMN(L$4)-COLUMN($C$4),1,1)-OFFSET(Forecast!$B74,0,COLUMN(L$4)-COLUMN($C$4),1,1)</f>
        <v>1020000</v>
      </c>
      <c r="M7" s="52">
        <f ca="1">OFFSET(M$4,ROW($B7)-ROW($B$4),-1,1,1)-OFFSET(Forecast!$B92,0,COLUMN(M$4)-COLUMN($C$4),1,1)-OFFSET(Forecast!$B74,0,COLUMN(M$4)-COLUMN($C$4),1,1)</f>
        <v>1020000</v>
      </c>
      <c r="N7" s="52">
        <f ca="1">OFFSET(N$4,ROW($B7)-ROW($B$4),-1,1,1)-OFFSET(Forecast!$B92,0,COLUMN(N$4)-COLUMN($C$4),1,1)-OFFSET(Forecast!$B74,0,COLUMN(N$4)-COLUMN($C$4),1,1)</f>
        <v>1020000</v>
      </c>
      <c r="O7" s="52">
        <f ca="1">OFFSET(O$4,ROW($B7)-ROW($B$4),-1,1,1)-OFFSET(Forecast!$B92,0,COLUMN(O$4)-COLUMN($C$4),1,1)-OFFSET(Forecast!$B74,0,COLUMN(O$4)-COLUMN($C$4),1,1)</f>
        <v>1020000</v>
      </c>
      <c r="P7" s="52">
        <f ca="1">OFFSET(P$4,ROW($B7)-ROW($B$4),-1,1,1)-OFFSET(Forecast!$B92,0,COLUMN(P$4)-COLUMN($C$4),1,1)-OFFSET(Forecast!$B74,0,COLUMN(P$4)-COLUMN($C$4),1,1)</f>
        <v>1005000</v>
      </c>
      <c r="Q7" s="52">
        <f ca="1">OFFSET(Q$4,ROW($B7)-ROW($B$4),-1,1,1)-OFFSET(Forecast!$B92,0,COLUMN(Q$4)-COLUMN($C$4),1,1)-OFFSET(Forecast!$B74,0,COLUMN(Q$4)-COLUMN($C$4),1,1)</f>
        <v>1005000</v>
      </c>
      <c r="R7" s="52">
        <f ca="1">OFFSET(R$4,ROW($B7)-ROW($B$4),-1,1,1)-OFFSET(Forecast!$B92,0,COLUMN(R$4)-COLUMN($C$4),1,1)-OFFSET(Forecast!$B74,0,COLUMN(R$4)-COLUMN($C$4),1,1)</f>
        <v>1005000</v>
      </c>
      <c r="S7" s="52">
        <f ca="1">OFFSET(S$4,ROW($B7)-ROW($B$4),-1,1,1)-OFFSET(Forecast!$B92,0,COLUMN(S$4)-COLUMN($C$4),1,1)-OFFSET(Forecast!$B74,0,COLUMN(S$4)-COLUMN($C$4),1,1)</f>
        <v>1005000</v>
      </c>
      <c r="T7" s="52">
        <f ca="1">OFFSET(T$4,ROW($B7)-ROW($B$4),-1,1,1)-OFFSET(Forecast!$B92,0,COLUMN(T$4)-COLUMN($C$4),1,1)-OFFSET(Forecast!$B74,0,COLUMN(T$4)-COLUMN($C$4),1,1)</f>
        <v>1005000</v>
      </c>
      <c r="U7" s="52">
        <f ca="1">OFFSET(U$4,ROW($B7)-ROW($B$4),-1,1,1)-OFFSET(Forecast!$B92,0,COLUMN(U$4)-COLUMN($C$4),1,1)-OFFSET(Forecast!$B74,0,COLUMN(U$4)-COLUMN($C$4),1,1)</f>
        <v>990000</v>
      </c>
      <c r="V7" s="52">
        <f ca="1">OFFSET(V$4,ROW($B7)-ROW($B$4),-1,1,1)-OFFSET(Forecast!$B92,0,COLUMN(V$4)-COLUMN($C$4),1,1)-OFFSET(Forecast!$B74,0,COLUMN(V$4)-COLUMN($C$4),1,1)</f>
        <v>990000</v>
      </c>
      <c r="W7" s="52">
        <f ca="1">OFFSET(W$4,ROW($B7)-ROW($B$4),-1,1,1)-OFFSET(Forecast!$B92,0,COLUMN(W$4)-COLUMN($C$4),1,1)-OFFSET(Forecast!$B74,0,COLUMN(W$4)-COLUMN($C$4),1,1)</f>
        <v>990000</v>
      </c>
      <c r="X7" s="52">
        <f ca="1">OFFSET(X$4,ROW($B7)-ROW($B$4),-1,1,1)-OFFSET(Forecast!$B92,0,COLUMN(X$4)-COLUMN($C$4),1,1)-OFFSET(Forecast!$B74,0,COLUMN(X$4)-COLUMN($C$4),1,1)</f>
        <v>990000</v>
      </c>
      <c r="Y7" s="52">
        <f ca="1">OFFSET(Y$4,ROW($B7)-ROW($B$4),-1,1,1)-OFFSET(Forecast!$B92,0,COLUMN(Y$4)-COLUMN($C$4),1,1)-OFFSET(Forecast!$B74,0,COLUMN(Y$4)-COLUMN($C$4),1,1)</f>
        <v>975000</v>
      </c>
      <c r="Z7" s="52">
        <f ca="1">OFFSET(Z$4,ROW($B7)-ROW($B$4),-1,1,1)-OFFSET(Forecast!$B92,0,COLUMN(Z$4)-COLUMN($C$4),1,1)-OFFSET(Forecast!$B74,0,COLUMN(Z$4)-COLUMN($C$4),1,1)</f>
        <v>975000</v>
      </c>
      <c r="AA7" s="52">
        <f ca="1">OFFSET(AA$4,ROW($B7)-ROW($B$4),-1,1,1)-OFFSET(Forecast!$B92,0,COLUMN(AA$4)-COLUMN($C$4),1,1)-OFFSET(Forecast!$B74,0,COLUMN(AA$4)-COLUMN($C$4),1,1)</f>
        <v>975000</v>
      </c>
      <c r="AB7" s="52">
        <f ca="1">OFFSET(AB$4,ROW($B7)-ROW($B$4),-1,1,1)-OFFSET(Forecast!$B92,0,COLUMN(AB$4)-COLUMN($C$4),1,1)-OFFSET(Forecast!$B74,0,COLUMN(AB$4)-COLUMN($C$4),1,1)</f>
        <v>975000</v>
      </c>
      <c r="AC7" s="52">
        <f ca="1">OFFSET(AC$4,ROW($B7)-ROW($B$4),-1,1,1)-OFFSET(Forecast!$B92,0,COLUMN(AC$4)-COLUMN($C$4),1,1)-OFFSET(Forecast!$B74,0,COLUMN(AC$4)-COLUMN($C$4),1,1)</f>
        <v>960000</v>
      </c>
      <c r="AD7" s="52">
        <f ca="1">OFFSET(AD$4,ROW($B7)-ROW($B$4),-1,1,1)-OFFSET(Forecast!$B92,0,COLUMN(AD$4)-COLUMN($C$4),1,1)-OFFSET(Forecast!$B74,0,COLUMN(AD$4)-COLUMN($C$4),1,1)</f>
        <v>960000</v>
      </c>
      <c r="AE7" s="52">
        <f ca="1">OFFSET(AE$4,ROW($B7)-ROW($B$4),-1,1,1)-OFFSET(Forecast!$B92,0,COLUMN(AE$4)-COLUMN($C$4),1,1)-OFFSET(Forecast!$B74,0,COLUMN(AE$4)-COLUMN($C$4),1,1)</f>
        <v>960000</v>
      </c>
      <c r="AF7" s="52">
        <f ca="1">OFFSET(AF$4,ROW($B7)-ROW($B$4),-1,1,1)-OFFSET(Forecast!$B92,0,COLUMN(AF$4)-COLUMN($C$4),1,1)-OFFSET(Forecast!$B74,0,COLUMN(AF$4)-COLUMN($C$4),1,1)</f>
        <v>960000</v>
      </c>
      <c r="AG7" s="52">
        <f ca="1">OFFSET(AG$4,ROW($B7)-ROW($B$4),-1,1,1)-OFFSET(Forecast!$B92,0,COLUMN(AG$4)-COLUMN($C$4),1,1)-OFFSET(Forecast!$B74,0,COLUMN(AG$4)-COLUMN($C$4),1,1)</f>
        <v>960000</v>
      </c>
      <c r="AH7" s="52">
        <f ca="1">OFFSET(AH$4,ROW($B7)-ROW($B$4),-1,1,1)-OFFSET(Forecast!$B92,0,COLUMN(AH$4)-COLUMN($C$4),1,1)-OFFSET(Forecast!$B74,0,COLUMN(AH$4)-COLUMN($C$4),1,1)</f>
        <v>945000</v>
      </c>
      <c r="AI7" s="52">
        <f ca="1">OFFSET(AI$4,ROW($B7)-ROW($B$4),-1,1,1)-OFFSET(Forecast!$B92,0,COLUMN(AI$4)-COLUMN($C$4),1,1)-OFFSET(Forecast!$B74,0,COLUMN(AI$4)-COLUMN($C$4),1,1)</f>
        <v>945000</v>
      </c>
      <c r="AJ7" s="52">
        <f ca="1">OFFSET(AJ$4,ROW($B7)-ROW($B$4),-1,1,1)-OFFSET(Forecast!$B92,0,COLUMN(AJ$4)-COLUMN($C$4),1,1)-OFFSET(Forecast!$B74,0,COLUMN(AJ$4)-COLUMN($C$4),1,1)</f>
        <v>945000</v>
      </c>
      <c r="AK7" s="52">
        <f ca="1">OFFSET(AK$4,ROW($B7)-ROW($B$4),-1,1,1)-OFFSET(Forecast!$B92,0,COLUMN(AK$4)-COLUMN($C$4),1,1)-OFFSET(Forecast!$B74,0,COLUMN(AK$4)-COLUMN($C$4),1,1)</f>
        <v>945000</v>
      </c>
      <c r="AL7" s="52">
        <f ca="1">OFFSET(AL$4,ROW($B7)-ROW($B$4),-1,1,1)-OFFSET(Forecast!$B92,0,COLUMN(AL$4)-COLUMN($C$4),1,1)-OFFSET(Forecast!$B74,0,COLUMN(AL$4)-COLUMN($C$4),1,1)</f>
        <v>930000</v>
      </c>
      <c r="AM7" s="52">
        <f ca="1">OFFSET(AM$4,ROW($B7)-ROW($B$4),-1,1,1)-OFFSET(Forecast!$B92,0,COLUMN(AM$4)-COLUMN($C$4),1,1)-OFFSET(Forecast!$B74,0,COLUMN(AM$4)-COLUMN($C$4),1,1)</f>
        <v>930000</v>
      </c>
      <c r="AN7" s="52">
        <f ca="1">OFFSET(AN$4,ROW($B7)-ROW($B$4),-1,1,1)-OFFSET(Forecast!$B92,0,COLUMN(AN$4)-COLUMN($C$4),1,1)-OFFSET(Forecast!$B74,0,COLUMN(AN$4)-COLUMN($C$4),1,1)</f>
        <v>930000</v>
      </c>
      <c r="AO7" s="52">
        <f ca="1">OFFSET(AO$4,ROW($B7)-ROW($B$4),-1,1,1)-OFFSET(Forecast!$B92,0,COLUMN(AO$4)-COLUMN($C$4),1,1)-OFFSET(Forecast!$B74,0,COLUMN(AO$4)-COLUMN($C$4),1,1)</f>
        <v>930000</v>
      </c>
      <c r="AP7" s="52">
        <f ca="1">OFFSET(AP$4,ROW($B7)-ROW($B$4),-1,1,1)-OFFSET(Forecast!$B92,0,COLUMN(AP$4)-COLUMN($C$4),1,1)-OFFSET(Forecast!$B74,0,COLUMN(AP$4)-COLUMN($C$4),1,1)</f>
        <v>915000</v>
      </c>
      <c r="AQ7" s="52">
        <f ca="1">OFFSET(AQ$4,ROW($B7)-ROW($B$4),-1,1,1)-OFFSET(Forecast!$B92,0,COLUMN(AQ$4)-COLUMN($C$4),1,1)-OFFSET(Forecast!$B74,0,COLUMN(AQ$4)-COLUMN($C$4),1,1)</f>
        <v>915000</v>
      </c>
      <c r="AR7" s="52">
        <f ca="1">OFFSET(AR$4,ROW($B7)-ROW($B$4),-1,1,1)-OFFSET(Forecast!$B92,0,COLUMN(AR$4)-COLUMN($C$4),1,1)-OFFSET(Forecast!$B74,0,COLUMN(AR$4)-COLUMN($C$4),1,1)</f>
        <v>915000</v>
      </c>
      <c r="AS7" s="52">
        <f ca="1">OFFSET(AS$4,ROW($B7)-ROW($B$4),-1,1,1)-OFFSET(Forecast!$B92,0,COLUMN(AS$4)-COLUMN($C$4),1,1)-OFFSET(Forecast!$B74,0,COLUMN(AS$4)-COLUMN($C$4),1,1)</f>
        <v>915000</v>
      </c>
      <c r="AT7" s="52">
        <f ca="1">OFFSET(AT$4,ROW($B7)-ROW($B$4),-1,1,1)-OFFSET(Forecast!$B92,0,COLUMN(AT$4)-COLUMN($C$4),1,1)-OFFSET(Forecast!$B74,0,COLUMN(AT$4)-COLUMN($C$4),1,1)</f>
        <v>915000</v>
      </c>
      <c r="AU7" s="52">
        <f ca="1">OFFSET(AU$4,ROW($B7)-ROW($B$4),-1,1,1)-OFFSET(Forecast!$B92,0,COLUMN(AU$4)-COLUMN($C$4),1,1)-OFFSET(Forecast!$B74,0,COLUMN(AU$4)-COLUMN($C$4),1,1)</f>
        <v>900000</v>
      </c>
      <c r="AV7" s="52">
        <f ca="1">OFFSET(AV$4,ROW($B7)-ROW($B$4),-1,1,1)-OFFSET(Forecast!$B92,0,COLUMN(AV$4)-COLUMN($C$4),1,1)-OFFSET(Forecast!$B74,0,COLUMN(AV$4)-COLUMN($C$4),1,1)</f>
        <v>1140000</v>
      </c>
      <c r="AW7" s="52">
        <f ca="1">OFFSET(AW$4,ROW($B7)-ROW($B$4),-1,1,1)-OFFSET(Forecast!$B92,0,COLUMN(AW$4)-COLUMN($C$4),1,1)-OFFSET(Forecast!$B74,0,COLUMN(AW$4)-COLUMN($C$4),1,1)</f>
        <v>1140000</v>
      </c>
      <c r="AX7" s="52">
        <f ca="1">OFFSET(AX$4,ROW($B7)-ROW($B$4),-1,1,1)-OFFSET(Forecast!$B92,0,COLUMN(AX$4)-COLUMN($C$4),1,1)-OFFSET(Forecast!$B74,0,COLUMN(AX$4)-COLUMN($C$4),1,1)</f>
        <v>1140000</v>
      </c>
      <c r="AY7" s="52">
        <f ca="1">OFFSET(AY$4,ROW($B7)-ROW($B$4),-1,1,1)-OFFSET(Forecast!$B92,0,COLUMN(AY$4)-COLUMN($C$4),1,1)-OFFSET(Forecast!$B74,0,COLUMN(AY$4)-COLUMN($C$4),1,1)</f>
        <v>1121000</v>
      </c>
      <c r="AZ7" s="52">
        <f ca="1">OFFSET(AZ$4,ROW($B7)-ROW($B$4),-1,1,1)-OFFSET(Forecast!$B92,0,COLUMN(AZ$4)-COLUMN($C$4),1,1)-OFFSET(Forecast!$B74,0,COLUMN(AZ$4)-COLUMN($C$4),1,1)</f>
        <v>1121000</v>
      </c>
      <c r="BA7" s="52">
        <f ca="1">OFFSET(BA$4,ROW($B7)-ROW($B$4),-1,1,1)-OFFSET(Forecast!$B92,0,COLUMN(BA$4)-COLUMN($C$4),1,1)-OFFSET(Forecast!$B74,0,COLUMN(BA$4)-COLUMN($C$4),1,1)</f>
        <v>1121000</v>
      </c>
      <c r="BB7" s="52">
        <f ca="1">OFFSET(BB$4,ROW($B7)-ROW($B$4),-1,1,1)-OFFSET(Forecast!$B92,0,COLUMN(BB$4)-COLUMN($C$4),1,1)-OFFSET(Forecast!$B74,0,COLUMN(BB$4)-COLUMN($C$4),1,1)</f>
        <v>1121000</v>
      </c>
      <c r="BC7" s="52">
        <f ca="1">OFFSET(BC$4,ROW($B7)-ROW($B$4),-1,1,1)-OFFSET(Forecast!$B92,0,COLUMN(BC$4)-COLUMN($C$4),1,1)-OFFSET(Forecast!$B74,0,COLUMN(BC$4)-COLUMN($C$4),1,1)</f>
        <v>1102000</v>
      </c>
      <c r="BD7" s="53">
        <f ca="1">OFFSET($B7,0,Assumptions!$C$8+1,1,1)</f>
        <v>1005000</v>
      </c>
      <c r="BE7" s="53">
        <f ca="1">OFFSET($B7,0,SUM(Assumptions!$C$8:$C$9)+1,1,1)</f>
        <v>960000</v>
      </c>
      <c r="BF7" s="53">
        <f ca="1">OFFSET($B7,0,SUM(Assumptions!$C$8:$C$10)+1,1,1)</f>
        <v>915000</v>
      </c>
      <c r="BG7" s="53">
        <f ca="1">OFFSET($B7,0,SUM(Assumptions!$C$8:$C$11)+1,1,1)</f>
        <v>1102000</v>
      </c>
      <c r="BH7" s="53">
        <f ca="1">BG7</f>
        <v>1102000</v>
      </c>
    </row>
    <row r="8" spans="1:60" s="10" customFormat="1" ht="16.149999999999999" customHeight="1" x14ac:dyDescent="0.3">
      <c r="A8" s="291" t="s">
        <v>138</v>
      </c>
      <c r="B8" s="12" t="s">
        <v>175</v>
      </c>
      <c r="C8" s="52">
        <f ca="1">SUMIF(Assumptions!$A$81:$C$104,$A8,Assumptions!$C$81:$C$104)</f>
        <v>120000</v>
      </c>
      <c r="D8" s="52">
        <f ca="1">OFFSET(D$4,ROW($B8)-ROW($B$4),-1,1,1)-OFFSET(Forecast!$B93,0,COLUMN(D$4)-COLUMN($C$4),1,1)-OFFSET(Forecast!$B75,0,COLUMN(D$4)-COLUMN($C$4),1,1)</f>
        <v>120000</v>
      </c>
      <c r="E8" s="52">
        <f ca="1">OFFSET(E$4,ROW($B8)-ROW($B$4),-1,1,1)-OFFSET(Forecast!$B93,0,COLUMN(E$4)-COLUMN($C$4),1,1)-OFFSET(Forecast!$B75,0,COLUMN(E$4)-COLUMN($C$4),1,1)</f>
        <v>120000</v>
      </c>
      <c r="F8" s="52">
        <f ca="1">OFFSET(F$4,ROW($B8)-ROW($B$4),-1,1,1)-OFFSET(Forecast!$B93,0,COLUMN(F$4)-COLUMN($C$4),1,1)-OFFSET(Forecast!$B75,0,COLUMN(F$4)-COLUMN($C$4),1,1)</f>
        <v>120000</v>
      </c>
      <c r="G8" s="52">
        <f ca="1">OFFSET(G$4,ROW($B8)-ROW($B$4),-1,1,1)-OFFSET(Forecast!$B93,0,COLUMN(G$4)-COLUMN($C$4),1,1)-OFFSET(Forecast!$B75,0,COLUMN(G$4)-COLUMN($C$4),1,1)</f>
        <v>120000</v>
      </c>
      <c r="H8" s="52">
        <f ca="1">OFFSET(H$4,ROW($B8)-ROW($B$4),-1,1,1)-OFFSET(Forecast!$B93,0,COLUMN(H$4)-COLUMN($C$4),1,1)-OFFSET(Forecast!$B75,0,COLUMN(H$4)-COLUMN($C$4),1,1)</f>
        <v>119000</v>
      </c>
      <c r="I8" s="52">
        <f ca="1">OFFSET(I$4,ROW($B8)-ROW($B$4),-1,1,1)-OFFSET(Forecast!$B93,0,COLUMN(I$4)-COLUMN($C$4),1,1)-OFFSET(Forecast!$B75,0,COLUMN(I$4)-COLUMN($C$4),1,1)</f>
        <v>119000</v>
      </c>
      <c r="J8" s="52">
        <f ca="1">OFFSET(J$4,ROW($B8)-ROW($B$4),-1,1,1)-OFFSET(Forecast!$B93,0,COLUMN(J$4)-COLUMN($C$4),1,1)-OFFSET(Forecast!$B75,0,COLUMN(J$4)-COLUMN($C$4),1,1)</f>
        <v>119000</v>
      </c>
      <c r="K8" s="52">
        <f ca="1">OFFSET(K$4,ROW($B8)-ROW($B$4),-1,1,1)-OFFSET(Forecast!$B93,0,COLUMN(K$4)-COLUMN($C$4),1,1)-OFFSET(Forecast!$B75,0,COLUMN(K$4)-COLUMN($C$4),1,1)</f>
        <v>119000</v>
      </c>
      <c r="L8" s="52">
        <f ca="1">OFFSET(L$4,ROW($B8)-ROW($B$4),-1,1,1)-OFFSET(Forecast!$B93,0,COLUMN(L$4)-COLUMN($C$4),1,1)-OFFSET(Forecast!$B75,0,COLUMN(L$4)-COLUMN($C$4),1,1)</f>
        <v>118000</v>
      </c>
      <c r="M8" s="52">
        <f ca="1">OFFSET(M$4,ROW($B8)-ROW($B$4),-1,1,1)-OFFSET(Forecast!$B93,0,COLUMN(M$4)-COLUMN($C$4),1,1)-OFFSET(Forecast!$B75,0,COLUMN(M$4)-COLUMN($C$4),1,1)</f>
        <v>118000</v>
      </c>
      <c r="N8" s="52">
        <f ca="1">OFFSET(N$4,ROW($B8)-ROW($B$4),-1,1,1)-OFFSET(Forecast!$B93,0,COLUMN(N$4)-COLUMN($C$4),1,1)-OFFSET(Forecast!$B75,0,COLUMN(N$4)-COLUMN($C$4),1,1)</f>
        <v>118000</v>
      </c>
      <c r="O8" s="52">
        <f ca="1">OFFSET(O$4,ROW($B8)-ROW($B$4),-1,1,1)-OFFSET(Forecast!$B93,0,COLUMN(O$4)-COLUMN($C$4),1,1)-OFFSET(Forecast!$B75,0,COLUMN(O$4)-COLUMN($C$4),1,1)</f>
        <v>118000</v>
      </c>
      <c r="P8" s="52">
        <f ca="1">OFFSET(P$4,ROW($B8)-ROW($B$4),-1,1,1)-OFFSET(Forecast!$B93,0,COLUMN(P$4)-COLUMN($C$4),1,1)-OFFSET(Forecast!$B75,0,COLUMN(P$4)-COLUMN($C$4),1,1)</f>
        <v>117000</v>
      </c>
      <c r="Q8" s="52">
        <f ca="1">OFFSET(Q$4,ROW($B8)-ROW($B$4),-1,1,1)-OFFSET(Forecast!$B93,0,COLUMN(Q$4)-COLUMN($C$4),1,1)-OFFSET(Forecast!$B75,0,COLUMN(Q$4)-COLUMN($C$4),1,1)</f>
        <v>117000</v>
      </c>
      <c r="R8" s="52">
        <f ca="1">OFFSET(R$4,ROW($B8)-ROW($B$4),-1,1,1)-OFFSET(Forecast!$B93,0,COLUMN(R$4)-COLUMN($C$4),1,1)-OFFSET(Forecast!$B75,0,COLUMN(R$4)-COLUMN($C$4),1,1)</f>
        <v>117000</v>
      </c>
      <c r="S8" s="52">
        <f ca="1">OFFSET(S$4,ROW($B8)-ROW($B$4),-1,1,1)-OFFSET(Forecast!$B93,0,COLUMN(S$4)-COLUMN($C$4),1,1)-OFFSET(Forecast!$B75,0,COLUMN(S$4)-COLUMN($C$4),1,1)</f>
        <v>117000</v>
      </c>
      <c r="T8" s="52">
        <f ca="1">OFFSET(T$4,ROW($B8)-ROW($B$4),-1,1,1)-OFFSET(Forecast!$B93,0,COLUMN(T$4)-COLUMN($C$4),1,1)-OFFSET(Forecast!$B75,0,COLUMN(T$4)-COLUMN($C$4),1,1)</f>
        <v>117000</v>
      </c>
      <c r="U8" s="52">
        <f ca="1">OFFSET(U$4,ROW($B8)-ROW($B$4),-1,1,1)-OFFSET(Forecast!$B93,0,COLUMN(U$4)-COLUMN($C$4),1,1)-OFFSET(Forecast!$B75,0,COLUMN(U$4)-COLUMN($C$4),1,1)</f>
        <v>116000</v>
      </c>
      <c r="V8" s="52">
        <f ca="1">OFFSET(V$4,ROW($B8)-ROW($B$4),-1,1,1)-OFFSET(Forecast!$B93,0,COLUMN(V$4)-COLUMN($C$4),1,1)-OFFSET(Forecast!$B75,0,COLUMN(V$4)-COLUMN($C$4),1,1)</f>
        <v>116000</v>
      </c>
      <c r="W8" s="52">
        <f ca="1">OFFSET(W$4,ROW($B8)-ROW($B$4),-1,1,1)-OFFSET(Forecast!$B93,0,COLUMN(W$4)-COLUMN($C$4),1,1)-OFFSET(Forecast!$B75,0,COLUMN(W$4)-COLUMN($C$4),1,1)</f>
        <v>116000</v>
      </c>
      <c r="X8" s="52">
        <f ca="1">OFFSET(X$4,ROW($B8)-ROW($B$4),-1,1,1)-OFFSET(Forecast!$B93,0,COLUMN(X$4)-COLUMN($C$4),1,1)-OFFSET(Forecast!$B75,0,COLUMN(X$4)-COLUMN($C$4),1,1)</f>
        <v>116000</v>
      </c>
      <c r="Y8" s="52">
        <f ca="1">OFFSET(Y$4,ROW($B8)-ROW($B$4),-1,1,1)-OFFSET(Forecast!$B93,0,COLUMN(Y$4)-COLUMN($C$4),1,1)-OFFSET(Forecast!$B75,0,COLUMN(Y$4)-COLUMN($C$4),1,1)</f>
        <v>115000</v>
      </c>
      <c r="Z8" s="52">
        <f ca="1">OFFSET(Z$4,ROW($B8)-ROW($B$4),-1,1,1)-OFFSET(Forecast!$B93,0,COLUMN(Z$4)-COLUMN($C$4),1,1)-OFFSET(Forecast!$B75,0,COLUMN(Z$4)-COLUMN($C$4),1,1)</f>
        <v>115000</v>
      </c>
      <c r="AA8" s="52">
        <f ca="1">OFFSET(AA$4,ROW($B8)-ROW($B$4),-1,1,1)-OFFSET(Forecast!$B93,0,COLUMN(AA$4)-COLUMN($C$4),1,1)-OFFSET(Forecast!$B75,0,COLUMN(AA$4)-COLUMN($C$4),1,1)</f>
        <v>115000</v>
      </c>
      <c r="AB8" s="52">
        <f ca="1">OFFSET(AB$4,ROW($B8)-ROW($B$4),-1,1,1)-OFFSET(Forecast!$B93,0,COLUMN(AB$4)-COLUMN($C$4),1,1)-OFFSET(Forecast!$B75,0,COLUMN(AB$4)-COLUMN($C$4),1,1)</f>
        <v>115000</v>
      </c>
      <c r="AC8" s="52">
        <f ca="1">OFFSET(AC$4,ROW($B8)-ROW($B$4),-1,1,1)-OFFSET(Forecast!$B93,0,COLUMN(AC$4)-COLUMN($C$4),1,1)-OFFSET(Forecast!$B75,0,COLUMN(AC$4)-COLUMN($C$4),1,1)</f>
        <v>114000</v>
      </c>
      <c r="AD8" s="52">
        <f ca="1">OFFSET(AD$4,ROW($B8)-ROW($B$4),-1,1,1)-OFFSET(Forecast!$B93,0,COLUMN(AD$4)-COLUMN($C$4),1,1)-OFFSET(Forecast!$B75,0,COLUMN(AD$4)-COLUMN($C$4),1,1)</f>
        <v>114000</v>
      </c>
      <c r="AE8" s="52">
        <f ca="1">OFFSET(AE$4,ROW($B8)-ROW($B$4),-1,1,1)-OFFSET(Forecast!$B93,0,COLUMN(AE$4)-COLUMN($C$4),1,1)-OFFSET(Forecast!$B75,0,COLUMN(AE$4)-COLUMN($C$4),1,1)</f>
        <v>114000</v>
      </c>
      <c r="AF8" s="52">
        <f ca="1">OFFSET(AF$4,ROW($B8)-ROW($B$4),-1,1,1)-OFFSET(Forecast!$B93,0,COLUMN(AF$4)-COLUMN($C$4),1,1)-OFFSET(Forecast!$B75,0,COLUMN(AF$4)-COLUMN($C$4),1,1)</f>
        <v>114000</v>
      </c>
      <c r="AG8" s="52">
        <f ca="1">OFFSET(AG$4,ROW($B8)-ROW($B$4),-1,1,1)-OFFSET(Forecast!$B93,0,COLUMN(AG$4)-COLUMN($C$4),1,1)-OFFSET(Forecast!$B75,0,COLUMN(AG$4)-COLUMN($C$4),1,1)</f>
        <v>114000</v>
      </c>
      <c r="AH8" s="52">
        <f ca="1">OFFSET(AH$4,ROW($B8)-ROW($B$4),-1,1,1)-OFFSET(Forecast!$B93,0,COLUMN(AH$4)-COLUMN($C$4),1,1)-OFFSET(Forecast!$B75,0,COLUMN(AH$4)-COLUMN($C$4),1,1)</f>
        <v>113000</v>
      </c>
      <c r="AI8" s="52">
        <f ca="1">OFFSET(AI$4,ROW($B8)-ROW($B$4),-1,1,1)-OFFSET(Forecast!$B93,0,COLUMN(AI$4)-COLUMN($C$4),1,1)-OFFSET(Forecast!$B75,0,COLUMN(AI$4)-COLUMN($C$4),1,1)</f>
        <v>113000</v>
      </c>
      <c r="AJ8" s="52">
        <f ca="1">OFFSET(AJ$4,ROW($B8)-ROW($B$4),-1,1,1)-OFFSET(Forecast!$B93,0,COLUMN(AJ$4)-COLUMN($C$4),1,1)-OFFSET(Forecast!$B75,0,COLUMN(AJ$4)-COLUMN($C$4),1,1)</f>
        <v>113000</v>
      </c>
      <c r="AK8" s="52">
        <f ca="1">OFFSET(AK$4,ROW($B8)-ROW($B$4),-1,1,1)-OFFSET(Forecast!$B93,0,COLUMN(AK$4)-COLUMN($C$4),1,1)-OFFSET(Forecast!$B75,0,COLUMN(AK$4)-COLUMN($C$4),1,1)</f>
        <v>113000</v>
      </c>
      <c r="AL8" s="52">
        <f ca="1">OFFSET(AL$4,ROW($B8)-ROW($B$4),-1,1,1)-OFFSET(Forecast!$B93,0,COLUMN(AL$4)-COLUMN($C$4),1,1)-OFFSET(Forecast!$B75,0,COLUMN(AL$4)-COLUMN($C$4),1,1)</f>
        <v>112000</v>
      </c>
      <c r="AM8" s="52">
        <f ca="1">OFFSET(AM$4,ROW($B8)-ROW($B$4),-1,1,1)-OFFSET(Forecast!$B93,0,COLUMN(AM$4)-COLUMN($C$4),1,1)-OFFSET(Forecast!$B75,0,COLUMN(AM$4)-COLUMN($C$4),1,1)</f>
        <v>112000</v>
      </c>
      <c r="AN8" s="52">
        <f ca="1">OFFSET(AN$4,ROW($B8)-ROW($B$4),-1,1,1)-OFFSET(Forecast!$B93,0,COLUMN(AN$4)-COLUMN($C$4),1,1)-OFFSET(Forecast!$B75,0,COLUMN(AN$4)-COLUMN($C$4),1,1)</f>
        <v>112000</v>
      </c>
      <c r="AO8" s="52">
        <f ca="1">OFFSET(AO$4,ROW($B8)-ROW($B$4),-1,1,1)-OFFSET(Forecast!$B93,0,COLUMN(AO$4)-COLUMN($C$4),1,1)-OFFSET(Forecast!$B75,0,COLUMN(AO$4)-COLUMN($C$4),1,1)</f>
        <v>112000</v>
      </c>
      <c r="AP8" s="52">
        <f ca="1">OFFSET(AP$4,ROW($B8)-ROW($B$4),-1,1,1)-OFFSET(Forecast!$B93,0,COLUMN(AP$4)-COLUMN($C$4),1,1)-OFFSET(Forecast!$B75,0,COLUMN(AP$4)-COLUMN($C$4),1,1)</f>
        <v>111000</v>
      </c>
      <c r="AQ8" s="52">
        <f ca="1">OFFSET(AQ$4,ROW($B8)-ROW($B$4),-1,1,1)-OFFSET(Forecast!$B93,0,COLUMN(AQ$4)-COLUMN($C$4),1,1)-OFFSET(Forecast!$B75,0,COLUMN(AQ$4)-COLUMN($C$4),1,1)</f>
        <v>111000</v>
      </c>
      <c r="AR8" s="52">
        <f ca="1">OFFSET(AR$4,ROW($B8)-ROW($B$4),-1,1,1)-OFFSET(Forecast!$B93,0,COLUMN(AR$4)-COLUMN($C$4),1,1)-OFFSET(Forecast!$B75,0,COLUMN(AR$4)-COLUMN($C$4),1,1)</f>
        <v>111000</v>
      </c>
      <c r="AS8" s="52">
        <f ca="1">OFFSET(AS$4,ROW($B8)-ROW($B$4),-1,1,1)-OFFSET(Forecast!$B93,0,COLUMN(AS$4)-COLUMN($C$4),1,1)-OFFSET(Forecast!$B75,0,COLUMN(AS$4)-COLUMN($C$4),1,1)</f>
        <v>111000</v>
      </c>
      <c r="AT8" s="52">
        <f ca="1">OFFSET(AT$4,ROW($B8)-ROW($B$4),-1,1,1)-OFFSET(Forecast!$B93,0,COLUMN(AT$4)-COLUMN($C$4),1,1)-OFFSET(Forecast!$B75,0,COLUMN(AT$4)-COLUMN($C$4),1,1)</f>
        <v>111000</v>
      </c>
      <c r="AU8" s="52">
        <f ca="1">OFFSET(AU$4,ROW($B8)-ROW($B$4),-1,1,1)-OFFSET(Forecast!$B93,0,COLUMN(AU$4)-COLUMN($C$4),1,1)-OFFSET(Forecast!$B75,0,COLUMN(AU$4)-COLUMN($C$4),1,1)</f>
        <v>110000</v>
      </c>
      <c r="AV8" s="52">
        <f ca="1">OFFSET(AV$4,ROW($B8)-ROW($B$4),-1,1,1)-OFFSET(Forecast!$B93,0,COLUMN(AV$4)-COLUMN($C$4),1,1)-OFFSET(Forecast!$B75,0,COLUMN(AV$4)-COLUMN($C$4),1,1)</f>
        <v>110000</v>
      </c>
      <c r="AW8" s="52">
        <f ca="1">OFFSET(AW$4,ROW($B8)-ROW($B$4),-1,1,1)-OFFSET(Forecast!$B93,0,COLUMN(AW$4)-COLUMN($C$4),1,1)-OFFSET(Forecast!$B75,0,COLUMN(AW$4)-COLUMN($C$4),1,1)</f>
        <v>110000</v>
      </c>
      <c r="AX8" s="52">
        <f ca="1">OFFSET(AX$4,ROW($B8)-ROW($B$4),-1,1,1)-OFFSET(Forecast!$B93,0,COLUMN(AX$4)-COLUMN($C$4),1,1)-OFFSET(Forecast!$B75,0,COLUMN(AX$4)-COLUMN($C$4),1,1)</f>
        <v>110000</v>
      </c>
      <c r="AY8" s="52">
        <f ca="1">OFFSET(AY$4,ROW($B8)-ROW($B$4),-1,1,1)-OFFSET(Forecast!$B93,0,COLUMN(AY$4)-COLUMN($C$4),1,1)-OFFSET(Forecast!$B75,0,COLUMN(AY$4)-COLUMN($C$4),1,1)</f>
        <v>109000</v>
      </c>
      <c r="AZ8" s="52">
        <f ca="1">OFFSET(AZ$4,ROW($B8)-ROW($B$4),-1,1,1)-OFFSET(Forecast!$B93,0,COLUMN(AZ$4)-COLUMN($C$4),1,1)-OFFSET(Forecast!$B75,0,COLUMN(AZ$4)-COLUMN($C$4),1,1)</f>
        <v>109000</v>
      </c>
      <c r="BA8" s="52">
        <f ca="1">OFFSET(BA$4,ROW($B8)-ROW($B$4),-1,1,1)-OFFSET(Forecast!$B93,0,COLUMN(BA$4)-COLUMN($C$4),1,1)-OFFSET(Forecast!$B75,0,COLUMN(BA$4)-COLUMN($C$4),1,1)</f>
        <v>109000</v>
      </c>
      <c r="BB8" s="52">
        <f ca="1">OFFSET(BB$4,ROW($B8)-ROW($B$4),-1,1,1)-OFFSET(Forecast!$B93,0,COLUMN(BB$4)-COLUMN($C$4),1,1)-OFFSET(Forecast!$B75,0,COLUMN(BB$4)-COLUMN($C$4),1,1)</f>
        <v>109000</v>
      </c>
      <c r="BC8" s="52">
        <f ca="1">OFFSET(BC$4,ROW($B8)-ROW($B$4),-1,1,1)-OFFSET(Forecast!$B93,0,COLUMN(BC$4)-COLUMN($C$4),1,1)-OFFSET(Forecast!$B75,0,COLUMN(BC$4)-COLUMN($C$4),1,1)</f>
        <v>108000</v>
      </c>
      <c r="BD8" s="53">
        <f ca="1">OFFSET($B8,0,Assumptions!$C$8+1,1,1)</f>
        <v>117000</v>
      </c>
      <c r="BE8" s="53">
        <f ca="1">OFFSET($B8,0,SUM(Assumptions!$C$8:$C$9)+1,1,1)</f>
        <v>114000</v>
      </c>
      <c r="BF8" s="53">
        <f ca="1">OFFSET($B8,0,SUM(Assumptions!$C$8:$C$10)+1,1,1)</f>
        <v>111000</v>
      </c>
      <c r="BG8" s="53">
        <f ca="1">OFFSET($B8,0,SUM(Assumptions!$C$8:$C$11)+1,1,1)</f>
        <v>108000</v>
      </c>
      <c r="BH8" s="53">
        <f t="shared" ref="BH8:BH9" ca="1" si="2">BG8</f>
        <v>108000</v>
      </c>
    </row>
    <row r="9" spans="1:60" s="10" customFormat="1" ht="16.149999999999999" customHeight="1" x14ac:dyDescent="0.3">
      <c r="A9" s="291" t="s">
        <v>140</v>
      </c>
      <c r="B9" s="12" t="s">
        <v>176</v>
      </c>
      <c r="C9" s="52">
        <f ca="1">SUMIF(Assumptions!$A$81:$C$104,$A9,Assumptions!$C$81:$C$104)</f>
        <v>800000</v>
      </c>
      <c r="D9" s="52">
        <f ca="1">OFFSET(D$4,ROW($B9)-ROW($B$4),-1,1,1)-OFFSET(Forecast!$B94,0,COLUMN(D$4)-COLUMN($C$4),1,1)</f>
        <v>800000</v>
      </c>
      <c r="E9" s="52">
        <f ca="1">OFFSET(E$4,ROW($B9)-ROW($B$4),-1,1,1)-OFFSET(Forecast!$B94,0,COLUMN(E$4)-COLUMN($C$4),1,1)</f>
        <v>800000</v>
      </c>
      <c r="F9" s="52">
        <f ca="1">OFFSET(F$4,ROW($B9)-ROW($B$4),-1,1,1)-OFFSET(Forecast!$B94,0,COLUMN(F$4)-COLUMN($C$4),1,1)</f>
        <v>800000</v>
      </c>
      <c r="G9" s="52">
        <f ca="1">OFFSET(G$4,ROW($B9)-ROW($B$4),-1,1,1)-OFFSET(Forecast!$B94,0,COLUMN(G$4)-COLUMN($C$4),1,1)</f>
        <v>800000</v>
      </c>
      <c r="H9" s="52">
        <f ca="1">OFFSET(H$4,ROW($B9)-ROW($B$4),-1,1,1)-OFFSET(Forecast!$B94,0,COLUMN(H$4)-COLUMN($C$4),1,1)</f>
        <v>800000</v>
      </c>
      <c r="I9" s="52">
        <f ca="1">OFFSET(I$4,ROW($B9)-ROW($B$4),-1,1,1)-OFFSET(Forecast!$B94,0,COLUMN(I$4)-COLUMN($C$4),1,1)</f>
        <v>800000</v>
      </c>
      <c r="J9" s="52">
        <f ca="1">OFFSET(J$4,ROW($B9)-ROW($B$4),-1,1,1)-OFFSET(Forecast!$B94,0,COLUMN(J$4)-COLUMN($C$4),1,1)</f>
        <v>800000</v>
      </c>
      <c r="K9" s="52">
        <f ca="1">OFFSET(K$4,ROW($B9)-ROW($B$4),-1,1,1)-OFFSET(Forecast!$B94,0,COLUMN(K$4)-COLUMN($C$4),1,1)</f>
        <v>800000</v>
      </c>
      <c r="L9" s="52">
        <f ca="1">OFFSET(L$4,ROW($B9)-ROW($B$4),-1,1,1)-OFFSET(Forecast!$B94,0,COLUMN(L$4)-COLUMN($C$4),1,1)</f>
        <v>800000</v>
      </c>
      <c r="M9" s="52">
        <f ca="1">OFFSET(M$4,ROW($B9)-ROW($B$4),-1,1,1)-OFFSET(Forecast!$B94,0,COLUMN(M$4)-COLUMN($C$4),1,1)</f>
        <v>800000</v>
      </c>
      <c r="N9" s="52">
        <f ca="1">OFFSET(N$4,ROW($B9)-ROW($B$4),-1,1,1)-OFFSET(Forecast!$B94,0,COLUMN(N$4)-COLUMN($C$4),1,1)</f>
        <v>800000</v>
      </c>
      <c r="O9" s="52">
        <f ca="1">OFFSET(O$4,ROW($B9)-ROW($B$4),-1,1,1)-OFFSET(Forecast!$B94,0,COLUMN(O$4)-COLUMN($C$4),1,1)</f>
        <v>800000</v>
      </c>
      <c r="P9" s="52">
        <f ca="1">OFFSET(P$4,ROW($B9)-ROW($B$4),-1,1,1)-OFFSET(Forecast!$B94,0,COLUMN(P$4)-COLUMN($C$4),1,1)</f>
        <v>800000</v>
      </c>
      <c r="Q9" s="52">
        <f ca="1">OFFSET(Q$4,ROW($B9)-ROW($B$4),-1,1,1)-OFFSET(Forecast!$B94,0,COLUMN(Q$4)-COLUMN($C$4),1,1)</f>
        <v>800000</v>
      </c>
      <c r="R9" s="52">
        <f ca="1">OFFSET(R$4,ROW($B9)-ROW($B$4),-1,1,1)-OFFSET(Forecast!$B94,0,COLUMN(R$4)-COLUMN($C$4),1,1)</f>
        <v>800000</v>
      </c>
      <c r="S9" s="52">
        <f ca="1">OFFSET(S$4,ROW($B9)-ROW($B$4),-1,1,1)-OFFSET(Forecast!$B94,0,COLUMN(S$4)-COLUMN($C$4),1,1)</f>
        <v>800000</v>
      </c>
      <c r="T9" s="52">
        <f ca="1">OFFSET(T$4,ROW($B9)-ROW($B$4),-1,1,1)-OFFSET(Forecast!$B94,0,COLUMN(T$4)-COLUMN($C$4),1,1)</f>
        <v>800000</v>
      </c>
      <c r="U9" s="52">
        <f ca="1">OFFSET(U$4,ROW($B9)-ROW($B$4),-1,1,1)-OFFSET(Forecast!$B94,0,COLUMN(U$4)-COLUMN($C$4),1,1)</f>
        <v>800000</v>
      </c>
      <c r="V9" s="52">
        <f ca="1">OFFSET(V$4,ROW($B9)-ROW($B$4),-1,1,1)-OFFSET(Forecast!$B94,0,COLUMN(V$4)-COLUMN($C$4),1,1)</f>
        <v>800000</v>
      </c>
      <c r="W9" s="52">
        <f ca="1">OFFSET(W$4,ROW($B9)-ROW($B$4),-1,1,1)-OFFSET(Forecast!$B94,0,COLUMN(W$4)-COLUMN($C$4),1,1)</f>
        <v>800000</v>
      </c>
      <c r="X9" s="52">
        <f ca="1">OFFSET(X$4,ROW($B9)-ROW($B$4),-1,1,1)-OFFSET(Forecast!$B94,0,COLUMN(X$4)-COLUMN($C$4),1,1)</f>
        <v>800000</v>
      </c>
      <c r="Y9" s="52">
        <f ca="1">OFFSET(Y$4,ROW($B9)-ROW($B$4),-1,1,1)-OFFSET(Forecast!$B94,0,COLUMN(Y$4)-COLUMN($C$4),1,1)</f>
        <v>800000</v>
      </c>
      <c r="Z9" s="52">
        <f ca="1">OFFSET(Z$4,ROW($B9)-ROW($B$4),-1,1,1)-OFFSET(Forecast!$B94,0,COLUMN(Z$4)-COLUMN($C$4),1,1)</f>
        <v>800000</v>
      </c>
      <c r="AA9" s="52">
        <f ca="1">OFFSET(AA$4,ROW($B9)-ROW($B$4),-1,1,1)-OFFSET(Forecast!$B94,0,COLUMN(AA$4)-COLUMN($C$4),1,1)</f>
        <v>800000</v>
      </c>
      <c r="AB9" s="52">
        <f ca="1">OFFSET(AB$4,ROW($B9)-ROW($B$4),-1,1,1)-OFFSET(Forecast!$B94,0,COLUMN(AB$4)-COLUMN($C$4),1,1)</f>
        <v>800000</v>
      </c>
      <c r="AC9" s="52">
        <f ca="1">OFFSET(AC$4,ROW($B9)-ROW($B$4),-1,1,1)-OFFSET(Forecast!$B94,0,COLUMN(AC$4)-COLUMN($C$4),1,1)</f>
        <v>800000</v>
      </c>
      <c r="AD9" s="52">
        <f ca="1">OFFSET(AD$4,ROW($B9)-ROW($B$4),-1,1,1)-OFFSET(Forecast!$B94,0,COLUMN(AD$4)-COLUMN($C$4),1,1)</f>
        <v>800000</v>
      </c>
      <c r="AE9" s="52">
        <f ca="1">OFFSET(AE$4,ROW($B9)-ROW($B$4),-1,1,1)-OFFSET(Forecast!$B94,0,COLUMN(AE$4)-COLUMN($C$4),1,1)</f>
        <v>800000</v>
      </c>
      <c r="AF9" s="52">
        <f ca="1">OFFSET(AF$4,ROW($B9)-ROW($B$4),-1,1,1)-OFFSET(Forecast!$B94,0,COLUMN(AF$4)-COLUMN($C$4),1,1)</f>
        <v>800000</v>
      </c>
      <c r="AG9" s="52">
        <f ca="1">OFFSET(AG$4,ROW($B9)-ROW($B$4),-1,1,1)-OFFSET(Forecast!$B94,0,COLUMN(AG$4)-COLUMN($C$4),1,1)</f>
        <v>800000</v>
      </c>
      <c r="AH9" s="52">
        <f ca="1">OFFSET(AH$4,ROW($B9)-ROW($B$4),-1,1,1)-OFFSET(Forecast!$B94,0,COLUMN(AH$4)-COLUMN($C$4),1,1)</f>
        <v>800000</v>
      </c>
      <c r="AI9" s="52">
        <f ca="1">OFFSET(AI$4,ROW($B9)-ROW($B$4),-1,1,1)-OFFSET(Forecast!$B94,0,COLUMN(AI$4)-COLUMN($C$4),1,1)</f>
        <v>800000</v>
      </c>
      <c r="AJ9" s="52">
        <f ca="1">OFFSET(AJ$4,ROW($B9)-ROW($B$4),-1,1,1)-OFFSET(Forecast!$B94,0,COLUMN(AJ$4)-COLUMN($C$4),1,1)</f>
        <v>800000</v>
      </c>
      <c r="AK9" s="52">
        <f ca="1">OFFSET(AK$4,ROW($B9)-ROW($B$4),-1,1,1)-OFFSET(Forecast!$B94,0,COLUMN(AK$4)-COLUMN($C$4),1,1)</f>
        <v>800000</v>
      </c>
      <c r="AL9" s="52">
        <f ca="1">OFFSET(AL$4,ROW($B9)-ROW($B$4),-1,1,1)-OFFSET(Forecast!$B94,0,COLUMN(AL$4)-COLUMN($C$4),1,1)</f>
        <v>800000</v>
      </c>
      <c r="AM9" s="52">
        <f ca="1">OFFSET(AM$4,ROW($B9)-ROW($B$4),-1,1,1)-OFFSET(Forecast!$B94,0,COLUMN(AM$4)-COLUMN($C$4),1,1)</f>
        <v>800000</v>
      </c>
      <c r="AN9" s="52">
        <f ca="1">OFFSET(AN$4,ROW($B9)-ROW($B$4),-1,1,1)-OFFSET(Forecast!$B94,0,COLUMN(AN$4)-COLUMN($C$4),1,1)</f>
        <v>800000</v>
      </c>
      <c r="AO9" s="52">
        <f ca="1">OFFSET(AO$4,ROW($B9)-ROW($B$4),-1,1,1)-OFFSET(Forecast!$B94,0,COLUMN(AO$4)-COLUMN($C$4),1,1)</f>
        <v>800000</v>
      </c>
      <c r="AP9" s="52">
        <f ca="1">OFFSET(AP$4,ROW($B9)-ROW($B$4),-1,1,1)-OFFSET(Forecast!$B94,0,COLUMN(AP$4)-COLUMN($C$4),1,1)</f>
        <v>800000</v>
      </c>
      <c r="AQ9" s="52">
        <f ca="1">OFFSET(AQ$4,ROW($B9)-ROW($B$4),-1,1,1)-OFFSET(Forecast!$B94,0,COLUMN(AQ$4)-COLUMN($C$4),1,1)</f>
        <v>800000</v>
      </c>
      <c r="AR9" s="52">
        <f ca="1">OFFSET(AR$4,ROW($B9)-ROW($B$4),-1,1,1)-OFFSET(Forecast!$B94,0,COLUMN(AR$4)-COLUMN($C$4),1,1)</f>
        <v>800000</v>
      </c>
      <c r="AS9" s="52">
        <f ca="1">OFFSET(AS$4,ROW($B9)-ROW($B$4),-1,1,1)-OFFSET(Forecast!$B94,0,COLUMN(AS$4)-COLUMN($C$4),1,1)</f>
        <v>800000</v>
      </c>
      <c r="AT9" s="52">
        <f ca="1">OFFSET(AT$4,ROW($B9)-ROW($B$4),-1,1,1)-OFFSET(Forecast!$B94,0,COLUMN(AT$4)-COLUMN($C$4),1,1)</f>
        <v>800000</v>
      </c>
      <c r="AU9" s="52">
        <f ca="1">OFFSET(AU$4,ROW($B9)-ROW($B$4),-1,1,1)-OFFSET(Forecast!$B94,0,COLUMN(AU$4)-COLUMN($C$4),1,1)</f>
        <v>800000</v>
      </c>
      <c r="AV9" s="52">
        <f ca="1">OFFSET(AV$4,ROW($B9)-ROW($B$4),-1,1,1)-OFFSET(Forecast!$B94,0,COLUMN(AV$4)-COLUMN($C$4),1,1)</f>
        <v>800000</v>
      </c>
      <c r="AW9" s="52">
        <f ca="1">OFFSET(AW$4,ROW($B9)-ROW($B$4),-1,1,1)-OFFSET(Forecast!$B94,0,COLUMN(AW$4)-COLUMN($C$4),1,1)</f>
        <v>800000</v>
      </c>
      <c r="AX9" s="52">
        <f ca="1">OFFSET(AX$4,ROW($B9)-ROW($B$4),-1,1,1)-OFFSET(Forecast!$B94,0,COLUMN(AX$4)-COLUMN($C$4),1,1)</f>
        <v>800000</v>
      </c>
      <c r="AY9" s="52">
        <f ca="1">OFFSET(AY$4,ROW($B9)-ROW($B$4),-1,1,1)-OFFSET(Forecast!$B94,0,COLUMN(AY$4)-COLUMN($C$4),1,1)</f>
        <v>800000</v>
      </c>
      <c r="AZ9" s="52">
        <f ca="1">OFFSET(AZ$4,ROW($B9)-ROW($B$4),-1,1,1)-OFFSET(Forecast!$B94,0,COLUMN(AZ$4)-COLUMN($C$4),1,1)</f>
        <v>800000</v>
      </c>
      <c r="BA9" s="52">
        <f ca="1">OFFSET(BA$4,ROW($B9)-ROW($B$4),-1,1,1)-OFFSET(Forecast!$B94,0,COLUMN(BA$4)-COLUMN($C$4),1,1)</f>
        <v>800000</v>
      </c>
      <c r="BB9" s="52">
        <f ca="1">OFFSET(BB$4,ROW($B9)-ROW($B$4),-1,1,1)-OFFSET(Forecast!$B94,0,COLUMN(BB$4)-COLUMN($C$4),1,1)</f>
        <v>800000</v>
      </c>
      <c r="BC9" s="52">
        <f ca="1">OFFSET(BC$4,ROW($B9)-ROW($B$4),-1,1,1)-OFFSET(Forecast!$B94,0,COLUMN(BC$4)-COLUMN($C$4),1,1)</f>
        <v>800000</v>
      </c>
      <c r="BD9" s="53">
        <f ca="1">OFFSET($B9,0,Assumptions!$C$8+1,1,1)</f>
        <v>800000</v>
      </c>
      <c r="BE9" s="53">
        <f ca="1">OFFSET($B9,0,SUM(Assumptions!$C$8:$C$9)+1,1,1)</f>
        <v>800000</v>
      </c>
      <c r="BF9" s="53">
        <f ca="1">OFFSET($B9,0,SUM(Assumptions!$C$8:$C$10)+1,1,1)</f>
        <v>800000</v>
      </c>
      <c r="BG9" s="53">
        <f ca="1">OFFSET($B9,0,SUM(Assumptions!$C$8:$C$11)+1,1,1)</f>
        <v>800000</v>
      </c>
      <c r="BH9" s="53">
        <f t="shared" ca="1" si="2"/>
        <v>800000</v>
      </c>
    </row>
    <row r="10" spans="1:60" ht="16.149999999999999" customHeight="1" thickBot="1" x14ac:dyDescent="0.35">
      <c r="C10" s="100">
        <f ca="1">SUM(C7:C9)</f>
        <v>1970000</v>
      </c>
      <c r="D10" s="100">
        <f t="shared" ref="D10:BH10" ca="1" si="3">SUM(D7:D9)</f>
        <v>1970000</v>
      </c>
      <c r="E10" s="100">
        <f t="shared" ca="1" si="3"/>
        <v>1970000</v>
      </c>
      <c r="F10" s="100">
        <f t="shared" ca="1" si="3"/>
        <v>1970000</v>
      </c>
      <c r="G10" s="100">
        <f t="shared" ca="1" si="3"/>
        <v>1970000</v>
      </c>
      <c r="H10" s="100">
        <f t="shared" ca="1" si="3"/>
        <v>1954000</v>
      </c>
      <c r="I10" s="100">
        <f t="shared" ca="1" si="3"/>
        <v>1954000</v>
      </c>
      <c r="J10" s="100">
        <f t="shared" ca="1" si="3"/>
        <v>1954000</v>
      </c>
      <c r="K10" s="100">
        <f t="shared" ca="1" si="3"/>
        <v>1954000</v>
      </c>
      <c r="L10" s="100">
        <f t="shared" ca="1" si="3"/>
        <v>1938000</v>
      </c>
      <c r="M10" s="100">
        <f t="shared" ca="1" si="3"/>
        <v>1938000</v>
      </c>
      <c r="N10" s="100">
        <f t="shared" ca="1" si="3"/>
        <v>1938000</v>
      </c>
      <c r="O10" s="100">
        <f t="shared" ca="1" si="3"/>
        <v>1938000</v>
      </c>
      <c r="P10" s="100">
        <f t="shared" ca="1" si="3"/>
        <v>1922000</v>
      </c>
      <c r="Q10" s="100">
        <f t="shared" ca="1" si="3"/>
        <v>1922000</v>
      </c>
      <c r="R10" s="100">
        <f t="shared" ca="1" si="3"/>
        <v>1922000</v>
      </c>
      <c r="S10" s="100">
        <f t="shared" ca="1" si="3"/>
        <v>1922000</v>
      </c>
      <c r="T10" s="100">
        <f t="shared" ca="1" si="3"/>
        <v>1922000</v>
      </c>
      <c r="U10" s="100">
        <f t="shared" ca="1" si="3"/>
        <v>1906000</v>
      </c>
      <c r="V10" s="100">
        <f t="shared" ca="1" si="3"/>
        <v>1906000</v>
      </c>
      <c r="W10" s="100">
        <f t="shared" ca="1" si="3"/>
        <v>1906000</v>
      </c>
      <c r="X10" s="100">
        <f t="shared" ca="1" si="3"/>
        <v>1906000</v>
      </c>
      <c r="Y10" s="100">
        <f t="shared" ca="1" si="3"/>
        <v>1890000</v>
      </c>
      <c r="Z10" s="100">
        <f t="shared" ca="1" si="3"/>
        <v>1890000</v>
      </c>
      <c r="AA10" s="100">
        <f t="shared" ca="1" si="3"/>
        <v>1890000</v>
      </c>
      <c r="AB10" s="100">
        <f t="shared" ca="1" si="3"/>
        <v>1890000</v>
      </c>
      <c r="AC10" s="100">
        <f t="shared" ca="1" si="3"/>
        <v>1874000</v>
      </c>
      <c r="AD10" s="100">
        <f t="shared" ca="1" si="3"/>
        <v>1874000</v>
      </c>
      <c r="AE10" s="100">
        <f t="shared" ca="1" si="3"/>
        <v>1874000</v>
      </c>
      <c r="AF10" s="100">
        <f t="shared" ca="1" si="3"/>
        <v>1874000</v>
      </c>
      <c r="AG10" s="100">
        <f t="shared" ca="1" si="3"/>
        <v>1874000</v>
      </c>
      <c r="AH10" s="100">
        <f t="shared" ca="1" si="3"/>
        <v>1858000</v>
      </c>
      <c r="AI10" s="100">
        <f t="shared" ca="1" si="3"/>
        <v>1858000</v>
      </c>
      <c r="AJ10" s="100">
        <f t="shared" ca="1" si="3"/>
        <v>1858000</v>
      </c>
      <c r="AK10" s="100">
        <f t="shared" ca="1" si="3"/>
        <v>1858000</v>
      </c>
      <c r="AL10" s="100">
        <f t="shared" ca="1" si="3"/>
        <v>1842000</v>
      </c>
      <c r="AM10" s="100">
        <f t="shared" ca="1" si="3"/>
        <v>1842000</v>
      </c>
      <c r="AN10" s="100">
        <f t="shared" ca="1" si="3"/>
        <v>1842000</v>
      </c>
      <c r="AO10" s="100">
        <f t="shared" ca="1" si="3"/>
        <v>1842000</v>
      </c>
      <c r="AP10" s="100">
        <f t="shared" ca="1" si="3"/>
        <v>1826000</v>
      </c>
      <c r="AQ10" s="100">
        <f t="shared" ca="1" si="3"/>
        <v>1826000</v>
      </c>
      <c r="AR10" s="100">
        <f t="shared" ca="1" si="3"/>
        <v>1826000</v>
      </c>
      <c r="AS10" s="100">
        <f t="shared" ca="1" si="3"/>
        <v>1826000</v>
      </c>
      <c r="AT10" s="100">
        <f t="shared" ca="1" si="3"/>
        <v>1826000</v>
      </c>
      <c r="AU10" s="100">
        <f t="shared" ca="1" si="3"/>
        <v>1810000</v>
      </c>
      <c r="AV10" s="100">
        <f t="shared" ca="1" si="3"/>
        <v>2050000</v>
      </c>
      <c r="AW10" s="100">
        <f t="shared" ca="1" si="3"/>
        <v>2050000</v>
      </c>
      <c r="AX10" s="100">
        <f t="shared" ca="1" si="3"/>
        <v>2050000</v>
      </c>
      <c r="AY10" s="100">
        <f t="shared" ca="1" si="3"/>
        <v>2030000</v>
      </c>
      <c r="AZ10" s="100">
        <f t="shared" ca="1" si="3"/>
        <v>2030000</v>
      </c>
      <c r="BA10" s="100">
        <f t="shared" ca="1" si="3"/>
        <v>2030000</v>
      </c>
      <c r="BB10" s="100">
        <f t="shared" ca="1" si="3"/>
        <v>2030000</v>
      </c>
      <c r="BC10" s="100">
        <f t="shared" ca="1" si="3"/>
        <v>2010000</v>
      </c>
      <c r="BD10" s="57">
        <f t="shared" ca="1" si="3"/>
        <v>1922000</v>
      </c>
      <c r="BE10" s="57">
        <f t="shared" ca="1" si="3"/>
        <v>1874000</v>
      </c>
      <c r="BF10" s="57">
        <f t="shared" ca="1" si="3"/>
        <v>1826000</v>
      </c>
      <c r="BG10" s="57">
        <f t="shared" ca="1" si="3"/>
        <v>2010000</v>
      </c>
      <c r="BH10" s="57">
        <f t="shared" ca="1" si="3"/>
        <v>2010000</v>
      </c>
    </row>
    <row r="11" spans="1:60" s="10" customFormat="1" ht="16.149999999999999" customHeight="1" x14ac:dyDescent="0.25">
      <c r="A11" s="294"/>
      <c r="B11" s="101" t="s">
        <v>34</v>
      </c>
      <c r="C11" s="53"/>
      <c r="D11" s="53"/>
      <c r="E11" s="53"/>
      <c r="F11" s="53"/>
      <c r="G11" s="53"/>
      <c r="H11" s="53"/>
      <c r="I11" s="53"/>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row>
    <row r="12" spans="1:60" ht="16.149999999999999" customHeight="1" x14ac:dyDescent="0.3">
      <c r="A12" s="291" t="s">
        <v>177</v>
      </c>
      <c r="B12" s="31" t="s">
        <v>25</v>
      </c>
      <c r="C12" s="52">
        <f ca="1">SUMIF(Assumptions!$A$81:$C$104,$A12,Assumptions!$C$81:$C$104)</f>
        <v>170000</v>
      </c>
      <c r="D12" s="102">
        <f ca="1">(IF(D$90&lt;=D$43,0,IF(ISNA(MATCH(D$4-D$90,$A$4:$BH$4,1)),SUM($D$91:D$91),SUM(OFFSET($A$91,0,MATCH(D$4-D$90,$A$4:$BH$4,1)+1,1,COLUMN(D$4)-MATCH(D$4-D$90,$A$4:$BH$4,1)-1)))))+(IF(D$4-D$90=D$4,0,IF(D$4-D$90&lt;$C$4,0,IF(ISNA(MATCH(D$4-D$90,$A$4:$BH$4,1)),0,OFFSET($A$91,0,MATCH(D$4-D$90,$A$4:$BH$4,1),1,1)/7*(OFFSET($A$4,0,MATCH(D$4-D$90,$A$4:$BH$4,1),1,1)-(D$4-D$90))))))+IF(C$90=0,0,($C$12/$C$90*IF($C$4&gt;(D$4-D$90),$C$4-(D$4-D$90),0)))</f>
        <v>169333.33333333334</v>
      </c>
      <c r="E12" s="52">
        <f ca="1">(IF(E$90&lt;=E$43,0,IF(ISNA(MATCH(E$4-E$90,$A$4:$BH$4,1)),SUM($D$91:E$91),SUM(OFFSET($A$91,0,MATCH(E$4-E$90,$A$4:$BH$4,1)+1,1,COLUMN(E$4)-MATCH(E$4-E$90,$A$4:$BH$4,1)-1)))))+(IF(E$4-E$90=E$4,0,IF(E$4-E$90&lt;$C$4,0,IF(ISNA(MATCH(E$4-E$90,$A$4:$BH$4,1)),0,OFFSET($A$91,0,MATCH(E$4-E$90,$A$4:$BH$4,1),1,1)/7*(OFFSET($A$4,0,MATCH(E$4-E$90,$A$4:$BH$4,1),1,1)-(E$4-E$90))))))+IF(D$90=0,0,($C$12/$C$90*IF($C$4&gt;(E$4-E$90),$C$4-(E$4-E$90),0)))</f>
        <v>162588.26666666666</v>
      </c>
      <c r="F12" s="52">
        <f ca="1">(IF(F$90&lt;=F$43,0,IF(ISNA(MATCH(F$4-F$90,$A$4:$BH$4,1)),SUM($D$91:F$91),SUM(OFFSET($A$91,0,MATCH(F$4-F$90,$A$4:$BH$4,1)+1,1,COLUMN(F$4)-MATCH(F$4-F$90,$A$4:$BH$4,1)-1)))))+(IF(F$4-F$90=F$4,0,IF(F$4-F$90&lt;$C$4,0,IF(ISNA(MATCH(F$4-F$90,$A$4:$BH$4,1)),0,OFFSET($A$91,0,MATCH(F$4-F$90,$A$4:$BH$4,1),1,1)/7*(OFFSET($A$4,0,MATCH(F$4-F$90,$A$4:$BH$4,1),1,1)-(F$4-F$90))))))+IF(E$90=0,0,($C$12/$C$90*IF($C$4&gt;(F$4-F$90),$C$4-(F$4-F$90),0)))</f>
        <v>164521.60000000001</v>
      </c>
      <c r="G12" s="52">
        <f ca="1">(IF(G$90&lt;=G$43,0,IF(ISNA(MATCH(G$4-G$90,$A$4:$BH$4,1)),SUM($D$91:G$91),SUM(OFFSET($A$91,0,MATCH(G$4-G$90,$A$4:$BH$4,1)+1,1,COLUMN(G$4)-MATCH(G$4-G$90,$A$4:$BH$4,1)-1)))))+(IF(G$4-G$90=G$4,0,IF(G$4-G$90&lt;$C$4,0,IF(ISNA(MATCH(G$4-G$90,$A$4:$BH$4,1)),0,OFFSET($A$91,0,MATCH(G$4-G$90,$A$4:$BH$4,1),1,1)/7*(OFFSET($A$4,0,MATCH(G$4-G$90,$A$4:$BH$4,1),1,1)-(G$4-G$90))))))+IF(F$90=0,0,($C$12/$C$90*IF($C$4&gt;(G$4-G$90),$C$4-(G$4-G$90),0)))</f>
        <v>167494.93333333335</v>
      </c>
      <c r="H12" s="52">
        <f ca="1">(IF(H$90&lt;=H$43,0,IF(ISNA(MATCH(H$4-H$90,$A$4:$BH$4,1)),SUM($D$91:H$91),SUM(OFFSET($A$91,0,MATCH(H$4-H$90,$A$4:$BH$4,1)+1,1,COLUMN(H$4)-MATCH(H$4-H$90,$A$4:$BH$4,1)-1)))))+(IF(H$4-H$90=H$4,0,IF(H$4-H$90&lt;$C$4,0,IF(ISNA(MATCH(H$4-H$90,$A$4:$BH$4,1)),0,OFFSET($A$91,0,MATCH(H$4-H$90,$A$4:$BH$4,1),1,1)/7*(OFFSET($A$4,0,MATCH(H$4-H$90,$A$4:$BH$4,1),1,1)-(H$4-H$90))))))+IF(G$90=0,0,($C$12/$C$90*IF($C$4&gt;(H$4-H$90),$C$4-(H$4-H$90),0)))</f>
        <v>169392.45714285714</v>
      </c>
      <c r="I12" s="52">
        <f ca="1">(IF(I$90&lt;=I$43,0,IF(ISNA(MATCH(I$4-I$90,$A$4:$BH$4,1)),SUM($D$91:I$91),SUM(OFFSET($A$91,0,MATCH(I$4-I$90,$A$4:$BH$4,1)+1,1,COLUMN(I$4)-MATCH(I$4-I$90,$A$4:$BH$4,1)-1)))))+(IF(I$4-I$90=I$4,0,IF(I$4-I$90&lt;$C$4,0,IF(ISNA(MATCH(I$4-I$90,$A$4:$BH$4,1)),0,OFFSET($A$91,0,MATCH(I$4-I$90,$A$4:$BH$4,1),1,1)/7*(OFFSET($A$4,0,MATCH(I$4-I$90,$A$4:$BH$4,1),1,1)-(I$4-I$90))))))+IF(H$90=0,0,($C$12/$C$90*IF($C$4&gt;(I$4-I$90),$C$4-(I$4-I$90),0)))</f>
        <v>173164.17142857143</v>
      </c>
      <c r="J12" s="52">
        <f ca="1">(IF(J$90&lt;=J$43,0,IF(ISNA(MATCH(J$4-J$90,$A$4:$BH$4,1)),SUM($D$91:J$91),SUM(OFFSET($A$91,0,MATCH(J$4-J$90,$A$4:$BH$4,1)+1,1,COLUMN(J$4)-MATCH(J$4-J$90,$A$4:$BH$4,1)-1)))))+(IF(J$4-J$90=J$4,0,IF(J$4-J$90&lt;$C$4,0,IF(ISNA(MATCH(J$4-J$90,$A$4:$BH$4,1)),0,OFFSET($A$91,0,MATCH(J$4-J$90,$A$4:$BH$4,1),1,1)/7*(OFFSET($A$4,0,MATCH(J$4-J$90,$A$4:$BH$4,1),1,1)-(J$4-J$90))))))+IF(I$90=0,0,($C$12/$C$90*IF($C$4&gt;(J$4-J$90),$C$4-(J$4-J$90),0)))</f>
        <v>168441.71428571429</v>
      </c>
      <c r="K12" s="52">
        <f ca="1">(IF(K$90&lt;=K$43,0,IF(ISNA(MATCH(K$4-K$90,$A$4:$BH$4,1)),SUM($D$91:K$91),SUM(OFFSET($A$91,0,MATCH(K$4-K$90,$A$4:$BH$4,1)+1,1,COLUMN(K$4)-MATCH(K$4-K$90,$A$4:$BH$4,1)-1)))))+(IF(K$4-K$90=K$4,0,IF(K$4-K$90&lt;$C$4,0,IF(ISNA(MATCH(K$4-K$90,$A$4:$BH$4,1)),0,OFFSET($A$91,0,MATCH(K$4-K$90,$A$4:$BH$4,1),1,1)/7*(OFFSET($A$4,0,MATCH(K$4-K$90,$A$4:$BH$4,1),1,1)-(K$4-K$90))))))+IF(J$90=0,0,($C$12/$C$90*IF($C$4&gt;(K$4-K$90),$C$4-(K$4-K$90),0)))</f>
        <v>165788.85714285713</v>
      </c>
      <c r="L12" s="52">
        <f ca="1">(IF(L$90&lt;=L$43,0,IF(ISNA(MATCH(L$4-L$90,$A$4:$BH$4,1)),SUM($D$91:L$91),SUM(OFFSET($A$91,0,MATCH(L$4-L$90,$A$4:$BH$4,1)+1,1,COLUMN(L$4)-MATCH(L$4-L$90,$A$4:$BH$4,1)-1)))))+(IF(L$4-L$90=L$4,0,IF(L$4-L$90&lt;$C$4,0,IF(ISNA(MATCH(L$4-L$90,$A$4:$BH$4,1)),0,OFFSET($A$91,0,MATCH(L$4-L$90,$A$4:$BH$4,1),1,1)/7*(OFFSET($A$4,0,MATCH(L$4-L$90,$A$4:$BH$4,1),1,1)-(L$4-L$90))))))+IF(K$90=0,0,($C$12/$C$90*IF($C$4&gt;(L$4-L$90),$C$4-(L$4-L$90),0)))</f>
        <v>162057.42857142858</v>
      </c>
      <c r="M12" s="52">
        <f ca="1">(IF(M$90&lt;=M$43,0,IF(ISNA(MATCH(M$4-M$90,$A$4:$BH$4,1)),SUM($D$91:M$91),SUM(OFFSET($A$91,0,MATCH(M$4-M$90,$A$4:$BH$4,1)+1,1,COLUMN(M$4)-MATCH(M$4-M$90,$A$4:$BH$4,1)-1)))))+(IF(M$4-M$90=M$4,0,IF(M$4-M$90&lt;$C$4,0,IF(ISNA(MATCH(M$4-M$90,$A$4:$BH$4,1)),0,OFFSET($A$91,0,MATCH(M$4-M$90,$A$4:$BH$4,1),1,1)/7*(OFFSET($A$4,0,MATCH(M$4-M$90,$A$4:$BH$4,1),1,1)-(M$4-M$90))))))+IF(L$90=0,0,($C$12/$C$90*IF($C$4&gt;(M$4-M$90),$C$4-(M$4-M$90),0)))</f>
        <v>163188</v>
      </c>
      <c r="N12" s="52">
        <f ca="1">(IF(N$90&lt;=N$43,0,IF(ISNA(MATCH(N$4-N$90,$A$4:$BH$4,1)),SUM($D$91:N$91),SUM(OFFSET($A$91,0,MATCH(N$4-N$90,$A$4:$BH$4,1)+1,1,COLUMN(N$4)-MATCH(N$4-N$90,$A$4:$BH$4,1)-1)))))+(IF(N$4-N$90=N$4,0,IF(N$4-N$90&lt;$C$4,0,IF(ISNA(MATCH(N$4-N$90,$A$4:$BH$4,1)),0,OFFSET($A$91,0,MATCH(N$4-N$90,$A$4:$BH$4,1),1,1)/7*(OFFSET($A$4,0,MATCH(N$4-N$90,$A$4:$BH$4,1),1,1)-(N$4-N$90))))))+IF(M$90=0,0,($C$12/$C$90*IF($C$4&gt;(N$4-N$90),$C$4-(N$4-N$90),0)))</f>
        <v>169218</v>
      </c>
      <c r="O12" s="52">
        <f ca="1">(IF(O$90&lt;=O$43,0,IF(ISNA(MATCH(O$4-O$90,$A$4:$BH$4,1)),SUM($D$91:O$91),SUM(OFFSET($A$91,0,MATCH(O$4-O$90,$A$4:$BH$4,1)+1,1,COLUMN(O$4)-MATCH(O$4-O$90,$A$4:$BH$4,1)-1)))))+(IF(O$4-O$90=O$4,0,IF(O$4-O$90&lt;$C$4,0,IF(ISNA(MATCH(O$4-O$90,$A$4:$BH$4,1)),0,OFFSET($A$91,0,MATCH(O$4-O$90,$A$4:$BH$4,1),1,1)/7*(OFFSET($A$4,0,MATCH(O$4-O$90,$A$4:$BH$4,1),1,1)-(O$4-O$90))))))+IF(N$90=0,0,($C$12/$C$90*IF($C$4&gt;(O$4-O$90),$C$4-(O$4-O$90),0)))</f>
        <v>172368</v>
      </c>
      <c r="P12" s="52">
        <f ca="1">(IF(P$90&lt;=P$43,0,IF(ISNA(MATCH(P$4-P$90,$A$4:$BH$4,1)),SUM($D$91:P$91),SUM(OFFSET($A$91,0,MATCH(P$4-P$90,$A$4:$BH$4,1)+1,1,COLUMN(P$4)-MATCH(P$4-P$90,$A$4:$BH$4,1)-1)))))+(IF(P$4-P$90=P$4,0,IF(P$4-P$90&lt;$C$4,0,IF(ISNA(MATCH(P$4-P$90,$A$4:$BH$4,1)),0,OFFSET($A$91,0,MATCH(P$4-P$90,$A$4:$BH$4,1),1,1)/7*(OFFSET($A$4,0,MATCH(P$4-P$90,$A$4:$BH$4,1),1,1)-(P$4-P$90))))))+IF(O$90=0,0,($C$12/$C$90*IF($C$4&gt;(P$4-P$90),$C$4-(P$4-P$90),0)))</f>
        <v>173088</v>
      </c>
      <c r="Q12" s="52">
        <f ca="1">(IF(Q$90&lt;=Q$43,0,IF(ISNA(MATCH(Q$4-Q$90,$A$4:$BH$4,1)),SUM($D$91:Q$91),SUM(OFFSET($A$91,0,MATCH(Q$4-Q$90,$A$4:$BH$4,1)+1,1,COLUMN(Q$4)-MATCH(Q$4-Q$90,$A$4:$BH$4,1)-1)))))+(IF(Q$4-Q$90=Q$4,0,IF(Q$4-Q$90&lt;$C$4,0,IF(ISNA(MATCH(Q$4-Q$90,$A$4:$BH$4,1)),0,OFFSET($A$91,0,MATCH(Q$4-Q$90,$A$4:$BH$4,1),1,1)/7*(OFFSET($A$4,0,MATCH(Q$4-Q$90,$A$4:$BH$4,1),1,1)-(Q$4-Q$90))))))+IF(P$90=0,0,($C$12/$C$90*IF($C$4&gt;(Q$4-Q$90),$C$4-(Q$4-Q$90),0)))</f>
        <v>177588</v>
      </c>
      <c r="R12" s="52">
        <f ca="1">(IF(R$90&lt;=R$43,0,IF(ISNA(MATCH(R$4-R$90,$A$4:$BH$4,1)),SUM($D$91:R$91),SUM(OFFSET($A$91,0,MATCH(R$4-R$90,$A$4:$BH$4,1)+1,1,COLUMN(R$4)-MATCH(R$4-R$90,$A$4:$BH$4,1)-1)))))+(IF(R$4-R$90=R$4,0,IF(R$4-R$90&lt;$C$4,0,IF(ISNA(MATCH(R$4-R$90,$A$4:$BH$4,1)),0,OFFSET($A$91,0,MATCH(R$4-R$90,$A$4:$BH$4,1),1,1)/7*(OFFSET($A$4,0,MATCH(R$4-R$90,$A$4:$BH$4,1),1,1)-(R$4-R$90))))))+IF(Q$90=0,0,($C$12/$C$90*IF($C$4&gt;(R$4-R$90),$C$4-(R$4-R$90),0)))</f>
        <v>176688</v>
      </c>
      <c r="S12" s="52">
        <f ca="1">(IF(S$90&lt;=S$43,0,IF(ISNA(MATCH(S$4-S$90,$A$4:$BH$4,1)),SUM($D$91:S$91),SUM(OFFSET($A$91,0,MATCH(S$4-S$90,$A$4:$BH$4,1)+1,1,COLUMN(S$4)-MATCH(S$4-S$90,$A$4:$BH$4,1)-1)))))+(IF(S$4-S$90=S$4,0,IF(S$4-S$90&lt;$C$4,0,IF(ISNA(MATCH(S$4-S$90,$A$4:$BH$4,1)),0,OFFSET($A$91,0,MATCH(S$4-S$90,$A$4:$BH$4,1),1,1)/7*(OFFSET($A$4,0,MATCH(S$4-S$90,$A$4:$BH$4,1),1,1)-(S$4-S$90))))))+IF(R$90=0,0,($C$12/$C$90*IF($C$4&gt;(S$4-S$90),$C$4-(S$4-S$90),0)))</f>
        <v>175986</v>
      </c>
      <c r="T12" s="52">
        <f ca="1">(IF(T$90&lt;=T$43,0,IF(ISNA(MATCH(T$4-T$90,$A$4:$BH$4,1)),SUM($D$91:T$91),SUM(OFFSET($A$91,0,MATCH(T$4-T$90,$A$4:$BH$4,1)+1,1,COLUMN(T$4)-MATCH(T$4-T$90,$A$4:$BH$4,1)-1)))))+(IF(T$4-T$90=T$4,0,IF(T$4-T$90&lt;$C$4,0,IF(ISNA(MATCH(T$4-T$90,$A$4:$BH$4,1)),0,OFFSET($A$91,0,MATCH(T$4-T$90,$A$4:$BH$4,1),1,1)/7*(OFFSET($A$4,0,MATCH(T$4-T$90,$A$4:$BH$4,1),1,1)-(T$4-T$90))))))+IF(S$90=0,0,($C$12/$C$90*IF($C$4&gt;(T$4-T$90),$C$4-(T$4-T$90),0)))</f>
        <v>179748</v>
      </c>
      <c r="U12" s="52">
        <f ca="1">(IF(U$90&lt;=U$43,0,IF(ISNA(MATCH(U$4-U$90,$A$4:$BH$4,1)),SUM($D$91:U$91),SUM(OFFSET($A$91,0,MATCH(U$4-U$90,$A$4:$BH$4,1)+1,1,COLUMN(U$4)-MATCH(U$4-U$90,$A$4:$BH$4,1)-1)))))+(IF(U$4-U$90=U$4,0,IF(U$4-U$90&lt;$C$4,0,IF(ISNA(MATCH(U$4-U$90,$A$4:$BH$4,1)),0,OFFSET($A$91,0,MATCH(U$4-U$90,$A$4:$BH$4,1),1,1)/7*(OFFSET($A$4,0,MATCH(U$4-U$90,$A$4:$BH$4,1),1,1)-(U$4-U$90))))))+IF(T$90=0,0,($C$12/$C$90*IF($C$4&gt;(U$4-U$90),$C$4-(U$4-U$90),0)))</f>
        <v>181692</v>
      </c>
      <c r="V12" s="52">
        <f ca="1">(IF(V$90&lt;=V$43,0,IF(ISNA(MATCH(V$4-V$90,$A$4:$BH$4,1)),SUM($D$91:V$91),SUM(OFFSET($A$91,0,MATCH(V$4-V$90,$A$4:$BH$4,1)+1,1,COLUMN(V$4)-MATCH(V$4-V$90,$A$4:$BH$4,1)-1)))))+(IF(V$4-V$90=V$4,0,IF(V$4-V$90&lt;$C$4,0,IF(ISNA(MATCH(V$4-V$90,$A$4:$BH$4,1)),0,OFFSET($A$91,0,MATCH(V$4-V$90,$A$4:$BH$4,1),1,1)/7*(OFFSET($A$4,0,MATCH(V$4-V$90,$A$4:$BH$4,1),1,1)-(V$4-V$90))))))+IF(U$90=0,0,($C$12/$C$90*IF($C$4&gt;(V$4-V$90),$C$4-(V$4-V$90),0)))</f>
        <v>184014</v>
      </c>
      <c r="W12" s="52">
        <f ca="1">(IF(W$90&lt;=W$43,0,IF(ISNA(MATCH(W$4-W$90,$A$4:$BH$4,1)),SUM($D$91:W$91),SUM(OFFSET($A$91,0,MATCH(W$4-W$90,$A$4:$BH$4,1)+1,1,COLUMN(W$4)-MATCH(W$4-W$90,$A$4:$BH$4,1)-1)))))+(IF(W$4-W$90=W$4,0,IF(W$4-W$90&lt;$C$4,0,IF(ISNA(MATCH(W$4-W$90,$A$4:$BH$4,1)),0,OFFSET($A$91,0,MATCH(W$4-W$90,$A$4:$BH$4,1),1,1)/7*(OFFSET($A$4,0,MATCH(W$4-W$90,$A$4:$BH$4,1),1,1)-(W$4-W$90))))))+IF(V$90=0,0,($C$12/$C$90*IF($C$4&gt;(W$4-W$90),$C$4-(W$4-W$90),0)))</f>
        <v>181864</v>
      </c>
      <c r="X12" s="52">
        <f ca="1">(IF(X$90&lt;=X$43,0,IF(ISNA(MATCH(X$4-X$90,$A$4:$BH$4,1)),SUM($D$91:X$91),SUM(OFFSET($A$91,0,MATCH(X$4-X$90,$A$4:$BH$4,1)+1,1,COLUMN(X$4)-MATCH(X$4-X$90,$A$4:$BH$4,1)-1)))))+(IF(X$4-X$90=X$4,0,IF(X$4-X$90&lt;$C$4,0,IF(ISNA(MATCH(X$4-X$90,$A$4:$BH$4,1)),0,OFFSET($A$91,0,MATCH(X$4-X$90,$A$4:$BH$4,1),1,1)/7*(OFFSET($A$4,0,MATCH(X$4-X$90,$A$4:$BH$4,1),1,1)-(X$4-X$90))))))+IF(W$90=0,0,($C$12/$C$90*IF($C$4&gt;(X$4-X$90),$C$4-(X$4-X$90),0)))</f>
        <v>178246</v>
      </c>
      <c r="Y12" s="52">
        <f ca="1">(IF(Y$90&lt;=Y$43,0,IF(ISNA(MATCH(Y$4-Y$90,$A$4:$BH$4,1)),SUM($D$91:Y$91),SUM(OFFSET($A$91,0,MATCH(Y$4-Y$90,$A$4:$BH$4,1)+1,1,COLUMN(Y$4)-MATCH(Y$4-Y$90,$A$4:$BH$4,1)-1)))))+(IF(Y$4-Y$90=Y$4,0,IF(Y$4-Y$90&lt;$C$4,0,IF(ISNA(MATCH(Y$4-Y$90,$A$4:$BH$4,1)),0,OFFSET($A$91,0,MATCH(Y$4-Y$90,$A$4:$BH$4,1),1,1)/7*(OFFSET($A$4,0,MATCH(Y$4-Y$90,$A$4:$BH$4,1),1,1)-(Y$4-Y$90))))))+IF(X$90=0,0,($C$12/$C$90*IF($C$4&gt;(Y$4-Y$90),$C$4-(Y$4-Y$90),0)))</f>
        <v>177366</v>
      </c>
      <c r="Z12" s="52">
        <f ca="1">(IF(Z$90&lt;=Z$43,0,IF(ISNA(MATCH(Z$4-Z$90,$A$4:$BH$4,1)),SUM($D$91:Z$91),SUM(OFFSET($A$91,0,MATCH(Z$4-Z$90,$A$4:$BH$4,1)+1,1,COLUMN(Z$4)-MATCH(Z$4-Z$90,$A$4:$BH$4,1)-1)))))+(IF(Z$4-Z$90=Z$4,0,IF(Z$4-Z$90&lt;$C$4,0,IF(ISNA(MATCH(Z$4-Z$90,$A$4:$BH$4,1)),0,OFFSET($A$91,0,MATCH(Z$4-Z$90,$A$4:$BH$4,1),1,1)/7*(OFFSET($A$4,0,MATCH(Z$4-Z$90,$A$4:$BH$4,1),1,1)-(Z$4-Z$90))))))+IF(Y$90=0,0,($C$12/$C$90*IF($C$4&gt;(Z$4-Z$90),$C$4-(Z$4-Z$90),0)))</f>
        <v>175304</v>
      </c>
      <c r="AA12" s="52">
        <f ca="1">(IF(AA$90&lt;=AA$43,0,IF(ISNA(MATCH(AA$4-AA$90,$A$4:$BH$4,1)),SUM($D$91:AA$91),SUM(OFFSET($A$91,0,MATCH(AA$4-AA$90,$A$4:$BH$4,1)+1,1,COLUMN(AA$4)-MATCH(AA$4-AA$90,$A$4:$BH$4,1)-1)))))+(IF(AA$4-AA$90=AA$4,0,IF(AA$4-AA$90&lt;$C$4,0,IF(ISNA(MATCH(AA$4-AA$90,$A$4:$BH$4,1)),0,OFFSET($A$91,0,MATCH(AA$4-AA$90,$A$4:$BH$4,1),1,1)/7*(OFFSET($A$4,0,MATCH(AA$4-AA$90,$A$4:$BH$4,1),1,1)-(AA$4-AA$90))))))+IF(Z$90=0,0,($C$12/$C$90*IF($C$4&gt;(AA$4-AA$90),$C$4-(AA$4-AA$90),0)))</f>
        <v>180242.85714285713</v>
      </c>
      <c r="AB12" s="52">
        <f ca="1">(IF(AB$90&lt;=AB$43,0,IF(ISNA(MATCH(AB$4-AB$90,$A$4:$BH$4,1)),SUM($D$91:AB$91),SUM(OFFSET($A$91,0,MATCH(AB$4-AB$90,$A$4:$BH$4,1)+1,1,COLUMN(AB$4)-MATCH(AB$4-AB$90,$A$4:$BH$4,1)-1)))))+(IF(AB$4-AB$90=AB$4,0,IF(AB$4-AB$90&lt;$C$4,0,IF(ISNA(MATCH(AB$4-AB$90,$A$4:$BH$4,1)),0,OFFSET($A$91,0,MATCH(AB$4-AB$90,$A$4:$BH$4,1),1,1)/7*(OFFSET($A$4,0,MATCH(AB$4-AB$90,$A$4:$BH$4,1),1,1)-(AB$4-AB$90))))))+IF(AA$90=0,0,($C$12/$C$90*IF($C$4&gt;(AB$4-AB$90),$C$4-(AB$4-AB$90),0)))</f>
        <v>185628</v>
      </c>
      <c r="AC12" s="52">
        <f ca="1">(IF(AC$90&lt;=AC$43,0,IF(ISNA(MATCH(AC$4-AC$90,$A$4:$BH$4,1)),SUM($D$91:AC$91),SUM(OFFSET($A$91,0,MATCH(AC$4-AC$90,$A$4:$BH$4,1)+1,1,COLUMN(AC$4)-MATCH(AC$4-AC$90,$A$4:$BH$4,1)-1)))))+(IF(AC$4-AC$90=AC$4,0,IF(AC$4-AC$90&lt;$C$4,0,IF(ISNA(MATCH(AC$4-AC$90,$A$4:$BH$4,1)),0,OFFSET($A$91,0,MATCH(AC$4-AC$90,$A$4:$BH$4,1),1,1)/7*(OFFSET($A$4,0,MATCH(AC$4-AC$90,$A$4:$BH$4,1),1,1)-(AC$4-AC$90))))))+IF(AB$90=0,0,($C$12/$C$90*IF($C$4&gt;(AC$4-AC$90),$C$4-(AC$4-AC$90),0)))</f>
        <v>186534</v>
      </c>
      <c r="AD12" s="52">
        <f ca="1">(IF(AD$90&lt;=AD$43,0,IF(ISNA(MATCH(AD$4-AD$90,$A$4:$BH$4,1)),SUM($D$91:AD$91),SUM(OFFSET($A$91,0,MATCH(AD$4-AD$90,$A$4:$BH$4,1)+1,1,COLUMN(AD$4)-MATCH(AD$4-AD$90,$A$4:$BH$4,1)-1)))))+(IF(AD$4-AD$90=AD$4,0,IF(AD$4-AD$90&lt;$C$4,0,IF(ISNA(MATCH(AD$4-AD$90,$A$4:$BH$4,1)),0,OFFSET($A$91,0,MATCH(AD$4-AD$90,$A$4:$BH$4,1),1,1)/7*(OFFSET($A$4,0,MATCH(AD$4-AD$90,$A$4:$BH$4,1),1,1)-(AD$4-AD$90))))))+IF(AC$90=0,0,($C$12/$C$90*IF($C$4&gt;(AD$4-AD$90),$C$4-(AD$4-AD$90),0)))</f>
        <v>187636.85714285713</v>
      </c>
      <c r="AE12" s="52">
        <f ca="1">(IF(AE$90&lt;=AE$43,0,IF(ISNA(MATCH(AE$4-AE$90,$A$4:$BH$4,1)),SUM($D$91:AE$91),SUM(OFFSET($A$91,0,MATCH(AE$4-AE$90,$A$4:$BH$4,1)+1,1,COLUMN(AE$4)-MATCH(AE$4-AE$90,$A$4:$BH$4,1)-1)))))+(IF(AE$4-AE$90=AE$4,0,IF(AE$4-AE$90&lt;$C$4,0,IF(ISNA(MATCH(AE$4-AE$90,$A$4:$BH$4,1)),0,OFFSET($A$91,0,MATCH(AE$4-AE$90,$A$4:$BH$4,1),1,1)/7*(OFFSET($A$4,0,MATCH(AE$4-AE$90,$A$4:$BH$4,1),1,1)-(AE$4-AE$90))))))+IF(AD$90=0,0,($C$12/$C$90*IF($C$4&gt;(AE$4-AE$90),$C$4-(AE$4-AE$90),0)))</f>
        <v>187759.14285714287</v>
      </c>
      <c r="AF12" s="52">
        <f ca="1">(IF(AF$90&lt;=AF$43,0,IF(ISNA(MATCH(AF$4-AF$90,$A$4:$BH$4,1)),SUM($D$91:AF$91),SUM(OFFSET($A$91,0,MATCH(AF$4-AF$90,$A$4:$BH$4,1)+1,1,COLUMN(AF$4)-MATCH(AF$4-AF$90,$A$4:$BH$4,1)-1)))))+(IF(AF$4-AF$90=AF$4,0,IF(AF$4-AF$90&lt;$C$4,0,IF(ISNA(MATCH(AF$4-AF$90,$A$4:$BH$4,1)),0,OFFSET($A$91,0,MATCH(AF$4-AF$90,$A$4:$BH$4,1),1,1)/7*(OFFSET($A$4,0,MATCH(AF$4-AF$90,$A$4:$BH$4,1),1,1)-(AF$4-AF$90))))))+IF(AE$90=0,0,($C$12/$C$90*IF($C$4&gt;(AF$4-AF$90),$C$4-(AF$4-AF$90),0)))</f>
        <v>187954</v>
      </c>
      <c r="AG12" s="52">
        <f ca="1">(IF(AG$90&lt;=AG$43,0,IF(ISNA(MATCH(AG$4-AG$90,$A$4:$BH$4,1)),SUM($D$91:AG$91),SUM(OFFSET($A$91,0,MATCH(AG$4-AG$90,$A$4:$BH$4,1)+1,1,COLUMN(AG$4)-MATCH(AG$4-AG$90,$A$4:$BH$4,1)-1)))))+(IF(AG$4-AG$90=AG$4,0,IF(AG$4-AG$90&lt;$C$4,0,IF(ISNA(MATCH(AG$4-AG$90,$A$4:$BH$4,1)),0,OFFSET($A$91,0,MATCH(AG$4-AG$90,$A$4:$BH$4,1),1,1)/7*(OFFSET($A$4,0,MATCH(AG$4-AG$90,$A$4:$BH$4,1),1,1)-(AG$4-AG$90))))))+IF(AF$90=0,0,($C$12/$C$90*IF($C$4&gt;(AG$4-AG$90),$C$4-(AG$4-AG$90),0)))</f>
        <v>186424.57142857142</v>
      </c>
      <c r="AH12" s="52">
        <f ca="1">(IF(AH$90&lt;=AH$43,0,IF(ISNA(MATCH(AH$4-AH$90,$A$4:$BH$4,1)),SUM($D$91:AH$91),SUM(OFFSET($A$91,0,MATCH(AH$4-AH$90,$A$4:$BH$4,1)+1,1,COLUMN(AH$4)-MATCH(AH$4-AH$90,$A$4:$BH$4,1)-1)))))+(IF(AH$4-AH$90=AH$4,0,IF(AH$4-AH$90&lt;$C$4,0,IF(ISNA(MATCH(AH$4-AH$90,$A$4:$BH$4,1)),0,OFFSET($A$91,0,MATCH(AH$4-AH$90,$A$4:$BH$4,1),1,1)/7*(OFFSET($A$4,0,MATCH(AH$4-AH$90,$A$4:$BH$4,1),1,1)-(AH$4-AH$90))))))+IF(AG$90=0,0,($C$12/$C$90*IF($C$4&gt;(AH$4-AH$90),$C$4-(AH$4-AH$90),0)))</f>
        <v>187491.42857142858</v>
      </c>
      <c r="AI12" s="52">
        <f ca="1">(IF(AI$90&lt;=AI$43,0,IF(ISNA(MATCH(AI$4-AI$90,$A$4:$BH$4,1)),SUM($D$91:AI$91),SUM(OFFSET($A$91,0,MATCH(AI$4-AI$90,$A$4:$BH$4,1)+1,1,COLUMN(AI$4)-MATCH(AI$4-AI$90,$A$4:$BH$4,1)-1)))))+(IF(AI$4-AI$90=AI$4,0,IF(AI$4-AI$90&lt;$C$4,0,IF(ISNA(MATCH(AI$4-AI$90,$A$4:$BH$4,1)),0,OFFSET($A$91,0,MATCH(AI$4-AI$90,$A$4:$BH$4,1),1,1)/7*(OFFSET($A$4,0,MATCH(AI$4-AI$90,$A$4:$BH$4,1),1,1)-(AI$4-AI$90))))))+IF(AH$90=0,0,($C$12/$C$90*IF($C$4&gt;(AI$4-AI$90),$C$4-(AI$4-AI$90),0)))</f>
        <v>187217.14285714287</v>
      </c>
      <c r="AJ12" s="52">
        <f ca="1">(IF(AJ$90&lt;=AJ$43,0,IF(ISNA(MATCH(AJ$4-AJ$90,$A$4:$BH$4,1)),SUM($D$91:AJ$91),SUM(OFFSET($A$91,0,MATCH(AJ$4-AJ$90,$A$4:$BH$4,1)+1,1,COLUMN(AJ$4)-MATCH(AJ$4-AJ$90,$A$4:$BH$4,1)-1)))))+(IF(AJ$4-AJ$90=AJ$4,0,IF(AJ$4-AJ$90&lt;$C$4,0,IF(ISNA(MATCH(AJ$4-AJ$90,$A$4:$BH$4,1)),0,OFFSET($A$91,0,MATCH(AJ$4-AJ$90,$A$4:$BH$4,1),1,1)/7*(OFFSET($A$4,0,MATCH(AJ$4-AJ$90,$A$4:$BH$4,1),1,1)-(AJ$4-AJ$90))))))+IF(AI$90=0,0,($C$12/$C$90*IF($C$4&gt;(AJ$4-AJ$90),$C$4-(AJ$4-AJ$90),0)))</f>
        <v>188434.28571428571</v>
      </c>
      <c r="AK12" s="52">
        <f ca="1">(IF(AK$90&lt;=AK$43,0,IF(ISNA(MATCH(AK$4-AK$90,$A$4:$BH$4,1)),SUM($D$91:AK$91),SUM(OFFSET($A$91,0,MATCH(AK$4-AK$90,$A$4:$BH$4,1)+1,1,COLUMN(AK$4)-MATCH(AK$4-AK$90,$A$4:$BH$4,1)-1)))))+(IF(AK$4-AK$90=AK$4,0,IF(AK$4-AK$90&lt;$C$4,0,IF(ISNA(MATCH(AK$4-AK$90,$A$4:$BH$4,1)),0,OFFSET($A$91,0,MATCH(AK$4-AK$90,$A$4:$BH$4,1),1,1)/7*(OFFSET($A$4,0,MATCH(AK$4-AK$90,$A$4:$BH$4,1),1,1)-(AK$4-AK$90))))))+IF(AJ$90=0,0,($C$12/$C$90*IF($C$4&gt;(AK$4-AK$90),$C$4-(AK$4-AK$90),0)))</f>
        <v>192445.71428571429</v>
      </c>
      <c r="AL12" s="52">
        <f ca="1">(IF(AL$90&lt;=AL$43,0,IF(ISNA(MATCH(AL$4-AL$90,$A$4:$BH$4,1)),SUM($D$91:AL$91),SUM(OFFSET($A$91,0,MATCH(AL$4-AL$90,$A$4:$BH$4,1)+1,1,COLUMN(AL$4)-MATCH(AL$4-AL$90,$A$4:$BH$4,1)-1)))))+(IF(AL$4-AL$90=AL$4,0,IF(AL$4-AL$90&lt;$C$4,0,IF(ISNA(MATCH(AL$4-AL$90,$A$4:$BH$4,1)),0,OFFSET($A$91,0,MATCH(AL$4-AL$90,$A$4:$BH$4,1),1,1)/7*(OFFSET($A$4,0,MATCH(AL$4-AL$90,$A$4:$BH$4,1),1,1)-(AL$4-AL$90))))))+IF(AK$90=0,0,($C$12/$C$90*IF($C$4&gt;(AL$4-AL$90),$C$4-(AL$4-AL$90),0)))</f>
        <v>193405.71428571429</v>
      </c>
      <c r="AM12" s="52">
        <f ca="1">(IF(AM$90&lt;=AM$43,0,IF(ISNA(MATCH(AM$4-AM$90,$A$4:$BH$4,1)),SUM($D$91:AM$91),SUM(OFFSET($A$91,0,MATCH(AM$4-AM$90,$A$4:$BH$4,1)+1,1,COLUMN(AM$4)-MATCH(AM$4-AM$90,$A$4:$BH$4,1)-1)))))+(IF(AM$4-AM$90=AM$4,0,IF(AM$4-AM$90&lt;$C$4,0,IF(ISNA(MATCH(AM$4-AM$90,$A$4:$BH$4,1)),0,OFFSET($A$91,0,MATCH(AM$4-AM$90,$A$4:$BH$4,1),1,1)/7*(OFFSET($A$4,0,MATCH(AM$4-AM$90,$A$4:$BH$4,1),1,1)-(AM$4-AM$90))))))+IF(AL$90=0,0,($C$12/$C$90*IF($C$4&gt;(AM$4-AM$90),$C$4-(AM$4-AM$90),0)))</f>
        <v>195120</v>
      </c>
      <c r="AN12" s="52">
        <f ca="1">(IF(AN$90&lt;=AN$43,0,IF(ISNA(MATCH(AN$4-AN$90,$A$4:$BH$4,1)),SUM($D$91:AN$91),SUM(OFFSET($A$91,0,MATCH(AN$4-AN$90,$A$4:$BH$4,1)+1,1,COLUMN(AN$4)-MATCH(AN$4-AN$90,$A$4:$BH$4,1)-1)))))+(IF(AN$4-AN$90=AN$4,0,IF(AN$4-AN$90&lt;$C$4,0,IF(ISNA(MATCH(AN$4-AN$90,$A$4:$BH$4,1)),0,OFFSET($A$91,0,MATCH(AN$4-AN$90,$A$4:$BH$4,1),1,1)/7*(OFFSET($A$4,0,MATCH(AN$4-AN$90,$A$4:$BH$4,1),1,1)-(AN$4-AN$90))))))+IF(AM$90=0,0,($C$12/$C$90*IF($C$4&gt;(AN$4-AN$90),$C$4-(AN$4-AN$90),0)))</f>
        <v>196182.85714285713</v>
      </c>
      <c r="AO12" s="52">
        <f ca="1">(IF(AO$90&lt;=AO$43,0,IF(ISNA(MATCH(AO$4-AO$90,$A$4:$BH$4,1)),SUM($D$91:AO$91),SUM(OFFSET($A$91,0,MATCH(AO$4-AO$90,$A$4:$BH$4,1)+1,1,COLUMN(AO$4)-MATCH(AO$4-AO$90,$A$4:$BH$4,1)-1)))))+(IF(AO$4-AO$90=AO$4,0,IF(AO$4-AO$90&lt;$C$4,0,IF(ISNA(MATCH(AO$4-AO$90,$A$4:$BH$4,1)),0,OFFSET($A$91,0,MATCH(AO$4-AO$90,$A$4:$BH$4,1),1,1)/7*(OFFSET($A$4,0,MATCH(AO$4-AO$90,$A$4:$BH$4,1),1,1)-(AO$4-AO$90))))))+IF(AN$90=0,0,($C$12/$C$90*IF($C$4&gt;(AO$4-AO$90),$C$4-(AO$4-AO$90),0)))</f>
        <v>194657.14285714287</v>
      </c>
      <c r="AP12" s="52">
        <f ca="1">(IF(AP$90&lt;=AP$43,0,IF(ISNA(MATCH(AP$4-AP$90,$A$4:$BH$4,1)),SUM($D$91:AP$91),SUM(OFFSET($A$91,0,MATCH(AP$4-AP$90,$A$4:$BH$4,1)+1,1,COLUMN(AP$4)-MATCH(AP$4-AP$90,$A$4:$BH$4,1)-1)))))+(IF(AP$4-AP$90=AP$4,0,IF(AP$4-AP$90&lt;$C$4,0,IF(ISNA(MATCH(AP$4-AP$90,$A$4:$BH$4,1)),0,OFFSET($A$91,0,MATCH(AP$4-AP$90,$A$4:$BH$4,1),1,1)/7*(OFFSET($A$4,0,MATCH(AP$4-AP$90,$A$4:$BH$4,1),1,1)-(AP$4-AP$90))))))+IF(AO$90=0,0,($C$12/$C$90*IF($C$4&gt;(AP$4-AP$90),$C$4-(AP$4-AP$90),0)))</f>
        <v>196234.28571428571</v>
      </c>
      <c r="AQ12" s="52">
        <f ca="1">(IF(AQ$90&lt;=AQ$43,0,IF(ISNA(MATCH(AQ$4-AQ$90,$A$4:$BH$4,1)),SUM($D$91:AQ$91),SUM(OFFSET($A$91,0,MATCH(AQ$4-AQ$90,$A$4:$BH$4,1)+1,1,COLUMN(AQ$4)-MATCH(AQ$4-AQ$90,$A$4:$BH$4,1)-1)))))+(IF(AQ$4-AQ$90=AQ$4,0,IF(AQ$4-AQ$90&lt;$C$4,0,IF(ISNA(MATCH(AQ$4-AQ$90,$A$4:$BH$4,1)),0,OFFSET($A$91,0,MATCH(AQ$4-AQ$90,$A$4:$BH$4,1),1,1)/7*(OFFSET($A$4,0,MATCH(AQ$4-AQ$90,$A$4:$BH$4,1),1,1)-(AQ$4-AQ$90))))))+IF(AP$90=0,0,($C$12/$C$90*IF($C$4&gt;(AQ$4-AQ$90),$C$4-(AQ$4-AQ$90),0)))</f>
        <v>193244.57142857142</v>
      </c>
      <c r="AR12" s="52">
        <f ca="1">(IF(AR$90&lt;=AR$43,0,IF(ISNA(MATCH(AR$4-AR$90,$A$4:$BH$4,1)),SUM($D$91:AR$91),SUM(OFFSET($A$91,0,MATCH(AR$4-AR$90,$A$4:$BH$4,1)+1,1,COLUMN(AR$4)-MATCH(AR$4-AR$90,$A$4:$BH$4,1)-1)))))+(IF(AR$4-AR$90=AR$4,0,IF(AR$4-AR$90&lt;$C$4,0,IF(ISNA(MATCH(AR$4-AR$90,$A$4:$BH$4,1)),0,OFFSET($A$91,0,MATCH(AR$4-AR$90,$A$4:$BH$4,1),1,1)/7*(OFFSET($A$4,0,MATCH(AR$4-AR$90,$A$4:$BH$4,1),1,1)-(AR$4-AR$90))))))+IF(AQ$90=0,0,($C$12/$C$90*IF($C$4&gt;(AR$4-AR$90),$C$4-(AR$4-AR$90),0)))</f>
        <v>183360</v>
      </c>
      <c r="AS12" s="52">
        <f ca="1">(IF(AS$90&lt;=AS$43,0,IF(ISNA(MATCH(AS$4-AS$90,$A$4:$BH$4,1)),SUM($D$91:AS$91),SUM(OFFSET($A$91,0,MATCH(AS$4-AS$90,$A$4:$BH$4,1)+1,1,COLUMN(AS$4)-MATCH(AS$4-AS$90,$A$4:$BH$4,1)-1)))))+(IF(AS$4-AS$90=AS$4,0,IF(AS$4-AS$90&lt;$C$4,0,IF(ISNA(MATCH(AS$4-AS$90,$A$4:$BH$4,1)),0,OFFSET($A$91,0,MATCH(AS$4-AS$90,$A$4:$BH$4,1),1,1)/7*(OFFSET($A$4,0,MATCH(AS$4-AS$90,$A$4:$BH$4,1),1,1)-(AS$4-AS$90))))))+IF(AR$90=0,0,($C$12/$C$90*IF($C$4&gt;(AS$4-AS$90),$C$4-(AS$4-AS$90),0)))</f>
        <v>176118.85714285713</v>
      </c>
      <c r="AT12" s="52">
        <f ca="1">(IF(AT$90&lt;=AT$43,0,IF(ISNA(MATCH(AT$4-AT$90,$A$4:$BH$4,1)),SUM($D$91:AT$91),SUM(OFFSET($A$91,0,MATCH(AT$4-AT$90,$A$4:$BH$4,1)+1,1,COLUMN(AT$4)-MATCH(AT$4-AT$90,$A$4:$BH$4,1)-1)))))+(IF(AT$4-AT$90=AT$4,0,IF(AT$4-AT$90&lt;$C$4,0,IF(ISNA(MATCH(AT$4-AT$90,$A$4:$BH$4,1)),0,OFFSET($A$91,0,MATCH(AT$4-AT$90,$A$4:$BH$4,1),1,1)/7*(OFFSET($A$4,0,MATCH(AT$4-AT$90,$A$4:$BH$4,1),1,1)-(AT$4-AT$90))))))+IF(AS$90=0,0,($C$12/$C$90*IF($C$4&gt;(AT$4-AT$90),$C$4-(AT$4-AT$90),0)))</f>
        <v>159003.42857142858</v>
      </c>
      <c r="AU12" s="52">
        <f ca="1">(IF(AU$90&lt;=AU$43,0,IF(ISNA(MATCH(AU$4-AU$90,$A$4:$BH$4,1)),SUM($D$91:AU$91),SUM(OFFSET($A$91,0,MATCH(AU$4-AU$90,$A$4:$BH$4,1)+1,1,COLUMN(AU$4)-MATCH(AU$4-AU$90,$A$4:$BH$4,1)-1)))))+(IF(AU$4-AU$90=AU$4,0,IF(AU$4-AU$90&lt;$C$4,0,IF(ISNA(MATCH(AU$4-AU$90,$A$4:$BH$4,1)),0,OFFSET($A$91,0,MATCH(AU$4-AU$90,$A$4:$BH$4,1),1,1)/7*(OFFSET($A$4,0,MATCH(AU$4-AU$90,$A$4:$BH$4,1),1,1)-(AU$4-AU$90))))))+IF(AT$90=0,0,($C$12/$C$90*IF($C$4&gt;(AU$4-AU$90),$C$4-(AU$4-AU$90),0)))</f>
        <v>139881.60000000001</v>
      </c>
      <c r="AV12" s="52">
        <f ca="1">(IF(AV$90&lt;=AV$43,0,IF(ISNA(MATCH(AV$4-AV$90,$A$4:$BH$4,1)),SUM($D$91:AV$91),SUM(OFFSET($A$91,0,MATCH(AV$4-AV$90,$A$4:$BH$4,1)+1,1,COLUMN(AV$4)-MATCH(AV$4-AV$90,$A$4:$BH$4,1)-1)))))+(IF(AV$4-AV$90=AV$4,0,IF(AV$4-AV$90&lt;$C$4,0,IF(ISNA(MATCH(AV$4-AV$90,$A$4:$BH$4,1)),0,OFFSET($A$91,0,MATCH(AV$4-AV$90,$A$4:$BH$4,1),1,1)/7*(OFFSET($A$4,0,MATCH(AV$4-AV$90,$A$4:$BH$4,1),1,1)-(AV$4-AV$90))))))+IF(AU$90=0,0,($C$12/$C$90*IF($C$4&gt;(AV$4-AV$90),$C$4-(AV$4-AV$90),0)))</f>
        <v>128522.05714285716</v>
      </c>
      <c r="AW12" s="52">
        <f ca="1">(IF(AW$90&lt;=AW$43,0,IF(ISNA(MATCH(AW$4-AW$90,$A$4:$BH$4,1)),SUM($D$91:AW$91),SUM(OFFSET($A$91,0,MATCH(AW$4-AW$90,$A$4:$BH$4,1)+1,1,COLUMN(AW$4)-MATCH(AW$4-AW$90,$A$4:$BH$4,1)-1)))))+(IF(AW$4-AW$90=AW$4,0,IF(AW$4-AW$90&lt;$C$4,0,IF(ISNA(MATCH(AW$4-AW$90,$A$4:$BH$4,1)),0,OFFSET($A$91,0,MATCH(AW$4-AW$90,$A$4:$BH$4,1),1,1)/7*(OFFSET($A$4,0,MATCH(AW$4-AW$90,$A$4:$BH$4,1),1,1)-(AW$4-AW$90))))))+IF(AV$90=0,0,($C$12/$C$90*IF($C$4&gt;(AW$4-AW$90),$C$4-(AW$4-AW$90),0)))</f>
        <v>123800.91428571429</v>
      </c>
      <c r="AX12" s="52">
        <f ca="1">(IF(AX$90&lt;=AX$43,0,IF(ISNA(MATCH(AX$4-AX$90,$A$4:$BH$4,1)),SUM($D$91:AX$91),SUM(OFFSET($A$91,0,MATCH(AX$4-AX$90,$A$4:$BH$4,1)+1,1,COLUMN(AX$4)-MATCH(AX$4-AX$90,$A$4:$BH$4,1)-1)))))+(IF(AX$4-AX$90=AX$4,0,IF(AX$4-AX$90&lt;$C$4,0,IF(ISNA(MATCH(AX$4-AX$90,$A$4:$BH$4,1)),0,OFFSET($A$91,0,MATCH(AX$4-AX$90,$A$4:$BH$4,1),1,1)/7*(OFFSET($A$4,0,MATCH(AX$4-AX$90,$A$4:$BH$4,1),1,1)-(AX$4-AX$90))))))+IF(AW$90=0,0,($C$12/$C$90*IF($C$4&gt;(AX$4-AX$90),$C$4-(AX$4-AX$90),0)))</f>
        <v>138025.37142857141</v>
      </c>
      <c r="AY12" s="52">
        <f ca="1">(IF(AY$90&lt;=AY$43,0,IF(ISNA(MATCH(AY$4-AY$90,$A$4:$BH$4,1)),SUM($D$91:AY$91),SUM(OFFSET($A$91,0,MATCH(AY$4-AY$90,$A$4:$BH$4,1)+1,1,COLUMN(AY$4)-MATCH(AY$4-AY$90,$A$4:$BH$4,1)-1)))))+(IF(AY$4-AY$90=AY$4,0,IF(AY$4-AY$90&lt;$C$4,0,IF(ISNA(MATCH(AY$4-AY$90,$A$4:$BH$4,1)),0,OFFSET($A$91,0,MATCH(AY$4-AY$90,$A$4:$BH$4,1),1,1)/7*(OFFSET($A$4,0,MATCH(AY$4-AY$90,$A$4:$BH$4,1),1,1)-(AY$4-AY$90))))))+IF(AX$90=0,0,($C$12/$C$90*IF($C$4&gt;(AY$4-AY$90),$C$4-(AY$4-AY$90),0)))</f>
        <v>157808.22857142857</v>
      </c>
      <c r="AZ12" s="52">
        <f ca="1">(IF(AZ$90&lt;=AZ$43,0,IF(ISNA(MATCH(AZ$4-AZ$90,$A$4:$BH$4,1)),SUM($D$91:AZ$91),SUM(OFFSET($A$91,0,MATCH(AZ$4-AZ$90,$A$4:$BH$4,1)+1,1,COLUMN(AZ$4)-MATCH(AZ$4-AZ$90,$A$4:$BH$4,1)-1)))))+(IF(AZ$4-AZ$90=AZ$4,0,IF(AZ$4-AZ$90&lt;$C$4,0,IF(ISNA(MATCH(AZ$4-AZ$90,$A$4:$BH$4,1)),0,OFFSET($A$91,0,MATCH(AZ$4-AZ$90,$A$4:$BH$4,1),1,1)/7*(OFFSET($A$4,0,MATCH(AZ$4-AZ$90,$A$4:$BH$4,1),1,1)-(AZ$4-AZ$90))))))+IF(AY$90=0,0,($C$12/$C$90*IF($C$4&gt;(AZ$4-AZ$90),$C$4-(AZ$4-AZ$90),0)))</f>
        <v>178404.34285714285</v>
      </c>
      <c r="BA12" s="52">
        <f ca="1">(IF(BA$90&lt;=BA$43,0,IF(ISNA(MATCH(BA$4-BA$90,$A$4:$BH$4,1)),SUM($D$91:BA$91),SUM(OFFSET($A$91,0,MATCH(BA$4-BA$90,$A$4:$BH$4,1)+1,1,COLUMN(BA$4)-MATCH(BA$4-BA$90,$A$4:$BH$4,1)-1)))))+(IF(BA$4-BA$90=BA$4,0,IF(BA$4-BA$90&lt;$C$4,0,IF(ISNA(MATCH(BA$4-BA$90,$A$4:$BH$4,1)),0,OFFSET($A$91,0,MATCH(BA$4-BA$90,$A$4:$BH$4,1),1,1)/7*(OFFSET($A$4,0,MATCH(BA$4-BA$90,$A$4:$BH$4,1),1,1)-(BA$4-BA$90))))))+IF(AZ$90=0,0,($C$12/$C$90*IF($C$4&gt;(BA$4-BA$90),$C$4-(BA$4-BA$90),0)))</f>
        <v>196137.60000000001</v>
      </c>
      <c r="BB12" s="52">
        <f ca="1">(IF(BB$90&lt;=BB$43,0,IF(ISNA(MATCH(BB$4-BB$90,$A$4:$BH$4,1)),SUM($D$91:BB$91),SUM(OFFSET($A$91,0,MATCH(BB$4-BB$90,$A$4:$BH$4,1)+1,1,COLUMN(BB$4)-MATCH(BB$4-BB$90,$A$4:$BH$4,1)-1)))))+(IF(BB$4-BB$90=BB$4,0,IF(BB$4-BB$90&lt;$C$4,0,IF(ISNA(MATCH(BB$4-BB$90,$A$4:$BH$4,1)),0,OFFSET($A$91,0,MATCH(BB$4-BB$90,$A$4:$BH$4,1),1,1)/7*(OFFSET($A$4,0,MATCH(BB$4-BB$90,$A$4:$BH$4,1),1,1)-(BB$4-BB$90))))))+IF(BA$90=0,0,($C$12/$C$90*IF($C$4&gt;(BB$4-BB$90),$C$4-(BB$4-BB$90),0)))</f>
        <v>201321.60000000001</v>
      </c>
      <c r="BC12" s="52">
        <f ca="1">(IF(BC$90&lt;=BC$43,0,IF(ISNA(MATCH(BC$4-BC$90,$A$4:$BH$4,1)),SUM($D$91:BC$91),SUM(OFFSET($A$91,0,MATCH(BC$4-BC$90,$A$4:$BH$4,1)+1,1,COLUMN(BC$4)-MATCH(BC$4-BC$90,$A$4:$BH$4,1)-1)))))+(IF(BC$4-BC$90=BC$4,0,IF(BC$4-BC$90&lt;$C$4,0,IF(ISNA(MATCH(BC$4-BC$90,$A$4:$BH$4,1)),0,OFFSET($A$91,0,MATCH(BC$4-BC$90,$A$4:$BH$4,1),1,1)/7*(OFFSET($A$4,0,MATCH(BC$4-BC$90,$A$4:$BH$4,1),1,1)-(BC$4-BC$90))))))+IF(BB$90=0,0,($C$12/$C$90*IF($C$4&gt;(BC$4-BC$90),$C$4-(BC$4-BC$90),0)))</f>
        <v>201908.57142857142</v>
      </c>
      <c r="BD12" s="53">
        <f ca="1">OFFSET($B12,0,Assumptions!$C$8+1,1,1)</f>
        <v>173088</v>
      </c>
      <c r="BE12" s="53">
        <f ca="1">OFFSET($B12,0,SUM(Assumptions!$C$8:$C$9)+1,1,1)</f>
        <v>186534</v>
      </c>
      <c r="BF12" s="53">
        <f ca="1">OFFSET($B12,0,SUM(Assumptions!$C$8:$C$10)+1,1,1)</f>
        <v>196234.28571428571</v>
      </c>
      <c r="BG12" s="53">
        <f ca="1">OFFSET($B12,0,SUM(Assumptions!$C$8:$C$11)+1,1,1)</f>
        <v>201908.57142857142</v>
      </c>
      <c r="BH12" s="53">
        <f t="shared" ref="BH12:BH16" ca="1" si="4">BG12</f>
        <v>201908.57142857142</v>
      </c>
    </row>
    <row r="13" spans="1:60" ht="16.149999999999999" customHeight="1" x14ac:dyDescent="0.3">
      <c r="A13" s="291" t="s">
        <v>178</v>
      </c>
      <c r="B13" s="31" t="s">
        <v>179</v>
      </c>
      <c r="C13" s="52">
        <f ca="1">SUMIF(Assumptions!$A$81:$C$104,$A13,Assumptions!$C$81:$C$104)</f>
        <v>370000</v>
      </c>
      <c r="D13" s="102">
        <f ca="1">(IF(D$92&lt;=D$43,0,IF(ISNA(MATCH(D$4-D$92,$A$4:$BH$4,1)),SUM($D$93:D$93),SUM(OFFSET($A$93,0,MATCH(D$4-D$92,$A$4:$BH$4,1)+1,1,COLUMN(D$4)-MATCH(D$4-D$92,$A$4:$BH$4,1)-1)))))+(IF(D$4-D$92=D$4,0,IF(D$4-D$92&lt;$C$4,0,IF(ISNA(MATCH(D$4-D$92,$A$4:$BH$4,1)),0,OFFSET($A$93,0,MATCH(D$4-D$92,$A$4:$BH$4,1),1,1)/7*(OFFSET($A$4,0,MATCH(D$4-D$92,$A$4:$BH$4,1),1,1)-(D$4-D$92))))))+IF(C$92=0,0,($C$13/$C$92*IF($C$4&gt;(D$4-D$92),$C$4-(D$4-D$92),0)))</f>
        <v>364150</v>
      </c>
      <c r="E13" s="102">
        <f ca="1">(IF(E$92&lt;=E$43,0,IF(ISNA(MATCH(E$4-E$92,$A$4:$BH$4,1)),SUM($D$93:E$93),SUM(OFFSET($A$93,0,MATCH(E$4-E$92,$A$4:$BH$4,1)+1,1,COLUMN(E$4)-MATCH(E$4-E$92,$A$4:$BH$4,1)-1)))))+(IF(E$4-E$92=E$4,0,IF(E$4-E$92&lt;$C$4,0,IF(ISNA(MATCH(E$4-E$92,$A$4:$BH$4,1)),0,OFFSET($A$93,0,MATCH(E$4-E$92,$A$4:$BH$4,1),1,1)/7*(OFFSET($A$4,0,MATCH(E$4-E$92,$A$4:$BH$4,1),1,1)-(E$4-E$92))))))+IF(D$92=0,0,($C$13/$C$92*IF($C$4&gt;(E$4-E$92),$C$4-(E$4-E$92),0)))</f>
        <v>343861.36666666664</v>
      </c>
      <c r="F13" s="102">
        <f ca="1">(IF(F$92&lt;=F$43,0,IF(ISNA(MATCH(F$4-F$92,$A$4:$BH$4,1)),SUM($D$93:F$93),SUM(OFFSET($A$93,0,MATCH(F$4-F$92,$A$4:$BH$4,1)+1,1,COLUMN(F$4)-MATCH(F$4-F$92,$A$4:$BH$4,1)-1)))))+(IF(F$4-F$92=F$4,0,IF(F$4-F$92&lt;$C$4,0,IF(ISNA(MATCH(F$4-F$92,$A$4:$BH$4,1)),0,OFFSET($A$93,0,MATCH(F$4-F$92,$A$4:$BH$4,1),1,1)/7*(OFFSET($A$4,0,MATCH(F$4-F$92,$A$4:$BH$4,1),1,1)-(F$4-F$92))))))+IF(E$92=0,0,($C$13/$C$92*IF($C$4&gt;(F$4-F$92),$C$4-(F$4-F$92),0)))</f>
        <v>342688.03333333333</v>
      </c>
      <c r="G13" s="102">
        <f ca="1">(IF(G$92&lt;=G$43,0,IF(ISNA(MATCH(G$4-G$92,$A$4:$BH$4,1)),SUM($D$93:G$93),SUM(OFFSET($A$93,0,MATCH(G$4-G$92,$A$4:$BH$4,1)+1,1,COLUMN(G$4)-MATCH(G$4-G$92,$A$4:$BH$4,1)-1)))))+(IF(G$4-G$92=G$4,0,IF(G$4-G$92&lt;$C$4,0,IF(ISNA(MATCH(G$4-G$92,$A$4:$BH$4,1)),0,OFFSET($A$93,0,MATCH(G$4-G$92,$A$4:$BH$4,1),1,1)/7*(OFFSET($A$4,0,MATCH(G$4-G$92,$A$4:$BH$4,1),1,1)-(G$4-G$92))))))+IF(F$92=0,0,($C$13/$C$92*IF($C$4&gt;(G$4-G$92),$C$4-(G$4-G$92),0)))</f>
        <v>347525.50952380948</v>
      </c>
      <c r="H13" s="102">
        <f ca="1">(IF(H$92&lt;=H$43,0,IF(ISNA(MATCH(H$4-H$92,$A$4:$BH$4,1)),SUM($D$93:H$93),SUM(OFFSET($A$93,0,MATCH(H$4-H$92,$A$4:$BH$4,1)+1,1,COLUMN(H$4)-MATCH(H$4-H$92,$A$4:$BH$4,1)-1)))))+(IF(H$4-H$92=H$4,0,IF(H$4-H$92&lt;$C$4,0,IF(ISNA(MATCH(H$4-H$92,$A$4:$BH$4,1)),0,OFFSET($A$93,0,MATCH(H$4-H$92,$A$4:$BH$4,1),1,1)/7*(OFFSET($A$4,0,MATCH(H$4-H$92,$A$4:$BH$4,1),1,1)-(H$4-H$92))))))+IF(G$92=0,0,($C$13/$C$92*IF($C$4&gt;(H$4-H$92),$C$4-(H$4-H$92),0)))</f>
        <v>362401.74523809523</v>
      </c>
      <c r="I13" s="102">
        <f ca="1">(IF(I$92&lt;=I$43,0,IF(ISNA(MATCH(I$4-I$92,$A$4:$BH$4,1)),SUM($D$93:I$93),SUM(OFFSET($A$93,0,MATCH(I$4-I$92,$A$4:$BH$4,1)+1,1,COLUMN(I$4)-MATCH(I$4-I$92,$A$4:$BH$4,1)-1)))))+(IF(I$4-I$92=I$4,0,IF(I$4-I$92&lt;$C$4,0,IF(ISNA(MATCH(I$4-I$92,$A$4:$BH$4,1)),0,OFFSET($A$93,0,MATCH(I$4-I$92,$A$4:$BH$4,1),1,1)/7*(OFFSET($A$4,0,MATCH(I$4-I$92,$A$4:$BH$4,1),1,1)-(I$4-I$92))))))+IF(H$92=0,0,($C$13/$C$92*IF($C$4&gt;(I$4-I$92),$C$4-(I$4-I$92),0)))</f>
        <v>372907.89880952379</v>
      </c>
      <c r="J13" s="102">
        <f ca="1">(IF(J$92&lt;=J$43,0,IF(ISNA(MATCH(J$4-J$92,$A$4:$BH$4,1)),SUM($D$93:J$93),SUM(OFFSET($A$93,0,MATCH(J$4-J$92,$A$4:$BH$4,1)+1,1,COLUMN(J$4)-MATCH(J$4-J$92,$A$4:$BH$4,1)-1)))))+(IF(J$4-J$92=J$4,0,IF(J$4-J$92&lt;$C$4,0,IF(ISNA(MATCH(J$4-J$92,$A$4:$BH$4,1)),0,OFFSET($A$93,0,MATCH(J$4-J$92,$A$4:$BH$4,1),1,1)/7*(OFFSET($A$4,0,MATCH(J$4-J$92,$A$4:$BH$4,1),1,1)-(J$4-J$92))))))+IF(I$92=0,0,($C$13/$C$92*IF($C$4&gt;(J$4-J$92),$C$4-(J$4-J$92),0)))</f>
        <v>357670.53571428568</v>
      </c>
      <c r="K13" s="102">
        <f ca="1">(IF(K$92&lt;=K$43,0,IF(ISNA(MATCH(K$4-K$92,$A$4:$BH$4,1)),SUM($D$93:K$93),SUM(OFFSET($A$93,0,MATCH(K$4-K$92,$A$4:$BH$4,1)+1,1,COLUMN(K$4)-MATCH(K$4-K$92,$A$4:$BH$4,1)-1)))))+(IF(K$4-K$92=K$4,0,IF(K$4-K$92&lt;$C$4,0,IF(ISNA(MATCH(K$4-K$92,$A$4:$BH$4,1)),0,OFFSET($A$93,0,MATCH(K$4-K$92,$A$4:$BH$4,1),1,1)/7*(OFFSET($A$4,0,MATCH(K$4-K$92,$A$4:$BH$4,1),1,1)-(K$4-K$92))))))+IF(J$92=0,0,($C$13/$C$92*IF($C$4&gt;(K$4-K$92),$C$4-(K$4-K$92),0)))</f>
        <v>355971.27380952385</v>
      </c>
      <c r="L13" s="102">
        <f ca="1">(IF(L$92&lt;=L$43,0,IF(ISNA(MATCH(L$4-L$92,$A$4:$BH$4,1)),SUM($D$93:L$93),SUM(OFFSET($A$93,0,MATCH(L$4-L$92,$A$4:$BH$4,1)+1,1,COLUMN(L$4)-MATCH(L$4-L$92,$A$4:$BH$4,1)-1)))))+(IF(L$4-L$92=L$4,0,IF(L$4-L$92&lt;$C$4,0,IF(ISNA(MATCH(L$4-L$92,$A$4:$BH$4,1)),0,OFFSET($A$93,0,MATCH(L$4-L$92,$A$4:$BH$4,1),1,1)/7*(OFFSET($A$4,0,MATCH(L$4-L$92,$A$4:$BH$4,1),1,1)-(L$4-L$92))))))+IF(K$92=0,0,($C$13/$C$92*IF($C$4&gt;(L$4-L$92),$C$4-(L$4-L$92),0)))</f>
        <v>347743.43452380953</v>
      </c>
      <c r="M13" s="102">
        <f ca="1">(IF(M$92&lt;=M$43,0,IF(ISNA(MATCH(M$4-M$92,$A$4:$BH$4,1)),SUM($D$93:M$93),SUM(OFFSET($A$93,0,MATCH(M$4-M$92,$A$4:$BH$4,1)+1,1,COLUMN(M$4)-MATCH(M$4-M$92,$A$4:$BH$4,1)-1)))))+(IF(M$4-M$92=M$4,0,IF(M$4-M$92&lt;$C$4,0,IF(ISNA(MATCH(M$4-M$92,$A$4:$BH$4,1)),0,OFFSET($A$93,0,MATCH(M$4-M$92,$A$4:$BH$4,1),1,1)/7*(OFFSET($A$4,0,MATCH(M$4-M$92,$A$4:$BH$4,1),1,1)-(M$4-M$92))))))+IF(L$92=0,0,($C$13/$C$92*IF($C$4&gt;(M$4-M$92),$C$4-(M$4-M$92),0)))</f>
        <v>352948.41666666663</v>
      </c>
      <c r="N13" s="102">
        <f ca="1">(IF(N$92&lt;=N$43,0,IF(ISNA(MATCH(N$4-N$92,$A$4:$BH$4,1)),SUM($D$93:N$93),SUM(OFFSET($A$93,0,MATCH(N$4-N$92,$A$4:$BH$4,1)+1,1,COLUMN(N$4)-MATCH(N$4-N$92,$A$4:$BH$4,1)-1)))))+(IF(N$4-N$92=N$4,0,IF(N$4-N$92&lt;$C$4,0,IF(ISNA(MATCH(N$4-N$92,$A$4:$BH$4,1)),0,OFFSET($A$93,0,MATCH(N$4-N$92,$A$4:$BH$4,1),1,1)/7*(OFFSET($A$4,0,MATCH(N$4-N$92,$A$4:$BH$4,1),1,1)-(N$4-N$92))))))+IF(M$92=0,0,($C$13/$C$92*IF($C$4&gt;(N$4-N$92),$C$4-(N$4-N$92),0)))</f>
        <v>367242.91666666663</v>
      </c>
      <c r="O13" s="102">
        <f ca="1">(IF(O$92&lt;=O$43,0,IF(ISNA(MATCH(O$4-O$92,$A$4:$BH$4,1)),SUM($D$93:O$93),SUM(OFFSET($A$93,0,MATCH(O$4-O$92,$A$4:$BH$4,1)+1,1,COLUMN(O$4)-MATCH(O$4-O$92,$A$4:$BH$4,1)-1)))))+(IF(O$4-O$92=O$4,0,IF(O$4-O$92&lt;$C$4,0,IF(ISNA(MATCH(O$4-O$92,$A$4:$BH$4,1)),0,OFFSET($A$93,0,MATCH(O$4-O$92,$A$4:$BH$4,1),1,1)/7*(OFFSET($A$4,0,MATCH(O$4-O$92,$A$4:$BH$4,1),1,1)-(O$4-O$92))))))+IF(N$92=0,0,($C$13/$C$92*IF($C$4&gt;(O$4-O$92),$C$4-(O$4-O$92),0)))</f>
        <v>375354.79761904757</v>
      </c>
      <c r="P13" s="102">
        <f ca="1">(IF(P$92&lt;=P$43,0,IF(ISNA(MATCH(P$4-P$92,$A$4:$BH$4,1)),SUM($D$93:P$93),SUM(OFFSET($A$93,0,MATCH(P$4-P$92,$A$4:$BH$4,1)+1,1,COLUMN(P$4)-MATCH(P$4-P$92,$A$4:$BH$4,1)-1)))))+(IF(P$4-P$92=P$4,0,IF(P$4-P$92&lt;$C$4,0,IF(ISNA(MATCH(P$4-P$92,$A$4:$BH$4,1)),0,OFFSET($A$93,0,MATCH(P$4-P$92,$A$4:$BH$4,1),1,1)/7*(OFFSET($A$4,0,MATCH(P$4-P$92,$A$4:$BH$4,1),1,1)-(P$4-P$92))))))+IF(O$92=0,0,($C$13/$C$92*IF($C$4&gt;(P$4-P$92),$C$4-(P$4-P$92),0)))</f>
        <v>380498.30952380953</v>
      </c>
      <c r="Q13" s="102">
        <f ca="1">(IF(Q$92&lt;=Q$43,0,IF(ISNA(MATCH(Q$4-Q$92,$A$4:$BH$4,1)),SUM($D$93:Q$93),SUM(OFFSET($A$93,0,MATCH(Q$4-Q$92,$A$4:$BH$4,1)+1,1,COLUMN(Q$4)-MATCH(Q$4-Q$92,$A$4:$BH$4,1)-1)))))+(IF(Q$4-Q$92=Q$4,0,IF(Q$4-Q$92&lt;$C$4,0,IF(ISNA(MATCH(Q$4-Q$92,$A$4:$BH$4,1)),0,OFFSET($A$93,0,MATCH(Q$4-Q$92,$A$4:$BH$4,1),1,1)/7*(OFFSET($A$4,0,MATCH(Q$4-Q$92,$A$4:$BH$4,1),1,1)-(Q$4-Q$92))))))+IF(P$92=0,0,($C$13/$C$92*IF($C$4&gt;(Q$4-Q$92),$C$4-(Q$4-Q$92),0)))</f>
        <v>392859.44047619047</v>
      </c>
      <c r="R13" s="102">
        <f ca="1">(IF(R$92&lt;=R$43,0,IF(ISNA(MATCH(R$4-R$92,$A$4:$BH$4,1)),SUM($D$93:R$93),SUM(OFFSET($A$93,0,MATCH(R$4-R$92,$A$4:$BH$4,1)+1,1,COLUMN(R$4)-MATCH(R$4-R$92,$A$4:$BH$4,1)-1)))))+(IF(R$4-R$92=R$4,0,IF(R$4-R$92&lt;$C$4,0,IF(ISNA(MATCH(R$4-R$92,$A$4:$BH$4,1)),0,OFFSET($A$93,0,MATCH(R$4-R$92,$A$4:$BH$4,1),1,1)/7*(OFFSET($A$4,0,MATCH(R$4-R$92,$A$4:$BH$4,1),1,1)-(R$4-R$92))))))+IF(Q$92=0,0,($C$13/$C$92*IF($C$4&gt;(R$4-R$92),$C$4-(R$4-R$92),0)))</f>
        <v>389205.72619047621</v>
      </c>
      <c r="S13" s="102">
        <f ca="1">(IF(S$92&lt;=S$43,0,IF(ISNA(MATCH(S$4-S$92,$A$4:$BH$4,1)),SUM($D$93:S$93),SUM(OFFSET($A$93,0,MATCH(S$4-S$92,$A$4:$BH$4,1)+1,1,COLUMN(S$4)-MATCH(S$4-S$92,$A$4:$BH$4,1)-1)))))+(IF(S$4-S$92=S$4,0,IF(S$4-S$92&lt;$C$4,0,IF(ISNA(MATCH(S$4-S$92,$A$4:$BH$4,1)),0,OFFSET($A$93,0,MATCH(S$4-S$92,$A$4:$BH$4,1),1,1)/7*(OFFSET($A$4,0,MATCH(S$4-S$92,$A$4:$BH$4,1),1,1)-(S$4-S$92))))))+IF(R$92=0,0,($C$13/$C$92*IF($C$4&gt;(S$4-S$92),$C$4-(S$4-S$92),0)))</f>
        <v>385210.57142857142</v>
      </c>
      <c r="T13" s="102">
        <f ca="1">(IF(T$92&lt;=T$43,0,IF(ISNA(MATCH(T$4-T$92,$A$4:$BH$4,1)),SUM($D$93:T$93),SUM(OFFSET($A$93,0,MATCH(T$4-T$92,$A$4:$BH$4,1)+1,1,COLUMN(T$4)-MATCH(T$4-T$92,$A$4:$BH$4,1)-1)))))+(IF(T$4-T$92=T$4,0,IF(T$4-T$92&lt;$C$4,0,IF(ISNA(MATCH(T$4-T$92,$A$4:$BH$4,1)),0,OFFSET($A$93,0,MATCH(T$4-T$92,$A$4:$BH$4,1),1,1)/7*(OFFSET($A$4,0,MATCH(T$4-T$92,$A$4:$BH$4,1),1,1)-(T$4-T$92))))))+IF(S$92=0,0,($C$13/$C$92*IF($C$4&gt;(T$4-T$92),$C$4-(T$4-T$92),0)))</f>
        <v>387733.04166666663</v>
      </c>
      <c r="U13" s="102">
        <f ca="1">(IF(U$92&lt;=U$43,0,IF(ISNA(MATCH(U$4-U$92,$A$4:$BH$4,1)),SUM($D$93:U$93),SUM(OFFSET($A$93,0,MATCH(U$4-U$92,$A$4:$BH$4,1)+1,1,COLUMN(U$4)-MATCH(U$4-U$92,$A$4:$BH$4,1)-1)))))+(IF(U$4-U$92=U$4,0,IF(U$4-U$92&lt;$C$4,0,IF(ISNA(MATCH(U$4-U$92,$A$4:$BH$4,1)),0,OFFSET($A$93,0,MATCH(U$4-U$92,$A$4:$BH$4,1),1,1)/7*(OFFSET($A$4,0,MATCH(U$4-U$92,$A$4:$BH$4,1),1,1)-(U$4-U$92))))))+IF(T$92=0,0,($C$13/$C$92*IF($C$4&gt;(U$4-U$92),$C$4-(U$4-U$92),0)))</f>
        <v>390651.85119047615</v>
      </c>
      <c r="V13" s="102">
        <f ca="1">(IF(V$92&lt;=V$43,0,IF(ISNA(MATCH(V$4-V$92,$A$4:$BH$4,1)),SUM($D$93:V$93),SUM(OFFSET($A$93,0,MATCH(V$4-V$92,$A$4:$BH$4,1)+1,1,COLUMN(V$4)-MATCH(V$4-V$92,$A$4:$BH$4,1)-1)))))+(IF(V$4-V$92=V$4,0,IF(V$4-V$92&lt;$C$4,0,IF(ISNA(MATCH(V$4-V$92,$A$4:$BH$4,1)),0,OFFSET($A$93,0,MATCH(V$4-V$92,$A$4:$BH$4,1),1,1)/7*(OFFSET($A$4,0,MATCH(V$4-V$92,$A$4:$BH$4,1),1,1)-(V$4-V$92))))))+IF(U$92=0,0,($C$13/$C$92*IF($C$4&gt;(V$4-V$92),$C$4-(V$4-V$92),0)))</f>
        <v>402208.39285714284</v>
      </c>
      <c r="W13" s="102">
        <f ca="1">(IF(W$92&lt;=W$43,0,IF(ISNA(MATCH(W$4-W$92,$A$4:$BH$4,1)),SUM($D$93:W$93),SUM(OFFSET($A$93,0,MATCH(W$4-W$92,$A$4:$BH$4,1)+1,1,COLUMN(W$4)-MATCH(W$4-W$92,$A$4:$BH$4,1)-1)))))+(IF(W$4-W$92=W$4,0,IF(W$4-W$92&lt;$C$4,0,IF(ISNA(MATCH(W$4-W$92,$A$4:$BH$4,1)),0,OFFSET($A$93,0,MATCH(W$4-W$92,$A$4:$BH$4,1),1,1)/7*(OFFSET($A$4,0,MATCH(W$4-W$92,$A$4:$BH$4,1),1,1)-(W$4-W$92))))))+IF(V$92=0,0,($C$13/$C$92*IF($C$4&gt;(W$4-W$92),$C$4-(W$4-W$92),0)))</f>
        <v>399130.91071428568</v>
      </c>
      <c r="X13" s="102">
        <f ca="1">(IF(X$92&lt;=X$43,0,IF(ISNA(MATCH(X$4-X$92,$A$4:$BH$4,1)),SUM($D$93:X$93),SUM(OFFSET($A$93,0,MATCH(X$4-X$92,$A$4:$BH$4,1)+1,1,COLUMN(X$4)-MATCH(X$4-X$92,$A$4:$BH$4,1)-1)))))+(IF(X$4-X$92=X$4,0,IF(X$4-X$92&lt;$C$4,0,IF(ISNA(MATCH(X$4-X$92,$A$4:$BH$4,1)),0,OFFSET($A$93,0,MATCH(X$4-X$92,$A$4:$BH$4,1),1,1)/7*(OFFSET($A$4,0,MATCH(X$4-X$92,$A$4:$BH$4,1),1,1)-(X$4-X$92))))))+IF(W$92=0,0,($C$13/$C$92*IF($C$4&gt;(X$4-X$92),$C$4-(X$4-X$92),0)))</f>
        <v>390099.30357142858</v>
      </c>
      <c r="Y13" s="102">
        <f ca="1">(IF(Y$92&lt;=Y$43,0,IF(ISNA(MATCH(Y$4-Y$92,$A$4:$BH$4,1)),SUM($D$93:Y$93),SUM(OFFSET($A$93,0,MATCH(Y$4-Y$92,$A$4:$BH$4,1)+1,1,COLUMN(Y$4)-MATCH(Y$4-Y$92,$A$4:$BH$4,1)-1)))))+(IF(Y$4-Y$92=Y$4,0,IF(Y$4-Y$92&lt;$C$4,0,IF(ISNA(MATCH(Y$4-Y$92,$A$4:$BH$4,1)),0,OFFSET($A$93,0,MATCH(Y$4-Y$92,$A$4:$BH$4,1),1,1)/7*(OFFSET($A$4,0,MATCH(Y$4-Y$92,$A$4:$BH$4,1),1,1)-(Y$4-Y$92))))))+IF(X$92=0,0,($C$13/$C$92*IF($C$4&gt;(Y$4-Y$92),$C$4-(Y$4-Y$92),0)))</f>
        <v>391509.55952380953</v>
      </c>
      <c r="Z13" s="102">
        <f ca="1">(IF(Z$92&lt;=Z$43,0,IF(ISNA(MATCH(Z$4-Z$92,$A$4:$BH$4,1)),SUM($D$93:Z$93),SUM(OFFSET($A$93,0,MATCH(Z$4-Z$92,$A$4:$BH$4,1)+1,1,COLUMN(Z$4)-MATCH(Z$4-Z$92,$A$4:$BH$4,1)-1)))))+(IF(Z$4-Z$92=Z$4,0,IF(Z$4-Z$92&lt;$C$4,0,IF(ISNA(MATCH(Z$4-Z$92,$A$4:$BH$4,1)),0,OFFSET($A$93,0,MATCH(Z$4-Z$92,$A$4:$BH$4,1),1,1)/7*(OFFSET($A$4,0,MATCH(Z$4-Z$92,$A$4:$BH$4,1),1,1)-(Z$4-Z$92))))))+IF(Y$92=0,0,($C$13/$C$92*IF($C$4&gt;(Z$4-Z$92),$C$4-(Z$4-Z$92),0)))</f>
        <v>392831.23809523805</v>
      </c>
      <c r="AA13" s="102">
        <f ca="1">(IF(AA$92&lt;=AA$43,0,IF(ISNA(MATCH(AA$4-AA$92,$A$4:$BH$4,1)),SUM($D$93:AA$93),SUM(OFFSET($A$93,0,MATCH(AA$4-AA$92,$A$4:$BH$4,1)+1,1,COLUMN(AA$4)-MATCH(AA$4-AA$92,$A$4:$BH$4,1)-1)))))+(IF(AA$4-AA$92=AA$4,0,IF(AA$4-AA$92&lt;$C$4,0,IF(ISNA(MATCH(AA$4-AA$92,$A$4:$BH$4,1)),0,OFFSET($A$93,0,MATCH(AA$4-AA$92,$A$4:$BH$4,1),1,1)/7*(OFFSET($A$4,0,MATCH(AA$4-AA$92,$A$4:$BH$4,1),1,1)-(AA$4-AA$92))))))+IF(Z$92=0,0,($C$13/$C$92*IF($C$4&gt;(AA$4-AA$92),$C$4-(AA$4-AA$92),0)))</f>
        <v>406425.33333333331</v>
      </c>
      <c r="AB13" s="102">
        <f ca="1">(IF(AB$92&lt;=AB$43,0,IF(ISNA(MATCH(AB$4-AB$92,$A$4:$BH$4,1)),SUM($D$93:AB$93),SUM(OFFSET($A$93,0,MATCH(AB$4-AB$92,$A$4:$BH$4,1)+1,1,COLUMN(AB$4)-MATCH(AB$4-AB$92,$A$4:$BH$4,1)-1)))))+(IF(AB$4-AB$92=AB$4,0,IF(AB$4-AB$92&lt;$C$4,0,IF(ISNA(MATCH(AB$4-AB$92,$A$4:$BH$4,1)),0,OFFSET($A$93,0,MATCH(AB$4-AB$92,$A$4:$BH$4,1),1,1)/7*(OFFSET($A$4,0,MATCH(AB$4-AB$92,$A$4:$BH$4,1),1,1)-(AB$4-AB$92))))))+IF(AA$92=0,0,($C$13/$C$92*IF($C$4&gt;(AB$4-AB$92),$C$4-(AB$4-AB$92),0)))</f>
        <v>410841.33333333326</v>
      </c>
      <c r="AC13" s="102">
        <f ca="1">(IF(AC$92&lt;=AC$43,0,IF(ISNA(MATCH(AC$4-AC$92,$A$4:$BH$4,1)),SUM($D$93:AC$93),SUM(OFFSET($A$93,0,MATCH(AC$4-AC$92,$A$4:$BH$4,1)+1,1,COLUMN(AC$4)-MATCH(AC$4-AC$92,$A$4:$BH$4,1)-1)))))+(IF(AC$4-AC$92=AC$4,0,IF(AC$4-AC$92&lt;$C$4,0,IF(ISNA(MATCH(AC$4-AC$92,$A$4:$BH$4,1)),0,OFFSET($A$93,0,MATCH(AC$4-AC$92,$A$4:$BH$4,1),1,1)/7*(OFFSET($A$4,0,MATCH(AC$4-AC$92,$A$4:$BH$4,1),1,1)-(AC$4-AC$92))))))+IF(AB$92=0,0,($C$13/$C$92*IF($C$4&gt;(AC$4-AC$92),$C$4-(AC$4-AC$92),0)))</f>
        <v>409583.45238095231</v>
      </c>
      <c r="AD13" s="52">
        <f ca="1">(IF(AD$92&lt;=AD$43,0,IF(ISNA(MATCH(AD$4-AD$92,$A$4:$BH$4,1)),SUM($D$93:AD$93),SUM(OFFSET($A$93,0,MATCH(AD$4-AD$92,$A$4:$BH$4,1)+1,1,COLUMN(AD$4)-MATCH(AD$4-AD$92,$A$4:$BH$4,1)-1)))))+(IF(AD$4-AD$92=AD$4,0,IF(AD$4-AD$92&lt;$C$4,0,IF(ISNA(MATCH(AD$4-AD$92,$A$4:$BH$4,1)),0,OFFSET($A$93,0,MATCH(AD$4-AD$92,$A$4:$BH$4,1),1,1)/7*(OFFSET($A$4,0,MATCH(AD$4-AD$92,$A$4:$BH$4,1),1,1)-(AD$4-AD$92))))))+IF(AC$92=0,0,($C$13/$C$92*IF($C$4&gt;(AD$4-AD$92),$C$4-(AD$4-AD$92),0)))</f>
        <v>412396.29761904757</v>
      </c>
      <c r="AE13" s="52">
        <f ca="1">(IF(AE$92&lt;=AE$43,0,IF(ISNA(MATCH(AE$4-AE$92,$A$4:$BH$4,1)),SUM($D$93:AE$93),SUM(OFFSET($A$93,0,MATCH(AE$4-AE$92,$A$4:$BH$4,1)+1,1,COLUMN(AE$4)-MATCH(AE$4-AE$92,$A$4:$BH$4,1)-1)))))+(IF(AE$4-AE$92=AE$4,0,IF(AE$4-AE$92&lt;$C$4,0,IF(ISNA(MATCH(AE$4-AE$92,$A$4:$BH$4,1)),0,OFFSET($A$93,0,MATCH(AE$4-AE$92,$A$4:$BH$4,1),1,1)/7*(OFFSET($A$4,0,MATCH(AE$4-AE$92,$A$4:$BH$4,1),1,1)-(AE$4-AE$92))))))+IF(AD$92=0,0,($C$13/$C$92*IF($C$4&gt;(AE$4-AE$92),$C$4-(AE$4-AE$92),0)))</f>
        <v>413658.83333333331</v>
      </c>
      <c r="AF13" s="52">
        <f ca="1">(IF(AF$92&lt;=AF$43,0,IF(ISNA(MATCH(AF$4-AF$92,$A$4:$BH$4,1)),SUM($D$93:AF$93),SUM(OFFSET($A$93,0,MATCH(AF$4-AF$92,$A$4:$BH$4,1)+1,1,COLUMN(AF$4)-MATCH(AF$4-AF$92,$A$4:$BH$4,1)-1)))))+(IF(AF$4-AF$92=AF$4,0,IF(AF$4-AF$92&lt;$C$4,0,IF(ISNA(MATCH(AF$4-AF$92,$A$4:$BH$4,1)),0,OFFSET($A$93,0,MATCH(AF$4-AF$92,$A$4:$BH$4,1),1,1)/7*(OFFSET($A$4,0,MATCH(AF$4-AF$92,$A$4:$BH$4,1),1,1)-(AF$4-AF$92))))))+IF(AE$92=0,0,($C$13/$C$92*IF($C$4&gt;(AF$4-AF$92),$C$4-(AF$4-AF$92),0)))</f>
        <v>419075.33333333331</v>
      </c>
      <c r="AG13" s="52">
        <f ca="1">(IF(AG$92&lt;=AG$43,0,IF(ISNA(MATCH(AG$4-AG$92,$A$4:$BH$4,1)),SUM($D$93:AG$93),SUM(OFFSET($A$93,0,MATCH(AG$4-AG$92,$A$4:$BH$4,1)+1,1,COLUMN(AG$4)-MATCH(AG$4-AG$92,$A$4:$BH$4,1)-1)))))+(IF(AG$4-AG$92=AG$4,0,IF(AG$4-AG$92&lt;$C$4,0,IF(ISNA(MATCH(AG$4-AG$92,$A$4:$BH$4,1)),0,OFFSET($A$93,0,MATCH(AG$4-AG$92,$A$4:$BH$4,1),1,1)/7*(OFFSET($A$4,0,MATCH(AG$4-AG$92,$A$4:$BH$4,1),1,1)-(AG$4-AG$92))))))+IF(AF$92=0,0,($C$13/$C$92*IF($C$4&gt;(AG$4-AG$92),$C$4-(AG$4-AG$92),0)))</f>
        <v>419258.1011904761</v>
      </c>
      <c r="AH13" s="52">
        <f ca="1">(IF(AH$92&lt;=AH$43,0,IF(ISNA(MATCH(AH$4-AH$92,$A$4:$BH$4,1)),SUM($D$93:AH$93),SUM(OFFSET($A$93,0,MATCH(AH$4-AH$92,$A$4:$BH$4,1)+1,1,COLUMN(AH$4)-MATCH(AH$4-AH$92,$A$4:$BH$4,1)-1)))))+(IF(AH$4-AH$92=AH$4,0,IF(AH$4-AH$92&lt;$C$4,0,IF(ISNA(MATCH(AH$4-AH$92,$A$4:$BH$4,1)),0,OFFSET($A$93,0,MATCH(AH$4-AH$92,$A$4:$BH$4,1),1,1)/7*(OFFSET($A$4,0,MATCH(AH$4-AH$92,$A$4:$BH$4,1),1,1)-(AH$4-AH$92))))))+IF(AG$92=0,0,($C$13/$C$92*IF($C$4&gt;(AH$4-AH$92),$C$4-(AH$4-AH$92),0)))</f>
        <v>424963.47023809521</v>
      </c>
      <c r="AI13" s="52">
        <f ca="1">(IF(AI$92&lt;=AI$43,0,IF(ISNA(MATCH(AI$4-AI$92,$A$4:$BH$4,1)),SUM($D$93:AI$93),SUM(OFFSET($A$93,0,MATCH(AI$4-AI$92,$A$4:$BH$4,1)+1,1,COLUMN(AI$4)-MATCH(AI$4-AI$92,$A$4:$BH$4,1)-1)))))+(IF(AI$4-AI$92=AI$4,0,IF(AI$4-AI$92&lt;$C$4,0,IF(ISNA(MATCH(AI$4-AI$92,$A$4:$BH$4,1)),0,OFFSET($A$93,0,MATCH(AI$4-AI$92,$A$4:$BH$4,1),1,1)/7*(OFFSET($A$4,0,MATCH(AI$4-AI$92,$A$4:$BH$4,1),1,1)-(AI$4-AI$92))))))+IF(AH$92=0,0,($C$13/$C$92*IF($C$4&gt;(AI$4-AI$92),$C$4-(AI$4-AI$92),0)))</f>
        <v>428764.49404761894</v>
      </c>
      <c r="AJ13" s="52">
        <f ca="1">(IF(AJ$92&lt;=AJ$43,0,IF(ISNA(MATCH(AJ$4-AJ$92,$A$4:$BH$4,1)),SUM($D$93:AJ$93),SUM(OFFSET($A$93,0,MATCH(AJ$4-AJ$92,$A$4:$BH$4,1)+1,1,COLUMN(AJ$4)-MATCH(AJ$4-AJ$92,$A$4:$BH$4,1)-1)))))+(IF(AJ$4-AJ$92=AJ$4,0,IF(AJ$4-AJ$92&lt;$C$4,0,IF(ISNA(MATCH(AJ$4-AJ$92,$A$4:$BH$4,1)),0,OFFSET($A$93,0,MATCH(AJ$4-AJ$92,$A$4:$BH$4,1),1,1)/7*(OFFSET($A$4,0,MATCH(AJ$4-AJ$92,$A$4:$BH$4,1),1,1)-(AJ$4-AJ$92))))))+IF(AI$92=0,0,($C$13/$C$92*IF($C$4&gt;(AJ$4-AJ$92),$C$4-(AJ$4-AJ$92),0)))</f>
        <v>433019.90476190473</v>
      </c>
      <c r="AK13" s="52">
        <f ca="1">(IF(AK$92&lt;=AK$43,0,IF(ISNA(MATCH(AK$4-AK$92,$A$4:$BH$4,1)),SUM($D$93:AK$93),SUM(OFFSET($A$93,0,MATCH(AK$4-AK$92,$A$4:$BH$4,1)+1,1,COLUMN(AK$4)-MATCH(AK$4-AK$92,$A$4:$BH$4,1)-1)))))+(IF(AK$4-AK$92=AK$4,0,IF(AK$4-AK$92&lt;$C$4,0,IF(ISNA(MATCH(AK$4-AK$92,$A$4:$BH$4,1)),0,OFFSET($A$93,0,MATCH(AK$4-AK$92,$A$4:$BH$4,1),1,1)/7*(OFFSET($A$4,0,MATCH(AK$4-AK$92,$A$4:$BH$4,1),1,1)-(AK$4-AK$92))))))+IF(AJ$92=0,0,($C$13/$C$92*IF($C$4&gt;(AK$4-AK$92),$C$4-(AK$4-AK$92),0)))</f>
        <v>442592.55952380947</v>
      </c>
      <c r="AL13" s="52">
        <f ca="1">(IF(AL$92&lt;=AL$43,0,IF(ISNA(MATCH(AL$4-AL$92,$A$4:$BH$4,1)),SUM($D$93:AL$93),SUM(OFFSET($A$93,0,MATCH(AL$4-AL$92,$A$4:$BH$4,1)+1,1,COLUMN(AL$4)-MATCH(AL$4-AL$92,$A$4:$BH$4,1)-1)))))+(IF(AL$4-AL$92=AL$4,0,IF(AL$4-AL$92&lt;$C$4,0,IF(ISNA(MATCH(AL$4-AL$92,$A$4:$BH$4,1)),0,OFFSET($A$93,0,MATCH(AL$4-AL$92,$A$4:$BH$4,1),1,1)/7*(OFFSET($A$4,0,MATCH(AL$4-AL$92,$A$4:$BH$4,1),1,1)-(AL$4-AL$92))))))+IF(AK$92=0,0,($C$13/$C$92*IF($C$4&gt;(AL$4-AL$92),$C$4-(AL$4-AL$92),0)))</f>
        <v>441881.75</v>
      </c>
      <c r="AM13" s="52">
        <f ca="1">(IF(AM$92&lt;=AM$43,0,IF(ISNA(MATCH(AM$4-AM$92,$A$4:$BH$4,1)),SUM($D$93:AM$93),SUM(OFFSET($A$93,0,MATCH(AM$4-AM$92,$A$4:$BH$4,1)+1,1,COLUMN(AM$4)-MATCH(AM$4-AM$92,$A$4:$BH$4,1)-1)))))+(IF(AM$4-AM$92=AM$4,0,IF(AM$4-AM$92&lt;$C$4,0,IF(ISNA(MATCH(AM$4-AM$92,$A$4:$BH$4,1)),0,OFFSET($A$93,0,MATCH(AM$4-AM$92,$A$4:$BH$4,1),1,1)/7*(OFFSET($A$4,0,MATCH(AM$4-AM$92,$A$4:$BH$4,1),1,1)-(AM$4-AM$92))))))+IF(AL$92=0,0,($C$13/$C$92*IF($C$4&gt;(AM$4-AM$92),$C$4-(AM$4-AM$92),0)))</f>
        <v>442210.04761904757</v>
      </c>
      <c r="AN13" s="52">
        <f ca="1">(IF(AN$92&lt;=AN$43,0,IF(ISNA(MATCH(AN$4-AN$92,$A$4:$BH$4,1)),SUM($D$93:AN$93),SUM(OFFSET($A$93,0,MATCH(AN$4-AN$92,$A$4:$BH$4,1)+1,1,COLUMN(AN$4)-MATCH(AN$4-AN$92,$A$4:$BH$4,1)-1)))))+(IF(AN$4-AN$92=AN$4,0,IF(AN$4-AN$92&lt;$C$4,0,IF(ISNA(MATCH(AN$4-AN$92,$A$4:$BH$4,1)),0,OFFSET($A$93,0,MATCH(AN$4-AN$92,$A$4:$BH$4,1),1,1)/7*(OFFSET($A$4,0,MATCH(AN$4-AN$92,$A$4:$BH$4,1),1,1)-(AN$4-AN$92))))))+IF(AM$92=0,0,($C$13/$C$92*IF($C$4&gt;(AN$4-AN$92),$C$4-(AN$4-AN$92),0)))</f>
        <v>443746.94047619042</v>
      </c>
      <c r="AO13" s="52">
        <f ca="1">(IF(AO$92&lt;=AO$43,0,IF(ISNA(MATCH(AO$4-AO$92,$A$4:$BH$4,1)),SUM($D$93:AO$93),SUM(OFFSET($A$93,0,MATCH(AO$4-AO$92,$A$4:$BH$4,1)+1,1,COLUMN(AO$4)-MATCH(AO$4-AO$92,$A$4:$BH$4,1)-1)))))+(IF(AO$4-AO$92=AO$4,0,IF(AO$4-AO$92&lt;$C$4,0,IF(ISNA(MATCH(AO$4-AO$92,$A$4:$BH$4,1)),0,OFFSET($A$93,0,MATCH(AO$4-AO$92,$A$4:$BH$4,1),1,1)/7*(OFFSET($A$4,0,MATCH(AO$4-AO$92,$A$4:$BH$4,1),1,1)-(AO$4-AO$92))))))+IF(AN$92=0,0,($C$13/$C$92*IF($C$4&gt;(AO$4-AO$92),$C$4-(AO$4-AO$92),0)))</f>
        <v>437566.78571428568</v>
      </c>
      <c r="AP13" s="52">
        <f ca="1">(IF(AP$92&lt;=AP$43,0,IF(ISNA(MATCH(AP$4-AP$92,$A$4:$BH$4,1)),SUM($D$93:AP$93),SUM(OFFSET($A$93,0,MATCH(AP$4-AP$92,$A$4:$BH$4,1)+1,1,COLUMN(AP$4)-MATCH(AP$4-AP$92,$A$4:$BH$4,1)-1)))))+(IF(AP$4-AP$92=AP$4,0,IF(AP$4-AP$92&lt;$C$4,0,IF(ISNA(MATCH(AP$4-AP$92,$A$4:$BH$4,1)),0,OFFSET($A$93,0,MATCH(AP$4-AP$92,$A$4:$BH$4,1),1,1)/7*(OFFSET($A$4,0,MATCH(AP$4-AP$92,$A$4:$BH$4,1),1,1)-(AP$4-AP$92))))))+IF(AO$92=0,0,($C$13/$C$92*IF($C$4&gt;(AP$4-AP$92),$C$4-(AP$4-AP$92),0)))</f>
        <v>443278.99999999994</v>
      </c>
      <c r="AQ13" s="52">
        <f ca="1">(IF(AQ$92&lt;=AQ$43,0,IF(ISNA(MATCH(AQ$4-AQ$92,$A$4:$BH$4,1)),SUM($D$93:AQ$93),SUM(OFFSET($A$93,0,MATCH(AQ$4-AQ$92,$A$4:$BH$4,1)+1,1,COLUMN(AQ$4)-MATCH(AQ$4-AQ$92,$A$4:$BH$4,1)-1)))))+(IF(AQ$4-AQ$92=AQ$4,0,IF(AQ$4-AQ$92&lt;$C$4,0,IF(ISNA(MATCH(AQ$4-AQ$92,$A$4:$BH$4,1)),0,OFFSET($A$93,0,MATCH(AQ$4-AQ$92,$A$4:$BH$4,1),1,1)/7*(OFFSET($A$4,0,MATCH(AQ$4-AQ$92,$A$4:$BH$4,1),1,1)-(AQ$4-AQ$92))))))+IF(AP$92=0,0,($C$13/$C$92*IF($C$4&gt;(AQ$4-AQ$92),$C$4-(AQ$4-AQ$92),0)))</f>
        <v>431191.35</v>
      </c>
      <c r="AR13" s="52">
        <f ca="1">(IF(AR$92&lt;=AR$43,0,IF(ISNA(MATCH(AR$4-AR$92,$A$4:$BH$4,1)),SUM($D$93:AR$93),SUM(OFFSET($A$93,0,MATCH(AR$4-AR$92,$A$4:$BH$4,1)+1,1,COLUMN(AR$4)-MATCH(AR$4-AR$92,$A$4:$BH$4,1)-1)))))+(IF(AR$4-AR$92=AR$4,0,IF(AR$4-AR$92&lt;$C$4,0,IF(ISNA(MATCH(AR$4-AR$92,$A$4:$BH$4,1)),0,OFFSET($A$93,0,MATCH(AR$4-AR$92,$A$4:$BH$4,1),1,1)/7*(OFFSET($A$4,0,MATCH(AR$4-AR$92,$A$4:$BH$4,1),1,1)-(AR$4-AR$92))))))+IF(AQ$92=0,0,($C$13/$C$92*IF($C$4&gt;(AR$4-AR$92),$C$4-(AR$4-AR$92),0)))</f>
        <v>408674.02142857137</v>
      </c>
      <c r="AS13" s="52">
        <f ca="1">(IF(AS$92&lt;=AS$43,0,IF(ISNA(MATCH(AS$4-AS$92,$A$4:$BH$4,1)),SUM($D$93:AS$93),SUM(OFFSET($A$93,0,MATCH(AS$4-AS$92,$A$4:$BH$4,1)+1,1,COLUMN(AS$4)-MATCH(AS$4-AS$92,$A$4:$BH$4,1)-1)))))+(IF(AS$4-AS$92=AS$4,0,IF(AS$4-AS$92&lt;$C$4,0,IF(ISNA(MATCH(AS$4-AS$92,$A$4:$BH$4,1)),0,OFFSET($A$93,0,MATCH(AS$4-AS$92,$A$4:$BH$4,1),1,1)/7*(OFFSET($A$4,0,MATCH(AS$4-AS$92,$A$4:$BH$4,1),1,1)-(AS$4-AS$92))))))+IF(AR$92=0,0,($C$13/$C$92*IF($C$4&gt;(AS$4-AS$92),$C$4-(AS$4-AS$92),0)))</f>
        <v>390129.77857142856</v>
      </c>
      <c r="AT13" s="52">
        <f ca="1">(IF(AT$92&lt;=AT$43,0,IF(ISNA(MATCH(AT$4-AT$92,$A$4:$BH$4,1)),SUM($D$93:AT$93),SUM(OFFSET($A$93,0,MATCH(AT$4-AT$92,$A$4:$BH$4,1)+1,1,COLUMN(AT$4)-MATCH(AT$4-AT$92,$A$4:$BH$4,1)-1)))))+(IF(AT$4-AT$92=AT$4,0,IF(AT$4-AT$92&lt;$C$4,0,IF(ISNA(MATCH(AT$4-AT$92,$A$4:$BH$4,1)),0,OFFSET($A$93,0,MATCH(AT$4-AT$92,$A$4:$BH$4,1),1,1)/7*(OFFSET($A$4,0,MATCH(AT$4-AT$92,$A$4:$BH$4,1),1,1)-(AT$4-AT$92))))))+IF(AS$92=0,0,($C$13/$C$92*IF($C$4&gt;(AT$4-AT$92),$C$4-(AT$4-AT$92),0)))</f>
        <v>346377.31666666671</v>
      </c>
      <c r="AU13" s="52">
        <f ca="1">(IF(AU$92&lt;=AU$43,0,IF(ISNA(MATCH(AU$4-AU$92,$A$4:$BH$4,1)),SUM($D$93:AU$93),SUM(OFFSET($A$93,0,MATCH(AU$4-AU$92,$A$4:$BH$4,1)+1,1,COLUMN(AU$4)-MATCH(AU$4-AU$92,$A$4:$BH$4,1)-1)))))+(IF(AU$4-AU$92=AU$4,0,IF(AU$4-AU$92&lt;$C$4,0,IF(ISNA(MATCH(AU$4-AU$92,$A$4:$BH$4,1)),0,OFFSET($A$93,0,MATCH(AU$4-AU$92,$A$4:$BH$4,1),1,1)/7*(OFFSET($A$4,0,MATCH(AU$4-AU$92,$A$4:$BH$4,1),1,1)-(AU$4-AU$92))))))+IF(AT$92=0,0,($C$13/$C$92*IF($C$4&gt;(AU$4-AU$92),$C$4-(AU$4-AU$92),0)))</f>
        <v>303990.20047619042</v>
      </c>
      <c r="AV13" s="52">
        <f ca="1">(IF(AV$92&lt;=AV$43,0,IF(ISNA(MATCH(AV$4-AV$92,$A$4:$BH$4,1)),SUM($D$93:AV$93),SUM(OFFSET($A$93,0,MATCH(AV$4-AV$92,$A$4:$BH$4,1)+1,1,COLUMN(AV$4)-MATCH(AV$4-AV$92,$A$4:$BH$4,1)-1)))))+(IF(AV$4-AV$92=AV$4,0,IF(AV$4-AV$92&lt;$C$4,0,IF(ISNA(MATCH(AV$4-AV$92,$A$4:$BH$4,1)),0,OFFSET($A$93,0,MATCH(AV$4-AV$92,$A$4:$BH$4,1),1,1)/7*(OFFSET($A$4,0,MATCH(AV$4-AV$92,$A$4:$BH$4,1),1,1)-(AV$4-AV$92))))))+IF(AU$92=0,0,($C$13/$C$92*IF($C$4&gt;(AV$4-AV$92),$C$4-(AV$4-AV$92),0)))</f>
        <v>271857.68904761906</v>
      </c>
      <c r="AW13" s="52">
        <f ca="1">(IF(AW$92&lt;=AW$43,0,IF(ISNA(MATCH(AW$4-AW$92,$A$4:$BH$4,1)),SUM($D$93:AW$93),SUM(OFFSET($A$93,0,MATCH(AW$4-AW$92,$A$4:$BH$4,1)+1,1,COLUMN(AW$4)-MATCH(AW$4-AW$92,$A$4:$BH$4,1)-1)))))+(IF(AW$4-AW$92=AW$4,0,IF(AW$4-AW$92&lt;$C$4,0,IF(ISNA(MATCH(AW$4-AW$92,$A$4:$BH$4,1)),0,OFFSET($A$93,0,MATCH(AW$4-AW$92,$A$4:$BH$4,1),1,1)/7*(OFFSET($A$4,0,MATCH(AW$4-AW$92,$A$4:$BH$4,1),1,1)-(AW$4-AW$92))))))+IF(AV$92=0,0,($C$13/$C$92*IF($C$4&gt;(AW$4-AW$92),$C$4-(AW$4-AW$92),0)))</f>
        <v>269854.96404761903</v>
      </c>
      <c r="AX13" s="52">
        <f ca="1">(IF(AX$92&lt;=AX$43,0,IF(ISNA(MATCH(AX$4-AX$92,$A$4:$BH$4,1)),SUM($D$93:AX$93),SUM(OFFSET($A$93,0,MATCH(AX$4-AX$92,$A$4:$BH$4,1)+1,1,COLUMN(AX$4)-MATCH(AX$4-AX$92,$A$4:$BH$4,1)-1)))))+(IF(AX$4-AX$92=AX$4,0,IF(AX$4-AX$92&lt;$C$4,0,IF(ISNA(MATCH(AX$4-AX$92,$A$4:$BH$4,1)),0,OFFSET($A$93,0,MATCH(AX$4-AX$92,$A$4:$BH$4,1),1,1)/7*(OFFSET($A$4,0,MATCH(AX$4-AX$92,$A$4:$BH$4,1),1,1)-(AX$4-AX$92))))))+IF(AW$92=0,0,($C$13/$C$92*IF($C$4&gt;(AX$4-AX$92),$C$4-(AX$4-AX$92),0)))</f>
        <v>324058.57119047613</v>
      </c>
      <c r="AY13" s="52">
        <f ca="1">(IF(AY$92&lt;=AY$43,0,IF(ISNA(MATCH(AY$4-AY$92,$A$4:$BH$4,1)),SUM($D$93:AY$93),SUM(OFFSET($A$93,0,MATCH(AY$4-AY$92,$A$4:$BH$4,1)+1,1,COLUMN(AY$4)-MATCH(AY$4-AY$92,$A$4:$BH$4,1)-1)))))+(IF(AY$4-AY$92=AY$4,0,IF(AY$4-AY$92&lt;$C$4,0,IF(ISNA(MATCH(AY$4-AY$92,$A$4:$BH$4,1)),0,OFFSET($A$93,0,MATCH(AY$4-AY$92,$A$4:$BH$4,1),1,1)/7*(OFFSET($A$4,0,MATCH(AY$4-AY$92,$A$4:$BH$4,1),1,1)-(AY$4-AY$92))))))+IF(AX$92=0,0,($C$13/$C$92*IF($C$4&gt;(AY$4-AY$92),$C$4-(AY$4-AY$92),0)))</f>
        <v>384078.58261904761</v>
      </c>
      <c r="AZ13" s="52">
        <f ca="1">(IF(AZ$92&lt;=AZ$43,0,IF(ISNA(MATCH(AZ$4-AZ$92,$A$4:$BH$4,1)),SUM($D$93:AZ$93),SUM(OFFSET($A$93,0,MATCH(AZ$4-AZ$92,$A$4:$BH$4,1)+1,1,COLUMN(AZ$4)-MATCH(AZ$4-AZ$92,$A$4:$BH$4,1)-1)))))+(IF(AZ$4-AZ$92=AZ$4,0,IF(AZ$4-AZ$92&lt;$C$4,0,IF(ISNA(MATCH(AZ$4-AZ$92,$A$4:$BH$4,1)),0,OFFSET($A$93,0,MATCH(AZ$4-AZ$92,$A$4:$BH$4,1),1,1)/7*(OFFSET($A$4,0,MATCH(AZ$4-AZ$92,$A$4:$BH$4,1),1,1)-(AZ$4-AZ$92))))))+IF(AY$92=0,0,($C$13/$C$92*IF($C$4&gt;(AZ$4-AZ$92),$C$4-(AZ$4-AZ$92),0)))</f>
        <v>433715.90666666662</v>
      </c>
      <c r="BA13" s="52">
        <f ca="1">(IF(BA$92&lt;=BA$43,0,IF(ISNA(MATCH(BA$4-BA$92,$A$4:$BH$4,1)),SUM($D$93:BA$93),SUM(OFFSET($A$93,0,MATCH(BA$4-BA$92,$A$4:$BH$4,1)+1,1,COLUMN(BA$4)-MATCH(BA$4-BA$92,$A$4:$BH$4,1)-1)))))+(IF(BA$4-BA$92=BA$4,0,IF(BA$4-BA$92&lt;$C$4,0,IF(ISNA(MATCH(BA$4-BA$92,$A$4:$BH$4,1)),0,OFFSET($A$93,0,MATCH(BA$4-BA$92,$A$4:$BH$4,1),1,1)/7*(OFFSET($A$4,0,MATCH(BA$4-BA$92,$A$4:$BH$4,1),1,1)-(BA$4-BA$92))))))+IF(AZ$92=0,0,($C$13/$C$92*IF($C$4&gt;(BA$4-BA$92),$C$4-(BA$4-BA$92),0)))</f>
        <v>457754.27999999997</v>
      </c>
      <c r="BB13" s="52">
        <f ca="1">(IF(BB$92&lt;=BB$43,0,IF(ISNA(MATCH(BB$4-BB$92,$A$4:$BH$4,1)),SUM($D$93:BB$93),SUM(OFFSET($A$93,0,MATCH(BB$4-BB$92,$A$4:$BH$4,1)+1,1,COLUMN(BB$4)-MATCH(BB$4-BB$92,$A$4:$BH$4,1)-1)))))+(IF(BB$4-BB$92=BB$4,0,IF(BB$4-BB$92&lt;$C$4,0,IF(ISNA(MATCH(BB$4-BB$92,$A$4:$BH$4,1)),0,OFFSET($A$93,0,MATCH(BB$4-BB$92,$A$4:$BH$4,1),1,1)/7*(OFFSET($A$4,0,MATCH(BB$4-BB$92,$A$4:$BH$4,1),1,1)-(BB$4-BB$92))))))+IF(BA$92=0,0,($C$13/$C$92*IF($C$4&gt;(BB$4-BB$92),$C$4-(BB$4-BB$92),0)))</f>
        <v>459364.10476190475</v>
      </c>
      <c r="BC13" s="52">
        <f ca="1">(IF(BC$92&lt;=BC$43,0,IF(ISNA(MATCH(BC$4-BC$92,$A$4:$BH$4,1)),SUM($D$93:BC$93),SUM(OFFSET($A$93,0,MATCH(BC$4-BC$92,$A$4:$BH$4,1)+1,1,COLUMN(BC$4)-MATCH(BC$4-BC$92,$A$4:$BH$4,1)-1)))))+(IF(BC$4-BC$92=BC$4,0,IF(BC$4-BC$92&lt;$C$4,0,IF(ISNA(MATCH(BC$4-BC$92,$A$4:$BH$4,1)),0,OFFSET($A$93,0,MATCH(BC$4-BC$92,$A$4:$BH$4,1),1,1)/7*(OFFSET($A$4,0,MATCH(BC$4-BC$92,$A$4:$BH$4,1),1,1)-(BC$4-BC$92))))))+IF(BB$92=0,0,($C$13/$C$92*IF($C$4&gt;(BC$4-BC$92),$C$4-(BC$4-BC$92),0)))</f>
        <v>460198.8952380952</v>
      </c>
      <c r="BD13" s="53">
        <f ca="1">OFFSET($B13,0,Assumptions!$C$8+1,1,1)</f>
        <v>380498.30952380953</v>
      </c>
      <c r="BE13" s="53">
        <f ca="1">OFFSET($B13,0,SUM(Assumptions!$C$8:$C$9)+1,1,1)</f>
        <v>409583.45238095231</v>
      </c>
      <c r="BF13" s="53">
        <f ca="1">OFFSET($B13,0,SUM(Assumptions!$C$8:$C$10)+1,1,1)</f>
        <v>443278.99999999994</v>
      </c>
      <c r="BG13" s="53">
        <f ca="1">OFFSET($B13,0,SUM(Assumptions!$C$8:$C$11)+1,1,1)</f>
        <v>460198.8952380952</v>
      </c>
      <c r="BH13" s="53">
        <f t="shared" ca="1" si="4"/>
        <v>460198.8952380952</v>
      </c>
    </row>
    <row r="14" spans="1:60" ht="16.149999999999999" customHeight="1" x14ac:dyDescent="0.3">
      <c r="A14" s="291" t="s">
        <v>129</v>
      </c>
      <c r="B14" s="31" t="s">
        <v>130</v>
      </c>
      <c r="C14" s="52">
        <f ca="1">SUMIF(Assumptions!$A$81:$C$104,$A14,Assumptions!$C$81:$C$104)</f>
        <v>55000</v>
      </c>
      <c r="D14" s="102">
        <f ca="1">OFFSET(D$4,ROW($B14)-ROW($B$4),-1,1,1)-OFFSET(Forecast!$B80,0,COLUMN(D$4)-COLUMN($C$4),1,1)</f>
        <v>55000</v>
      </c>
      <c r="E14" s="102">
        <f ca="1">OFFSET(E$4,ROW($B14)-ROW($B$4),-1,1,1)-OFFSET(Forecast!$B80,0,COLUMN(E$4)-COLUMN($C$4),1,1)</f>
        <v>55000</v>
      </c>
      <c r="F14" s="102">
        <f ca="1">OFFSET(F$4,ROW($B14)-ROW($B$4),-1,1,1)-OFFSET(Forecast!$B80,0,COLUMN(F$4)-COLUMN($C$4),1,1)</f>
        <v>55000</v>
      </c>
      <c r="G14" s="102">
        <f ca="1">OFFSET(G$4,ROW($B14)-ROW($B$4),-1,1,1)-OFFSET(Forecast!$B80,0,COLUMN(G$4)-COLUMN($C$4),1,1)</f>
        <v>55000</v>
      </c>
      <c r="H14" s="102">
        <f ca="1">OFFSET(H$4,ROW($B14)-ROW($B$4),-1,1,1)-OFFSET(Forecast!$B80,0,COLUMN(H$4)-COLUMN($C$4),1,1)</f>
        <v>55000</v>
      </c>
      <c r="I14" s="102">
        <f ca="1">OFFSET(I$4,ROW($B14)-ROW($B$4),-1,1,1)-OFFSET(Forecast!$B80,0,COLUMN(I$4)-COLUMN($C$4),1,1)</f>
        <v>55000</v>
      </c>
      <c r="J14" s="102">
        <f ca="1">OFFSET(J$4,ROW($B14)-ROW($B$4),-1,1,1)-OFFSET(Forecast!$B80,0,COLUMN(J$4)-COLUMN($C$4),1,1)</f>
        <v>55000</v>
      </c>
      <c r="K14" s="102">
        <f ca="1">OFFSET(K$4,ROW($B14)-ROW($B$4),-1,1,1)-OFFSET(Forecast!$B80,0,COLUMN(K$4)-COLUMN($C$4),1,1)</f>
        <v>55000</v>
      </c>
      <c r="L14" s="102">
        <f ca="1">OFFSET(L$4,ROW($B14)-ROW($B$4),-1,1,1)-OFFSET(Forecast!$B80,0,COLUMN(L$4)-COLUMN($C$4),1,1)</f>
        <v>55000</v>
      </c>
      <c r="M14" s="102">
        <f ca="1">OFFSET(M$4,ROW($B14)-ROW($B$4),-1,1,1)-OFFSET(Forecast!$B80,0,COLUMN(M$4)-COLUMN($C$4),1,1)</f>
        <v>55000</v>
      </c>
      <c r="N14" s="102">
        <f ca="1">OFFSET(N$4,ROW($B14)-ROW($B$4),-1,1,1)-OFFSET(Forecast!$B80,0,COLUMN(N$4)-COLUMN($C$4),1,1)</f>
        <v>55000</v>
      </c>
      <c r="O14" s="102">
        <f ca="1">OFFSET(O$4,ROW($B14)-ROW($B$4),-1,1,1)-OFFSET(Forecast!$B80,0,COLUMN(O$4)-COLUMN($C$4),1,1)</f>
        <v>55000</v>
      </c>
      <c r="P14" s="102">
        <f ca="1">OFFSET(P$4,ROW($B14)-ROW($B$4),-1,1,1)-OFFSET(Forecast!$B80,0,COLUMN(P$4)-COLUMN($C$4),1,1)</f>
        <v>55000</v>
      </c>
      <c r="Q14" s="102">
        <f ca="1">OFFSET(Q$4,ROW($B14)-ROW($B$4),-1,1,1)-OFFSET(Forecast!$B80,0,COLUMN(Q$4)-COLUMN($C$4),1,1)</f>
        <v>55000</v>
      </c>
      <c r="R14" s="102">
        <f ca="1">OFFSET(R$4,ROW($B14)-ROW($B$4),-1,1,1)-OFFSET(Forecast!$B80,0,COLUMN(R$4)-COLUMN($C$4),1,1)</f>
        <v>55000</v>
      </c>
      <c r="S14" s="102">
        <f ca="1">OFFSET(S$4,ROW($B14)-ROW($B$4),-1,1,1)-OFFSET(Forecast!$B80,0,COLUMN(S$4)-COLUMN($C$4),1,1)</f>
        <v>55000</v>
      </c>
      <c r="T14" s="102">
        <f ca="1">OFFSET(T$4,ROW($B14)-ROW($B$4),-1,1,1)-OFFSET(Forecast!$B80,0,COLUMN(T$4)-COLUMN($C$4),1,1)</f>
        <v>55000</v>
      </c>
      <c r="U14" s="102">
        <f ca="1">OFFSET(U$4,ROW($B14)-ROW($B$4),-1,1,1)-OFFSET(Forecast!$B80,0,COLUMN(U$4)-COLUMN($C$4),1,1)</f>
        <v>55000</v>
      </c>
      <c r="V14" s="102">
        <f ca="1">OFFSET(V$4,ROW($B14)-ROW($B$4),-1,1,1)-OFFSET(Forecast!$B80,0,COLUMN(V$4)-COLUMN($C$4),1,1)</f>
        <v>55000</v>
      </c>
      <c r="W14" s="102">
        <f ca="1">OFFSET(W$4,ROW($B14)-ROW($B$4),-1,1,1)-OFFSET(Forecast!$B80,0,COLUMN(W$4)-COLUMN($C$4),1,1)</f>
        <v>55000</v>
      </c>
      <c r="X14" s="102">
        <f ca="1">OFFSET(X$4,ROW($B14)-ROW($B$4),-1,1,1)-OFFSET(Forecast!$B80,0,COLUMN(X$4)-COLUMN($C$4),1,1)</f>
        <v>55000</v>
      </c>
      <c r="Y14" s="102">
        <f ca="1">OFFSET(Y$4,ROW($B14)-ROW($B$4),-1,1,1)-OFFSET(Forecast!$B80,0,COLUMN(Y$4)-COLUMN($C$4),1,1)</f>
        <v>55000</v>
      </c>
      <c r="Z14" s="102">
        <f ca="1">OFFSET(Z$4,ROW($B14)-ROW($B$4),-1,1,1)-OFFSET(Forecast!$B80,0,COLUMN(Z$4)-COLUMN($C$4),1,1)</f>
        <v>55000</v>
      </c>
      <c r="AA14" s="102">
        <f ca="1">OFFSET(AA$4,ROW($B14)-ROW($B$4),-1,1,1)-OFFSET(Forecast!$B80,0,COLUMN(AA$4)-COLUMN($C$4),1,1)</f>
        <v>55000</v>
      </c>
      <c r="AB14" s="102">
        <f ca="1">OFFSET(AB$4,ROW($B14)-ROW($B$4),-1,1,1)-OFFSET(Forecast!$B80,0,COLUMN(AB$4)-COLUMN($C$4),1,1)</f>
        <v>55000</v>
      </c>
      <c r="AC14" s="102">
        <f ca="1">OFFSET(AC$4,ROW($B14)-ROW($B$4),-1,1,1)-OFFSET(Forecast!$B80,0,COLUMN(AC$4)-COLUMN($C$4),1,1)</f>
        <v>55000</v>
      </c>
      <c r="AD14" s="102">
        <f ca="1">OFFSET(AD$4,ROW($B14)-ROW($B$4),-1,1,1)-OFFSET(Forecast!$B80,0,COLUMN(AD$4)-COLUMN($C$4),1,1)</f>
        <v>55000</v>
      </c>
      <c r="AE14" s="102">
        <f ca="1">OFFSET(AE$4,ROW($B14)-ROW($B$4),-1,1,1)-OFFSET(Forecast!$B80,0,COLUMN(AE$4)-COLUMN($C$4),1,1)</f>
        <v>55000</v>
      </c>
      <c r="AF14" s="102">
        <f ca="1">OFFSET(AF$4,ROW($B14)-ROW($B$4),-1,1,1)-OFFSET(Forecast!$B80,0,COLUMN(AF$4)-COLUMN($C$4),1,1)</f>
        <v>55000</v>
      </c>
      <c r="AG14" s="102">
        <f ca="1">OFFSET(AG$4,ROW($B14)-ROW($B$4),-1,1,1)-OFFSET(Forecast!$B80,0,COLUMN(AG$4)-COLUMN($C$4),1,1)</f>
        <v>55000</v>
      </c>
      <c r="AH14" s="102">
        <f ca="1">OFFSET(AH$4,ROW($B14)-ROW($B$4),-1,1,1)-OFFSET(Forecast!$B80,0,COLUMN(AH$4)-COLUMN($C$4),1,1)</f>
        <v>65000</v>
      </c>
      <c r="AI14" s="102">
        <f ca="1">OFFSET(AI$4,ROW($B14)-ROW($B$4),-1,1,1)-OFFSET(Forecast!$B80,0,COLUMN(AI$4)-COLUMN($C$4),1,1)</f>
        <v>65000</v>
      </c>
      <c r="AJ14" s="102">
        <f ca="1">OFFSET(AJ$4,ROW($B14)-ROW($B$4),-1,1,1)-OFFSET(Forecast!$B80,0,COLUMN(AJ$4)-COLUMN($C$4),1,1)</f>
        <v>65000</v>
      </c>
      <c r="AK14" s="102">
        <f ca="1">OFFSET(AK$4,ROW($B14)-ROW($B$4),-1,1,1)-OFFSET(Forecast!$B80,0,COLUMN(AK$4)-COLUMN($C$4),1,1)</f>
        <v>65000</v>
      </c>
      <c r="AL14" s="102">
        <f ca="1">OFFSET(AL$4,ROW($B14)-ROW($B$4),-1,1,1)-OFFSET(Forecast!$B80,0,COLUMN(AL$4)-COLUMN($C$4),1,1)</f>
        <v>65000</v>
      </c>
      <c r="AM14" s="102">
        <f ca="1">OFFSET(AM$4,ROW($B14)-ROW($B$4),-1,1,1)-OFFSET(Forecast!$B80,0,COLUMN(AM$4)-COLUMN($C$4),1,1)</f>
        <v>65000</v>
      </c>
      <c r="AN14" s="102">
        <f ca="1">OFFSET(AN$4,ROW($B14)-ROW($B$4),-1,1,1)-OFFSET(Forecast!$B80,0,COLUMN(AN$4)-COLUMN($C$4),1,1)</f>
        <v>65000</v>
      </c>
      <c r="AO14" s="102">
        <f ca="1">OFFSET(AO$4,ROW($B14)-ROW($B$4),-1,1,1)-OFFSET(Forecast!$B80,0,COLUMN(AO$4)-COLUMN($C$4),1,1)</f>
        <v>65000</v>
      </c>
      <c r="AP14" s="102">
        <f ca="1">OFFSET(AP$4,ROW($B14)-ROW($B$4),-1,1,1)-OFFSET(Forecast!$B80,0,COLUMN(AP$4)-COLUMN($C$4),1,1)</f>
        <v>65000</v>
      </c>
      <c r="AQ14" s="102">
        <f ca="1">OFFSET(AQ$4,ROW($B14)-ROW($B$4),-1,1,1)-OFFSET(Forecast!$B80,0,COLUMN(AQ$4)-COLUMN($C$4),1,1)</f>
        <v>55000</v>
      </c>
      <c r="AR14" s="102">
        <f ca="1">OFFSET(AR$4,ROW($B14)-ROW($B$4),-1,1,1)-OFFSET(Forecast!$B80,0,COLUMN(AR$4)-COLUMN($C$4),1,1)</f>
        <v>55000</v>
      </c>
      <c r="AS14" s="102">
        <f ca="1">OFFSET(AS$4,ROW($B14)-ROW($B$4),-1,1,1)-OFFSET(Forecast!$B80,0,COLUMN(AS$4)-COLUMN($C$4),1,1)</f>
        <v>55000</v>
      </c>
      <c r="AT14" s="102">
        <f ca="1">OFFSET(AT$4,ROW($B14)-ROW($B$4),-1,1,1)-OFFSET(Forecast!$B80,0,COLUMN(AT$4)-COLUMN($C$4),1,1)</f>
        <v>55000</v>
      </c>
      <c r="AU14" s="102">
        <f ca="1">OFFSET(AU$4,ROW($B14)-ROW($B$4),-1,1,1)-OFFSET(Forecast!$B80,0,COLUMN(AU$4)-COLUMN($C$4),1,1)</f>
        <v>55000</v>
      </c>
      <c r="AV14" s="102">
        <f ca="1">OFFSET(AV$4,ROW($B14)-ROW($B$4),-1,1,1)-OFFSET(Forecast!$B80,0,COLUMN(AV$4)-COLUMN($C$4),1,1)</f>
        <v>55000</v>
      </c>
      <c r="AW14" s="102">
        <f ca="1">OFFSET(AW$4,ROW($B14)-ROW($B$4),-1,1,1)-OFFSET(Forecast!$B80,0,COLUMN(AW$4)-COLUMN($C$4),1,1)</f>
        <v>55000</v>
      </c>
      <c r="AX14" s="102">
        <f ca="1">OFFSET(AX$4,ROW($B14)-ROW($B$4),-1,1,1)-OFFSET(Forecast!$B80,0,COLUMN(AX$4)-COLUMN($C$4),1,1)</f>
        <v>55000</v>
      </c>
      <c r="AY14" s="102">
        <f ca="1">OFFSET(AY$4,ROW($B14)-ROW($B$4),-1,1,1)-OFFSET(Forecast!$B80,0,COLUMN(AY$4)-COLUMN($C$4),1,1)</f>
        <v>55000</v>
      </c>
      <c r="AZ14" s="102">
        <f ca="1">OFFSET(AZ$4,ROW($B14)-ROW($B$4),-1,1,1)-OFFSET(Forecast!$B80,0,COLUMN(AZ$4)-COLUMN($C$4),1,1)</f>
        <v>55000</v>
      </c>
      <c r="BA14" s="102">
        <f ca="1">OFFSET(BA$4,ROW($B14)-ROW($B$4),-1,1,1)-OFFSET(Forecast!$B80,0,COLUMN(BA$4)-COLUMN($C$4),1,1)</f>
        <v>55000</v>
      </c>
      <c r="BB14" s="102">
        <f ca="1">OFFSET(BB$4,ROW($B14)-ROW($B$4),-1,1,1)-OFFSET(Forecast!$B80,0,COLUMN(BB$4)-COLUMN($C$4),1,1)</f>
        <v>55000</v>
      </c>
      <c r="BC14" s="102">
        <f ca="1">OFFSET(BC$4,ROW($B14)-ROW($B$4),-1,1,1)-OFFSET(Forecast!$B80,0,COLUMN(BC$4)-COLUMN($C$4),1,1)</f>
        <v>55000</v>
      </c>
      <c r="BD14" s="53">
        <f ca="1">OFFSET($B14,0,Assumptions!$C$8+1,1,1)</f>
        <v>55000</v>
      </c>
      <c r="BE14" s="53">
        <f ca="1">OFFSET($B14,0,SUM(Assumptions!$C$8:$C$9)+1,1,1)</f>
        <v>55000</v>
      </c>
      <c r="BF14" s="53">
        <f ca="1">OFFSET($B14,0,SUM(Assumptions!$C$8:$C$10)+1,1,1)</f>
        <v>65000</v>
      </c>
      <c r="BG14" s="53">
        <f ca="1">OFFSET($B14,0,SUM(Assumptions!$C$8:$C$11)+1,1,1)</f>
        <v>55000</v>
      </c>
      <c r="BH14" s="53">
        <f t="shared" ca="1" si="4"/>
        <v>55000</v>
      </c>
    </row>
    <row r="15" spans="1:60" ht="16.149999999999999" customHeight="1" x14ac:dyDescent="0.3">
      <c r="A15" s="291" t="s">
        <v>131</v>
      </c>
      <c r="B15" s="31" t="s">
        <v>132</v>
      </c>
      <c r="C15" s="52">
        <f ca="1">SUMIF(Assumptions!$A$81:$C$104,$A15,Assumptions!$C$81:$C$104)</f>
        <v>53000</v>
      </c>
      <c r="D15" s="102">
        <f ca="1">OFFSET(D$4,ROW($B15)-ROW($B$4),-1,1,1)-OFFSET(Forecast!$B81,0,COLUMN(D$4)-COLUMN($C$4),1,1)</f>
        <v>53000</v>
      </c>
      <c r="E15" s="102">
        <f ca="1">OFFSET(E$4,ROW($B15)-ROW($B$4),-1,1,1)-OFFSET(Forecast!$B81,0,COLUMN(E$4)-COLUMN($C$4),1,1)</f>
        <v>53000</v>
      </c>
      <c r="F15" s="102">
        <f ca="1">OFFSET(F$4,ROW($B15)-ROW($B$4),-1,1,1)-OFFSET(Forecast!$B81,0,COLUMN(F$4)-COLUMN($C$4),1,1)</f>
        <v>53000</v>
      </c>
      <c r="G15" s="102">
        <f ca="1">OFFSET(G$4,ROW($B15)-ROW($B$4),-1,1,1)-OFFSET(Forecast!$B81,0,COLUMN(G$4)-COLUMN($C$4),1,1)</f>
        <v>53000</v>
      </c>
      <c r="H15" s="102">
        <f ca="1">OFFSET(H$4,ROW($B15)-ROW($B$4),-1,1,1)-OFFSET(Forecast!$B81,0,COLUMN(H$4)-COLUMN($C$4),1,1)</f>
        <v>53000</v>
      </c>
      <c r="I15" s="102">
        <f ca="1">OFFSET(I$4,ROW($B15)-ROW($B$4),-1,1,1)-OFFSET(Forecast!$B81,0,COLUMN(I$4)-COLUMN($C$4),1,1)</f>
        <v>53000</v>
      </c>
      <c r="J15" s="102">
        <f ca="1">OFFSET(J$4,ROW($B15)-ROW($B$4),-1,1,1)-OFFSET(Forecast!$B81,0,COLUMN(J$4)-COLUMN($C$4),1,1)</f>
        <v>53000</v>
      </c>
      <c r="K15" s="102">
        <f ca="1">OFFSET(K$4,ROW($B15)-ROW($B$4),-1,1,1)-OFFSET(Forecast!$B81,0,COLUMN(K$4)-COLUMN($C$4),1,1)</f>
        <v>53000</v>
      </c>
      <c r="L15" s="102">
        <f ca="1">OFFSET(L$4,ROW($B15)-ROW($B$4),-1,1,1)-OFFSET(Forecast!$B81,0,COLUMN(L$4)-COLUMN($C$4),1,1)</f>
        <v>53000</v>
      </c>
      <c r="M15" s="102">
        <f ca="1">OFFSET(M$4,ROW($B15)-ROW($B$4),-1,1,1)-OFFSET(Forecast!$B81,0,COLUMN(M$4)-COLUMN($C$4),1,1)</f>
        <v>53000</v>
      </c>
      <c r="N15" s="102">
        <f ca="1">OFFSET(N$4,ROW($B15)-ROW($B$4),-1,1,1)-OFFSET(Forecast!$B81,0,COLUMN(N$4)-COLUMN($C$4),1,1)</f>
        <v>53000</v>
      </c>
      <c r="O15" s="102">
        <f ca="1">OFFSET(O$4,ROW($B15)-ROW($B$4),-1,1,1)-OFFSET(Forecast!$B81,0,COLUMN(O$4)-COLUMN($C$4),1,1)</f>
        <v>53000</v>
      </c>
      <c r="P15" s="102">
        <f ca="1">OFFSET(P$4,ROW($B15)-ROW($B$4),-1,1,1)-OFFSET(Forecast!$B81,0,COLUMN(P$4)-COLUMN($C$4),1,1)</f>
        <v>53000</v>
      </c>
      <c r="Q15" s="102">
        <f ca="1">OFFSET(Q$4,ROW($B15)-ROW($B$4),-1,1,1)-OFFSET(Forecast!$B81,0,COLUMN(Q$4)-COLUMN($C$4),1,1)</f>
        <v>53000</v>
      </c>
      <c r="R15" s="102">
        <f ca="1">OFFSET(R$4,ROW($B15)-ROW($B$4),-1,1,1)-OFFSET(Forecast!$B81,0,COLUMN(R$4)-COLUMN($C$4),1,1)</f>
        <v>53000</v>
      </c>
      <c r="S15" s="102">
        <f ca="1">OFFSET(S$4,ROW($B15)-ROW($B$4),-1,1,1)-OFFSET(Forecast!$B81,0,COLUMN(S$4)-COLUMN($C$4),1,1)</f>
        <v>53000</v>
      </c>
      <c r="T15" s="102">
        <f ca="1">OFFSET(T$4,ROW($B15)-ROW($B$4),-1,1,1)-OFFSET(Forecast!$B81,0,COLUMN(T$4)-COLUMN($C$4),1,1)</f>
        <v>53000</v>
      </c>
      <c r="U15" s="102">
        <f ca="1">OFFSET(U$4,ROW($B15)-ROW($B$4),-1,1,1)-OFFSET(Forecast!$B81,0,COLUMN(U$4)-COLUMN($C$4),1,1)</f>
        <v>53000</v>
      </c>
      <c r="V15" s="102">
        <f ca="1">OFFSET(V$4,ROW($B15)-ROW($B$4),-1,1,1)-OFFSET(Forecast!$B81,0,COLUMN(V$4)-COLUMN($C$4),1,1)</f>
        <v>53000</v>
      </c>
      <c r="W15" s="102">
        <f ca="1">OFFSET(W$4,ROW($B15)-ROW($B$4),-1,1,1)-OFFSET(Forecast!$B81,0,COLUMN(W$4)-COLUMN($C$4),1,1)</f>
        <v>53000</v>
      </c>
      <c r="X15" s="102">
        <f ca="1">OFFSET(X$4,ROW($B15)-ROW($B$4),-1,1,1)-OFFSET(Forecast!$B81,0,COLUMN(X$4)-COLUMN($C$4),1,1)</f>
        <v>53000</v>
      </c>
      <c r="Y15" s="102">
        <f ca="1">OFFSET(Y$4,ROW($B15)-ROW($B$4),-1,1,1)-OFFSET(Forecast!$B81,0,COLUMN(Y$4)-COLUMN($C$4),1,1)</f>
        <v>53000</v>
      </c>
      <c r="Z15" s="102">
        <f ca="1">OFFSET(Z$4,ROW($B15)-ROW($B$4),-1,1,1)-OFFSET(Forecast!$B81,0,COLUMN(Z$4)-COLUMN($C$4),1,1)</f>
        <v>53000</v>
      </c>
      <c r="AA15" s="102">
        <f ca="1">OFFSET(AA$4,ROW($B15)-ROW($B$4),-1,1,1)-OFFSET(Forecast!$B81,0,COLUMN(AA$4)-COLUMN($C$4),1,1)</f>
        <v>53000</v>
      </c>
      <c r="AB15" s="102">
        <f ca="1">OFFSET(AB$4,ROW($B15)-ROW($B$4),-1,1,1)-OFFSET(Forecast!$B81,0,COLUMN(AB$4)-COLUMN($C$4),1,1)</f>
        <v>53000</v>
      </c>
      <c r="AC15" s="102">
        <f ca="1">OFFSET(AC$4,ROW($B15)-ROW($B$4),-1,1,1)-OFFSET(Forecast!$B81,0,COLUMN(AC$4)-COLUMN($C$4),1,1)</f>
        <v>53000</v>
      </c>
      <c r="AD15" s="102">
        <f ca="1">OFFSET(AD$4,ROW($B15)-ROW($B$4),-1,1,1)-OFFSET(Forecast!$B81,0,COLUMN(AD$4)-COLUMN($C$4),1,1)</f>
        <v>53000</v>
      </c>
      <c r="AE15" s="102">
        <f ca="1">OFFSET(AE$4,ROW($B15)-ROW($B$4),-1,1,1)-OFFSET(Forecast!$B81,0,COLUMN(AE$4)-COLUMN($C$4),1,1)</f>
        <v>53000</v>
      </c>
      <c r="AF15" s="102">
        <f ca="1">OFFSET(AF$4,ROW($B15)-ROW($B$4),-1,1,1)-OFFSET(Forecast!$B81,0,COLUMN(AF$4)-COLUMN($C$4),1,1)</f>
        <v>53000</v>
      </c>
      <c r="AG15" s="102">
        <f ca="1">OFFSET(AG$4,ROW($B15)-ROW($B$4),-1,1,1)-OFFSET(Forecast!$B81,0,COLUMN(AG$4)-COLUMN($C$4),1,1)</f>
        <v>53000</v>
      </c>
      <c r="AH15" s="102">
        <f ca="1">OFFSET(AH$4,ROW($B15)-ROW($B$4),-1,1,1)-OFFSET(Forecast!$B81,0,COLUMN(AH$4)-COLUMN($C$4),1,1)</f>
        <v>53000</v>
      </c>
      <c r="AI15" s="102">
        <f ca="1">OFFSET(AI$4,ROW($B15)-ROW($B$4),-1,1,1)-OFFSET(Forecast!$B81,0,COLUMN(AI$4)-COLUMN($C$4),1,1)</f>
        <v>53000</v>
      </c>
      <c r="AJ15" s="102">
        <f ca="1">OFFSET(AJ$4,ROW($B15)-ROW($B$4),-1,1,1)-OFFSET(Forecast!$B81,0,COLUMN(AJ$4)-COLUMN($C$4),1,1)</f>
        <v>53000</v>
      </c>
      <c r="AK15" s="102">
        <f ca="1">OFFSET(AK$4,ROW($B15)-ROW($B$4),-1,1,1)-OFFSET(Forecast!$B81,0,COLUMN(AK$4)-COLUMN($C$4),1,1)</f>
        <v>53000</v>
      </c>
      <c r="AL15" s="102">
        <f ca="1">OFFSET(AL$4,ROW($B15)-ROW($B$4),-1,1,1)-OFFSET(Forecast!$B81,0,COLUMN(AL$4)-COLUMN($C$4),1,1)</f>
        <v>53000</v>
      </c>
      <c r="AM15" s="102">
        <f ca="1">OFFSET(AM$4,ROW($B15)-ROW($B$4),-1,1,1)-OFFSET(Forecast!$B81,0,COLUMN(AM$4)-COLUMN($C$4),1,1)</f>
        <v>53000</v>
      </c>
      <c r="AN15" s="102">
        <f ca="1">OFFSET(AN$4,ROW($B15)-ROW($B$4),-1,1,1)-OFFSET(Forecast!$B81,0,COLUMN(AN$4)-COLUMN($C$4),1,1)</f>
        <v>53000</v>
      </c>
      <c r="AO15" s="102">
        <f ca="1">OFFSET(AO$4,ROW($B15)-ROW($B$4),-1,1,1)-OFFSET(Forecast!$B81,0,COLUMN(AO$4)-COLUMN($C$4),1,1)</f>
        <v>53000</v>
      </c>
      <c r="AP15" s="102">
        <f ca="1">OFFSET(AP$4,ROW($B15)-ROW($B$4),-1,1,1)-OFFSET(Forecast!$B81,0,COLUMN(AP$4)-COLUMN($C$4),1,1)</f>
        <v>53000</v>
      </c>
      <c r="AQ15" s="102">
        <f ca="1">OFFSET(AQ$4,ROW($B15)-ROW($B$4),-1,1,1)-OFFSET(Forecast!$B81,0,COLUMN(AQ$4)-COLUMN($C$4),1,1)</f>
        <v>53000</v>
      </c>
      <c r="AR15" s="102">
        <f ca="1">OFFSET(AR$4,ROW($B15)-ROW($B$4),-1,1,1)-OFFSET(Forecast!$B81,0,COLUMN(AR$4)-COLUMN($C$4),1,1)</f>
        <v>53000</v>
      </c>
      <c r="AS15" s="102">
        <f ca="1">OFFSET(AS$4,ROW($B15)-ROW($B$4),-1,1,1)-OFFSET(Forecast!$B81,0,COLUMN(AS$4)-COLUMN($C$4),1,1)</f>
        <v>53000</v>
      </c>
      <c r="AT15" s="102">
        <f ca="1">OFFSET(AT$4,ROW($B15)-ROW($B$4),-1,1,1)-OFFSET(Forecast!$B81,0,COLUMN(AT$4)-COLUMN($C$4),1,1)</f>
        <v>53000</v>
      </c>
      <c r="AU15" s="102">
        <f ca="1">OFFSET(AU$4,ROW($B15)-ROW($B$4),-1,1,1)-OFFSET(Forecast!$B81,0,COLUMN(AU$4)-COLUMN($C$4),1,1)</f>
        <v>53000</v>
      </c>
      <c r="AV15" s="102">
        <f ca="1">OFFSET(AV$4,ROW($B15)-ROW($B$4),-1,1,1)-OFFSET(Forecast!$B81,0,COLUMN(AV$4)-COLUMN($C$4),1,1)</f>
        <v>53000</v>
      </c>
      <c r="AW15" s="102">
        <f ca="1">OFFSET(AW$4,ROW($B15)-ROW($B$4),-1,1,1)-OFFSET(Forecast!$B81,0,COLUMN(AW$4)-COLUMN($C$4),1,1)</f>
        <v>53000</v>
      </c>
      <c r="AX15" s="102">
        <f ca="1">OFFSET(AX$4,ROW($B15)-ROW($B$4),-1,1,1)-OFFSET(Forecast!$B81,0,COLUMN(AX$4)-COLUMN($C$4),1,1)</f>
        <v>53000</v>
      </c>
      <c r="AY15" s="102">
        <f ca="1">OFFSET(AY$4,ROW($B15)-ROW($B$4),-1,1,1)-OFFSET(Forecast!$B81,0,COLUMN(AY$4)-COLUMN($C$4),1,1)</f>
        <v>53000</v>
      </c>
      <c r="AZ15" s="102">
        <f ca="1">OFFSET(AZ$4,ROW($B15)-ROW($B$4),-1,1,1)-OFFSET(Forecast!$B81,0,COLUMN(AZ$4)-COLUMN($C$4),1,1)</f>
        <v>53000</v>
      </c>
      <c r="BA15" s="102">
        <f ca="1">OFFSET(BA$4,ROW($B15)-ROW($B$4),-1,1,1)-OFFSET(Forecast!$B81,0,COLUMN(BA$4)-COLUMN($C$4),1,1)</f>
        <v>53000</v>
      </c>
      <c r="BB15" s="102">
        <f ca="1">OFFSET(BB$4,ROW($B15)-ROW($B$4),-1,1,1)-OFFSET(Forecast!$B81,0,COLUMN(BB$4)-COLUMN($C$4),1,1)</f>
        <v>53000</v>
      </c>
      <c r="BC15" s="102">
        <f ca="1">OFFSET(BC$4,ROW($B15)-ROW($B$4),-1,1,1)-OFFSET(Forecast!$B81,0,COLUMN(BC$4)-COLUMN($C$4),1,1)</f>
        <v>53000</v>
      </c>
      <c r="BD15" s="53">
        <f ca="1">OFFSET($B15,0,Assumptions!$C$8+1,1,1)</f>
        <v>53000</v>
      </c>
      <c r="BE15" s="53">
        <f ca="1">OFFSET($B15,0,SUM(Assumptions!$C$8:$C$9)+1,1,1)</f>
        <v>53000</v>
      </c>
      <c r="BF15" s="53">
        <f ca="1">OFFSET($B15,0,SUM(Assumptions!$C$8:$C$10)+1,1,1)</f>
        <v>53000</v>
      </c>
      <c r="BG15" s="53">
        <f ca="1">OFFSET($B15,0,SUM(Assumptions!$C$8:$C$11)+1,1,1)</f>
        <v>53000</v>
      </c>
      <c r="BH15" s="53">
        <f t="shared" ca="1" si="4"/>
        <v>53000</v>
      </c>
    </row>
    <row r="16" spans="1:60" ht="16.149999999999999" customHeight="1" x14ac:dyDescent="0.3">
      <c r="A16" s="291" t="s">
        <v>180</v>
      </c>
      <c r="B16" s="31" t="s">
        <v>181</v>
      </c>
      <c r="C16" s="52">
        <f ca="1">SUMIF(Assumptions!$A$81:$C$104,$A16,Assumptions!$C$81:$C$104)</f>
        <v>171000</v>
      </c>
      <c r="D16" s="52">
        <f ca="1">IF(OFFSET(Forecast!$B$110,0,COLUMN(D$4)-COLUMN($C$4),1,1)&gt;=0,OFFSET(Forecast!$B$110,0,COLUMN(D$4)-COLUMN($C$4),1,1),0)</f>
        <v>65364.486441453468</v>
      </c>
      <c r="E16" s="52">
        <f ca="1">IF(OFFSET(Forecast!$B$110,0,COLUMN(E$4)-COLUMN($C$4),1,1)&gt;=0,OFFSET(Forecast!$B$110,0,COLUMN(E$4)-COLUMN($C$4),1,1),0)</f>
        <v>114481.72432313077</v>
      </c>
      <c r="F16" s="52">
        <f ca="1">IF(OFFSET(Forecast!$B$110,0,COLUMN(F$4)-COLUMN($C$4),1,1)&gt;=0,OFFSET(Forecast!$B$110,0,COLUMN(F$4)-COLUMN($C$4),1,1),0)</f>
        <v>165181.24813265455</v>
      </c>
      <c r="G16" s="52">
        <f ca="1">IF(OFFSET(Forecast!$B$110,0,COLUMN(G$4)-COLUMN($C$4),1,1)&gt;=0,OFFSET(Forecast!$B$110,0,COLUMN(G$4)-COLUMN($C$4),1,1),0)</f>
        <v>142809.36622789266</v>
      </c>
      <c r="H16" s="52">
        <f ca="1">IF(OFFSET(Forecast!$B$110,0,COLUMN(H$4)-COLUMN($C$4),1,1)&gt;=0,OFFSET(Forecast!$B$110,0,COLUMN(H$4)-COLUMN($C$4),1,1),0)</f>
        <v>175078.52662386975</v>
      </c>
      <c r="I16" s="52">
        <f ca="1">IF(OFFSET(Forecast!$B$110,0,COLUMN(I$4)-COLUMN($C$4),1,1)&gt;=0,OFFSET(Forecast!$B$110,0,COLUMN(I$4)-COLUMN($C$4),1,1),0)</f>
        <v>134004.2271374767</v>
      </c>
      <c r="J16" s="52">
        <f ca="1">IF(OFFSET(Forecast!$B$110,0,COLUMN(J$4)-COLUMN($C$4),1,1)&gt;=0,OFFSET(Forecast!$B$110,0,COLUMN(J$4)-COLUMN($C$4),1,1),0)</f>
        <v>183888.85808985768</v>
      </c>
      <c r="K16" s="52">
        <f ca="1">IF(OFFSET(Forecast!$B$110,0,COLUMN(K$4)-COLUMN($C$4),1,1)&gt;=0,OFFSET(Forecast!$B$110,0,COLUMN(K$4)-COLUMN($C$4),1,1),0)</f>
        <v>226871.69856604812</v>
      </c>
      <c r="L16" s="52">
        <f ca="1">IF(OFFSET(Forecast!$B$110,0,COLUMN(L$4)-COLUMN($C$4),1,1)&gt;=0,OFFSET(Forecast!$B$110,0,COLUMN(L$4)-COLUMN($C$4),1,1),0)</f>
        <v>212671.61348583479</v>
      </c>
      <c r="M16" s="52">
        <f ca="1">IF(OFFSET(Forecast!$B$110,0,COLUMN(M$4)-COLUMN($C$4),1,1)&gt;=0,OFFSET(Forecast!$B$110,0,COLUMN(M$4)-COLUMN($C$4),1,1),0)</f>
        <v>186037.37492728833</v>
      </c>
      <c r="N16" s="52">
        <f ca="1">IF(OFFSET(Forecast!$B$110,0,COLUMN(N$4)-COLUMN($C$4),1,1)&gt;=0,OFFSET(Forecast!$B$110,0,COLUMN(N$4)-COLUMN($C$4),1,1),0)</f>
        <v>210863.91042801322</v>
      </c>
      <c r="O16" s="52">
        <f ca="1">IF(OFFSET(Forecast!$B$110,0,COLUMN(O$4)-COLUMN($C$4),1,1)&gt;=0,OFFSET(Forecast!$B$110,0,COLUMN(O$4)-COLUMN($C$4),1,1),0)</f>
        <v>250161.48185658467</v>
      </c>
      <c r="P16" s="52">
        <f ca="1">IF(OFFSET(Forecast!$B$110,0,COLUMN(P$4)-COLUMN($C$4),1,1)&gt;=0,OFFSET(Forecast!$B$110,0,COLUMN(P$4)-COLUMN($C$4),1,1),0)</f>
        <v>184122.38320494269</v>
      </c>
      <c r="Q16" s="52">
        <f ca="1">IF(OFFSET(Forecast!$B$110,0,COLUMN(Q$4)-COLUMN($C$4),1,1)&gt;=0,OFFSET(Forecast!$B$110,0,COLUMN(Q$4)-COLUMN($C$4),1,1),0)</f>
        <v>172276.8053606819</v>
      </c>
      <c r="R16" s="52">
        <f ca="1">IF(OFFSET(Forecast!$B$110,0,COLUMN(R$4)-COLUMN($C$4),1,1)&gt;=0,OFFSET(Forecast!$B$110,0,COLUMN(R$4)-COLUMN($C$4),1,1),0)</f>
        <v>214797.34086140676</v>
      </c>
      <c r="S16" s="52">
        <f ca="1">IF(OFFSET(Forecast!$B$110,0,COLUMN(S$4)-COLUMN($C$4),1,1)&gt;=0,OFFSET(Forecast!$B$110,0,COLUMN(S$4)-COLUMN($C$4),1,1),0)</f>
        <v>241112.82895664487</v>
      </c>
      <c r="T16" s="52">
        <f ca="1">IF(OFFSET(Forecast!$B$110,0,COLUMN(T$4)-COLUMN($C$4),1,1)&gt;=0,OFFSET(Forecast!$B$110,0,COLUMN(T$4)-COLUMN($C$4),1,1),0)</f>
        <v>221965.51943283537</v>
      </c>
      <c r="U16" s="52">
        <f ca="1">IF(OFFSET(Forecast!$B$110,0,COLUMN(U$4)-COLUMN($C$4),1,1)&gt;=0,OFFSET(Forecast!$B$110,0,COLUMN(U$4)-COLUMN($C$4),1,1),0)</f>
        <v>267768.21411452675</v>
      </c>
      <c r="V16" s="52">
        <f ca="1">IF(OFFSET(Forecast!$B$110,0,COLUMN(V$4)-COLUMN($C$4),1,1)&gt;=0,OFFSET(Forecast!$B$110,0,COLUMN(V$4)-COLUMN($C$4),1,1),0)</f>
        <v>245184.05510432416</v>
      </c>
      <c r="W16" s="52">
        <f ca="1">IF(OFFSET(Forecast!$B$110,0,COLUMN(W$4)-COLUMN($C$4),1,1)&gt;=0,OFFSET(Forecast!$B$110,0,COLUMN(W$4)-COLUMN($C$4),1,1),0)</f>
        <v>295076.03486622893</v>
      </c>
      <c r="X16" s="52">
        <f ca="1">IF(OFFSET(Forecast!$B$110,0,COLUMN(X$4)-COLUMN($C$4),1,1)&gt;=0,OFFSET(Forecast!$B$110,0,COLUMN(X$4)-COLUMN($C$4),1,1),0)</f>
        <v>287758.60272337176</v>
      </c>
      <c r="Y16" s="52">
        <f ca="1">IF(OFFSET(Forecast!$B$110,0,COLUMN(Y$4)-COLUMN($C$4),1,1)&gt;=0,OFFSET(Forecast!$B$110,0,COLUMN(Y$4)-COLUMN($C$4),1,1),0)</f>
        <v>284848.96764315839</v>
      </c>
      <c r="Z16" s="52">
        <f ca="1">IF(OFFSET(Forecast!$B$110,0,COLUMN(Z$4)-COLUMN($C$4),1,1)&gt;=0,OFFSET(Forecast!$B$110,0,COLUMN(Z$4)-COLUMN($C$4),1,1),0)</f>
        <v>384809.06122746906</v>
      </c>
      <c r="AA16" s="52">
        <f ca="1">IF(OFFSET(Forecast!$B$110,0,COLUMN(AA$4)-COLUMN($C$4),1,1)&gt;=0,OFFSET(Forecast!$B$110,0,COLUMN(AA$4)-COLUMN($C$4),1,1),0)</f>
        <v>419769.24434724159</v>
      </c>
      <c r="AB16" s="52">
        <f ca="1">IF(OFFSET(Forecast!$B$110,0,COLUMN(AB$4)-COLUMN($C$4),1,1)&gt;=0,OFFSET(Forecast!$B$110,0,COLUMN(AB$4)-COLUMN($C$4),1,1),0)</f>
        <v>459622.09434724163</v>
      </c>
      <c r="AC16" s="52">
        <f ca="1">IF(OFFSET(Forecast!$B$110,0,COLUMN(AC$4)-COLUMN($C$4),1,1)&gt;=0,OFFSET(Forecast!$B$110,0,COLUMN(AC$4)-COLUMN($C$4),1,1),0)</f>
        <v>389596.12336707738</v>
      </c>
      <c r="AD16" s="52">
        <f ca="1">IF(OFFSET(Forecast!$B$110,0,COLUMN(AD$4)-COLUMN($C$4),1,1)&gt;=0,OFFSET(Forecast!$B$110,0,COLUMN(AD$4)-COLUMN($C$4),1,1),0)</f>
        <v>367957.30485513195</v>
      </c>
      <c r="AE16" s="52">
        <f ca="1">IF(OFFSET(Forecast!$B$110,0,COLUMN(AE$4)-COLUMN($C$4),1,1)&gt;=0,OFFSET(Forecast!$B$110,0,COLUMN(AE$4)-COLUMN($C$4),1,1),0)</f>
        <v>391719.03321299964</v>
      </c>
      <c r="AF16" s="52">
        <f ca="1">IF(OFFSET(Forecast!$B$110,0,COLUMN(AF$4)-COLUMN($C$4),1,1)&gt;=0,OFFSET(Forecast!$B$110,0,COLUMN(AF$4)-COLUMN($C$4),1,1),0)</f>
        <v>430047.97607014247</v>
      </c>
      <c r="AG16" s="52">
        <f ca="1">IF(OFFSET(Forecast!$B$110,0,COLUMN(AG$4)-COLUMN($C$4),1,1)&gt;=0,OFFSET(Forecast!$B$110,0,COLUMN(AG$4)-COLUMN($C$4),1,1),0)</f>
        <v>434036.55107014254</v>
      </c>
      <c r="AH16" s="52">
        <f ca="1">IF(OFFSET(Forecast!$B$110,0,COLUMN(AH$4)-COLUMN($C$4),1,1)&gt;=0,OFFSET(Forecast!$B$110,0,COLUMN(AH$4)-COLUMN($C$4),1,1),0)</f>
        <v>418273.75230721972</v>
      </c>
      <c r="AI16" s="52">
        <f ca="1">IF(OFFSET(Forecast!$B$110,0,COLUMN(AI$4)-COLUMN($C$4),1,1)&gt;=0,OFFSET(Forecast!$B$110,0,COLUMN(AI$4)-COLUMN($C$4),1,1),0)</f>
        <v>409623.6004398744</v>
      </c>
      <c r="AJ16" s="52">
        <f ca="1">IF(OFFSET(Forecast!$B$110,0,COLUMN(AJ$4)-COLUMN($C$4),1,1)&gt;=0,OFFSET(Forecast!$B$110,0,COLUMN(AJ$4)-COLUMN($C$4),1,1),0)</f>
        <v>468930.66115416004</v>
      </c>
      <c r="AK16" s="52">
        <f ca="1">IF(OFFSET(Forecast!$B$110,0,COLUMN(AK$4)-COLUMN($C$4),1,1)&gt;=0,OFFSET(Forecast!$B$110,0,COLUMN(AK$4)-COLUMN($C$4),1,1),0)</f>
        <v>516052.12543987436</v>
      </c>
      <c r="AL16" s="52">
        <f ca="1">IF(OFFSET(Forecast!$B$110,0,COLUMN(AL$4)-COLUMN($C$4),1,1)&gt;=0,OFFSET(Forecast!$B$110,0,COLUMN(AL$4)-COLUMN($C$4),1,1),0)</f>
        <v>506133.51715314208</v>
      </c>
      <c r="AM16" s="52">
        <f ca="1">IF(OFFSET(Forecast!$B$110,0,COLUMN(AM$4)-COLUMN($C$4),1,1)&gt;=0,OFFSET(Forecast!$B$110,0,COLUMN(AM$4)-COLUMN($C$4),1,1),0)</f>
        <v>504856.25359459565</v>
      </c>
      <c r="AN16" s="52">
        <f ca="1">IF(OFFSET(Forecast!$B$110,0,COLUMN(AN$4)-COLUMN($C$4),1,1)&gt;=0,OFFSET(Forecast!$B$110,0,COLUMN(AN$4)-COLUMN($C$4),1,1),0)</f>
        <v>534109.46052389196</v>
      </c>
      <c r="AO16" s="52">
        <f ca="1">IF(OFFSET(Forecast!$B$110,0,COLUMN(AO$4)-COLUMN($C$4),1,1)&gt;=0,OFFSET(Forecast!$B$110,0,COLUMN(AO$4)-COLUMN($C$4),1,1),0)</f>
        <v>591126.29385722522</v>
      </c>
      <c r="AP16" s="52">
        <f ca="1">IF(OFFSET(Forecast!$B$110,0,COLUMN(AP$4)-COLUMN($C$4),1,1)&gt;=0,OFFSET(Forecast!$B$110,0,COLUMN(AP$4)-COLUMN($C$4),1,1),0)</f>
        <v>527294.65457151097</v>
      </c>
      <c r="AQ16" s="52">
        <f ca="1">IF(OFFSET(Forecast!$B$110,0,COLUMN(AQ$4)-COLUMN($C$4),1,1)&gt;=0,OFFSET(Forecast!$B$110,0,COLUMN(AQ$4)-COLUMN($C$4),1,1),0)</f>
        <v>580860.0208214703</v>
      </c>
      <c r="AR16" s="52">
        <f ca="1">IF(OFFSET(Forecast!$B$110,0,COLUMN(AR$4)-COLUMN($C$4),1,1)&gt;=0,OFFSET(Forecast!$B$110,0,COLUMN(AR$4)-COLUMN($C$4),1,1),0)</f>
        <v>592301.90632219519</v>
      </c>
      <c r="AS16" s="52">
        <f ca="1">IF(OFFSET(Forecast!$B$110,0,COLUMN(AS$4)-COLUMN($C$4),1,1)&gt;=0,OFFSET(Forecast!$B$110,0,COLUMN(AS$4)-COLUMN($C$4),1,1),0)</f>
        <v>614802.06346505228</v>
      </c>
      <c r="AT16" s="52">
        <f ca="1">IF(OFFSET(Forecast!$B$110,0,COLUMN(AT$4)-COLUMN($C$4),1,1)&gt;=0,OFFSET(Forecast!$B$110,0,COLUMN(AT$4)-COLUMN($C$4),1,1),0)</f>
        <v>632157.27775076649</v>
      </c>
      <c r="AU16" s="52">
        <f ca="1">IF(OFFSET(Forecast!$B$110,0,COLUMN(AU$4)-COLUMN($C$4),1,1)&gt;=0,OFFSET(Forecast!$B$110,0,COLUMN(AU$4)-COLUMN($C$4),1,1),0)</f>
        <v>700880.82422593911</v>
      </c>
      <c r="AV16" s="52">
        <f ca="1">IF(OFFSET(Forecast!$B$110,0,COLUMN(AV$4)-COLUMN($C$4),1,1)&gt;=0,OFFSET(Forecast!$B$110,0,COLUMN(AV$4)-COLUMN($C$4),1,1),0)</f>
        <v>705100.51542929723</v>
      </c>
      <c r="AW16" s="52">
        <f ca="1">IF(OFFSET(Forecast!$B$110,0,COLUMN(AW$4)-COLUMN($C$4),1,1)&gt;=0,OFFSET(Forecast!$B$110,0,COLUMN(AW$4)-COLUMN($C$4),1,1),0)</f>
        <v>750579.83093002217</v>
      </c>
      <c r="AX16" s="52">
        <f ca="1">IF(OFFSET(Forecast!$B$110,0,COLUMN(AX$4)-COLUMN($C$4),1,1)&gt;=0,OFFSET(Forecast!$B$110,0,COLUMN(AX$4)-COLUMN($C$4),1,1),0)</f>
        <v>760630.33331097465</v>
      </c>
      <c r="AY16" s="52">
        <f ca="1">IF(OFFSET(Forecast!$B$110,0,COLUMN(AY$4)-COLUMN($C$4),1,1)&gt;=0,OFFSET(Forecast!$B$110,0,COLUMN(AY$4)-COLUMN($C$4),1,1),0)</f>
        <v>646228.01645281375</v>
      </c>
      <c r="AZ16" s="52">
        <f ca="1">IF(OFFSET(Forecast!$B$110,0,COLUMN(AZ$4)-COLUMN($C$4),1,1)&gt;=0,OFFSET(Forecast!$B$110,0,COLUMN(AZ$4)-COLUMN($C$4),1,1),0)</f>
        <v>593212.40605350083</v>
      </c>
      <c r="BA16" s="52">
        <f ca="1">IF(OFFSET(Forecast!$B$110,0,COLUMN(BA$4)-COLUMN($C$4),1,1)&gt;=0,OFFSET(Forecast!$B$110,0,COLUMN(BA$4)-COLUMN($C$4),1,1),0)</f>
        <v>608860.0386970829</v>
      </c>
      <c r="BB16" s="52">
        <f ca="1">IF(OFFSET(Forecast!$B$110,0,COLUMN(BB$4)-COLUMN($C$4),1,1)&gt;=0,OFFSET(Forecast!$B$110,0,COLUMN(BB$4)-COLUMN($C$4),1,1),0)</f>
        <v>659211.8425066066</v>
      </c>
      <c r="BC16" s="52">
        <f ca="1">IF(OFFSET(Forecast!$B$110,0,COLUMN(BC$4)-COLUMN($C$4),1,1)&gt;=0,OFFSET(Forecast!$B$110,0,COLUMN(BC$4)-COLUMN($C$4),1,1),0)</f>
        <v>678773.59862691129</v>
      </c>
      <c r="BD16" s="53">
        <f ca="1">OFFSET($B16,0,Assumptions!$C$8+1,1,1)</f>
        <v>184122.38320494269</v>
      </c>
      <c r="BE16" s="53">
        <f ca="1">OFFSET($B16,0,SUM(Assumptions!$C$8:$C$9)+1,1,1)</f>
        <v>389596.12336707738</v>
      </c>
      <c r="BF16" s="53">
        <f ca="1">OFFSET($B16,0,SUM(Assumptions!$C$8:$C$10)+1,1,1)</f>
        <v>527294.65457151097</v>
      </c>
      <c r="BG16" s="53">
        <f ca="1">OFFSET($B16,0,SUM(Assumptions!$C$8:$C$11)+1,1,1)</f>
        <v>678773.59862691129</v>
      </c>
      <c r="BH16" s="53">
        <f t="shared" ca="1" si="4"/>
        <v>678773.59862691129</v>
      </c>
    </row>
    <row r="17" spans="1:60" ht="16.149999999999999" customHeight="1" thickBot="1" x14ac:dyDescent="0.35">
      <c r="B17" s="31"/>
      <c r="C17" s="100">
        <f ca="1">SUM(C12:C16)</f>
        <v>819000</v>
      </c>
      <c r="D17" s="100">
        <f t="shared" ref="D17:BH17" ca="1" si="5">SUM(D12:D16)</f>
        <v>706847.81977478683</v>
      </c>
      <c r="E17" s="100">
        <f t="shared" ca="1" si="5"/>
        <v>728931.3576564641</v>
      </c>
      <c r="F17" s="100">
        <f t="shared" ca="1" si="5"/>
        <v>780390.88146598788</v>
      </c>
      <c r="G17" s="100">
        <f t="shared" ca="1" si="5"/>
        <v>765829.80908503546</v>
      </c>
      <c r="H17" s="100">
        <f t="shared" ca="1" si="5"/>
        <v>814872.72900482221</v>
      </c>
      <c r="I17" s="100">
        <f t="shared" ca="1" si="5"/>
        <v>788076.29737557191</v>
      </c>
      <c r="J17" s="100">
        <f t="shared" ca="1" si="5"/>
        <v>818001.10808985773</v>
      </c>
      <c r="K17" s="100">
        <f t="shared" ca="1" si="5"/>
        <v>856631.829518429</v>
      </c>
      <c r="L17" s="100">
        <f t="shared" ca="1" si="5"/>
        <v>830472.4765810729</v>
      </c>
      <c r="M17" s="100">
        <f t="shared" ca="1" si="5"/>
        <v>810173.7915939549</v>
      </c>
      <c r="N17" s="100">
        <f t="shared" ca="1" si="5"/>
        <v>855324.82709467981</v>
      </c>
      <c r="O17" s="100">
        <f t="shared" ca="1" si="5"/>
        <v>905884.27947563224</v>
      </c>
      <c r="P17" s="100">
        <f t="shared" ca="1" si="5"/>
        <v>845708.69272875215</v>
      </c>
      <c r="Q17" s="100">
        <f t="shared" ca="1" si="5"/>
        <v>850724.24583687237</v>
      </c>
      <c r="R17" s="100">
        <f t="shared" ca="1" si="5"/>
        <v>888691.06705188297</v>
      </c>
      <c r="S17" s="100">
        <f t="shared" ca="1" si="5"/>
        <v>910309.40038521623</v>
      </c>
      <c r="T17" s="100">
        <f t="shared" ca="1" si="5"/>
        <v>897446.56109950203</v>
      </c>
      <c r="U17" s="100">
        <f t="shared" ca="1" si="5"/>
        <v>948112.06530500297</v>
      </c>
      <c r="V17" s="100">
        <f t="shared" ca="1" si="5"/>
        <v>939406.44796146697</v>
      </c>
      <c r="W17" s="100">
        <f t="shared" ca="1" si="5"/>
        <v>984070.94558051461</v>
      </c>
      <c r="X17" s="100">
        <f t="shared" ca="1" si="5"/>
        <v>964103.90629480034</v>
      </c>
      <c r="Y17" s="100">
        <f t="shared" ca="1" si="5"/>
        <v>961724.52716696786</v>
      </c>
      <c r="Z17" s="100">
        <f t="shared" ca="1" si="5"/>
        <v>1060944.2993227071</v>
      </c>
      <c r="AA17" s="100">
        <f t="shared" ca="1" si="5"/>
        <v>1114437.434823432</v>
      </c>
      <c r="AB17" s="100">
        <f t="shared" ca="1" si="5"/>
        <v>1164091.4276805748</v>
      </c>
      <c r="AC17" s="100">
        <f t="shared" ca="1" si="5"/>
        <v>1093713.5757480296</v>
      </c>
      <c r="AD17" s="100">
        <f t="shared" ca="1" si="5"/>
        <v>1075990.4596170366</v>
      </c>
      <c r="AE17" s="100">
        <f t="shared" ca="1" si="5"/>
        <v>1101137.0094034758</v>
      </c>
      <c r="AF17" s="100">
        <f t="shared" ca="1" si="5"/>
        <v>1145077.3094034758</v>
      </c>
      <c r="AG17" s="100">
        <f t="shared" ca="1" si="5"/>
        <v>1147719.2236891901</v>
      </c>
      <c r="AH17" s="100">
        <f t="shared" ca="1" si="5"/>
        <v>1148728.6511167435</v>
      </c>
      <c r="AI17" s="100">
        <f t="shared" ca="1" si="5"/>
        <v>1143605.2373446361</v>
      </c>
      <c r="AJ17" s="100">
        <f t="shared" ca="1" si="5"/>
        <v>1208384.8516303506</v>
      </c>
      <c r="AK17" s="100">
        <f t="shared" ca="1" si="5"/>
        <v>1269090.3992493981</v>
      </c>
      <c r="AL17" s="100">
        <f t="shared" ca="1" si="5"/>
        <v>1259420.9814388563</v>
      </c>
      <c r="AM17" s="100">
        <f t="shared" ca="1" si="5"/>
        <v>1260186.3012136433</v>
      </c>
      <c r="AN17" s="100">
        <f t="shared" ca="1" si="5"/>
        <v>1292039.2581429395</v>
      </c>
      <c r="AO17" s="100">
        <f t="shared" ca="1" si="5"/>
        <v>1341350.2224286539</v>
      </c>
      <c r="AP17" s="100">
        <f t="shared" ca="1" si="5"/>
        <v>1284807.9402857968</v>
      </c>
      <c r="AQ17" s="100">
        <f t="shared" ca="1" si="5"/>
        <v>1313295.9422500418</v>
      </c>
      <c r="AR17" s="100">
        <f t="shared" ca="1" si="5"/>
        <v>1292335.9277507665</v>
      </c>
      <c r="AS17" s="100">
        <f t="shared" ca="1" si="5"/>
        <v>1289050.6991793378</v>
      </c>
      <c r="AT17" s="100">
        <f t="shared" ca="1" si="5"/>
        <v>1245538.0229888619</v>
      </c>
      <c r="AU17" s="100">
        <f t="shared" ca="1" si="5"/>
        <v>1252752.6247021295</v>
      </c>
      <c r="AV17" s="100">
        <f t="shared" ca="1" si="5"/>
        <v>1213480.2616197735</v>
      </c>
      <c r="AW17" s="100">
        <f t="shared" ca="1" si="5"/>
        <v>1252235.7092633555</v>
      </c>
      <c r="AX17" s="100">
        <f t="shared" ca="1" si="5"/>
        <v>1330714.2759300224</v>
      </c>
      <c r="AY17" s="100">
        <f t="shared" ca="1" si="5"/>
        <v>1296114.8276432899</v>
      </c>
      <c r="AZ17" s="100">
        <f t="shared" ca="1" si="5"/>
        <v>1313332.6555773104</v>
      </c>
      <c r="BA17" s="100">
        <f t="shared" ca="1" si="5"/>
        <v>1370751.9186970829</v>
      </c>
      <c r="BB17" s="100">
        <f t="shared" ca="1" si="5"/>
        <v>1427897.5472685113</v>
      </c>
      <c r="BC17" s="100">
        <f t="shared" ca="1" si="5"/>
        <v>1448881.065293578</v>
      </c>
      <c r="BD17" s="57">
        <f t="shared" ca="1" si="5"/>
        <v>845708.69272875215</v>
      </c>
      <c r="BE17" s="57">
        <f t="shared" ca="1" si="5"/>
        <v>1093713.5757480296</v>
      </c>
      <c r="BF17" s="57">
        <f t="shared" ca="1" si="5"/>
        <v>1284807.9402857968</v>
      </c>
      <c r="BG17" s="57">
        <f t="shared" ca="1" si="5"/>
        <v>1448881.065293578</v>
      </c>
      <c r="BH17" s="57">
        <f t="shared" ca="1" si="5"/>
        <v>1448881.065293578</v>
      </c>
    </row>
    <row r="18" spans="1:60" s="10" customFormat="1" ht="16.149999999999999" customHeight="1" thickBot="1" x14ac:dyDescent="0.3">
      <c r="A18" s="294"/>
      <c r="B18" s="3" t="s">
        <v>114</v>
      </c>
      <c r="C18" s="103">
        <f ca="1">SUM(C10,C17)</f>
        <v>2789000</v>
      </c>
      <c r="D18" s="103">
        <f t="shared" ref="D18:BH18" ca="1" si="6">SUM(D10,D17)</f>
        <v>2676847.8197747869</v>
      </c>
      <c r="E18" s="103">
        <f t="shared" ca="1" si="6"/>
        <v>2698931.357656464</v>
      </c>
      <c r="F18" s="103">
        <f t="shared" ca="1" si="6"/>
        <v>2750390.8814659878</v>
      </c>
      <c r="G18" s="103">
        <f t="shared" ca="1" si="6"/>
        <v>2735829.8090850357</v>
      </c>
      <c r="H18" s="103">
        <f t="shared" ca="1" si="6"/>
        <v>2768872.7290048222</v>
      </c>
      <c r="I18" s="103">
        <f t="shared" ca="1" si="6"/>
        <v>2742076.2973755719</v>
      </c>
      <c r="J18" s="103">
        <f t="shared" ca="1" si="6"/>
        <v>2772001.1080898577</v>
      </c>
      <c r="K18" s="103">
        <f t="shared" ca="1" si="6"/>
        <v>2810631.829518429</v>
      </c>
      <c r="L18" s="103">
        <f t="shared" ca="1" si="6"/>
        <v>2768472.4765810729</v>
      </c>
      <c r="M18" s="103">
        <f t="shared" ca="1" si="6"/>
        <v>2748173.7915939549</v>
      </c>
      <c r="N18" s="103">
        <f t="shared" ca="1" si="6"/>
        <v>2793324.8270946797</v>
      </c>
      <c r="O18" s="103">
        <f t="shared" ca="1" si="6"/>
        <v>2843884.2794756321</v>
      </c>
      <c r="P18" s="103">
        <f t="shared" ca="1" si="6"/>
        <v>2767708.6927287523</v>
      </c>
      <c r="Q18" s="103">
        <f t="shared" ca="1" si="6"/>
        <v>2772724.2458368726</v>
      </c>
      <c r="R18" s="103">
        <f t="shared" ca="1" si="6"/>
        <v>2810691.0670518829</v>
      </c>
      <c r="S18" s="103">
        <f t="shared" ca="1" si="6"/>
        <v>2832309.4003852163</v>
      </c>
      <c r="T18" s="103">
        <f t="shared" ca="1" si="6"/>
        <v>2819446.5610995023</v>
      </c>
      <c r="U18" s="103">
        <f t="shared" ca="1" si="6"/>
        <v>2854112.065305003</v>
      </c>
      <c r="V18" s="103">
        <f t="shared" ca="1" si="6"/>
        <v>2845406.4479614669</v>
      </c>
      <c r="W18" s="103">
        <f t="shared" ca="1" si="6"/>
        <v>2890070.9455805146</v>
      </c>
      <c r="X18" s="103">
        <f t="shared" ca="1" si="6"/>
        <v>2870103.9062948003</v>
      </c>
      <c r="Y18" s="103">
        <f t="shared" ca="1" si="6"/>
        <v>2851724.5271669677</v>
      </c>
      <c r="Z18" s="103">
        <f t="shared" ca="1" si="6"/>
        <v>2950944.2993227071</v>
      </c>
      <c r="AA18" s="103">
        <f t="shared" ca="1" si="6"/>
        <v>3004437.434823432</v>
      </c>
      <c r="AB18" s="103">
        <f t="shared" ca="1" si="6"/>
        <v>3054091.4276805748</v>
      </c>
      <c r="AC18" s="103">
        <f t="shared" ca="1" si="6"/>
        <v>2967713.5757480296</v>
      </c>
      <c r="AD18" s="103">
        <f t="shared" ca="1" si="6"/>
        <v>2949990.4596170364</v>
      </c>
      <c r="AE18" s="103">
        <f t="shared" ca="1" si="6"/>
        <v>2975137.0094034756</v>
      </c>
      <c r="AF18" s="103">
        <f t="shared" ca="1" si="6"/>
        <v>3019077.3094034758</v>
      </c>
      <c r="AG18" s="103">
        <f t="shared" ca="1" si="6"/>
        <v>3021719.2236891901</v>
      </c>
      <c r="AH18" s="103">
        <f t="shared" ca="1" si="6"/>
        <v>3006728.6511167437</v>
      </c>
      <c r="AI18" s="103">
        <f t="shared" ca="1" si="6"/>
        <v>3001605.2373446361</v>
      </c>
      <c r="AJ18" s="103">
        <f t="shared" ca="1" si="6"/>
        <v>3066384.8516303506</v>
      </c>
      <c r="AK18" s="103">
        <f t="shared" ca="1" si="6"/>
        <v>3127090.3992493981</v>
      </c>
      <c r="AL18" s="103">
        <f t="shared" ca="1" si="6"/>
        <v>3101420.9814388566</v>
      </c>
      <c r="AM18" s="103">
        <f t="shared" ca="1" si="6"/>
        <v>3102186.3012136435</v>
      </c>
      <c r="AN18" s="103">
        <f t="shared" ca="1" si="6"/>
        <v>3134039.2581429398</v>
      </c>
      <c r="AO18" s="103">
        <f t="shared" ca="1" si="6"/>
        <v>3183350.2224286539</v>
      </c>
      <c r="AP18" s="103">
        <f t="shared" ca="1" si="6"/>
        <v>3110807.9402857968</v>
      </c>
      <c r="AQ18" s="103">
        <f t="shared" ca="1" si="6"/>
        <v>3139295.9422500418</v>
      </c>
      <c r="AR18" s="103">
        <f t="shared" ca="1" si="6"/>
        <v>3118335.9277507663</v>
      </c>
      <c r="AS18" s="103">
        <f t="shared" ca="1" si="6"/>
        <v>3115050.6991793378</v>
      </c>
      <c r="AT18" s="103">
        <f t="shared" ca="1" si="6"/>
        <v>3071538.0229888619</v>
      </c>
      <c r="AU18" s="103">
        <f t="shared" ca="1" si="6"/>
        <v>3062752.6247021295</v>
      </c>
      <c r="AV18" s="103">
        <f t="shared" ca="1" si="6"/>
        <v>3263480.2616197737</v>
      </c>
      <c r="AW18" s="103">
        <f t="shared" ca="1" si="6"/>
        <v>3302235.7092633555</v>
      </c>
      <c r="AX18" s="103">
        <f t="shared" ca="1" si="6"/>
        <v>3380714.2759300224</v>
      </c>
      <c r="AY18" s="103">
        <f t="shared" ca="1" si="6"/>
        <v>3326114.8276432902</v>
      </c>
      <c r="AZ18" s="103">
        <f t="shared" ca="1" si="6"/>
        <v>3343332.6555773104</v>
      </c>
      <c r="BA18" s="103">
        <f t="shared" ca="1" si="6"/>
        <v>3400751.9186970829</v>
      </c>
      <c r="BB18" s="103">
        <f t="shared" ca="1" si="6"/>
        <v>3457897.5472685113</v>
      </c>
      <c r="BC18" s="103">
        <f t="shared" ca="1" si="6"/>
        <v>3458881.065293578</v>
      </c>
      <c r="BD18" s="103">
        <f t="shared" ca="1" si="6"/>
        <v>2767708.6927287523</v>
      </c>
      <c r="BE18" s="103">
        <f t="shared" ca="1" si="6"/>
        <v>2967713.5757480296</v>
      </c>
      <c r="BF18" s="103">
        <f t="shared" ca="1" si="6"/>
        <v>3110807.9402857968</v>
      </c>
      <c r="BG18" s="103">
        <f t="shared" ca="1" si="6"/>
        <v>3458881.065293578</v>
      </c>
      <c r="BH18" s="103">
        <f t="shared" ca="1" si="6"/>
        <v>3458881.065293578</v>
      </c>
    </row>
    <row r="19" spans="1:60" ht="16.149999999999999" customHeight="1" thickTop="1" x14ac:dyDescent="0.25">
      <c r="A19" s="294"/>
      <c r="B19" s="3" t="s">
        <v>237</v>
      </c>
      <c r="C19" s="52"/>
      <c r="D19" s="52"/>
      <c r="E19" s="52"/>
      <c r="F19" s="52"/>
      <c r="G19" s="52"/>
      <c r="H19" s="52"/>
      <c r="I19" s="52"/>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5"/>
      <c r="BE19" s="65"/>
      <c r="BF19" s="65"/>
      <c r="BG19" s="65"/>
      <c r="BH19" s="65"/>
    </row>
    <row r="20" spans="1:60" ht="16.149999999999999" customHeight="1" x14ac:dyDescent="0.3">
      <c r="B20" s="3" t="s">
        <v>238</v>
      </c>
      <c r="C20" s="52"/>
      <c r="D20" s="52"/>
      <c r="E20" s="52"/>
      <c r="F20" s="52"/>
      <c r="G20" s="52"/>
      <c r="H20" s="52"/>
      <c r="I20" s="52"/>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5"/>
      <c r="BE20" s="65"/>
      <c r="BF20" s="65"/>
      <c r="BG20" s="65"/>
      <c r="BH20" s="65"/>
    </row>
    <row r="21" spans="1:60" ht="16.149999999999999" customHeight="1" x14ac:dyDescent="0.3">
      <c r="A21" s="291" t="s">
        <v>142</v>
      </c>
      <c r="B21" s="12" t="s">
        <v>0</v>
      </c>
      <c r="C21" s="52">
        <f ca="1">-SUMIF(Assumptions!$A$81:$C$104,$A21,Assumptions!$C$81:$C$104)</f>
        <v>1000</v>
      </c>
      <c r="D21" s="52">
        <f ca="1">OFFSET(D$4,ROW($B21)-ROW($B$4),-1,1,1)+OFFSET(Forecast!$B$97,0,COLUMN(D$4)-COLUMN($C$4),1,1)</f>
        <v>1000</v>
      </c>
      <c r="E21" s="52">
        <f ca="1">OFFSET(E$4,ROW($B21)-ROW($B$4),-1,1,1)+OFFSET(Forecast!$B$97,0,COLUMN(E$4)-COLUMN($C$4),1,1)</f>
        <v>1000</v>
      </c>
      <c r="F21" s="52">
        <f ca="1">OFFSET(F$4,ROW($B21)-ROW($B$4),-1,1,1)+OFFSET(Forecast!$B$97,0,COLUMN(F$4)-COLUMN($C$4),1,1)</f>
        <v>1000</v>
      </c>
      <c r="G21" s="52">
        <f ca="1">OFFSET(G$4,ROW($B21)-ROW($B$4),-1,1,1)+OFFSET(Forecast!$B$97,0,COLUMN(G$4)-COLUMN($C$4),1,1)</f>
        <v>1000</v>
      </c>
      <c r="H21" s="52">
        <f ca="1">OFFSET(H$4,ROW($B21)-ROW($B$4),-1,1,1)+OFFSET(Forecast!$B$97,0,COLUMN(H$4)-COLUMN($C$4),1,1)</f>
        <v>1000</v>
      </c>
      <c r="I21" s="52">
        <f ca="1">OFFSET(I$4,ROW($B21)-ROW($B$4),-1,1,1)+OFFSET(Forecast!$B$97,0,COLUMN(I$4)-COLUMN($C$4),1,1)</f>
        <v>1000</v>
      </c>
      <c r="J21" s="52">
        <f ca="1">OFFSET(J$4,ROW($B21)-ROW($B$4),-1,1,1)+OFFSET(Forecast!$B$97,0,COLUMN(J$4)-COLUMN($C$4),1,1)</f>
        <v>1000</v>
      </c>
      <c r="K21" s="52">
        <f ca="1">OFFSET(K$4,ROW($B21)-ROW($B$4),-1,1,1)+OFFSET(Forecast!$B$97,0,COLUMN(K$4)-COLUMN($C$4),1,1)</f>
        <v>1000</v>
      </c>
      <c r="L21" s="52">
        <f ca="1">OFFSET(L$4,ROW($B21)-ROW($B$4),-1,1,1)+OFFSET(Forecast!$B$97,0,COLUMN(L$4)-COLUMN($C$4),1,1)</f>
        <v>1000</v>
      </c>
      <c r="M21" s="52">
        <f ca="1">OFFSET(M$4,ROW($B21)-ROW($B$4),-1,1,1)+OFFSET(Forecast!$B$97,0,COLUMN(M$4)-COLUMN($C$4),1,1)</f>
        <v>1000</v>
      </c>
      <c r="N21" s="52">
        <f ca="1">OFFSET(N$4,ROW($B21)-ROW($B$4),-1,1,1)+OFFSET(Forecast!$B$97,0,COLUMN(N$4)-COLUMN($C$4),1,1)</f>
        <v>1000</v>
      </c>
      <c r="O21" s="52">
        <f ca="1">OFFSET(O$4,ROW($B21)-ROW($B$4),-1,1,1)+OFFSET(Forecast!$B$97,0,COLUMN(O$4)-COLUMN($C$4),1,1)</f>
        <v>1000</v>
      </c>
      <c r="P21" s="52">
        <f ca="1">OFFSET(P$4,ROW($B21)-ROW($B$4),-1,1,1)+OFFSET(Forecast!$B$97,0,COLUMN(P$4)-COLUMN($C$4),1,1)</f>
        <v>1000</v>
      </c>
      <c r="Q21" s="52">
        <f ca="1">OFFSET(Q$4,ROW($B21)-ROW($B$4),-1,1,1)+OFFSET(Forecast!$B$97,0,COLUMN(Q$4)-COLUMN($C$4),1,1)</f>
        <v>1000</v>
      </c>
      <c r="R21" s="52">
        <f ca="1">OFFSET(R$4,ROW($B21)-ROW($B$4),-1,1,1)+OFFSET(Forecast!$B$97,0,COLUMN(R$4)-COLUMN($C$4),1,1)</f>
        <v>1000</v>
      </c>
      <c r="S21" s="52">
        <f ca="1">OFFSET(S$4,ROW($B21)-ROW($B$4),-1,1,1)+OFFSET(Forecast!$B$97,0,COLUMN(S$4)-COLUMN($C$4),1,1)</f>
        <v>1000</v>
      </c>
      <c r="T21" s="52">
        <f ca="1">OFFSET(T$4,ROW($B21)-ROW($B$4),-1,1,1)+OFFSET(Forecast!$B$97,0,COLUMN(T$4)-COLUMN($C$4),1,1)</f>
        <v>1000</v>
      </c>
      <c r="U21" s="52">
        <f ca="1">OFFSET(U$4,ROW($B21)-ROW($B$4),-1,1,1)+OFFSET(Forecast!$B$97,0,COLUMN(U$4)-COLUMN($C$4),1,1)</f>
        <v>1000</v>
      </c>
      <c r="V21" s="52">
        <f ca="1">OFFSET(V$4,ROW($B21)-ROW($B$4),-1,1,1)+OFFSET(Forecast!$B$97,0,COLUMN(V$4)-COLUMN($C$4),1,1)</f>
        <v>1000</v>
      </c>
      <c r="W21" s="52">
        <f ca="1">OFFSET(W$4,ROW($B21)-ROW($B$4),-1,1,1)+OFFSET(Forecast!$B$97,0,COLUMN(W$4)-COLUMN($C$4),1,1)</f>
        <v>1000</v>
      </c>
      <c r="X21" s="52">
        <f ca="1">OFFSET(X$4,ROW($B21)-ROW($B$4),-1,1,1)+OFFSET(Forecast!$B$97,0,COLUMN(X$4)-COLUMN($C$4),1,1)</f>
        <v>1000</v>
      </c>
      <c r="Y21" s="52">
        <f ca="1">OFFSET(Y$4,ROW($B21)-ROW($B$4),-1,1,1)+OFFSET(Forecast!$B$97,0,COLUMN(Y$4)-COLUMN($C$4),1,1)</f>
        <v>1000</v>
      </c>
      <c r="Z21" s="52">
        <f ca="1">OFFSET(Z$4,ROW($B21)-ROW($B$4),-1,1,1)+OFFSET(Forecast!$B$97,0,COLUMN(Z$4)-COLUMN($C$4),1,1)</f>
        <v>1000</v>
      </c>
      <c r="AA21" s="52">
        <f ca="1">OFFSET(AA$4,ROW($B21)-ROW($B$4),-1,1,1)+OFFSET(Forecast!$B$97,0,COLUMN(AA$4)-COLUMN($C$4),1,1)</f>
        <v>1000</v>
      </c>
      <c r="AB21" s="52">
        <f ca="1">OFFSET(AB$4,ROW($B21)-ROW($B$4),-1,1,1)+OFFSET(Forecast!$B$97,0,COLUMN(AB$4)-COLUMN($C$4),1,1)</f>
        <v>1000</v>
      </c>
      <c r="AC21" s="52">
        <f ca="1">OFFSET(AC$4,ROW($B21)-ROW($B$4),-1,1,1)+OFFSET(Forecast!$B$97,0,COLUMN(AC$4)-COLUMN($C$4),1,1)</f>
        <v>1000</v>
      </c>
      <c r="AD21" s="52">
        <f ca="1">OFFSET(AD$4,ROW($B21)-ROW($B$4),-1,1,1)+OFFSET(Forecast!$B$97,0,COLUMN(AD$4)-COLUMN($C$4),1,1)</f>
        <v>1000</v>
      </c>
      <c r="AE21" s="52">
        <f ca="1">OFFSET(AE$4,ROW($B21)-ROW($B$4),-1,1,1)+OFFSET(Forecast!$B$97,0,COLUMN(AE$4)-COLUMN($C$4),1,1)</f>
        <v>1000</v>
      </c>
      <c r="AF21" s="52">
        <f ca="1">OFFSET(AF$4,ROW($B21)-ROW($B$4),-1,1,1)+OFFSET(Forecast!$B$97,0,COLUMN(AF$4)-COLUMN($C$4),1,1)</f>
        <v>1000</v>
      </c>
      <c r="AG21" s="52">
        <f ca="1">OFFSET(AG$4,ROW($B21)-ROW($B$4),-1,1,1)+OFFSET(Forecast!$B$97,0,COLUMN(AG$4)-COLUMN($C$4),1,1)</f>
        <v>1000</v>
      </c>
      <c r="AH21" s="52">
        <f ca="1">OFFSET(AH$4,ROW($B21)-ROW($B$4),-1,1,1)+OFFSET(Forecast!$B$97,0,COLUMN(AH$4)-COLUMN($C$4),1,1)</f>
        <v>1000</v>
      </c>
      <c r="AI21" s="52">
        <f ca="1">OFFSET(AI$4,ROW($B21)-ROW($B$4),-1,1,1)+OFFSET(Forecast!$B$97,0,COLUMN(AI$4)-COLUMN($C$4),1,1)</f>
        <v>1000</v>
      </c>
      <c r="AJ21" s="52">
        <f ca="1">OFFSET(AJ$4,ROW($B21)-ROW($B$4),-1,1,1)+OFFSET(Forecast!$B$97,0,COLUMN(AJ$4)-COLUMN($C$4),1,1)</f>
        <v>1000</v>
      </c>
      <c r="AK21" s="52">
        <f ca="1">OFFSET(AK$4,ROW($B21)-ROW($B$4),-1,1,1)+OFFSET(Forecast!$B$97,0,COLUMN(AK$4)-COLUMN($C$4),1,1)</f>
        <v>1000</v>
      </c>
      <c r="AL21" s="52">
        <f ca="1">OFFSET(AL$4,ROW($B21)-ROW($B$4),-1,1,1)+OFFSET(Forecast!$B$97,0,COLUMN(AL$4)-COLUMN($C$4),1,1)</f>
        <v>1000</v>
      </c>
      <c r="AM21" s="52">
        <f ca="1">OFFSET(AM$4,ROW($B21)-ROW($B$4),-1,1,1)+OFFSET(Forecast!$B$97,0,COLUMN(AM$4)-COLUMN($C$4),1,1)</f>
        <v>1000</v>
      </c>
      <c r="AN21" s="52">
        <f ca="1">OFFSET(AN$4,ROW($B21)-ROW($B$4),-1,1,1)+OFFSET(Forecast!$B$97,0,COLUMN(AN$4)-COLUMN($C$4),1,1)</f>
        <v>1000</v>
      </c>
      <c r="AO21" s="52">
        <f ca="1">OFFSET(AO$4,ROW($B21)-ROW($B$4),-1,1,1)+OFFSET(Forecast!$B$97,0,COLUMN(AO$4)-COLUMN($C$4),1,1)</f>
        <v>1000</v>
      </c>
      <c r="AP21" s="52">
        <f ca="1">OFFSET(AP$4,ROW($B21)-ROW($B$4),-1,1,1)+OFFSET(Forecast!$B$97,0,COLUMN(AP$4)-COLUMN($C$4),1,1)</f>
        <v>1000</v>
      </c>
      <c r="AQ21" s="52">
        <f ca="1">OFFSET(AQ$4,ROW($B21)-ROW($B$4),-1,1,1)+OFFSET(Forecast!$B$97,0,COLUMN(AQ$4)-COLUMN($C$4),1,1)</f>
        <v>1000</v>
      </c>
      <c r="AR21" s="52">
        <f ca="1">OFFSET(AR$4,ROW($B21)-ROW($B$4),-1,1,1)+OFFSET(Forecast!$B$97,0,COLUMN(AR$4)-COLUMN($C$4),1,1)</f>
        <v>1000</v>
      </c>
      <c r="AS21" s="52">
        <f ca="1">OFFSET(AS$4,ROW($B21)-ROW($B$4),-1,1,1)+OFFSET(Forecast!$B$97,0,COLUMN(AS$4)-COLUMN($C$4),1,1)</f>
        <v>1000</v>
      </c>
      <c r="AT21" s="52">
        <f ca="1">OFFSET(AT$4,ROW($B21)-ROW($B$4),-1,1,1)+OFFSET(Forecast!$B$97,0,COLUMN(AT$4)-COLUMN($C$4),1,1)</f>
        <v>1000</v>
      </c>
      <c r="AU21" s="52">
        <f ca="1">OFFSET(AU$4,ROW($B21)-ROW($B$4),-1,1,1)+OFFSET(Forecast!$B$97,0,COLUMN(AU$4)-COLUMN($C$4),1,1)</f>
        <v>1000</v>
      </c>
      <c r="AV21" s="52">
        <f ca="1">OFFSET(AV$4,ROW($B21)-ROW($B$4),-1,1,1)+OFFSET(Forecast!$B$97,0,COLUMN(AV$4)-COLUMN($C$4),1,1)</f>
        <v>1000</v>
      </c>
      <c r="AW21" s="52">
        <f ca="1">OFFSET(AW$4,ROW($B21)-ROW($B$4),-1,1,1)+OFFSET(Forecast!$B$97,0,COLUMN(AW$4)-COLUMN($C$4),1,1)</f>
        <v>1000</v>
      </c>
      <c r="AX21" s="52">
        <f ca="1">OFFSET(AX$4,ROW($B21)-ROW($B$4),-1,1,1)+OFFSET(Forecast!$B$97,0,COLUMN(AX$4)-COLUMN($C$4),1,1)</f>
        <v>1000</v>
      </c>
      <c r="AY21" s="52">
        <f ca="1">OFFSET(AY$4,ROW($B21)-ROW($B$4),-1,1,1)+OFFSET(Forecast!$B$97,0,COLUMN(AY$4)-COLUMN($C$4),1,1)</f>
        <v>1000</v>
      </c>
      <c r="AZ21" s="52">
        <f ca="1">OFFSET(AZ$4,ROW($B21)-ROW($B$4),-1,1,1)+OFFSET(Forecast!$B$97,0,COLUMN(AZ$4)-COLUMN($C$4),1,1)</f>
        <v>1000</v>
      </c>
      <c r="BA21" s="52">
        <f ca="1">OFFSET(BA$4,ROW($B21)-ROW($B$4),-1,1,1)+OFFSET(Forecast!$B$97,0,COLUMN(BA$4)-COLUMN($C$4),1,1)</f>
        <v>1000</v>
      </c>
      <c r="BB21" s="52">
        <f ca="1">OFFSET(BB$4,ROW($B21)-ROW($B$4),-1,1,1)+OFFSET(Forecast!$B$97,0,COLUMN(BB$4)-COLUMN($C$4),1,1)</f>
        <v>1000</v>
      </c>
      <c r="BC21" s="52">
        <f ca="1">OFFSET(BC$4,ROW($B21)-ROW($B$4),-1,1,1)+OFFSET(Forecast!$B$97,0,COLUMN(BC$4)-COLUMN($C$4),1,1)</f>
        <v>1000</v>
      </c>
      <c r="BD21" s="53">
        <f ca="1">OFFSET($B21,0,Assumptions!$C$8+1,1,1)</f>
        <v>1000</v>
      </c>
      <c r="BE21" s="53">
        <f ca="1">OFFSET($B21,0,SUM(Assumptions!$C$8:$C$9)+1,1,1)</f>
        <v>1000</v>
      </c>
      <c r="BF21" s="53">
        <f ca="1">OFFSET($B21,0,SUM(Assumptions!$C$8:$C$10)+1,1,1)</f>
        <v>1000</v>
      </c>
      <c r="BG21" s="53">
        <f ca="1">OFFSET($B21,0,SUM(Assumptions!$C$8:$C$11)+1,1,1)</f>
        <v>1000</v>
      </c>
      <c r="BH21" s="53">
        <f t="shared" ref="BH21:BH23" ca="1" si="7">BG21</f>
        <v>1000</v>
      </c>
    </row>
    <row r="22" spans="1:60" ht="16.149999999999999" customHeight="1" x14ac:dyDescent="0.3">
      <c r="A22" s="291" t="s">
        <v>127</v>
      </c>
      <c r="B22" s="12" t="s">
        <v>128</v>
      </c>
      <c r="C22" s="52">
        <f ca="1">-SUMIF(Assumptions!$A$81:$C$104,$A22,Assumptions!$C$81:$C$104)</f>
        <v>0</v>
      </c>
      <c r="D22" s="52">
        <f ca="1">OFFSET(D$4,ROW($B22)-ROW($B$4),-1,1,1)+OFFSET(Forecast!$B$76,0,COLUMN(D$4)-COLUMN($C$4),1,1)</f>
        <v>0</v>
      </c>
      <c r="E22" s="52">
        <f ca="1">OFFSET(E$4,ROW($B22)-ROW($B$4),-1,1,1)+OFFSET(Forecast!$B$76,0,COLUMN(E$4)-COLUMN($C$4),1,1)</f>
        <v>0</v>
      </c>
      <c r="F22" s="52">
        <f ca="1">OFFSET(F$4,ROW($B22)-ROW($B$4),-1,1,1)+OFFSET(Forecast!$B$76,0,COLUMN(F$4)-COLUMN($C$4),1,1)</f>
        <v>0</v>
      </c>
      <c r="G22" s="52">
        <f ca="1">OFFSET(G$4,ROW($B22)-ROW($B$4),-1,1,1)+OFFSET(Forecast!$B$76,0,COLUMN(G$4)-COLUMN($C$4),1,1)</f>
        <v>0</v>
      </c>
      <c r="H22" s="52">
        <f ca="1">OFFSET(H$4,ROW($B22)-ROW($B$4),-1,1,1)+OFFSET(Forecast!$B$76,0,COLUMN(H$4)-COLUMN($C$4),1,1)</f>
        <v>0</v>
      </c>
      <c r="I22" s="52">
        <f ca="1">OFFSET(I$4,ROW($B22)-ROW($B$4),-1,1,1)+OFFSET(Forecast!$B$76,0,COLUMN(I$4)-COLUMN($C$4),1,1)</f>
        <v>0</v>
      </c>
      <c r="J22" s="52">
        <f ca="1">OFFSET(J$4,ROW($B22)-ROW($B$4),-1,1,1)+OFFSET(Forecast!$B$76,0,COLUMN(J$4)-COLUMN($C$4),1,1)</f>
        <v>0</v>
      </c>
      <c r="K22" s="52">
        <f ca="1">OFFSET(K$4,ROW($B22)-ROW($B$4),-1,1,1)+OFFSET(Forecast!$B$76,0,COLUMN(K$4)-COLUMN($C$4),1,1)</f>
        <v>0</v>
      </c>
      <c r="L22" s="52">
        <f ca="1">OFFSET(L$4,ROW($B22)-ROW($B$4),-1,1,1)+OFFSET(Forecast!$B$76,0,COLUMN(L$4)-COLUMN($C$4),1,1)</f>
        <v>0</v>
      </c>
      <c r="M22" s="52">
        <f ca="1">OFFSET(M$4,ROW($B22)-ROW($B$4),-1,1,1)+OFFSET(Forecast!$B$76,0,COLUMN(M$4)-COLUMN($C$4),1,1)</f>
        <v>0</v>
      </c>
      <c r="N22" s="52">
        <f ca="1">OFFSET(N$4,ROW($B22)-ROW($B$4),-1,1,1)+OFFSET(Forecast!$B$76,0,COLUMN(N$4)-COLUMN($C$4),1,1)</f>
        <v>0</v>
      </c>
      <c r="O22" s="52">
        <f ca="1">OFFSET(O$4,ROW($B22)-ROW($B$4),-1,1,1)+OFFSET(Forecast!$B$76,0,COLUMN(O$4)-COLUMN($C$4),1,1)</f>
        <v>0</v>
      </c>
      <c r="P22" s="52">
        <f ca="1">OFFSET(P$4,ROW($B22)-ROW($B$4),-1,1,1)+OFFSET(Forecast!$B$76,0,COLUMN(P$4)-COLUMN($C$4),1,1)</f>
        <v>0</v>
      </c>
      <c r="Q22" s="52">
        <f ca="1">OFFSET(Q$4,ROW($B22)-ROW($B$4),-1,1,1)+OFFSET(Forecast!$B$76,0,COLUMN(Q$4)-COLUMN($C$4),1,1)</f>
        <v>0</v>
      </c>
      <c r="R22" s="52">
        <f ca="1">OFFSET(R$4,ROW($B22)-ROW($B$4),-1,1,1)+OFFSET(Forecast!$B$76,0,COLUMN(R$4)-COLUMN($C$4),1,1)</f>
        <v>0</v>
      </c>
      <c r="S22" s="52">
        <f ca="1">OFFSET(S$4,ROW($B22)-ROW($B$4),-1,1,1)+OFFSET(Forecast!$B$76,0,COLUMN(S$4)-COLUMN($C$4),1,1)</f>
        <v>0</v>
      </c>
      <c r="T22" s="52">
        <f ca="1">OFFSET(T$4,ROW($B22)-ROW($B$4),-1,1,1)+OFFSET(Forecast!$B$76,0,COLUMN(T$4)-COLUMN($C$4),1,1)</f>
        <v>0</v>
      </c>
      <c r="U22" s="52">
        <f ca="1">OFFSET(U$4,ROW($B22)-ROW($B$4),-1,1,1)+OFFSET(Forecast!$B$76,0,COLUMN(U$4)-COLUMN($C$4),1,1)</f>
        <v>0</v>
      </c>
      <c r="V22" s="52">
        <f ca="1">OFFSET(V$4,ROW($B22)-ROW($B$4),-1,1,1)+OFFSET(Forecast!$B$76,0,COLUMN(V$4)-COLUMN($C$4),1,1)</f>
        <v>0</v>
      </c>
      <c r="W22" s="52">
        <f ca="1">OFFSET(W$4,ROW($B22)-ROW($B$4),-1,1,1)+OFFSET(Forecast!$B$76,0,COLUMN(W$4)-COLUMN($C$4),1,1)</f>
        <v>0</v>
      </c>
      <c r="X22" s="52">
        <f ca="1">OFFSET(X$4,ROW($B22)-ROW($B$4),-1,1,1)+OFFSET(Forecast!$B$76,0,COLUMN(X$4)-COLUMN($C$4),1,1)</f>
        <v>0</v>
      </c>
      <c r="Y22" s="52">
        <f ca="1">OFFSET(Y$4,ROW($B22)-ROW($B$4),-1,1,1)+OFFSET(Forecast!$B$76,0,COLUMN(Y$4)-COLUMN($C$4),1,1)</f>
        <v>0</v>
      </c>
      <c r="Z22" s="52">
        <f ca="1">OFFSET(Z$4,ROW($B22)-ROW($B$4),-1,1,1)+OFFSET(Forecast!$B$76,0,COLUMN(Z$4)-COLUMN($C$4),1,1)</f>
        <v>0</v>
      </c>
      <c r="AA22" s="52">
        <f ca="1">OFFSET(AA$4,ROW($B22)-ROW($B$4),-1,1,1)+OFFSET(Forecast!$B$76,0,COLUMN(AA$4)-COLUMN($C$4),1,1)</f>
        <v>0</v>
      </c>
      <c r="AB22" s="52">
        <f ca="1">OFFSET(AB$4,ROW($B22)-ROW($B$4),-1,1,1)+OFFSET(Forecast!$B$76,0,COLUMN(AB$4)-COLUMN($C$4),1,1)</f>
        <v>0</v>
      </c>
      <c r="AC22" s="52">
        <f ca="1">OFFSET(AC$4,ROW($B22)-ROW($B$4),-1,1,1)+OFFSET(Forecast!$B$76,0,COLUMN(AC$4)-COLUMN($C$4),1,1)</f>
        <v>0</v>
      </c>
      <c r="AD22" s="52">
        <f ca="1">OFFSET(AD$4,ROW($B22)-ROW($B$4),-1,1,1)+OFFSET(Forecast!$B$76,0,COLUMN(AD$4)-COLUMN($C$4),1,1)</f>
        <v>0</v>
      </c>
      <c r="AE22" s="52">
        <f ca="1">OFFSET(AE$4,ROW($B22)-ROW($B$4),-1,1,1)+OFFSET(Forecast!$B$76,0,COLUMN(AE$4)-COLUMN($C$4),1,1)</f>
        <v>0</v>
      </c>
      <c r="AF22" s="52">
        <f ca="1">OFFSET(AF$4,ROW($B22)-ROW($B$4),-1,1,1)+OFFSET(Forecast!$B$76,0,COLUMN(AF$4)-COLUMN($C$4),1,1)</f>
        <v>0</v>
      </c>
      <c r="AG22" s="52">
        <f ca="1">OFFSET(AG$4,ROW($B22)-ROW($B$4),-1,1,1)+OFFSET(Forecast!$B$76,0,COLUMN(AG$4)-COLUMN($C$4),1,1)</f>
        <v>0</v>
      </c>
      <c r="AH22" s="52">
        <f ca="1">OFFSET(AH$4,ROW($B22)-ROW($B$4),-1,1,1)+OFFSET(Forecast!$B$76,0,COLUMN(AH$4)-COLUMN($C$4),1,1)</f>
        <v>0</v>
      </c>
      <c r="AI22" s="52">
        <f ca="1">OFFSET(AI$4,ROW($B22)-ROW($B$4),-1,1,1)+OFFSET(Forecast!$B$76,0,COLUMN(AI$4)-COLUMN($C$4),1,1)</f>
        <v>0</v>
      </c>
      <c r="AJ22" s="52">
        <f ca="1">OFFSET(AJ$4,ROW($B22)-ROW($B$4),-1,1,1)+OFFSET(Forecast!$B$76,0,COLUMN(AJ$4)-COLUMN($C$4),1,1)</f>
        <v>0</v>
      </c>
      <c r="AK22" s="52">
        <f ca="1">OFFSET(AK$4,ROW($B22)-ROW($B$4),-1,1,1)+OFFSET(Forecast!$B$76,0,COLUMN(AK$4)-COLUMN($C$4),1,1)</f>
        <v>0</v>
      </c>
      <c r="AL22" s="52">
        <f ca="1">OFFSET(AL$4,ROW($B22)-ROW($B$4),-1,1,1)+OFFSET(Forecast!$B$76,0,COLUMN(AL$4)-COLUMN($C$4),1,1)</f>
        <v>0</v>
      </c>
      <c r="AM22" s="52">
        <f ca="1">OFFSET(AM$4,ROW($B22)-ROW($B$4),-1,1,1)+OFFSET(Forecast!$B$76,0,COLUMN(AM$4)-COLUMN($C$4),1,1)</f>
        <v>0</v>
      </c>
      <c r="AN22" s="52">
        <f ca="1">OFFSET(AN$4,ROW($B22)-ROW($B$4),-1,1,1)+OFFSET(Forecast!$B$76,0,COLUMN(AN$4)-COLUMN($C$4),1,1)</f>
        <v>0</v>
      </c>
      <c r="AO22" s="52">
        <f ca="1">OFFSET(AO$4,ROW($B22)-ROW($B$4),-1,1,1)+OFFSET(Forecast!$B$76,0,COLUMN(AO$4)-COLUMN($C$4),1,1)</f>
        <v>0</v>
      </c>
      <c r="AP22" s="52">
        <f ca="1">OFFSET(AP$4,ROW($B22)-ROW($B$4),-1,1,1)+OFFSET(Forecast!$B$76,0,COLUMN(AP$4)-COLUMN($C$4),1,1)</f>
        <v>0</v>
      </c>
      <c r="AQ22" s="52">
        <f ca="1">OFFSET(AQ$4,ROW($B22)-ROW($B$4),-1,1,1)+OFFSET(Forecast!$B$76,0,COLUMN(AQ$4)-COLUMN($C$4),1,1)</f>
        <v>0</v>
      </c>
      <c r="AR22" s="52">
        <f ca="1">OFFSET(AR$4,ROW($B22)-ROW($B$4),-1,1,1)+OFFSET(Forecast!$B$76,0,COLUMN(AR$4)-COLUMN($C$4),1,1)</f>
        <v>0</v>
      </c>
      <c r="AS22" s="52">
        <f ca="1">OFFSET(AS$4,ROW($B22)-ROW($B$4),-1,1,1)+OFFSET(Forecast!$B$76,0,COLUMN(AS$4)-COLUMN($C$4),1,1)</f>
        <v>0</v>
      </c>
      <c r="AT22" s="52">
        <f ca="1">OFFSET(AT$4,ROW($B22)-ROW($B$4),-1,1,1)+OFFSET(Forecast!$B$76,0,COLUMN(AT$4)-COLUMN($C$4),1,1)</f>
        <v>0</v>
      </c>
      <c r="AU22" s="52">
        <f ca="1">OFFSET(AU$4,ROW($B22)-ROW($B$4),-1,1,1)+OFFSET(Forecast!$B$76,0,COLUMN(AU$4)-COLUMN($C$4),1,1)</f>
        <v>0</v>
      </c>
      <c r="AV22" s="52">
        <f ca="1">OFFSET(AV$4,ROW($B22)-ROW($B$4),-1,1,1)+OFFSET(Forecast!$B$76,0,COLUMN(AV$4)-COLUMN($C$4),1,1)</f>
        <v>0</v>
      </c>
      <c r="AW22" s="52">
        <f ca="1">OFFSET(AW$4,ROW($B22)-ROW($B$4),-1,1,1)+OFFSET(Forecast!$B$76,0,COLUMN(AW$4)-COLUMN($C$4),1,1)</f>
        <v>0</v>
      </c>
      <c r="AX22" s="52">
        <f ca="1">OFFSET(AX$4,ROW($B22)-ROW($B$4),-1,1,1)+OFFSET(Forecast!$B$76,0,COLUMN(AX$4)-COLUMN($C$4),1,1)</f>
        <v>0</v>
      </c>
      <c r="AY22" s="52">
        <f ca="1">OFFSET(AY$4,ROW($B22)-ROW($B$4),-1,1,1)+OFFSET(Forecast!$B$76,0,COLUMN(AY$4)-COLUMN($C$4),1,1)</f>
        <v>0</v>
      </c>
      <c r="AZ22" s="52">
        <f ca="1">OFFSET(AZ$4,ROW($B22)-ROW($B$4),-1,1,1)+OFFSET(Forecast!$B$76,0,COLUMN(AZ$4)-COLUMN($C$4),1,1)</f>
        <v>0</v>
      </c>
      <c r="BA22" s="52">
        <f ca="1">OFFSET(BA$4,ROW($B22)-ROW($B$4),-1,1,1)+OFFSET(Forecast!$B$76,0,COLUMN(BA$4)-COLUMN($C$4),1,1)</f>
        <v>0</v>
      </c>
      <c r="BB22" s="52">
        <f ca="1">OFFSET(BB$4,ROW($B22)-ROW($B$4),-1,1,1)+OFFSET(Forecast!$B$76,0,COLUMN(BB$4)-COLUMN($C$4),1,1)</f>
        <v>0</v>
      </c>
      <c r="BC22" s="52">
        <f ca="1">OFFSET(BC$4,ROW($B22)-ROW($B$4),-1,1,1)+OFFSET(Forecast!$B$76,0,COLUMN(BC$4)-COLUMN($C$4),1,1)</f>
        <v>0</v>
      </c>
      <c r="BD22" s="53">
        <f ca="1">OFFSET($B22,0,Assumptions!$C$8+1,1,1)</f>
        <v>0</v>
      </c>
      <c r="BE22" s="53">
        <f ca="1">OFFSET($B22,0,SUM(Assumptions!$C$8:$C$9)+1,1,1)</f>
        <v>0</v>
      </c>
      <c r="BF22" s="53">
        <f ca="1">OFFSET($B22,0,SUM(Assumptions!$C$8:$C$10)+1,1,1)</f>
        <v>0</v>
      </c>
      <c r="BG22" s="53">
        <f ca="1">OFFSET($B22,0,SUM(Assumptions!$C$8:$C$11)+1,1,1)</f>
        <v>0</v>
      </c>
      <c r="BH22" s="53">
        <f t="shared" ca="1" si="7"/>
        <v>0</v>
      </c>
    </row>
    <row r="23" spans="1:60" ht="16.149999999999999" customHeight="1" x14ac:dyDescent="0.3">
      <c r="A23" s="291" t="s">
        <v>182</v>
      </c>
      <c r="B23" s="12" t="s">
        <v>35</v>
      </c>
      <c r="C23" s="52">
        <f ca="1">-SUMIF(Assumptions!$A$81:$C$104,$A23,Assumptions!$C$81:$C$104)</f>
        <v>400000</v>
      </c>
      <c r="D23" s="52">
        <f ca="1">OFFSET(D$4,ROW($B23)-ROW($B$4),-1,1,1)+OFFSET(Forecast!$B$61,0,COLUMN(D$4)-COLUMN($C$4),1,1)</f>
        <v>404824</v>
      </c>
      <c r="E23" s="52">
        <f ca="1">OFFSET(E$4,ROW($B23)-ROW($B$4),-1,1,1)+OFFSET(Forecast!$B$61,0,COLUMN(E$4)-COLUMN($C$4),1,1)</f>
        <v>426172.10800000001</v>
      </c>
      <c r="F23" s="52">
        <f ca="1">OFFSET(F$4,ROW($B23)-ROW($B$4),-1,1,1)+OFFSET(Forecast!$B$61,0,COLUMN(F$4)-COLUMN($C$4),1,1)</f>
        <v>452716.10800000001</v>
      </c>
      <c r="G23" s="52">
        <f ca="1">OFFSET(G$4,ROW($B23)-ROW($B$4),-1,1,1)+OFFSET(Forecast!$B$61,0,COLUMN(G$4)-COLUMN($C$4),1,1)</f>
        <v>433760.908</v>
      </c>
      <c r="H23" s="52">
        <f ca="1">OFFSET(H$4,ROW($B23)-ROW($B$4),-1,1,1)+OFFSET(Forecast!$B$61,0,COLUMN(H$4)-COLUMN($C$4),1,1)</f>
        <v>441700.94799999997</v>
      </c>
      <c r="I23" s="52">
        <f ca="1">OFFSET(I$4,ROW($B23)-ROW($B$4),-1,1,1)+OFFSET(Forecast!$B$61,0,COLUMN(I$4)-COLUMN($C$4),1,1)</f>
        <v>441893.76517700148</v>
      </c>
      <c r="J23" s="52">
        <f ca="1">OFFSET(J$4,ROW($B23)-ROW($B$4),-1,1,1)+OFFSET(Forecast!$B$61,0,COLUMN(J$4)-COLUMN($C$4),1,1)</f>
        <v>457535.40517700149</v>
      </c>
      <c r="K23" s="52">
        <f ca="1">OFFSET(K$4,ROW($B23)-ROW($B$4),-1,1,1)+OFFSET(Forecast!$B$61,0,COLUMN(K$4)-COLUMN($C$4),1,1)</f>
        <v>488261.40517700149</v>
      </c>
      <c r="L23" s="52">
        <f ca="1">OFFSET(L$4,ROW($B23)-ROW($B$4),-1,1,1)+OFFSET(Forecast!$B$61,0,COLUMN(L$4)-COLUMN($C$4),1,1)</f>
        <v>444584.82966294669</v>
      </c>
      <c r="M23" s="52">
        <f ca="1">OFFSET(M$4,ROW($B23)-ROW($B$4),-1,1,1)+OFFSET(Forecast!$B$61,0,COLUMN(M$4)-COLUMN($C$4),1,1)</f>
        <v>448685.76158088743</v>
      </c>
      <c r="N23" s="52">
        <f ca="1">OFFSET(N$4,ROW($B23)-ROW($B$4),-1,1,1)+OFFSET(Forecast!$B$61,0,COLUMN(N$4)-COLUMN($C$4),1,1)</f>
        <v>479277.2512291841</v>
      </c>
      <c r="O23" s="52">
        <f ca="1">OFFSET(O$4,ROW($B23)-ROW($B$4),-1,1,1)+OFFSET(Forecast!$B$61,0,COLUMN(O$4)-COLUMN($C$4),1,1)</f>
        <v>513634.6912291841</v>
      </c>
      <c r="P23" s="52">
        <f ca="1">OFFSET(P$4,ROW($B23)-ROW($B$4),-1,1,1)+OFFSET(Forecast!$B$61,0,COLUMN(P$4)-COLUMN($C$4),1,1)</f>
        <v>459284.69147315365</v>
      </c>
      <c r="Q23" s="52">
        <f ca="1">OFFSET(Q$4,ROW($B23)-ROW($B$4),-1,1,1)+OFFSET(Forecast!$B$61,0,COLUMN(Q$4)-COLUMN($C$4),1,1)</f>
        <v>473744.14696794515</v>
      </c>
      <c r="R23" s="52">
        <f ca="1">OFFSET(R$4,ROW($B23)-ROW($B$4),-1,1,1)+OFFSET(Forecast!$B$61,0,COLUMN(R$4)-COLUMN($C$4),1,1)</f>
        <v>502191.85167732107</v>
      </c>
      <c r="S23" s="52">
        <f ca="1">OFFSET(S$4,ROW($B23)-ROW($B$4),-1,1,1)+OFFSET(Forecast!$B$61,0,COLUMN(S$4)-COLUMN($C$4),1,1)</f>
        <v>532392.49167732103</v>
      </c>
      <c r="T23" s="52">
        <f ca="1">OFFSET(T$4,ROW($B23)-ROW($B$4),-1,1,1)+OFFSET(Forecast!$B$61,0,COLUMN(T$4)-COLUMN($C$4),1,1)</f>
        <v>508051.091677321</v>
      </c>
      <c r="U23" s="52">
        <f ca="1">OFFSET(U$4,ROW($B23)-ROW($B$4),-1,1,1)+OFFSET(Forecast!$B$61,0,COLUMN(U$4)-COLUMN($C$4),1,1)</f>
        <v>520139.34011744964</v>
      </c>
      <c r="V23" s="52">
        <f ca="1">OFFSET(V$4,ROW($B23)-ROW($B$4),-1,1,1)+OFFSET(Forecast!$B$61,0,COLUMN(V$4)-COLUMN($C$4),1,1)</f>
        <v>530924.86030943482</v>
      </c>
      <c r="W23" s="52">
        <f ca="1">OFFSET(W$4,ROW($B23)-ROW($B$4),-1,1,1)+OFFSET(Forecast!$B$61,0,COLUMN(W$4)-COLUMN($C$4),1,1)</f>
        <v>559518.4603094348</v>
      </c>
      <c r="X23" s="52">
        <f ca="1">OFFSET(X$4,ROW($B23)-ROW($B$4),-1,1,1)+OFFSET(Forecast!$B$61,0,COLUMN(X$4)-COLUMN($C$4),1,1)</f>
        <v>586133.26030943485</v>
      </c>
      <c r="Y23" s="52">
        <f ca="1">OFFSET(Y$4,ROW($B23)-ROW($B$4),-1,1,1)+OFFSET(Forecast!$B$61,0,COLUMN(Y$4)-COLUMN($C$4),1,1)</f>
        <v>551294.47055890132</v>
      </c>
      <c r="Z23" s="52">
        <f ca="1">OFFSET(Z$4,ROW($B23)-ROW($B$4),-1,1,1)+OFFSET(Forecast!$B$61,0,COLUMN(Z$4)-COLUMN($C$4),1,1)</f>
        <v>564071.2615096299</v>
      </c>
      <c r="AA23" s="52">
        <f ca="1">OFFSET(AA$4,ROW($B23)-ROW($B$4),-1,1,1)+OFFSET(Forecast!$B$61,0,COLUMN(AA$4)-COLUMN($C$4),1,1)</f>
        <v>588955.69925511617</v>
      </c>
      <c r="AB23" s="52">
        <f ca="1">OFFSET(AB$4,ROW($B23)-ROW($B$4),-1,1,1)+OFFSET(Forecast!$B$61,0,COLUMN(AB$4)-COLUMN($C$4),1,1)</f>
        <v>624161.53925511613</v>
      </c>
      <c r="AC23" s="52">
        <f ca="1">OFFSET(AC$4,ROW($B23)-ROW($B$4),-1,1,1)+OFFSET(Forecast!$B$61,0,COLUMN(AC$4)-COLUMN($C$4),1,1)</f>
        <v>582645.61925511609</v>
      </c>
      <c r="AD23" s="52">
        <f ca="1">OFFSET(AD$4,ROW($B23)-ROW($B$4),-1,1,1)+OFFSET(Forecast!$B$61,0,COLUMN(AD$4)-COLUMN($C$4),1,1)</f>
        <v>594085.75423468521</v>
      </c>
      <c r="AE23" s="52">
        <f ca="1">OFFSET(AE$4,ROW($B23)-ROW($B$4),-1,1,1)+OFFSET(Forecast!$B$61,0,COLUMN(AE$4)-COLUMN($C$4),1,1)</f>
        <v>627349.91906051547</v>
      </c>
      <c r="AF23" s="52">
        <f ca="1">OFFSET(AF$4,ROW($B23)-ROW($B$4),-1,1,1)+OFFSET(Forecast!$B$61,0,COLUMN(AF$4)-COLUMN($C$4),1,1)</f>
        <v>664833.11906051543</v>
      </c>
      <c r="AG23" s="52">
        <f ca="1">OFFSET(AG$4,ROW($B23)-ROW($B$4),-1,1,1)+OFFSET(Forecast!$B$61,0,COLUMN(AG$4)-COLUMN($C$4),1,1)</f>
        <v>701843.63906051544</v>
      </c>
      <c r="AH23" s="52">
        <f ca="1">OFFSET(AH$4,ROW($B23)-ROW($B$4),-1,1,1)+OFFSET(Forecast!$B$61,0,COLUMN(AH$4)-COLUMN($C$4),1,1)</f>
        <v>669230.40341091657</v>
      </c>
      <c r="AI23" s="52">
        <f ca="1">OFFSET(AI$4,ROW($B23)-ROW($B$4),-1,1,1)+OFFSET(Forecast!$B$61,0,COLUMN(AI$4)-COLUMN($C$4),1,1)</f>
        <v>677008.08366120176</v>
      </c>
      <c r="AJ23" s="52">
        <f ca="1">OFFSET(AJ$4,ROW($B23)-ROW($B$4),-1,1,1)+OFFSET(Forecast!$B$61,0,COLUMN(AJ$4)-COLUMN($C$4),1,1)</f>
        <v>714744.0036612018</v>
      </c>
      <c r="AK23" s="52">
        <f ca="1">OFFSET(AK$4,ROW($B23)-ROW($B$4),-1,1,1)+OFFSET(Forecast!$B$61,0,COLUMN(AK$4)-COLUMN($C$4),1,1)</f>
        <v>741120.0036612018</v>
      </c>
      <c r="AL23" s="52">
        <f ca="1">OFFSET(AL$4,ROW($B23)-ROW($B$4),-1,1,1)+OFFSET(Forecast!$B$61,0,COLUMN(AL$4)-COLUMN($C$4),1,1)</f>
        <v>705498.87295327149</v>
      </c>
      <c r="AM23" s="52">
        <f ca="1">OFFSET(AM$4,ROW($B23)-ROW($B$4),-1,1,1)+OFFSET(Forecast!$B$61,0,COLUMN(AM$4)-COLUMN($C$4),1,1)</f>
        <v>719075.62771601346</v>
      </c>
      <c r="AN23" s="52">
        <f ca="1">OFFSET(AN$4,ROW($B23)-ROW($B$4),-1,1,1)+OFFSET(Forecast!$B$61,0,COLUMN(AN$4)-COLUMN($C$4),1,1)</f>
        <v>757133.59091855434</v>
      </c>
      <c r="AO23" s="52">
        <f ca="1">OFFSET(AO$4,ROW($B23)-ROW($B$4),-1,1,1)+OFFSET(Forecast!$B$61,0,COLUMN(AO$4)-COLUMN($C$4),1,1)</f>
        <v>792201.19091855432</v>
      </c>
      <c r="AP23" s="52">
        <f ca="1">OFFSET(AP$4,ROW($B23)-ROW($B$4),-1,1,1)+OFFSET(Forecast!$B$61,0,COLUMN(AP$4)-COLUMN($C$4),1,1)</f>
        <v>754699.99091855437</v>
      </c>
      <c r="AQ23" s="52">
        <f ca="1">OFFSET(AQ$4,ROW($B23)-ROW($B$4),-1,1,1)+OFFSET(Forecast!$B$61,0,COLUMN(AQ$4)-COLUMN($C$4),1,1)</f>
        <v>779614.08370427683</v>
      </c>
      <c r="AR23" s="52">
        <f ca="1">OFFSET(AR$4,ROW($B23)-ROW($B$4),-1,1,1)+OFFSET(Forecast!$B$61,0,COLUMN(AR$4)-COLUMN($C$4),1,1)</f>
        <v>793445.88757279178</v>
      </c>
      <c r="AS23" s="52">
        <f ca="1">OFFSET(AS$4,ROW($B23)-ROW($B$4),-1,1,1)+OFFSET(Forecast!$B$61,0,COLUMN(AS$4)-COLUMN($C$4),1,1)</f>
        <v>810041.88757279178</v>
      </c>
      <c r="AT23" s="52">
        <f ca="1">OFFSET(AT$4,ROW($B23)-ROW($B$4),-1,1,1)+OFFSET(Forecast!$B$61,0,COLUMN(AT$4)-COLUMN($C$4),1,1)</f>
        <v>773741.4075727918</v>
      </c>
      <c r="AU23" s="52">
        <f ca="1">OFFSET(AU$4,ROW($B23)-ROW($B$4),-1,1,1)+OFFSET(Forecast!$B$61,0,COLUMN(AU$4)-COLUMN($C$4),1,1)</f>
        <v>769002.03088101931</v>
      </c>
      <c r="AV23" s="52">
        <f ca="1">OFFSET(AV$4,ROW($B23)-ROW($B$4),-1,1,1)+OFFSET(Forecast!$B$61,0,COLUMN(AV$4)-COLUMN($C$4),1,1)</f>
        <v>766082.75614830665</v>
      </c>
      <c r="AW23" s="52">
        <f ca="1">OFFSET(AW$4,ROW($B23)-ROW($B$4),-1,1,1)+OFFSET(Forecast!$B$61,0,COLUMN(AW$4)-COLUMN($C$4),1,1)</f>
        <v>791327.10132251133</v>
      </c>
      <c r="AX23" s="52">
        <f ca="1">OFFSET(AX$4,ROW($B23)-ROW($B$4),-1,1,1)+OFFSET(Forecast!$B$61,0,COLUMN(AX$4)-COLUMN($C$4),1,1)</f>
        <v>830024.7013225113</v>
      </c>
      <c r="AY23" s="52">
        <f ca="1">OFFSET(AY$4,ROW($B23)-ROW($B$4),-1,1,1)+OFFSET(Forecast!$B$61,0,COLUMN(AY$4)-COLUMN($C$4),1,1)</f>
        <v>790688.62462854059</v>
      </c>
      <c r="AZ23" s="52">
        <f ca="1">OFFSET(AZ$4,ROW($B23)-ROW($B$4),-1,1,1)+OFFSET(Forecast!$B$61,0,COLUMN(AZ$4)-COLUMN($C$4),1,1)</f>
        <v>808206.00098753779</v>
      </c>
      <c r="BA23" s="52">
        <f ca="1">OFFSET(BA$4,ROW($B23)-ROW($B$4),-1,1,1)+OFFSET(Forecast!$B$61,0,COLUMN(BA$4)-COLUMN($C$4),1,1)</f>
        <v>843641.79290494509</v>
      </c>
      <c r="BB23" s="52">
        <f ca="1">OFFSET(BB$4,ROW($B23)-ROW($B$4),-1,1,1)+OFFSET(Forecast!$B$61,0,COLUMN(BB$4)-COLUMN($C$4),1,1)</f>
        <v>871210.59290494514</v>
      </c>
      <c r="BC23" s="52">
        <f ca="1">OFFSET(BC$4,ROW($B23)-ROW($B$4),-1,1,1)+OFFSET(Forecast!$B$61,0,COLUMN(BC$4)-COLUMN($C$4),1,1)</f>
        <v>827672.19290494511</v>
      </c>
      <c r="BD23" s="53">
        <f ca="1">OFFSET($B23,0,Assumptions!$C$8+1,1,1)</f>
        <v>459284.69147315365</v>
      </c>
      <c r="BE23" s="53">
        <f ca="1">OFFSET($B23,0,SUM(Assumptions!$C$8:$C$9)+1,1,1)</f>
        <v>582645.61925511609</v>
      </c>
      <c r="BF23" s="53">
        <f ca="1">OFFSET($B23,0,SUM(Assumptions!$C$8:$C$10)+1,1,1)</f>
        <v>754699.99091855437</v>
      </c>
      <c r="BG23" s="53">
        <f ca="1">OFFSET($B23,0,SUM(Assumptions!$C$8:$C$11)+1,1,1)</f>
        <v>827672.19290494511</v>
      </c>
      <c r="BH23" s="53">
        <f t="shared" ca="1" si="7"/>
        <v>827672.19290494511</v>
      </c>
    </row>
    <row r="24" spans="1:60" ht="16.149999999999999" customHeight="1" thickBot="1" x14ac:dyDescent="0.35">
      <c r="C24" s="100">
        <f ca="1">SUM(C21:C23)</f>
        <v>401000</v>
      </c>
      <c r="D24" s="100">
        <f t="shared" ref="D24:BH24" ca="1" si="8">SUM(D21:D23)</f>
        <v>405824</v>
      </c>
      <c r="E24" s="100">
        <f t="shared" ca="1" si="8"/>
        <v>427172.10800000001</v>
      </c>
      <c r="F24" s="100">
        <f t="shared" ca="1" si="8"/>
        <v>453716.10800000001</v>
      </c>
      <c r="G24" s="100">
        <f t="shared" ca="1" si="8"/>
        <v>434760.908</v>
      </c>
      <c r="H24" s="100">
        <f t="shared" ca="1" si="8"/>
        <v>442700.94799999997</v>
      </c>
      <c r="I24" s="100">
        <f t="shared" ca="1" si="8"/>
        <v>442893.76517700148</v>
      </c>
      <c r="J24" s="100">
        <f t="shared" ca="1" si="8"/>
        <v>458535.40517700149</v>
      </c>
      <c r="K24" s="100">
        <f t="shared" ca="1" si="8"/>
        <v>489261.40517700149</v>
      </c>
      <c r="L24" s="100">
        <f t="shared" ca="1" si="8"/>
        <v>445584.82966294669</v>
      </c>
      <c r="M24" s="100">
        <f t="shared" ca="1" si="8"/>
        <v>449685.76158088743</v>
      </c>
      <c r="N24" s="100">
        <f t="shared" ca="1" si="8"/>
        <v>480277.2512291841</v>
      </c>
      <c r="O24" s="100">
        <f t="shared" ca="1" si="8"/>
        <v>514634.6912291841</v>
      </c>
      <c r="P24" s="100">
        <f t="shared" ca="1" si="8"/>
        <v>460284.69147315365</v>
      </c>
      <c r="Q24" s="100">
        <f t="shared" ca="1" si="8"/>
        <v>474744.14696794515</v>
      </c>
      <c r="R24" s="100">
        <f t="shared" ca="1" si="8"/>
        <v>503191.85167732107</v>
      </c>
      <c r="S24" s="100">
        <f t="shared" ca="1" si="8"/>
        <v>533392.49167732103</v>
      </c>
      <c r="T24" s="100">
        <f t="shared" ca="1" si="8"/>
        <v>509051.091677321</v>
      </c>
      <c r="U24" s="100">
        <f t="shared" ca="1" si="8"/>
        <v>521139.34011744964</v>
      </c>
      <c r="V24" s="100">
        <f t="shared" ca="1" si="8"/>
        <v>531924.86030943482</v>
      </c>
      <c r="W24" s="100">
        <f t="shared" ca="1" si="8"/>
        <v>560518.4603094348</v>
      </c>
      <c r="X24" s="100">
        <f t="shared" ca="1" si="8"/>
        <v>587133.26030943485</v>
      </c>
      <c r="Y24" s="100">
        <f t="shared" ca="1" si="8"/>
        <v>552294.47055890132</v>
      </c>
      <c r="Z24" s="100">
        <f t="shared" ca="1" si="8"/>
        <v>565071.2615096299</v>
      </c>
      <c r="AA24" s="100">
        <f t="shared" ca="1" si="8"/>
        <v>589955.69925511617</v>
      </c>
      <c r="AB24" s="100">
        <f t="shared" ca="1" si="8"/>
        <v>625161.53925511613</v>
      </c>
      <c r="AC24" s="100">
        <f t="shared" ca="1" si="8"/>
        <v>583645.61925511609</v>
      </c>
      <c r="AD24" s="100">
        <f t="shared" ca="1" si="8"/>
        <v>595085.75423468521</v>
      </c>
      <c r="AE24" s="100">
        <f t="shared" ca="1" si="8"/>
        <v>628349.91906051547</v>
      </c>
      <c r="AF24" s="100">
        <f t="shared" ca="1" si="8"/>
        <v>665833.11906051543</v>
      </c>
      <c r="AG24" s="100">
        <f t="shared" ca="1" si="8"/>
        <v>702843.63906051544</v>
      </c>
      <c r="AH24" s="100">
        <f t="shared" ca="1" si="8"/>
        <v>670230.40341091657</v>
      </c>
      <c r="AI24" s="100">
        <f t="shared" ca="1" si="8"/>
        <v>678008.08366120176</v>
      </c>
      <c r="AJ24" s="100">
        <f t="shared" ca="1" si="8"/>
        <v>715744.0036612018</v>
      </c>
      <c r="AK24" s="100">
        <f t="shared" ca="1" si="8"/>
        <v>742120.0036612018</v>
      </c>
      <c r="AL24" s="100">
        <f t="shared" ca="1" si="8"/>
        <v>706498.87295327149</v>
      </c>
      <c r="AM24" s="100">
        <f t="shared" ca="1" si="8"/>
        <v>720075.62771601346</v>
      </c>
      <c r="AN24" s="100">
        <f t="shared" ca="1" si="8"/>
        <v>758133.59091855434</v>
      </c>
      <c r="AO24" s="100">
        <f t="shared" ca="1" si="8"/>
        <v>793201.19091855432</v>
      </c>
      <c r="AP24" s="100">
        <f t="shared" ca="1" si="8"/>
        <v>755699.99091855437</v>
      </c>
      <c r="AQ24" s="100">
        <f t="shared" ca="1" si="8"/>
        <v>780614.08370427683</v>
      </c>
      <c r="AR24" s="100">
        <f t="shared" ca="1" si="8"/>
        <v>794445.88757279178</v>
      </c>
      <c r="AS24" s="100">
        <f t="shared" ca="1" si="8"/>
        <v>811041.88757279178</v>
      </c>
      <c r="AT24" s="100">
        <f t="shared" ca="1" si="8"/>
        <v>774741.4075727918</v>
      </c>
      <c r="AU24" s="100">
        <f t="shared" ca="1" si="8"/>
        <v>770002.03088101931</v>
      </c>
      <c r="AV24" s="100">
        <f t="shared" ca="1" si="8"/>
        <v>767082.75614830665</v>
      </c>
      <c r="AW24" s="100">
        <f t="shared" ca="1" si="8"/>
        <v>792327.10132251133</v>
      </c>
      <c r="AX24" s="100">
        <f t="shared" ca="1" si="8"/>
        <v>831024.7013225113</v>
      </c>
      <c r="AY24" s="100">
        <f t="shared" ca="1" si="8"/>
        <v>791688.62462854059</v>
      </c>
      <c r="AZ24" s="100">
        <f t="shared" ca="1" si="8"/>
        <v>809206.00098753779</v>
      </c>
      <c r="BA24" s="100">
        <f t="shared" ca="1" si="8"/>
        <v>844641.79290494509</v>
      </c>
      <c r="BB24" s="100">
        <f t="shared" ca="1" si="8"/>
        <v>872210.59290494514</v>
      </c>
      <c r="BC24" s="100">
        <f t="shared" ca="1" si="8"/>
        <v>828672.19290494511</v>
      </c>
      <c r="BD24" s="57">
        <f t="shared" ca="1" si="8"/>
        <v>460284.69147315365</v>
      </c>
      <c r="BE24" s="57">
        <f t="shared" ca="1" si="8"/>
        <v>583645.61925511609</v>
      </c>
      <c r="BF24" s="57">
        <f t="shared" ca="1" si="8"/>
        <v>755699.99091855437</v>
      </c>
      <c r="BG24" s="57">
        <f t="shared" ca="1" si="8"/>
        <v>828672.19290494511</v>
      </c>
      <c r="BH24" s="57">
        <f t="shared" ca="1" si="8"/>
        <v>828672.19290494511</v>
      </c>
    </row>
    <row r="25" spans="1:60" ht="16.149999999999999" customHeight="1" x14ac:dyDescent="0.25">
      <c r="A25" s="294"/>
      <c r="B25" s="3" t="s">
        <v>239</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3"/>
      <c r="BE25" s="53"/>
      <c r="BF25" s="53"/>
      <c r="BG25" s="53"/>
      <c r="BH25" s="53"/>
    </row>
    <row r="26" spans="1:60" s="107" customFormat="1" ht="16.149999999999999" customHeight="1" x14ac:dyDescent="0.3">
      <c r="A26" s="291" t="s">
        <v>143</v>
      </c>
      <c r="B26" s="104" t="s">
        <v>183</v>
      </c>
      <c r="C26" s="105">
        <f ca="1">-SUMIF(Assumptions!$A$81:$C$104,$A26,Assumptions!$C$81:$C$104)</f>
        <v>1200000</v>
      </c>
      <c r="D26" s="105">
        <f ca="1">OFFSET(D$4,ROW($B26)-ROW($B$4),-1,1,1)+OFFSET(Forecast!$B103,0,COLUMN(D$4)-COLUMN($C$4),1,1)+OFFSET(Forecast!$B99,0,COLUMN(D$4)-COLUMN($C$4),1,1)</f>
        <v>1194225.3197747867</v>
      </c>
      <c r="E26" s="105">
        <f ca="1">OFFSET(E$4,ROW($B26)-ROW($B$4),-1,1,1)+OFFSET(Forecast!$B103,0,COLUMN(E$4)-COLUMN($C$4),1,1)+OFFSET(Forecast!$B99,0,COLUMN(E$4)-COLUMN($C$4),1,1)</f>
        <v>1194225.3197747867</v>
      </c>
      <c r="F26" s="105">
        <f ca="1">OFFSET(F$4,ROW($B26)-ROW($B$4),-1,1,1)+OFFSET(Forecast!$B103,0,COLUMN(F$4)-COLUMN($C$4),1,1)+OFFSET(Forecast!$B99,0,COLUMN(F$4)-COLUMN($C$4),1,1)</f>
        <v>1194225.3197747867</v>
      </c>
      <c r="G26" s="105">
        <f ca="1">OFFSET(G$4,ROW($B26)-ROW($B$4),-1,1,1)+OFFSET(Forecast!$B103,0,COLUMN(G$4)-COLUMN($C$4),1,1)+OFFSET(Forecast!$B99,0,COLUMN(G$4)-COLUMN($C$4),1,1)</f>
        <v>1194225.3197747867</v>
      </c>
      <c r="H26" s="105">
        <f ca="1">OFFSET(H$4,ROW($B26)-ROW($B$4),-1,1,1)+OFFSET(Forecast!$B103,0,COLUMN(H$4)-COLUMN($C$4),1,1)+OFFSET(Forecast!$B99,0,COLUMN(H$4)-COLUMN($C$4),1,1)</f>
        <v>1194225.3197747867</v>
      </c>
      <c r="I26" s="105">
        <f ca="1">OFFSET(I$4,ROW($B26)-ROW($B$4),-1,1,1)+OFFSET(Forecast!$B103,0,COLUMN(I$4)-COLUMN($C$4),1,1)+OFFSET(Forecast!$B99,0,COLUMN(I$4)-COLUMN($C$4),1,1)</f>
        <v>1188401.314155983</v>
      </c>
      <c r="J26" s="105">
        <f ca="1">OFFSET(J$4,ROW($B26)-ROW($B$4),-1,1,1)+OFFSET(Forecast!$B103,0,COLUMN(J$4)-COLUMN($C$4),1,1)+OFFSET(Forecast!$B99,0,COLUMN(J$4)-COLUMN($C$4),1,1)</f>
        <v>1188401.314155983</v>
      </c>
      <c r="K26" s="105">
        <f ca="1">OFFSET(K$4,ROW($B26)-ROW($B$4),-1,1,1)+OFFSET(Forecast!$B103,0,COLUMN(K$4)-COLUMN($C$4),1,1)+OFFSET(Forecast!$B99,0,COLUMN(K$4)-COLUMN($C$4),1,1)</f>
        <v>1188401.314155983</v>
      </c>
      <c r="L26" s="105">
        <f ca="1">OFFSET(L$4,ROW($B26)-ROW($B$4),-1,1,1)+OFFSET(Forecast!$B103,0,COLUMN(L$4)-COLUMN($C$4),1,1)+OFFSET(Forecast!$B99,0,COLUMN(L$4)-COLUMN($C$4),1,1)</f>
        <v>1188401.314155983</v>
      </c>
      <c r="M26" s="105">
        <f ca="1">OFFSET(M$4,ROW($B26)-ROW($B$4),-1,1,1)+OFFSET(Forecast!$B103,0,COLUMN(M$4)-COLUMN($C$4),1,1)+OFFSET(Forecast!$B99,0,COLUMN(M$4)-COLUMN($C$4),1,1)</f>
        <v>1182527.5618225189</v>
      </c>
      <c r="N26" s="105">
        <f ca="1">OFFSET(N$4,ROW($B26)-ROW($B$4),-1,1,1)+OFFSET(Forecast!$B103,0,COLUMN(N$4)-COLUMN($C$4),1,1)+OFFSET(Forecast!$B99,0,COLUMN(N$4)-COLUMN($C$4),1,1)</f>
        <v>1182527.5618225189</v>
      </c>
      <c r="O26" s="105">
        <f ca="1">OFFSET(O$4,ROW($B26)-ROW($B$4),-1,1,1)+OFFSET(Forecast!$B103,0,COLUMN(O$4)-COLUMN($C$4),1,1)+OFFSET(Forecast!$B99,0,COLUMN(O$4)-COLUMN($C$4),1,1)</f>
        <v>1182527.5618225189</v>
      </c>
      <c r="P26" s="105">
        <f ca="1">OFFSET(P$4,ROW($B26)-ROW($B$4),-1,1,1)+OFFSET(Forecast!$B103,0,COLUMN(P$4)-COLUMN($C$4),1,1)+OFFSET(Forecast!$B99,0,COLUMN(P$4)-COLUMN($C$4),1,1)</f>
        <v>1182527.5618225189</v>
      </c>
      <c r="Q26" s="105">
        <f ca="1">OFFSET(Q$4,ROW($B26)-ROW($B$4),-1,1,1)+OFFSET(Forecast!$B103,0,COLUMN(Q$4)-COLUMN($C$4),1,1)+OFFSET(Forecast!$B99,0,COLUMN(Q$4)-COLUMN($C$4),1,1)</f>
        <v>1176603.6378545398</v>
      </c>
      <c r="R26" s="105">
        <f ca="1">OFFSET(R$4,ROW($B26)-ROW($B$4),-1,1,1)+OFFSET(Forecast!$B103,0,COLUMN(R$4)-COLUMN($C$4),1,1)+OFFSET(Forecast!$B99,0,COLUMN(R$4)-COLUMN($C$4),1,1)</f>
        <v>1176603.6378545398</v>
      </c>
      <c r="S26" s="105">
        <f ca="1">OFFSET(S$4,ROW($B26)-ROW($B$4),-1,1,1)+OFFSET(Forecast!$B103,0,COLUMN(S$4)-COLUMN($C$4),1,1)+OFFSET(Forecast!$B99,0,COLUMN(S$4)-COLUMN($C$4),1,1)</f>
        <v>1176603.6378545398</v>
      </c>
      <c r="T26" s="105">
        <f ca="1">OFFSET(T$4,ROW($B26)-ROW($B$4),-1,1,1)+OFFSET(Forecast!$B103,0,COLUMN(T$4)-COLUMN($C$4),1,1)+OFFSET(Forecast!$B99,0,COLUMN(T$4)-COLUMN($C$4),1,1)</f>
        <v>1176603.6378545398</v>
      </c>
      <c r="U26" s="105">
        <f ca="1">OFFSET(U$4,ROW($B26)-ROW($B$4),-1,1,1)+OFFSET(Forecast!$B103,0,COLUMN(U$4)-COLUMN($C$4),1,1)+OFFSET(Forecast!$B99,0,COLUMN(U$4)-COLUMN($C$4),1,1)</f>
        <v>1176603.6378545398</v>
      </c>
      <c r="V26" s="105">
        <f ca="1">OFFSET(V$4,ROW($B26)-ROW($B$4),-1,1,1)+OFFSET(Forecast!$B103,0,COLUMN(V$4)-COLUMN($C$4),1,1)+OFFSET(Forecast!$B99,0,COLUMN(V$4)-COLUMN($C$4),1,1)</f>
        <v>1170629.1137026674</v>
      </c>
      <c r="W26" s="105">
        <f ca="1">OFFSET(W$4,ROW($B26)-ROW($B$4),-1,1,1)+OFFSET(Forecast!$B103,0,COLUMN(W$4)-COLUMN($C$4),1,1)+OFFSET(Forecast!$B99,0,COLUMN(W$4)-COLUMN($C$4),1,1)</f>
        <v>1170629.1137026674</v>
      </c>
      <c r="X26" s="105">
        <f ca="1">OFFSET(X$4,ROW($B26)-ROW($B$4),-1,1,1)+OFFSET(Forecast!$B103,0,COLUMN(X$4)-COLUMN($C$4),1,1)+OFFSET(Forecast!$B99,0,COLUMN(X$4)-COLUMN($C$4),1,1)</f>
        <v>1170629.1137026674</v>
      </c>
      <c r="Y26" s="105">
        <f ca="1">OFFSET(Y$4,ROW($B26)-ROW($B$4),-1,1,1)+OFFSET(Forecast!$B103,0,COLUMN(Y$4)-COLUMN($C$4),1,1)+OFFSET(Forecast!$B99,0,COLUMN(Y$4)-COLUMN($C$4),1,1)</f>
        <v>1170629.1137026674</v>
      </c>
      <c r="Z26" s="105">
        <f ca="1">OFFSET(Z$4,ROW($B26)-ROW($B$4),-1,1,1)+OFFSET(Forecast!$B103,0,COLUMN(Z$4)-COLUMN($C$4),1,1)+OFFSET(Forecast!$B99,0,COLUMN(Z$4)-COLUMN($C$4),1,1)</f>
        <v>1164603.5571569977</v>
      </c>
      <c r="AA26" s="105">
        <f ca="1">OFFSET(AA$4,ROW($B26)-ROW($B$4),-1,1,1)+OFFSET(Forecast!$B103,0,COLUMN(AA$4)-COLUMN($C$4),1,1)+OFFSET(Forecast!$B99,0,COLUMN(AA$4)-COLUMN($C$4),1,1)</f>
        <v>1164603.5571569977</v>
      </c>
      <c r="AB26" s="105">
        <f ca="1">OFFSET(AB$4,ROW($B26)-ROW($B$4),-1,1,1)+OFFSET(Forecast!$B103,0,COLUMN(AB$4)-COLUMN($C$4),1,1)+OFFSET(Forecast!$B99,0,COLUMN(AB$4)-COLUMN($C$4),1,1)</f>
        <v>1164603.5571569977</v>
      </c>
      <c r="AC26" s="105">
        <f ca="1">OFFSET(AC$4,ROW($B26)-ROW($B$4),-1,1,1)+OFFSET(Forecast!$B103,0,COLUMN(AC$4)-COLUMN($C$4),1,1)+OFFSET(Forecast!$B99,0,COLUMN(AC$4)-COLUMN($C$4),1,1)</f>
        <v>1164603.5571569977</v>
      </c>
      <c r="AD26" s="105">
        <f ca="1">OFFSET(AD$4,ROW($B26)-ROW($B$4),-1,1,1)+OFFSET(Forecast!$B103,0,COLUMN(AD$4)-COLUMN($C$4),1,1)+OFFSET(Forecast!$B99,0,COLUMN(AD$4)-COLUMN($C$4),1,1)</f>
        <v>1158526.532315834</v>
      </c>
      <c r="AE26" s="105">
        <f ca="1">OFFSET(AE$4,ROW($B26)-ROW($B$4),-1,1,1)+OFFSET(Forecast!$B103,0,COLUMN(AE$4)-COLUMN($C$4),1,1)+OFFSET(Forecast!$B99,0,COLUMN(AE$4)-COLUMN($C$4),1,1)</f>
        <v>1158526.532315834</v>
      </c>
      <c r="AF26" s="105">
        <f ca="1">OFFSET(AF$4,ROW($B26)-ROW($B$4),-1,1,1)+OFFSET(Forecast!$B103,0,COLUMN(AF$4)-COLUMN($C$4),1,1)+OFFSET(Forecast!$B99,0,COLUMN(AF$4)-COLUMN($C$4),1,1)</f>
        <v>1158526.532315834</v>
      </c>
      <c r="AG26" s="105">
        <f ca="1">OFFSET(AG$4,ROW($B26)-ROW($B$4),-1,1,1)+OFFSET(Forecast!$B103,0,COLUMN(AG$4)-COLUMN($C$4),1,1)+OFFSET(Forecast!$B99,0,COLUMN(AG$4)-COLUMN($C$4),1,1)</f>
        <v>1158526.532315834</v>
      </c>
      <c r="AH26" s="105">
        <f ca="1">OFFSET(AH$4,ROW($B26)-ROW($B$4),-1,1,1)+OFFSET(Forecast!$B103,0,COLUMN(AH$4)-COLUMN($C$4),1,1)+OFFSET(Forecast!$B99,0,COLUMN(AH$4)-COLUMN($C$4),1,1)</f>
        <v>1158526.532315834</v>
      </c>
      <c r="AI26" s="105">
        <f ca="1">OFFSET(AI$4,ROW($B26)-ROW($B$4),-1,1,1)+OFFSET(Forecast!$B103,0,COLUMN(AI$4)-COLUMN($C$4),1,1)+OFFSET(Forecast!$B99,0,COLUMN(AI$4)-COLUMN($C$4),1,1)</f>
        <v>1152397.5995541518</v>
      </c>
      <c r="AJ26" s="105">
        <f ca="1">OFFSET(AJ$4,ROW($B26)-ROW($B$4),-1,1,1)+OFFSET(Forecast!$B103,0,COLUMN(AJ$4)-COLUMN($C$4),1,1)+OFFSET(Forecast!$B99,0,COLUMN(AJ$4)-COLUMN($C$4),1,1)</f>
        <v>1152397.5995541518</v>
      </c>
      <c r="AK26" s="105">
        <f ca="1">OFFSET(AK$4,ROW($B26)-ROW($B$4),-1,1,1)+OFFSET(Forecast!$B103,0,COLUMN(AK$4)-COLUMN($C$4),1,1)+OFFSET(Forecast!$B99,0,COLUMN(AK$4)-COLUMN($C$4),1,1)</f>
        <v>1152397.5995541518</v>
      </c>
      <c r="AL26" s="105">
        <f ca="1">OFFSET(AL$4,ROW($B26)-ROW($B$4),-1,1,1)+OFFSET(Forecast!$B103,0,COLUMN(AL$4)-COLUMN($C$4),1,1)+OFFSET(Forecast!$B99,0,COLUMN(AL$4)-COLUMN($C$4),1,1)</f>
        <v>1152397.5995541518</v>
      </c>
      <c r="AM26" s="105">
        <f ca="1">OFFSET(AM$4,ROW($B26)-ROW($B$4),-1,1,1)+OFFSET(Forecast!$B103,0,COLUMN(AM$4)-COLUMN($C$4),1,1)+OFFSET(Forecast!$B99,0,COLUMN(AM$4)-COLUMN($C$4),1,1)</f>
        <v>1146216.3154917969</v>
      </c>
      <c r="AN26" s="105">
        <f ca="1">OFFSET(AN$4,ROW($B26)-ROW($B$4),-1,1,1)+OFFSET(Forecast!$B103,0,COLUMN(AN$4)-COLUMN($C$4),1,1)+OFFSET(Forecast!$B99,0,COLUMN(AN$4)-COLUMN($C$4),1,1)</f>
        <v>1146216.3154917969</v>
      </c>
      <c r="AO26" s="105">
        <f ca="1">OFFSET(AO$4,ROW($B26)-ROW($B$4),-1,1,1)+OFFSET(Forecast!$B103,0,COLUMN(AO$4)-COLUMN($C$4),1,1)+OFFSET(Forecast!$B99,0,COLUMN(AO$4)-COLUMN($C$4),1,1)</f>
        <v>1146216.3154917969</v>
      </c>
      <c r="AP26" s="105">
        <f ca="1">OFFSET(AP$4,ROW($B26)-ROW($B$4),-1,1,1)+OFFSET(Forecast!$B103,0,COLUMN(AP$4)-COLUMN($C$4),1,1)+OFFSET(Forecast!$B99,0,COLUMN(AP$4)-COLUMN($C$4),1,1)</f>
        <v>1146216.3154917969</v>
      </c>
      <c r="AQ26" s="105">
        <f ca="1">OFFSET(AQ$4,ROW($B26)-ROW($B$4),-1,1,1)+OFFSET(Forecast!$B103,0,COLUMN(AQ$4)-COLUMN($C$4),1,1)+OFFSET(Forecast!$B99,0,COLUMN(AQ$4)-COLUMN($C$4),1,1)</f>
        <v>1139982.2329614095</v>
      </c>
      <c r="AR26" s="105">
        <f ca="1">OFFSET(AR$4,ROW($B26)-ROW($B$4),-1,1,1)+OFFSET(Forecast!$B103,0,COLUMN(AR$4)-COLUMN($C$4),1,1)+OFFSET(Forecast!$B99,0,COLUMN(AR$4)-COLUMN($C$4),1,1)</f>
        <v>1139982.2329614095</v>
      </c>
      <c r="AS26" s="105">
        <f ca="1">OFFSET(AS$4,ROW($B26)-ROW($B$4),-1,1,1)+OFFSET(Forecast!$B103,0,COLUMN(AS$4)-COLUMN($C$4),1,1)+OFFSET(Forecast!$B99,0,COLUMN(AS$4)-COLUMN($C$4),1,1)</f>
        <v>1139982.2329614095</v>
      </c>
      <c r="AT26" s="105">
        <f ca="1">OFFSET(AT$4,ROW($B26)-ROW($B$4),-1,1,1)+OFFSET(Forecast!$B103,0,COLUMN(AT$4)-COLUMN($C$4),1,1)+OFFSET(Forecast!$B99,0,COLUMN(AT$4)-COLUMN($C$4),1,1)</f>
        <v>1139982.2329614095</v>
      </c>
      <c r="AU26" s="105">
        <f ca="1">OFFSET(AU$4,ROW($B26)-ROW($B$4),-1,1,1)+OFFSET(Forecast!$B103,0,COLUMN(AU$4)-COLUMN($C$4),1,1)+OFFSET(Forecast!$B99,0,COLUMN(AU$4)-COLUMN($C$4),1,1)</f>
        <v>1139982.2329614095</v>
      </c>
      <c r="AV26" s="105">
        <f ca="1">OFFSET(AV$4,ROW($B26)-ROW($B$4),-1,1,1)+OFFSET(Forecast!$B103,0,COLUMN(AV$4)-COLUMN($C$4),1,1)+OFFSET(Forecast!$B99,0,COLUMN(AV$4)-COLUMN($C$4),1,1)</f>
        <v>1133694.9009760751</v>
      </c>
      <c r="AW26" s="105">
        <f ca="1">OFFSET(AW$4,ROW($B26)-ROW($B$4),-1,1,1)+OFFSET(Forecast!$B103,0,COLUMN(AW$4)-COLUMN($C$4),1,1)+OFFSET(Forecast!$B99,0,COLUMN(AW$4)-COLUMN($C$4),1,1)</f>
        <v>1133694.9009760751</v>
      </c>
      <c r="AX26" s="105">
        <f ca="1">OFFSET(AX$4,ROW($B26)-ROW($B$4),-1,1,1)+OFFSET(Forecast!$B103,0,COLUMN(AX$4)-COLUMN($C$4),1,1)+OFFSET(Forecast!$B99,0,COLUMN(AX$4)-COLUMN($C$4),1,1)</f>
        <v>1133694.9009760751</v>
      </c>
      <c r="AY26" s="105">
        <f ca="1">OFFSET(AY$4,ROW($B26)-ROW($B$4),-1,1,1)+OFFSET(Forecast!$B103,0,COLUMN(AY$4)-COLUMN($C$4),1,1)+OFFSET(Forecast!$B99,0,COLUMN(AY$4)-COLUMN($C$4),1,1)</f>
        <v>1133694.9009760751</v>
      </c>
      <c r="AZ26" s="105">
        <f ca="1">OFFSET(AZ$4,ROW($B26)-ROW($B$4),-1,1,1)+OFFSET(Forecast!$B103,0,COLUMN(AZ$4)-COLUMN($C$4),1,1)+OFFSET(Forecast!$B99,0,COLUMN(AZ$4)-COLUMN($C$4),1,1)</f>
        <v>1127353.8646966992</v>
      </c>
      <c r="BA26" s="105">
        <f ca="1">OFFSET(BA$4,ROW($B26)-ROW($B$4),-1,1,1)+OFFSET(Forecast!$B103,0,COLUMN(BA$4)-COLUMN($C$4),1,1)+OFFSET(Forecast!$B99,0,COLUMN(BA$4)-COLUMN($C$4),1,1)</f>
        <v>1127353.8646966992</v>
      </c>
      <c r="BB26" s="105">
        <f ca="1">OFFSET(BB$4,ROW($B26)-ROW($B$4),-1,1,1)+OFFSET(Forecast!$B103,0,COLUMN(BB$4)-COLUMN($C$4),1,1)+OFFSET(Forecast!$B99,0,COLUMN(BB$4)-COLUMN($C$4),1,1)</f>
        <v>1127353.8646966992</v>
      </c>
      <c r="BC26" s="105">
        <f ca="1">OFFSET(BC$4,ROW($B26)-ROW($B$4),-1,1,1)+OFFSET(Forecast!$B103,0,COLUMN(BC$4)-COLUMN($C$4),1,1)+OFFSET(Forecast!$B99,0,COLUMN(BC$4)-COLUMN($C$4),1,1)</f>
        <v>1127353.8646966992</v>
      </c>
      <c r="BD26" s="106">
        <f ca="1">OFFSET($B26,0,Assumptions!$C$8+1,1,1)</f>
        <v>1182527.5618225189</v>
      </c>
      <c r="BE26" s="106">
        <f ca="1">OFFSET($B26,0,SUM(Assumptions!$C$8:$C$9)+1,1,1)</f>
        <v>1164603.5571569977</v>
      </c>
      <c r="BF26" s="106">
        <f ca="1">OFFSET($B26,0,SUM(Assumptions!$C$8:$C$10)+1,1,1)</f>
        <v>1146216.3154917969</v>
      </c>
      <c r="BG26" s="106">
        <f ca="1">OFFSET($B26,0,SUM(Assumptions!$C$8:$C$11)+1,1,1)</f>
        <v>1127353.8646966992</v>
      </c>
      <c r="BH26" s="106">
        <f t="shared" ref="BH26:BH29" ca="1" si="9">BG26</f>
        <v>1127353.8646966992</v>
      </c>
    </row>
    <row r="27" spans="1:60" s="107" customFormat="1" ht="16.149999999999999" customHeight="1" x14ac:dyDescent="0.3">
      <c r="A27" s="291" t="s">
        <v>145</v>
      </c>
      <c r="B27" s="104" t="s">
        <v>184</v>
      </c>
      <c r="C27" s="105">
        <f ca="1">-SUMIF(Assumptions!$A$81:$C$104,$A27,Assumptions!$C$81:$C$104)</f>
        <v>500000</v>
      </c>
      <c r="D27" s="105">
        <f ca="1">OFFSET(D$4,ROW($B27)-ROW($B$4),-1,1,1)+OFFSET(Forecast!$B104,0,COLUMN(D$4)-COLUMN($C$4),1,1)+OFFSET(Forecast!$B100,0,COLUMN(D$4)-COLUMN($C$4),1,1)</f>
        <v>500000</v>
      </c>
      <c r="E27" s="105">
        <f ca="1">OFFSET(E$4,ROW($B27)-ROW($B$4),-1,1,1)+OFFSET(Forecast!$B104,0,COLUMN(E$4)-COLUMN($C$4),1,1)+OFFSET(Forecast!$B100,0,COLUMN(E$4)-COLUMN($C$4),1,1)</f>
        <v>500000</v>
      </c>
      <c r="F27" s="105">
        <f ca="1">OFFSET(F$4,ROW($B27)-ROW($B$4),-1,1,1)+OFFSET(Forecast!$B104,0,COLUMN(F$4)-COLUMN($C$4),1,1)+OFFSET(Forecast!$B100,0,COLUMN(F$4)-COLUMN($C$4),1,1)</f>
        <v>500000</v>
      </c>
      <c r="G27" s="105">
        <f ca="1">OFFSET(G$4,ROW($B27)-ROW($B$4),-1,1,1)+OFFSET(Forecast!$B104,0,COLUMN(G$4)-COLUMN($C$4),1,1)+OFFSET(Forecast!$B100,0,COLUMN(G$4)-COLUMN($C$4),1,1)</f>
        <v>500000</v>
      </c>
      <c r="H27" s="105">
        <f ca="1">OFFSET(H$4,ROW($B27)-ROW($B$4),-1,1,1)+OFFSET(Forecast!$B104,0,COLUMN(H$4)-COLUMN($C$4),1,1)+OFFSET(Forecast!$B100,0,COLUMN(H$4)-COLUMN($C$4),1,1)</f>
        <v>496464.05658645334</v>
      </c>
      <c r="I27" s="105">
        <f ca="1">OFFSET(I$4,ROW($B27)-ROW($B$4),-1,1,1)+OFFSET(Forecast!$B104,0,COLUMN(I$4)-COLUMN($C$4),1,1)+OFFSET(Forecast!$B100,0,COLUMN(I$4)-COLUMN($C$4),1,1)</f>
        <v>496464.05658645334</v>
      </c>
      <c r="J27" s="105">
        <f ca="1">OFFSET(J$4,ROW($B27)-ROW($B$4),-1,1,1)+OFFSET(Forecast!$B104,0,COLUMN(J$4)-COLUMN($C$4),1,1)+OFFSET(Forecast!$B100,0,COLUMN(J$4)-COLUMN($C$4),1,1)</f>
        <v>496464.05658645334</v>
      </c>
      <c r="K27" s="105">
        <f ca="1">OFFSET(K$4,ROW($B27)-ROW($B$4),-1,1,1)+OFFSET(Forecast!$B104,0,COLUMN(K$4)-COLUMN($C$4),1,1)+OFFSET(Forecast!$B100,0,COLUMN(K$4)-COLUMN($C$4),1,1)</f>
        <v>496464.05658645334</v>
      </c>
      <c r="L27" s="105">
        <f ca="1">OFFSET(L$4,ROW($B27)-ROW($B$4),-1,1,1)+OFFSET(Forecast!$B104,0,COLUMN(L$4)-COLUMN($C$4),1,1)+OFFSET(Forecast!$B100,0,COLUMN(L$4)-COLUMN($C$4),1,1)</f>
        <v>492900.85694242723</v>
      </c>
      <c r="M27" s="105">
        <f ca="1">OFFSET(M$4,ROW($B27)-ROW($B$4),-1,1,1)+OFFSET(Forecast!$B104,0,COLUMN(M$4)-COLUMN($C$4),1,1)+OFFSET(Forecast!$B100,0,COLUMN(M$4)-COLUMN($C$4),1,1)</f>
        <v>492900.85694242723</v>
      </c>
      <c r="N27" s="105">
        <f ca="1">OFFSET(N$4,ROW($B27)-ROW($B$4),-1,1,1)+OFFSET(Forecast!$B104,0,COLUMN(N$4)-COLUMN($C$4),1,1)+OFFSET(Forecast!$B100,0,COLUMN(N$4)-COLUMN($C$4),1,1)</f>
        <v>492900.85694242723</v>
      </c>
      <c r="O27" s="105">
        <f ca="1">OFFSET(O$4,ROW($B27)-ROW($B$4),-1,1,1)+OFFSET(Forecast!$B104,0,COLUMN(O$4)-COLUMN($C$4),1,1)+OFFSET(Forecast!$B100,0,COLUMN(O$4)-COLUMN($C$4),1,1)</f>
        <v>492900.85694242723</v>
      </c>
      <c r="P27" s="105">
        <f ca="1">OFFSET(P$4,ROW($B27)-ROW($B$4),-1,1,1)+OFFSET(Forecast!$B104,0,COLUMN(P$4)-COLUMN($C$4),1,1)+OFFSET(Forecast!$B100,0,COLUMN(P$4)-COLUMN($C$4),1,1)</f>
        <v>489310.19096781174</v>
      </c>
      <c r="Q27" s="105">
        <f ca="1">OFFSET(Q$4,ROW($B27)-ROW($B$4),-1,1,1)+OFFSET(Forecast!$B104,0,COLUMN(Q$4)-COLUMN($C$4),1,1)+OFFSET(Forecast!$B100,0,COLUMN(Q$4)-COLUMN($C$4),1,1)</f>
        <v>489310.19096781174</v>
      </c>
      <c r="R27" s="105">
        <f ca="1">OFFSET(R$4,ROW($B27)-ROW($B$4),-1,1,1)+OFFSET(Forecast!$B104,0,COLUMN(R$4)-COLUMN($C$4),1,1)+OFFSET(Forecast!$B100,0,COLUMN(R$4)-COLUMN($C$4),1,1)</f>
        <v>489310.19096781174</v>
      </c>
      <c r="S27" s="105">
        <f ca="1">OFFSET(S$4,ROW($B27)-ROW($B$4),-1,1,1)+OFFSET(Forecast!$B104,0,COLUMN(S$4)-COLUMN($C$4),1,1)+OFFSET(Forecast!$B100,0,COLUMN(S$4)-COLUMN($C$4),1,1)</f>
        <v>489310.19096781174</v>
      </c>
      <c r="T27" s="105">
        <f ca="1">OFFSET(T$4,ROW($B27)-ROW($B$4),-1,1,1)+OFFSET(Forecast!$B104,0,COLUMN(T$4)-COLUMN($C$4),1,1)+OFFSET(Forecast!$B100,0,COLUMN(T$4)-COLUMN($C$4),1,1)</f>
        <v>489310.19096781174</v>
      </c>
      <c r="U27" s="105">
        <f ca="1">OFFSET(U$4,ROW($B27)-ROW($B$4),-1,1,1)+OFFSET(Forecast!$B104,0,COLUMN(U$4)-COLUMN($C$4),1,1)+OFFSET(Forecast!$B100,0,COLUMN(U$4)-COLUMN($C$4),1,1)</f>
        <v>485691.84694297524</v>
      </c>
      <c r="V27" s="105">
        <f ca="1">OFFSET(V$4,ROW($B27)-ROW($B$4),-1,1,1)+OFFSET(Forecast!$B104,0,COLUMN(V$4)-COLUMN($C$4),1,1)+OFFSET(Forecast!$B100,0,COLUMN(V$4)-COLUMN($C$4),1,1)</f>
        <v>485691.84694297524</v>
      </c>
      <c r="W27" s="105">
        <f ca="1">OFFSET(W$4,ROW($B27)-ROW($B$4),-1,1,1)+OFFSET(Forecast!$B104,0,COLUMN(W$4)-COLUMN($C$4),1,1)+OFFSET(Forecast!$B100,0,COLUMN(W$4)-COLUMN($C$4),1,1)</f>
        <v>485691.84694297524</v>
      </c>
      <c r="X27" s="105">
        <f ca="1">OFFSET(X$4,ROW($B27)-ROW($B$4),-1,1,1)+OFFSET(Forecast!$B104,0,COLUMN(X$4)-COLUMN($C$4),1,1)+OFFSET(Forecast!$B100,0,COLUMN(X$4)-COLUMN($C$4),1,1)</f>
        <v>485691.84694297524</v>
      </c>
      <c r="Y27" s="105">
        <f ca="1">OFFSET(Y$4,ROW($B27)-ROW($B$4),-1,1,1)+OFFSET(Forecast!$B104,0,COLUMN(Y$4)-COLUMN($C$4),1,1)+OFFSET(Forecast!$B100,0,COLUMN(Y$4)-COLUMN($C$4),1,1)</f>
        <v>482045.61151628068</v>
      </c>
      <c r="Z27" s="105">
        <f ca="1">OFFSET(Z$4,ROW($B27)-ROW($B$4),-1,1,1)+OFFSET(Forecast!$B104,0,COLUMN(Z$4)-COLUMN($C$4),1,1)+OFFSET(Forecast!$B100,0,COLUMN(Z$4)-COLUMN($C$4),1,1)</f>
        <v>582045.61151628068</v>
      </c>
      <c r="AA27" s="105">
        <f ca="1">OFFSET(AA$4,ROW($B27)-ROW($B$4),-1,1,1)+OFFSET(Forecast!$B104,0,COLUMN(AA$4)-COLUMN($C$4),1,1)+OFFSET(Forecast!$B100,0,COLUMN(AA$4)-COLUMN($C$4),1,1)</f>
        <v>582045.61151628068</v>
      </c>
      <c r="AB27" s="105">
        <f ca="1">OFFSET(AB$4,ROW($B27)-ROW($B$4),-1,1,1)+OFFSET(Forecast!$B104,0,COLUMN(AB$4)-COLUMN($C$4),1,1)+OFFSET(Forecast!$B100,0,COLUMN(AB$4)-COLUMN($C$4),1,1)</f>
        <v>582045.61151628068</v>
      </c>
      <c r="AC27" s="105">
        <f ca="1">OFFSET(AC$4,ROW($B27)-ROW($B$4),-1,1,1)+OFFSET(Forecast!$B104,0,COLUMN(AC$4)-COLUMN($C$4),1,1)+OFFSET(Forecast!$B100,0,COLUMN(AC$4)-COLUMN($C$4),1,1)</f>
        <v>582045.61151628068</v>
      </c>
      <c r="AD27" s="105">
        <f ca="1">OFFSET(AD$4,ROW($B27)-ROW($B$4),-1,1,1)+OFFSET(Forecast!$B104,0,COLUMN(AD$4)-COLUMN($C$4),1,1)+OFFSET(Forecast!$B100,0,COLUMN(AD$4)-COLUMN($C$4),1,1)</f>
        <v>577664.081008796</v>
      </c>
      <c r="AE27" s="105">
        <f ca="1">OFFSET(AE$4,ROW($B27)-ROW($B$4),-1,1,1)+OFFSET(Forecast!$B104,0,COLUMN(AE$4)-COLUMN($C$4),1,1)+OFFSET(Forecast!$B100,0,COLUMN(AE$4)-COLUMN($C$4),1,1)</f>
        <v>577664.081008796</v>
      </c>
      <c r="AF27" s="105">
        <f ca="1">OFFSET(AF$4,ROW($B27)-ROW($B$4),-1,1,1)+OFFSET(Forecast!$B104,0,COLUMN(AF$4)-COLUMN($C$4),1,1)+OFFSET(Forecast!$B100,0,COLUMN(AF$4)-COLUMN($C$4),1,1)</f>
        <v>577664.081008796</v>
      </c>
      <c r="AG27" s="105">
        <f ca="1">OFFSET(AG$4,ROW($B27)-ROW($B$4),-1,1,1)+OFFSET(Forecast!$B104,0,COLUMN(AG$4)-COLUMN($C$4),1,1)+OFFSET(Forecast!$B100,0,COLUMN(AG$4)-COLUMN($C$4),1,1)</f>
        <v>577664.081008796</v>
      </c>
      <c r="AH27" s="105">
        <f ca="1">OFFSET(AH$4,ROW($B27)-ROW($B$4),-1,1,1)+OFFSET(Forecast!$B104,0,COLUMN(AH$4)-COLUMN($C$4),1,1)+OFFSET(Forecast!$B100,0,COLUMN(AH$4)-COLUMN($C$4),1,1)</f>
        <v>573248.77620364947</v>
      </c>
      <c r="AI27" s="105">
        <f ca="1">OFFSET(AI$4,ROW($B27)-ROW($B$4),-1,1,1)+OFFSET(Forecast!$B104,0,COLUMN(AI$4)-COLUMN($C$4),1,1)+OFFSET(Forecast!$B100,0,COLUMN(AI$4)-COLUMN($C$4),1,1)</f>
        <v>573248.77620364947</v>
      </c>
      <c r="AJ27" s="105">
        <f ca="1">OFFSET(AJ$4,ROW($B27)-ROW($B$4),-1,1,1)+OFFSET(Forecast!$B104,0,COLUMN(AJ$4)-COLUMN($C$4),1,1)+OFFSET(Forecast!$B100,0,COLUMN(AJ$4)-COLUMN($C$4),1,1)</f>
        <v>573248.77620364947</v>
      </c>
      <c r="AK27" s="105">
        <f ca="1">OFFSET(AK$4,ROW($B27)-ROW($B$4),-1,1,1)+OFFSET(Forecast!$B104,0,COLUMN(AK$4)-COLUMN($C$4),1,1)+OFFSET(Forecast!$B100,0,COLUMN(AK$4)-COLUMN($C$4),1,1)</f>
        <v>573248.77620364947</v>
      </c>
      <c r="AL27" s="105">
        <f ca="1">OFFSET(AL$4,ROW($B27)-ROW($B$4),-1,1,1)+OFFSET(Forecast!$B104,0,COLUMN(AL$4)-COLUMN($C$4),1,1)+OFFSET(Forecast!$B100,0,COLUMN(AL$4)-COLUMN($C$4),1,1)</f>
        <v>568799.43675729656</v>
      </c>
      <c r="AM27" s="105">
        <f ca="1">OFFSET(AM$4,ROW($B27)-ROW($B$4),-1,1,1)+OFFSET(Forecast!$B104,0,COLUMN(AM$4)-COLUMN($C$4),1,1)+OFFSET(Forecast!$B100,0,COLUMN(AM$4)-COLUMN($C$4),1,1)</f>
        <v>568799.43675729656</v>
      </c>
      <c r="AN27" s="105">
        <f ca="1">OFFSET(AN$4,ROW($B27)-ROW($B$4),-1,1,1)+OFFSET(Forecast!$B104,0,COLUMN(AN$4)-COLUMN($C$4),1,1)+OFFSET(Forecast!$B100,0,COLUMN(AN$4)-COLUMN($C$4),1,1)</f>
        <v>568799.43675729656</v>
      </c>
      <c r="AO27" s="105">
        <f ca="1">OFFSET(AO$4,ROW($B27)-ROW($B$4),-1,1,1)+OFFSET(Forecast!$B104,0,COLUMN(AO$4)-COLUMN($C$4),1,1)+OFFSET(Forecast!$B100,0,COLUMN(AO$4)-COLUMN($C$4),1,1)</f>
        <v>568799.43675729656</v>
      </c>
      <c r="AP27" s="105">
        <f ca="1">OFFSET(AP$4,ROW($B27)-ROW($B$4),-1,1,1)+OFFSET(Forecast!$B104,0,COLUMN(AP$4)-COLUMN($C$4),1,1)+OFFSET(Forecast!$B100,0,COLUMN(AP$4)-COLUMN($C$4),1,1)</f>
        <v>568799.43675729656</v>
      </c>
      <c r="AQ27" s="105">
        <f ca="1">OFFSET(AQ$4,ROW($B27)-ROW($B$4),-1,1,1)+OFFSET(Forecast!$B104,0,COLUMN(AQ$4)-COLUMN($C$4),1,1)+OFFSET(Forecast!$B100,0,COLUMN(AQ$4)-COLUMN($C$4),1,1)</f>
        <v>564315.80031937803</v>
      </c>
      <c r="AR27" s="105">
        <f ca="1">OFFSET(AR$4,ROW($B27)-ROW($B$4),-1,1,1)+OFFSET(Forecast!$B104,0,COLUMN(AR$4)-COLUMN($C$4),1,1)+OFFSET(Forecast!$B100,0,COLUMN(AR$4)-COLUMN($C$4),1,1)</f>
        <v>564315.80031937803</v>
      </c>
      <c r="AS27" s="105">
        <f ca="1">OFFSET(AS$4,ROW($B27)-ROW($B$4),-1,1,1)+OFFSET(Forecast!$B104,0,COLUMN(AS$4)-COLUMN($C$4),1,1)+OFFSET(Forecast!$B100,0,COLUMN(AS$4)-COLUMN($C$4),1,1)</f>
        <v>564315.80031937803</v>
      </c>
      <c r="AT27" s="105">
        <f ca="1">OFFSET(AT$4,ROW($B27)-ROW($B$4),-1,1,1)+OFFSET(Forecast!$B104,0,COLUMN(AT$4)-COLUMN($C$4),1,1)+OFFSET(Forecast!$B100,0,COLUMN(AT$4)-COLUMN($C$4),1,1)</f>
        <v>564315.80031937803</v>
      </c>
      <c r="AU27" s="105">
        <f ca="1">OFFSET(AU$4,ROW($B27)-ROW($B$4),-1,1,1)+OFFSET(Forecast!$B104,0,COLUMN(AU$4)-COLUMN($C$4),1,1)+OFFSET(Forecast!$B100,0,COLUMN(AU$4)-COLUMN($C$4),1,1)</f>
        <v>559797.60251725058</v>
      </c>
      <c r="AV27" s="105">
        <f ca="1">OFFSET(AV$4,ROW($B27)-ROW($B$4),-1,1,1)+OFFSET(Forecast!$B104,0,COLUMN(AV$4)-COLUMN($C$4),1,1)+OFFSET(Forecast!$B100,0,COLUMN(AV$4)-COLUMN($C$4),1,1)</f>
        <v>559797.60251725058</v>
      </c>
      <c r="AW27" s="105">
        <f ca="1">OFFSET(AW$4,ROW($B27)-ROW($B$4),-1,1,1)+OFFSET(Forecast!$B104,0,COLUMN(AW$4)-COLUMN($C$4),1,1)+OFFSET(Forecast!$B100,0,COLUMN(AW$4)-COLUMN($C$4),1,1)</f>
        <v>559797.60251725058</v>
      </c>
      <c r="AX27" s="105">
        <f ca="1">OFFSET(AX$4,ROW($B27)-ROW($B$4),-1,1,1)+OFFSET(Forecast!$B104,0,COLUMN(AX$4)-COLUMN($C$4),1,1)+OFFSET(Forecast!$B100,0,COLUMN(AX$4)-COLUMN($C$4),1,1)</f>
        <v>559797.60251725058</v>
      </c>
      <c r="AY27" s="105">
        <f ca="1">OFFSET(AY$4,ROW($B27)-ROW($B$4),-1,1,1)+OFFSET(Forecast!$B104,0,COLUMN(AY$4)-COLUMN($C$4),1,1)+OFFSET(Forecast!$B100,0,COLUMN(AY$4)-COLUMN($C$4),1,1)</f>
        <v>555244.57694039831</v>
      </c>
      <c r="AZ27" s="105">
        <f ca="1">OFFSET(AZ$4,ROW($B27)-ROW($B$4),-1,1,1)+OFFSET(Forecast!$B104,0,COLUMN(AZ$4)-COLUMN($C$4),1,1)+OFFSET(Forecast!$B100,0,COLUMN(AZ$4)-COLUMN($C$4),1,1)</f>
        <v>555244.57694039831</v>
      </c>
      <c r="BA27" s="105">
        <f ca="1">OFFSET(BA$4,ROW($B27)-ROW($B$4),-1,1,1)+OFFSET(Forecast!$B104,0,COLUMN(BA$4)-COLUMN($C$4),1,1)+OFFSET(Forecast!$B100,0,COLUMN(BA$4)-COLUMN($C$4),1,1)</f>
        <v>555244.57694039831</v>
      </c>
      <c r="BB27" s="105">
        <f ca="1">OFFSET(BB$4,ROW($B27)-ROW($B$4),-1,1,1)+OFFSET(Forecast!$B104,0,COLUMN(BB$4)-COLUMN($C$4),1,1)+OFFSET(Forecast!$B100,0,COLUMN(BB$4)-COLUMN($C$4),1,1)</f>
        <v>555244.57694039831</v>
      </c>
      <c r="BC27" s="105">
        <f ca="1">OFFSET(BC$4,ROW($B27)-ROW($B$4),-1,1,1)+OFFSET(Forecast!$B104,0,COLUMN(BC$4)-COLUMN($C$4),1,1)+OFFSET(Forecast!$B100,0,COLUMN(BC$4)-COLUMN($C$4),1,1)</f>
        <v>555244.57694039831</v>
      </c>
      <c r="BD27" s="106">
        <f ca="1">OFFSET($B27,0,Assumptions!$C$8+1,1,1)</f>
        <v>489310.19096781174</v>
      </c>
      <c r="BE27" s="106">
        <f ca="1">OFFSET($B27,0,SUM(Assumptions!$C$8:$C$9)+1,1,1)</f>
        <v>582045.61151628068</v>
      </c>
      <c r="BF27" s="106">
        <f ca="1">OFFSET($B27,0,SUM(Assumptions!$C$8:$C$10)+1,1,1)</f>
        <v>568799.43675729656</v>
      </c>
      <c r="BG27" s="106">
        <f ca="1">OFFSET($B27,0,SUM(Assumptions!$C$8:$C$11)+1,1,1)</f>
        <v>555244.57694039831</v>
      </c>
      <c r="BH27" s="106">
        <f t="shared" ca="1" si="9"/>
        <v>555244.57694039831</v>
      </c>
    </row>
    <row r="28" spans="1:60" s="107" customFormat="1" ht="16.149999999999999" customHeight="1" x14ac:dyDescent="0.3">
      <c r="A28" s="291" t="s">
        <v>147</v>
      </c>
      <c r="B28" s="104" t="s">
        <v>185</v>
      </c>
      <c r="C28" s="105">
        <f ca="1">-SUMIF(Assumptions!$A$81:$C$104,$A28,Assumptions!$C$81:$C$104)</f>
        <v>0</v>
      </c>
      <c r="D28" s="105">
        <f ca="1">OFFSET(D$4,ROW($B28)-ROW($B$4),-1,1,1)+OFFSET(Forecast!$B105,0,COLUMN(D$4)-COLUMN($C$4),1,1)+OFFSET(Forecast!$B101,0,COLUMN(D$4)-COLUMN($C$4),1,1)</f>
        <v>0</v>
      </c>
      <c r="E28" s="105">
        <f ca="1">OFFSET(E$4,ROW($B28)-ROW($B$4),-1,1,1)+OFFSET(Forecast!$B105,0,COLUMN(E$4)-COLUMN($C$4),1,1)+OFFSET(Forecast!$B101,0,COLUMN(E$4)-COLUMN($C$4),1,1)</f>
        <v>0</v>
      </c>
      <c r="F28" s="105">
        <f ca="1">OFFSET(F$4,ROW($B28)-ROW($B$4),-1,1,1)+OFFSET(Forecast!$B105,0,COLUMN(F$4)-COLUMN($C$4),1,1)+OFFSET(Forecast!$B101,0,COLUMN(F$4)-COLUMN($C$4),1,1)</f>
        <v>0</v>
      </c>
      <c r="G28" s="105">
        <f ca="1">OFFSET(G$4,ROW($B28)-ROW($B$4),-1,1,1)+OFFSET(Forecast!$B105,0,COLUMN(G$4)-COLUMN($C$4),1,1)+OFFSET(Forecast!$B101,0,COLUMN(G$4)-COLUMN($C$4),1,1)</f>
        <v>0</v>
      </c>
      <c r="H28" s="105">
        <f ca="1">OFFSET(H$4,ROW($B28)-ROW($B$4),-1,1,1)+OFFSET(Forecast!$B105,0,COLUMN(H$4)-COLUMN($C$4),1,1)+OFFSET(Forecast!$B101,0,COLUMN(H$4)-COLUMN($C$4),1,1)</f>
        <v>0</v>
      </c>
      <c r="I28" s="105">
        <f ca="1">OFFSET(I$4,ROW($B28)-ROW($B$4),-1,1,1)+OFFSET(Forecast!$B105,0,COLUMN(I$4)-COLUMN($C$4),1,1)+OFFSET(Forecast!$B101,0,COLUMN(I$4)-COLUMN($C$4),1,1)</f>
        <v>0</v>
      </c>
      <c r="J28" s="105">
        <f ca="1">OFFSET(J$4,ROW($B28)-ROW($B$4),-1,1,1)+OFFSET(Forecast!$B105,0,COLUMN(J$4)-COLUMN($C$4),1,1)+OFFSET(Forecast!$B101,0,COLUMN(J$4)-COLUMN($C$4),1,1)</f>
        <v>0</v>
      </c>
      <c r="K28" s="105">
        <f ca="1">OFFSET(K$4,ROW($B28)-ROW($B$4),-1,1,1)+OFFSET(Forecast!$B105,0,COLUMN(K$4)-COLUMN($C$4),1,1)+OFFSET(Forecast!$B101,0,COLUMN(K$4)-COLUMN($C$4),1,1)</f>
        <v>0</v>
      </c>
      <c r="L28" s="105">
        <f ca="1">OFFSET(L$4,ROW($B28)-ROW($B$4),-1,1,1)+OFFSET(Forecast!$B105,0,COLUMN(L$4)-COLUMN($C$4),1,1)+OFFSET(Forecast!$B101,0,COLUMN(L$4)-COLUMN($C$4),1,1)</f>
        <v>0</v>
      </c>
      <c r="M28" s="105">
        <f ca="1">OFFSET(M$4,ROW($B28)-ROW($B$4),-1,1,1)+OFFSET(Forecast!$B105,0,COLUMN(M$4)-COLUMN($C$4),1,1)+OFFSET(Forecast!$B101,0,COLUMN(M$4)-COLUMN($C$4),1,1)</f>
        <v>0</v>
      </c>
      <c r="N28" s="105">
        <f ca="1">OFFSET(N$4,ROW($B28)-ROW($B$4),-1,1,1)+OFFSET(Forecast!$B105,0,COLUMN(N$4)-COLUMN($C$4),1,1)+OFFSET(Forecast!$B101,0,COLUMN(N$4)-COLUMN($C$4),1,1)</f>
        <v>0</v>
      </c>
      <c r="O28" s="105">
        <f ca="1">OFFSET(O$4,ROW($B28)-ROW($B$4),-1,1,1)+OFFSET(Forecast!$B105,0,COLUMN(O$4)-COLUMN($C$4),1,1)+OFFSET(Forecast!$B101,0,COLUMN(O$4)-COLUMN($C$4),1,1)</f>
        <v>0</v>
      </c>
      <c r="P28" s="105">
        <f ca="1">OFFSET(P$4,ROW($B28)-ROW($B$4),-1,1,1)+OFFSET(Forecast!$B105,0,COLUMN(P$4)-COLUMN($C$4),1,1)+OFFSET(Forecast!$B101,0,COLUMN(P$4)-COLUMN($C$4),1,1)</f>
        <v>0</v>
      </c>
      <c r="Q28" s="105">
        <f ca="1">OFFSET(Q$4,ROW($B28)-ROW($B$4),-1,1,1)+OFFSET(Forecast!$B105,0,COLUMN(Q$4)-COLUMN($C$4),1,1)+OFFSET(Forecast!$B101,0,COLUMN(Q$4)-COLUMN($C$4),1,1)</f>
        <v>0</v>
      </c>
      <c r="R28" s="105">
        <f ca="1">OFFSET(R$4,ROW($B28)-ROW($B$4),-1,1,1)+OFFSET(Forecast!$B105,0,COLUMN(R$4)-COLUMN($C$4),1,1)+OFFSET(Forecast!$B101,0,COLUMN(R$4)-COLUMN($C$4),1,1)</f>
        <v>0</v>
      </c>
      <c r="S28" s="105">
        <f ca="1">OFFSET(S$4,ROW($B28)-ROW($B$4),-1,1,1)+OFFSET(Forecast!$B105,0,COLUMN(S$4)-COLUMN($C$4),1,1)+OFFSET(Forecast!$B101,0,COLUMN(S$4)-COLUMN($C$4),1,1)</f>
        <v>0</v>
      </c>
      <c r="T28" s="105">
        <f ca="1">OFFSET(T$4,ROW($B28)-ROW($B$4),-1,1,1)+OFFSET(Forecast!$B105,0,COLUMN(T$4)-COLUMN($C$4),1,1)+OFFSET(Forecast!$B101,0,COLUMN(T$4)-COLUMN($C$4),1,1)</f>
        <v>0</v>
      </c>
      <c r="U28" s="105">
        <f ca="1">OFFSET(U$4,ROW($B28)-ROW($B$4),-1,1,1)+OFFSET(Forecast!$B105,0,COLUMN(U$4)-COLUMN($C$4),1,1)+OFFSET(Forecast!$B101,0,COLUMN(U$4)-COLUMN($C$4),1,1)</f>
        <v>0</v>
      </c>
      <c r="V28" s="105">
        <f ca="1">OFFSET(V$4,ROW($B28)-ROW($B$4),-1,1,1)+OFFSET(Forecast!$B105,0,COLUMN(V$4)-COLUMN($C$4),1,1)+OFFSET(Forecast!$B101,0,COLUMN(V$4)-COLUMN($C$4),1,1)</f>
        <v>0</v>
      </c>
      <c r="W28" s="105">
        <f ca="1">OFFSET(W$4,ROW($B28)-ROW($B$4),-1,1,1)+OFFSET(Forecast!$B105,0,COLUMN(W$4)-COLUMN($C$4),1,1)+OFFSET(Forecast!$B101,0,COLUMN(W$4)-COLUMN($C$4),1,1)</f>
        <v>0</v>
      </c>
      <c r="X28" s="105">
        <f ca="1">OFFSET(X$4,ROW($B28)-ROW($B$4),-1,1,1)+OFFSET(Forecast!$B105,0,COLUMN(X$4)-COLUMN($C$4),1,1)+OFFSET(Forecast!$B101,0,COLUMN(X$4)-COLUMN($C$4),1,1)</f>
        <v>0</v>
      </c>
      <c r="Y28" s="105">
        <f ca="1">OFFSET(Y$4,ROW($B28)-ROW($B$4),-1,1,1)+OFFSET(Forecast!$B105,0,COLUMN(Y$4)-COLUMN($C$4),1,1)+OFFSET(Forecast!$B101,0,COLUMN(Y$4)-COLUMN($C$4),1,1)</f>
        <v>0</v>
      </c>
      <c r="Z28" s="105">
        <f ca="1">OFFSET(Z$4,ROW($B28)-ROW($B$4),-1,1,1)+OFFSET(Forecast!$B105,0,COLUMN(Z$4)-COLUMN($C$4),1,1)+OFFSET(Forecast!$B101,0,COLUMN(Z$4)-COLUMN($C$4),1,1)</f>
        <v>0</v>
      </c>
      <c r="AA28" s="105">
        <f ca="1">OFFSET(AA$4,ROW($B28)-ROW($B$4),-1,1,1)+OFFSET(Forecast!$B105,0,COLUMN(AA$4)-COLUMN($C$4),1,1)+OFFSET(Forecast!$B101,0,COLUMN(AA$4)-COLUMN($C$4),1,1)</f>
        <v>0</v>
      </c>
      <c r="AB28" s="105">
        <f ca="1">OFFSET(AB$4,ROW($B28)-ROW($B$4),-1,1,1)+OFFSET(Forecast!$B105,0,COLUMN(AB$4)-COLUMN($C$4),1,1)+OFFSET(Forecast!$B101,0,COLUMN(AB$4)-COLUMN($C$4),1,1)</f>
        <v>0</v>
      </c>
      <c r="AC28" s="105">
        <f ca="1">OFFSET(AC$4,ROW($B28)-ROW($B$4),-1,1,1)+OFFSET(Forecast!$B105,0,COLUMN(AC$4)-COLUMN($C$4),1,1)+OFFSET(Forecast!$B101,0,COLUMN(AC$4)-COLUMN($C$4),1,1)</f>
        <v>0</v>
      </c>
      <c r="AD28" s="105">
        <f ca="1">OFFSET(AD$4,ROW($B28)-ROW($B$4),-1,1,1)+OFFSET(Forecast!$B105,0,COLUMN(AD$4)-COLUMN($C$4),1,1)+OFFSET(Forecast!$B101,0,COLUMN(AD$4)-COLUMN($C$4),1,1)</f>
        <v>0</v>
      </c>
      <c r="AE28" s="105">
        <f ca="1">OFFSET(AE$4,ROW($B28)-ROW($B$4),-1,1,1)+OFFSET(Forecast!$B105,0,COLUMN(AE$4)-COLUMN($C$4),1,1)+OFFSET(Forecast!$B101,0,COLUMN(AE$4)-COLUMN($C$4),1,1)</f>
        <v>0</v>
      </c>
      <c r="AF28" s="105">
        <f ca="1">OFFSET(AF$4,ROW($B28)-ROW($B$4),-1,1,1)+OFFSET(Forecast!$B105,0,COLUMN(AF$4)-COLUMN($C$4),1,1)+OFFSET(Forecast!$B101,0,COLUMN(AF$4)-COLUMN($C$4),1,1)</f>
        <v>0</v>
      </c>
      <c r="AG28" s="105">
        <f ca="1">OFFSET(AG$4,ROW($B28)-ROW($B$4),-1,1,1)+OFFSET(Forecast!$B105,0,COLUMN(AG$4)-COLUMN($C$4),1,1)+OFFSET(Forecast!$B101,0,COLUMN(AG$4)-COLUMN($C$4),1,1)</f>
        <v>0</v>
      </c>
      <c r="AH28" s="105">
        <f ca="1">OFFSET(AH$4,ROW($B28)-ROW($B$4),-1,1,1)+OFFSET(Forecast!$B105,0,COLUMN(AH$4)-COLUMN($C$4),1,1)+OFFSET(Forecast!$B101,0,COLUMN(AH$4)-COLUMN($C$4),1,1)</f>
        <v>0</v>
      </c>
      <c r="AI28" s="105">
        <f ca="1">OFFSET(AI$4,ROW($B28)-ROW($B$4),-1,1,1)+OFFSET(Forecast!$B105,0,COLUMN(AI$4)-COLUMN($C$4),1,1)+OFFSET(Forecast!$B101,0,COLUMN(AI$4)-COLUMN($C$4),1,1)</f>
        <v>0</v>
      </c>
      <c r="AJ28" s="105">
        <f ca="1">OFFSET(AJ$4,ROW($B28)-ROW($B$4),-1,1,1)+OFFSET(Forecast!$B105,0,COLUMN(AJ$4)-COLUMN($C$4),1,1)+OFFSET(Forecast!$B101,0,COLUMN(AJ$4)-COLUMN($C$4),1,1)</f>
        <v>0</v>
      </c>
      <c r="AK28" s="105">
        <f ca="1">OFFSET(AK$4,ROW($B28)-ROW($B$4),-1,1,1)+OFFSET(Forecast!$B105,0,COLUMN(AK$4)-COLUMN($C$4),1,1)+OFFSET(Forecast!$B101,0,COLUMN(AK$4)-COLUMN($C$4),1,1)</f>
        <v>0</v>
      </c>
      <c r="AL28" s="105">
        <f ca="1">OFFSET(AL$4,ROW($B28)-ROW($B$4),-1,1,1)+OFFSET(Forecast!$B105,0,COLUMN(AL$4)-COLUMN($C$4),1,1)+OFFSET(Forecast!$B101,0,COLUMN(AL$4)-COLUMN($C$4),1,1)</f>
        <v>0</v>
      </c>
      <c r="AM28" s="105">
        <f ca="1">OFFSET(AM$4,ROW($B28)-ROW($B$4),-1,1,1)+OFFSET(Forecast!$B105,0,COLUMN(AM$4)-COLUMN($C$4),1,1)+OFFSET(Forecast!$B101,0,COLUMN(AM$4)-COLUMN($C$4),1,1)</f>
        <v>0</v>
      </c>
      <c r="AN28" s="105">
        <f ca="1">OFFSET(AN$4,ROW($B28)-ROW($B$4),-1,1,1)+OFFSET(Forecast!$B105,0,COLUMN(AN$4)-COLUMN($C$4),1,1)+OFFSET(Forecast!$B101,0,COLUMN(AN$4)-COLUMN($C$4),1,1)</f>
        <v>0</v>
      </c>
      <c r="AO28" s="105">
        <f ca="1">OFFSET(AO$4,ROW($B28)-ROW($B$4),-1,1,1)+OFFSET(Forecast!$B105,0,COLUMN(AO$4)-COLUMN($C$4),1,1)+OFFSET(Forecast!$B101,0,COLUMN(AO$4)-COLUMN($C$4),1,1)</f>
        <v>0</v>
      </c>
      <c r="AP28" s="105">
        <f ca="1">OFFSET(AP$4,ROW($B28)-ROW($B$4),-1,1,1)+OFFSET(Forecast!$B105,0,COLUMN(AP$4)-COLUMN($C$4),1,1)+OFFSET(Forecast!$B101,0,COLUMN(AP$4)-COLUMN($C$4),1,1)</f>
        <v>0</v>
      </c>
      <c r="AQ28" s="105">
        <f ca="1">OFFSET(AQ$4,ROW($B28)-ROW($B$4),-1,1,1)+OFFSET(Forecast!$B105,0,COLUMN(AQ$4)-COLUMN($C$4),1,1)+OFFSET(Forecast!$B101,0,COLUMN(AQ$4)-COLUMN($C$4),1,1)</f>
        <v>0</v>
      </c>
      <c r="AR28" s="105">
        <f ca="1">OFFSET(AR$4,ROW($B28)-ROW($B$4),-1,1,1)+OFFSET(Forecast!$B105,0,COLUMN(AR$4)-COLUMN($C$4),1,1)+OFFSET(Forecast!$B101,0,COLUMN(AR$4)-COLUMN($C$4),1,1)</f>
        <v>0</v>
      </c>
      <c r="AS28" s="105">
        <f ca="1">OFFSET(AS$4,ROW($B28)-ROW($B$4),-1,1,1)+OFFSET(Forecast!$B105,0,COLUMN(AS$4)-COLUMN($C$4),1,1)+OFFSET(Forecast!$B101,0,COLUMN(AS$4)-COLUMN($C$4),1,1)</f>
        <v>0</v>
      </c>
      <c r="AT28" s="105">
        <f ca="1">OFFSET(AT$4,ROW($B28)-ROW($B$4),-1,1,1)+OFFSET(Forecast!$B105,0,COLUMN(AT$4)-COLUMN($C$4),1,1)+OFFSET(Forecast!$B101,0,COLUMN(AT$4)-COLUMN($C$4),1,1)</f>
        <v>0</v>
      </c>
      <c r="AU28" s="105">
        <f ca="1">OFFSET(AU$4,ROW($B28)-ROW($B$4),-1,1,1)+OFFSET(Forecast!$B105,0,COLUMN(AU$4)-COLUMN($C$4),1,1)+OFFSET(Forecast!$B101,0,COLUMN(AU$4)-COLUMN($C$4),1,1)</f>
        <v>0</v>
      </c>
      <c r="AV28" s="105">
        <f ca="1">OFFSET(AV$4,ROW($B28)-ROW($B$4),-1,1,1)+OFFSET(Forecast!$B105,0,COLUMN(AV$4)-COLUMN($C$4),1,1)+OFFSET(Forecast!$B101,0,COLUMN(AV$4)-COLUMN($C$4),1,1)</f>
        <v>240000</v>
      </c>
      <c r="AW28" s="105">
        <f ca="1">OFFSET(AW$4,ROW($B28)-ROW($B$4),-1,1,1)+OFFSET(Forecast!$B105,0,COLUMN(AW$4)-COLUMN($C$4),1,1)+OFFSET(Forecast!$B101,0,COLUMN(AW$4)-COLUMN($C$4),1,1)</f>
        <v>240000</v>
      </c>
      <c r="AX28" s="105">
        <f ca="1">OFFSET(AX$4,ROW($B28)-ROW($B$4),-1,1,1)+OFFSET(Forecast!$B105,0,COLUMN(AX$4)-COLUMN($C$4),1,1)+OFFSET(Forecast!$B101,0,COLUMN(AX$4)-COLUMN($C$4),1,1)</f>
        <v>240000</v>
      </c>
      <c r="AY28" s="105">
        <f ca="1">OFFSET(AY$4,ROW($B28)-ROW($B$4),-1,1,1)+OFFSET(Forecast!$B105,0,COLUMN(AY$4)-COLUMN($C$4),1,1)+OFFSET(Forecast!$B101,0,COLUMN(AY$4)-COLUMN($C$4),1,1)</f>
        <v>240000</v>
      </c>
      <c r="AZ28" s="105">
        <f ca="1">OFFSET(AZ$4,ROW($B28)-ROW($B$4),-1,1,1)+OFFSET(Forecast!$B105,0,COLUMN(AZ$4)-COLUMN($C$4),1,1)+OFFSET(Forecast!$B101,0,COLUMN(AZ$4)-COLUMN($C$4),1,1)</f>
        <v>237100.49482590021</v>
      </c>
      <c r="BA28" s="105">
        <f ca="1">OFFSET(BA$4,ROW($B28)-ROW($B$4),-1,1,1)+OFFSET(Forecast!$B105,0,COLUMN(BA$4)-COLUMN($C$4),1,1)+OFFSET(Forecast!$B101,0,COLUMN(BA$4)-COLUMN($C$4),1,1)</f>
        <v>237100.49482590021</v>
      </c>
      <c r="BB28" s="105">
        <f ca="1">OFFSET(BB$4,ROW($B28)-ROW($B$4),-1,1,1)+OFFSET(Forecast!$B105,0,COLUMN(BB$4)-COLUMN($C$4),1,1)+OFFSET(Forecast!$B101,0,COLUMN(BB$4)-COLUMN($C$4),1,1)</f>
        <v>237100.49482590021</v>
      </c>
      <c r="BC28" s="105">
        <f ca="1">OFFSET(BC$4,ROW($B28)-ROW($B$4),-1,1,1)+OFFSET(Forecast!$B105,0,COLUMN(BC$4)-COLUMN($C$4),1,1)+OFFSET(Forecast!$B101,0,COLUMN(BC$4)-COLUMN($C$4),1,1)</f>
        <v>237100.49482590021</v>
      </c>
      <c r="BD28" s="106">
        <f ca="1">OFFSET($B28,0,Assumptions!$C$8+1,1,1)</f>
        <v>0</v>
      </c>
      <c r="BE28" s="106">
        <f ca="1">OFFSET($B28,0,SUM(Assumptions!$C$8:$C$9)+1,1,1)</f>
        <v>0</v>
      </c>
      <c r="BF28" s="106">
        <f ca="1">OFFSET($B28,0,SUM(Assumptions!$C$8:$C$10)+1,1,1)</f>
        <v>0</v>
      </c>
      <c r="BG28" s="106">
        <f ca="1">OFFSET($B28,0,SUM(Assumptions!$C$8:$C$11)+1,1,1)</f>
        <v>237100.49482590021</v>
      </c>
      <c r="BH28" s="106">
        <f t="shared" ca="1" si="9"/>
        <v>237100.49482590021</v>
      </c>
    </row>
    <row r="29" spans="1:60" s="107" customFormat="1" ht="16.149999999999999" customHeight="1" x14ac:dyDescent="0.3">
      <c r="A29" s="291" t="s">
        <v>149</v>
      </c>
      <c r="B29" s="104" t="s">
        <v>186</v>
      </c>
      <c r="C29" s="105">
        <f ca="1">-SUMIF(Assumptions!$A$81:$C$104,$A29,Assumptions!$C$81:$C$104)</f>
        <v>425000</v>
      </c>
      <c r="D29" s="105">
        <f ca="1">OFFSET(D$4,ROW($B29)-ROW($B$4),-1,1,1)+OFFSET(Forecast!$B106,0,COLUMN(D$4)-COLUMN($C$4),1,1)+OFFSET(Forecast!$B102,0,COLUMN(D$4)-COLUMN($C$4),1,1)</f>
        <v>425000</v>
      </c>
      <c r="E29" s="105">
        <f ca="1">OFFSET(E$4,ROW($B29)-ROW($B$4),-1,1,1)+OFFSET(Forecast!$B106,0,COLUMN(E$4)-COLUMN($C$4),1,1)+OFFSET(Forecast!$B102,0,COLUMN(E$4)-COLUMN($C$4),1,1)</f>
        <v>417985.08788167726</v>
      </c>
      <c r="F29" s="105">
        <f ca="1">OFFSET(F$4,ROW($B29)-ROW($B$4),-1,1,1)+OFFSET(Forecast!$B106,0,COLUMN(F$4)-COLUMN($C$4),1,1)+OFFSET(Forecast!$B102,0,COLUMN(F$4)-COLUMN($C$4),1,1)</f>
        <v>417985.08788167726</v>
      </c>
      <c r="G29" s="105">
        <f ca="1">OFFSET(G$4,ROW($B29)-ROW($B$4),-1,1,1)+OFFSET(Forecast!$B106,0,COLUMN(G$4)-COLUMN($C$4),1,1)+OFFSET(Forecast!$B102,0,COLUMN(G$4)-COLUMN($C$4),1,1)</f>
        <v>417985.08788167726</v>
      </c>
      <c r="H29" s="105">
        <f ca="1">OFFSET(H$4,ROW($B29)-ROW($B$4),-1,1,1)+OFFSET(Forecast!$B106,0,COLUMN(H$4)-COLUMN($C$4),1,1)+OFFSET(Forecast!$B102,0,COLUMN(H$4)-COLUMN($C$4),1,1)</f>
        <v>417985.08788167726</v>
      </c>
      <c r="I29" s="105">
        <f ca="1">OFFSET(I$4,ROW($B29)-ROW($B$4),-1,1,1)+OFFSET(Forecast!$B106,0,COLUMN(I$4)-COLUMN($C$4),1,1)+OFFSET(Forecast!$B102,0,COLUMN(I$4)-COLUMN($C$4),1,1)</f>
        <v>410902.94952222059</v>
      </c>
      <c r="J29" s="105">
        <f ca="1">OFFSET(J$4,ROW($B29)-ROW($B$4),-1,1,1)+OFFSET(Forecast!$B106,0,COLUMN(J$4)-COLUMN($C$4),1,1)+OFFSET(Forecast!$B102,0,COLUMN(J$4)-COLUMN($C$4),1,1)</f>
        <v>410902.94952222059</v>
      </c>
      <c r="K29" s="105">
        <f ca="1">OFFSET(K$4,ROW($B29)-ROW($B$4),-1,1,1)+OFFSET(Forecast!$B106,0,COLUMN(K$4)-COLUMN($C$4),1,1)+OFFSET(Forecast!$B102,0,COLUMN(K$4)-COLUMN($C$4),1,1)</f>
        <v>410902.94952222059</v>
      </c>
      <c r="L29" s="105">
        <f ca="1">OFFSET(L$4,ROW($B29)-ROW($B$4),-1,1,1)+OFFSET(Forecast!$B106,0,COLUMN(L$4)-COLUMN($C$4),1,1)+OFFSET(Forecast!$B102,0,COLUMN(L$4)-COLUMN($C$4),1,1)</f>
        <v>410902.94952222059</v>
      </c>
      <c r="M29" s="105">
        <f ca="1">OFFSET(M$4,ROW($B29)-ROW($B$4),-1,1,1)+OFFSET(Forecast!$B106,0,COLUMN(M$4)-COLUMN($C$4),1,1)+OFFSET(Forecast!$B102,0,COLUMN(M$4)-COLUMN($C$4),1,1)</f>
        <v>410902.94952222059</v>
      </c>
      <c r="N29" s="105">
        <f ca="1">OFFSET(N$4,ROW($B29)-ROW($B$4),-1,1,1)+OFFSET(Forecast!$B106,0,COLUMN(N$4)-COLUMN($C$4),1,1)+OFFSET(Forecast!$B102,0,COLUMN(N$4)-COLUMN($C$4),1,1)</f>
        <v>403752.94067015249</v>
      </c>
      <c r="O29" s="105">
        <f ca="1">OFFSET(O$4,ROW($B29)-ROW($B$4),-1,1,1)+OFFSET(Forecast!$B106,0,COLUMN(O$4)-COLUMN($C$4),1,1)+OFFSET(Forecast!$B102,0,COLUMN(O$4)-COLUMN($C$4),1,1)</f>
        <v>403752.94067015249</v>
      </c>
      <c r="P29" s="105">
        <f ca="1">OFFSET(P$4,ROW($B29)-ROW($B$4),-1,1,1)+OFFSET(Forecast!$B106,0,COLUMN(P$4)-COLUMN($C$4),1,1)+OFFSET(Forecast!$B102,0,COLUMN(P$4)-COLUMN($C$4),1,1)</f>
        <v>403752.94067015249</v>
      </c>
      <c r="Q29" s="105">
        <f ca="1">OFFSET(Q$4,ROW($B29)-ROW($B$4),-1,1,1)+OFFSET(Forecast!$B106,0,COLUMN(Q$4)-COLUMN($C$4),1,1)+OFFSET(Forecast!$B102,0,COLUMN(Q$4)-COLUMN($C$4),1,1)</f>
        <v>403752.94067015249</v>
      </c>
      <c r="R29" s="105">
        <f ca="1">OFFSET(R$4,ROW($B29)-ROW($B$4),-1,1,1)+OFFSET(Forecast!$B106,0,COLUMN(R$4)-COLUMN($C$4),1,1)+OFFSET(Forecast!$B102,0,COLUMN(R$4)-COLUMN($C$4),1,1)</f>
        <v>396534.4108999187</v>
      </c>
      <c r="S29" s="105">
        <f ca="1">OFFSET(S$4,ROW($B29)-ROW($B$4),-1,1,1)+OFFSET(Forecast!$B106,0,COLUMN(S$4)-COLUMN($C$4),1,1)+OFFSET(Forecast!$B102,0,COLUMN(S$4)-COLUMN($C$4),1,1)</f>
        <v>396534.4108999187</v>
      </c>
      <c r="T29" s="105">
        <f ca="1">OFFSET(T$4,ROW($B29)-ROW($B$4),-1,1,1)+OFFSET(Forecast!$B106,0,COLUMN(T$4)-COLUMN($C$4),1,1)+OFFSET(Forecast!$B102,0,COLUMN(T$4)-COLUMN($C$4),1,1)</f>
        <v>396534.4108999187</v>
      </c>
      <c r="U29" s="105">
        <f ca="1">OFFSET(U$4,ROW($B29)-ROW($B$4),-1,1,1)+OFFSET(Forecast!$B106,0,COLUMN(U$4)-COLUMN($C$4),1,1)+OFFSET(Forecast!$B102,0,COLUMN(U$4)-COLUMN($C$4),1,1)</f>
        <v>396534.4108999187</v>
      </c>
      <c r="V29" s="105">
        <f ca="1">OFFSET(V$4,ROW($B29)-ROW($B$4),-1,1,1)+OFFSET(Forecast!$B106,0,COLUMN(V$4)-COLUMN($C$4),1,1)+OFFSET(Forecast!$B102,0,COLUMN(V$4)-COLUMN($C$4),1,1)</f>
        <v>389246.7035527202</v>
      </c>
      <c r="W29" s="105">
        <f ca="1">OFFSET(W$4,ROW($B29)-ROW($B$4),-1,1,1)+OFFSET(Forecast!$B106,0,COLUMN(W$4)-COLUMN($C$4),1,1)+OFFSET(Forecast!$B102,0,COLUMN(W$4)-COLUMN($C$4),1,1)</f>
        <v>389246.7035527202</v>
      </c>
      <c r="X29" s="105">
        <f ca="1">OFFSET(X$4,ROW($B29)-ROW($B$4),-1,1,1)+OFFSET(Forecast!$B106,0,COLUMN(X$4)-COLUMN($C$4),1,1)+OFFSET(Forecast!$B102,0,COLUMN(X$4)-COLUMN($C$4),1,1)</f>
        <v>389246.7035527202</v>
      </c>
      <c r="Y29" s="105">
        <f ca="1">OFFSET(Y$4,ROW($B29)-ROW($B$4),-1,1,1)+OFFSET(Forecast!$B106,0,COLUMN(Y$4)-COLUMN($C$4),1,1)+OFFSET(Forecast!$B102,0,COLUMN(Y$4)-COLUMN($C$4),1,1)</f>
        <v>389246.7035527202</v>
      </c>
      <c r="Z29" s="105">
        <f ca="1">OFFSET(Z$4,ROW($B29)-ROW($B$4),-1,1,1)+OFFSET(Forecast!$B106,0,COLUMN(Z$4)-COLUMN($C$4),1,1)+OFFSET(Forecast!$B102,0,COLUMN(Z$4)-COLUMN($C$4),1,1)</f>
        <v>389246.7035527202</v>
      </c>
      <c r="AA29" s="105">
        <f ca="1">OFFSET(AA$4,ROW($B29)-ROW($B$4),-1,1,1)+OFFSET(Forecast!$B106,0,COLUMN(AA$4)-COLUMN($C$4),1,1)+OFFSET(Forecast!$B102,0,COLUMN(AA$4)-COLUMN($C$4),1,1)</f>
        <v>381889.15567677771</v>
      </c>
      <c r="AB29" s="105">
        <f ca="1">OFFSET(AB$4,ROW($B29)-ROW($B$4),-1,1,1)+OFFSET(Forecast!$B106,0,COLUMN(AB$4)-COLUMN($C$4),1,1)+OFFSET(Forecast!$B102,0,COLUMN(AB$4)-COLUMN($C$4),1,1)</f>
        <v>381889.15567677771</v>
      </c>
      <c r="AC29" s="105">
        <f ca="1">OFFSET(AC$4,ROW($B29)-ROW($B$4),-1,1,1)+OFFSET(Forecast!$B106,0,COLUMN(AC$4)-COLUMN($C$4),1,1)+OFFSET(Forecast!$B102,0,COLUMN(AC$4)-COLUMN($C$4),1,1)</f>
        <v>381889.15567677771</v>
      </c>
      <c r="AD29" s="105">
        <f ca="1">OFFSET(AD$4,ROW($B29)-ROW($B$4),-1,1,1)+OFFSET(Forecast!$B106,0,COLUMN(AD$4)-COLUMN($C$4),1,1)+OFFSET(Forecast!$B102,0,COLUMN(AD$4)-COLUMN($C$4),1,1)</f>
        <v>381889.15567677771</v>
      </c>
      <c r="AE29" s="105">
        <f ca="1">OFFSET(AE$4,ROW($B29)-ROW($B$4),-1,1,1)+OFFSET(Forecast!$B106,0,COLUMN(AE$4)-COLUMN($C$4),1,1)+OFFSET(Forecast!$B102,0,COLUMN(AE$4)-COLUMN($C$4),1,1)</f>
        <v>374461.09796702408</v>
      </c>
      <c r="AF29" s="105">
        <f ca="1">OFFSET(AF$4,ROW($B29)-ROW($B$4),-1,1,1)+OFFSET(Forecast!$B106,0,COLUMN(AF$4)-COLUMN($C$4),1,1)+OFFSET(Forecast!$B102,0,COLUMN(AF$4)-COLUMN($C$4),1,1)</f>
        <v>374461.09796702408</v>
      </c>
      <c r="AG29" s="105">
        <f ca="1">OFFSET(AG$4,ROW($B29)-ROW($B$4),-1,1,1)+OFFSET(Forecast!$B106,0,COLUMN(AG$4)-COLUMN($C$4),1,1)+OFFSET(Forecast!$B102,0,COLUMN(AG$4)-COLUMN($C$4),1,1)</f>
        <v>374461.09796702408</v>
      </c>
      <c r="AH29" s="105">
        <f ca="1">OFFSET(AH$4,ROW($B29)-ROW($B$4),-1,1,1)+OFFSET(Forecast!$B106,0,COLUMN(AH$4)-COLUMN($C$4),1,1)+OFFSET(Forecast!$B102,0,COLUMN(AH$4)-COLUMN($C$4),1,1)</f>
        <v>374461.09796702408</v>
      </c>
      <c r="AI29" s="105">
        <f ca="1">OFFSET(AI$4,ROW($B29)-ROW($B$4),-1,1,1)+OFFSET(Forecast!$B106,0,COLUMN(AI$4)-COLUMN($C$4),1,1)+OFFSET(Forecast!$B102,0,COLUMN(AI$4)-COLUMN($C$4),1,1)</f>
        <v>366961.85470421868</v>
      </c>
      <c r="AJ29" s="105">
        <f ca="1">OFFSET(AJ$4,ROW($B29)-ROW($B$4),-1,1,1)+OFFSET(Forecast!$B106,0,COLUMN(AJ$4)-COLUMN($C$4),1,1)+OFFSET(Forecast!$B102,0,COLUMN(AJ$4)-COLUMN($C$4),1,1)</f>
        <v>366961.85470421868</v>
      </c>
      <c r="AK29" s="105">
        <f ca="1">OFFSET(AK$4,ROW($B29)-ROW($B$4),-1,1,1)+OFFSET(Forecast!$B106,0,COLUMN(AK$4)-COLUMN($C$4),1,1)+OFFSET(Forecast!$B102,0,COLUMN(AK$4)-COLUMN($C$4),1,1)</f>
        <v>366961.85470421868</v>
      </c>
      <c r="AL29" s="105">
        <f ca="1">OFFSET(AL$4,ROW($B29)-ROW($B$4),-1,1,1)+OFFSET(Forecast!$B106,0,COLUMN(AL$4)-COLUMN($C$4),1,1)+OFFSET(Forecast!$B102,0,COLUMN(AL$4)-COLUMN($C$4),1,1)</f>
        <v>366961.85470421868</v>
      </c>
      <c r="AM29" s="105">
        <f ca="1">OFFSET(AM$4,ROW($B29)-ROW($B$4),-1,1,1)+OFFSET(Forecast!$B106,0,COLUMN(AM$4)-COLUMN($C$4),1,1)+OFFSET(Forecast!$B102,0,COLUMN(AM$4)-COLUMN($C$4),1,1)</f>
        <v>366961.85470421868</v>
      </c>
      <c r="AN29" s="105">
        <f ca="1">OFFSET(AN$4,ROW($B29)-ROW($B$4),-1,1,1)+OFFSET(Forecast!$B106,0,COLUMN(AN$4)-COLUMN($C$4),1,1)+OFFSET(Forecast!$B102,0,COLUMN(AN$4)-COLUMN($C$4),1,1)</f>
        <v>359390.74369347806</v>
      </c>
      <c r="AO29" s="105">
        <f ca="1">OFFSET(AO$4,ROW($B29)-ROW($B$4),-1,1,1)+OFFSET(Forecast!$B106,0,COLUMN(AO$4)-COLUMN($C$4),1,1)+OFFSET(Forecast!$B102,0,COLUMN(AO$4)-COLUMN($C$4),1,1)</f>
        <v>359390.74369347806</v>
      </c>
      <c r="AP29" s="105">
        <f ca="1">OFFSET(AP$4,ROW($B29)-ROW($B$4),-1,1,1)+OFFSET(Forecast!$B106,0,COLUMN(AP$4)-COLUMN($C$4),1,1)+OFFSET(Forecast!$B102,0,COLUMN(AP$4)-COLUMN($C$4),1,1)</f>
        <v>359390.74369347806</v>
      </c>
      <c r="AQ29" s="105">
        <f ca="1">OFFSET(AQ$4,ROW($B29)-ROW($B$4),-1,1,1)+OFFSET(Forecast!$B106,0,COLUMN(AQ$4)-COLUMN($C$4),1,1)+OFFSET(Forecast!$B102,0,COLUMN(AQ$4)-COLUMN($C$4),1,1)</f>
        <v>359390.74369347806</v>
      </c>
      <c r="AR29" s="105">
        <f ca="1">OFFSET(AR$4,ROW($B29)-ROW($B$4),-1,1,1)+OFFSET(Forecast!$B106,0,COLUMN(AR$4)-COLUMN($C$4),1,1)+OFFSET(Forecast!$B102,0,COLUMN(AR$4)-COLUMN($C$4),1,1)</f>
        <v>351747.07620221784</v>
      </c>
      <c r="AS29" s="105">
        <f ca="1">OFFSET(AS$4,ROW($B29)-ROW($B$4),-1,1,1)+OFFSET(Forecast!$B106,0,COLUMN(AS$4)-COLUMN($C$4),1,1)+OFFSET(Forecast!$B102,0,COLUMN(AS$4)-COLUMN($C$4),1,1)</f>
        <v>351747.07620221784</v>
      </c>
      <c r="AT29" s="105">
        <f ca="1">OFFSET(AT$4,ROW($B29)-ROW($B$4),-1,1,1)+OFFSET(Forecast!$B106,0,COLUMN(AT$4)-COLUMN($C$4),1,1)+OFFSET(Forecast!$B102,0,COLUMN(AT$4)-COLUMN($C$4),1,1)</f>
        <v>351747.07620221784</v>
      </c>
      <c r="AU29" s="105">
        <f ca="1">OFFSET(AU$4,ROW($B29)-ROW($B$4),-1,1,1)+OFFSET(Forecast!$B106,0,COLUMN(AU$4)-COLUMN($C$4),1,1)+OFFSET(Forecast!$B102,0,COLUMN(AU$4)-COLUMN($C$4),1,1)</f>
        <v>351747.07620221784</v>
      </c>
      <c r="AV29" s="105">
        <f ca="1">OFFSET(AV$4,ROW($B29)-ROW($B$4),-1,1,1)+OFFSET(Forecast!$B106,0,COLUMN(AV$4)-COLUMN($C$4),1,1)+OFFSET(Forecast!$B102,0,COLUMN(AV$4)-COLUMN($C$4),1,1)</f>
        <v>351747.07620221784</v>
      </c>
      <c r="AW29" s="105">
        <f ca="1">OFFSET(AW$4,ROW($B29)-ROW($B$4),-1,1,1)+OFFSET(Forecast!$B106,0,COLUMN(AW$4)-COLUMN($C$4),1,1)+OFFSET(Forecast!$B102,0,COLUMN(AW$4)-COLUMN($C$4),1,1)</f>
        <v>344030.15689749969</v>
      </c>
      <c r="AX29" s="105">
        <f ca="1">OFFSET(AX$4,ROW($B29)-ROW($B$4),-1,1,1)+OFFSET(Forecast!$B106,0,COLUMN(AX$4)-COLUMN($C$4),1,1)+OFFSET(Forecast!$B102,0,COLUMN(AX$4)-COLUMN($C$4),1,1)</f>
        <v>344030.15689749969</v>
      </c>
      <c r="AY29" s="105">
        <f ca="1">OFFSET(AY$4,ROW($B29)-ROW($B$4),-1,1,1)+OFFSET(Forecast!$B106,0,COLUMN(AY$4)-COLUMN($C$4),1,1)+OFFSET(Forecast!$B102,0,COLUMN(AY$4)-COLUMN($C$4),1,1)</f>
        <v>344030.15689749969</v>
      </c>
      <c r="AZ29" s="105">
        <f ca="1">OFFSET(AZ$4,ROW($B29)-ROW($B$4),-1,1,1)+OFFSET(Forecast!$B106,0,COLUMN(AZ$4)-COLUMN($C$4),1,1)+OFFSET(Forecast!$B102,0,COLUMN(AZ$4)-COLUMN($C$4),1,1)</f>
        <v>344030.15689749969</v>
      </c>
      <c r="BA29" s="105">
        <f ca="1">OFFSET(BA$4,ROW($B29)-ROW($B$4),-1,1,1)+OFFSET(Forecast!$B106,0,COLUMN(BA$4)-COLUMN($C$4),1,1)+OFFSET(Forecast!$B102,0,COLUMN(BA$4)-COLUMN($C$4),1,1)</f>
        <v>336239.28378277802</v>
      </c>
      <c r="BB29" s="105">
        <f ca="1">OFFSET(BB$4,ROW($B29)-ROW($B$4),-1,1,1)+OFFSET(Forecast!$B106,0,COLUMN(BB$4)-COLUMN($C$4),1,1)+OFFSET(Forecast!$B102,0,COLUMN(BB$4)-COLUMN($C$4),1,1)</f>
        <v>336239.28378277802</v>
      </c>
      <c r="BC29" s="105">
        <f ca="1">OFFSET(BC$4,ROW($B29)-ROW($B$4),-1,1,1)+OFFSET(Forecast!$B106,0,COLUMN(BC$4)-COLUMN($C$4),1,1)+OFFSET(Forecast!$B102,0,COLUMN(BC$4)-COLUMN($C$4),1,1)</f>
        <v>336239.28378277802</v>
      </c>
      <c r="BD29" s="106">
        <f ca="1">OFFSET($B29,0,Assumptions!$C$8+1,1,1)</f>
        <v>403752.94067015249</v>
      </c>
      <c r="BE29" s="106">
        <f ca="1">OFFSET($B29,0,SUM(Assumptions!$C$8:$C$9)+1,1,1)</f>
        <v>381889.15567677771</v>
      </c>
      <c r="BF29" s="106">
        <f ca="1">OFFSET($B29,0,SUM(Assumptions!$C$8:$C$10)+1,1,1)</f>
        <v>359390.74369347806</v>
      </c>
      <c r="BG29" s="106">
        <f ca="1">OFFSET($B29,0,SUM(Assumptions!$C$8:$C$11)+1,1,1)</f>
        <v>336239.28378277802</v>
      </c>
      <c r="BH29" s="106">
        <f t="shared" ca="1" si="9"/>
        <v>336239.28378277802</v>
      </c>
    </row>
    <row r="30" spans="1:60" s="107" customFormat="1" ht="16.149999999999999" customHeight="1" thickBot="1" x14ac:dyDescent="0.35">
      <c r="A30" s="291"/>
      <c r="B30" s="104"/>
      <c r="C30" s="108">
        <f ca="1">SUM(C26:C29)</f>
        <v>2125000</v>
      </c>
      <c r="D30" s="108">
        <f t="shared" ref="D30:BH30" ca="1" si="10">SUM(D26:D29)</f>
        <v>2119225.3197747869</v>
      </c>
      <c r="E30" s="108">
        <f t="shared" ca="1" si="10"/>
        <v>2112210.4076564638</v>
      </c>
      <c r="F30" s="108">
        <f t="shared" ca="1" si="10"/>
        <v>2112210.4076564638</v>
      </c>
      <c r="G30" s="108">
        <f t="shared" ca="1" si="10"/>
        <v>2112210.4076564638</v>
      </c>
      <c r="H30" s="108">
        <f t="shared" ca="1" si="10"/>
        <v>2108674.4642429175</v>
      </c>
      <c r="I30" s="108">
        <f t="shared" ca="1" si="10"/>
        <v>2095768.320264657</v>
      </c>
      <c r="J30" s="108">
        <f t="shared" ca="1" si="10"/>
        <v>2095768.320264657</v>
      </c>
      <c r="K30" s="108">
        <f t="shared" ca="1" si="10"/>
        <v>2095768.320264657</v>
      </c>
      <c r="L30" s="108">
        <f t="shared" ca="1" si="10"/>
        <v>2092205.1206206307</v>
      </c>
      <c r="M30" s="108">
        <f t="shared" ca="1" si="10"/>
        <v>2086331.3682871666</v>
      </c>
      <c r="N30" s="108">
        <f t="shared" ca="1" si="10"/>
        <v>2079181.3594350985</v>
      </c>
      <c r="O30" s="108">
        <f t="shared" ca="1" si="10"/>
        <v>2079181.3594350985</v>
      </c>
      <c r="P30" s="108">
        <f t="shared" ca="1" si="10"/>
        <v>2075590.6934604831</v>
      </c>
      <c r="Q30" s="108">
        <f t="shared" ca="1" si="10"/>
        <v>2069666.769492504</v>
      </c>
      <c r="R30" s="108">
        <f t="shared" ca="1" si="10"/>
        <v>2062448.2397222703</v>
      </c>
      <c r="S30" s="108">
        <f t="shared" ca="1" si="10"/>
        <v>2062448.2397222703</v>
      </c>
      <c r="T30" s="108">
        <f t="shared" ca="1" si="10"/>
        <v>2062448.2397222703</v>
      </c>
      <c r="U30" s="108">
        <f t="shared" ca="1" si="10"/>
        <v>2058829.8956974337</v>
      </c>
      <c r="V30" s="108">
        <f t="shared" ca="1" si="10"/>
        <v>2045567.6641983627</v>
      </c>
      <c r="W30" s="108">
        <f t="shared" ca="1" si="10"/>
        <v>2045567.6641983627</v>
      </c>
      <c r="X30" s="108">
        <f t="shared" ca="1" si="10"/>
        <v>2045567.6641983627</v>
      </c>
      <c r="Y30" s="108">
        <f t="shared" ca="1" si="10"/>
        <v>2041921.4287716681</v>
      </c>
      <c r="Z30" s="108">
        <f t="shared" ca="1" si="10"/>
        <v>2135895.8722259984</v>
      </c>
      <c r="AA30" s="108">
        <f t="shared" ca="1" si="10"/>
        <v>2128538.3243500562</v>
      </c>
      <c r="AB30" s="108">
        <f t="shared" ca="1" si="10"/>
        <v>2128538.3243500562</v>
      </c>
      <c r="AC30" s="108">
        <f t="shared" ca="1" si="10"/>
        <v>2128538.3243500562</v>
      </c>
      <c r="AD30" s="108">
        <f t="shared" ca="1" si="10"/>
        <v>2118079.7690014075</v>
      </c>
      <c r="AE30" s="108">
        <f t="shared" ca="1" si="10"/>
        <v>2110651.711291654</v>
      </c>
      <c r="AF30" s="108">
        <f t="shared" ca="1" si="10"/>
        <v>2110651.711291654</v>
      </c>
      <c r="AG30" s="108">
        <f t="shared" ca="1" si="10"/>
        <v>2110651.711291654</v>
      </c>
      <c r="AH30" s="108">
        <f t="shared" ca="1" si="10"/>
        <v>2106236.4064865075</v>
      </c>
      <c r="AI30" s="108">
        <f t="shared" ca="1" si="10"/>
        <v>2092608.23046202</v>
      </c>
      <c r="AJ30" s="108">
        <f t="shared" ca="1" si="10"/>
        <v>2092608.23046202</v>
      </c>
      <c r="AK30" s="108">
        <f t="shared" ca="1" si="10"/>
        <v>2092608.23046202</v>
      </c>
      <c r="AL30" s="108">
        <f t="shared" ca="1" si="10"/>
        <v>2088158.891015667</v>
      </c>
      <c r="AM30" s="108">
        <f t="shared" ca="1" si="10"/>
        <v>2081977.6069533122</v>
      </c>
      <c r="AN30" s="108">
        <f t="shared" ca="1" si="10"/>
        <v>2074406.4959425717</v>
      </c>
      <c r="AO30" s="108">
        <f t="shared" ca="1" si="10"/>
        <v>2074406.4959425717</v>
      </c>
      <c r="AP30" s="108">
        <f t="shared" ca="1" si="10"/>
        <v>2074406.4959425717</v>
      </c>
      <c r="AQ30" s="108">
        <f t="shared" ca="1" si="10"/>
        <v>2063688.7769742655</v>
      </c>
      <c r="AR30" s="108">
        <f t="shared" ca="1" si="10"/>
        <v>2056045.1094830055</v>
      </c>
      <c r="AS30" s="108">
        <f t="shared" ca="1" si="10"/>
        <v>2056045.1094830055</v>
      </c>
      <c r="AT30" s="108">
        <f t="shared" ca="1" si="10"/>
        <v>2056045.1094830055</v>
      </c>
      <c r="AU30" s="108">
        <f t="shared" ca="1" si="10"/>
        <v>2051526.9116808781</v>
      </c>
      <c r="AV30" s="108">
        <f t="shared" ca="1" si="10"/>
        <v>2285239.5796955437</v>
      </c>
      <c r="AW30" s="108">
        <f t="shared" ca="1" si="10"/>
        <v>2277522.6603908255</v>
      </c>
      <c r="AX30" s="108">
        <f t="shared" ca="1" si="10"/>
        <v>2277522.6603908255</v>
      </c>
      <c r="AY30" s="108">
        <f t="shared" ca="1" si="10"/>
        <v>2272969.6348139732</v>
      </c>
      <c r="AZ30" s="108">
        <f t="shared" ca="1" si="10"/>
        <v>2263729.0933604976</v>
      </c>
      <c r="BA30" s="108">
        <f t="shared" ca="1" si="10"/>
        <v>2255938.2202457758</v>
      </c>
      <c r="BB30" s="108">
        <f t="shared" ca="1" si="10"/>
        <v>2255938.2202457758</v>
      </c>
      <c r="BC30" s="108">
        <f t="shared" ca="1" si="10"/>
        <v>2255938.2202457758</v>
      </c>
      <c r="BD30" s="109">
        <f t="shared" ca="1" si="10"/>
        <v>2075590.6934604831</v>
      </c>
      <c r="BE30" s="109">
        <f t="shared" ca="1" si="10"/>
        <v>2128538.3243500562</v>
      </c>
      <c r="BF30" s="109">
        <f t="shared" ca="1" si="10"/>
        <v>2074406.4959425717</v>
      </c>
      <c r="BG30" s="109">
        <f t="shared" ca="1" si="10"/>
        <v>2255938.2202457758</v>
      </c>
      <c r="BH30" s="109">
        <f t="shared" ca="1" si="10"/>
        <v>2255938.2202457758</v>
      </c>
    </row>
    <row r="31" spans="1:60" s="10" customFormat="1" ht="16.149999999999999" customHeight="1" x14ac:dyDescent="0.25">
      <c r="A31" s="294"/>
      <c r="B31" s="3" t="s">
        <v>36</v>
      </c>
      <c r="C31" s="53"/>
      <c r="D31" s="53"/>
      <c r="E31" s="53"/>
      <c r="F31" s="53"/>
      <c r="G31" s="53"/>
      <c r="H31" s="53"/>
      <c r="I31" s="53"/>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row>
    <row r="32" spans="1:60" ht="16.149999999999999" customHeight="1" x14ac:dyDescent="0.3">
      <c r="A32" s="295" t="s">
        <v>187</v>
      </c>
      <c r="B32" s="110" t="s">
        <v>188</v>
      </c>
      <c r="C32" s="52">
        <f ca="1">-SUMIF(Assumptions!$A$81:$C$104,$A32,Assumptions!$C$81:$C$104)</f>
        <v>0</v>
      </c>
      <c r="D32" s="102">
        <f ca="1">IF(OFFSET(Forecast!$B$110,0,COLUMN(D$4)-COLUMN($C$4),1,1)&lt;0,-OFFSET(Forecast!$B$110,0,COLUMN(D$4)-COLUMN($C$4),1,1),0)</f>
        <v>0</v>
      </c>
      <c r="E32" s="102">
        <f ca="1">IF(OFFSET(Forecast!$B$110,0,COLUMN(E$4)-COLUMN($C$4),1,1)&lt;0,-OFFSET(Forecast!$B$110,0,COLUMN(E$4)-COLUMN($C$4),1,1),0)</f>
        <v>0</v>
      </c>
      <c r="F32" s="102">
        <f ca="1">IF(OFFSET(Forecast!$B$110,0,COLUMN(F$4)-COLUMN($C$4),1,1)&lt;0,-OFFSET(Forecast!$B$110,0,COLUMN(F$4)-COLUMN($C$4),1,1),0)</f>
        <v>0</v>
      </c>
      <c r="G32" s="102">
        <f ca="1">IF(OFFSET(Forecast!$B$110,0,COLUMN(G$4)-COLUMN($C$4),1,1)&lt;0,-OFFSET(Forecast!$B$110,0,COLUMN(G$4)-COLUMN($C$4),1,1),0)</f>
        <v>0</v>
      </c>
      <c r="H32" s="102">
        <f ca="1">IF(OFFSET(Forecast!$B$110,0,COLUMN(H$4)-COLUMN($C$4),1,1)&lt;0,-OFFSET(Forecast!$B$110,0,COLUMN(H$4)-COLUMN($C$4),1,1),0)</f>
        <v>0</v>
      </c>
      <c r="I32" s="102">
        <f ca="1">IF(OFFSET(Forecast!$B$110,0,COLUMN(I$4)-COLUMN($C$4),1,1)&lt;0,-OFFSET(Forecast!$B$110,0,COLUMN(I$4)-COLUMN($C$4),1,1),0)</f>
        <v>0</v>
      </c>
      <c r="J32" s="102">
        <f ca="1">IF(OFFSET(Forecast!$B$110,0,COLUMN(J$4)-COLUMN($C$4),1,1)&lt;0,-OFFSET(Forecast!$B$110,0,COLUMN(J$4)-COLUMN($C$4),1,1),0)</f>
        <v>0</v>
      </c>
      <c r="K32" s="102">
        <f ca="1">IF(OFFSET(Forecast!$B$110,0,COLUMN(K$4)-COLUMN($C$4),1,1)&lt;0,-OFFSET(Forecast!$B$110,0,COLUMN(K$4)-COLUMN($C$4),1,1),0)</f>
        <v>0</v>
      </c>
      <c r="L32" s="102">
        <f ca="1">IF(OFFSET(Forecast!$B$110,0,COLUMN(L$4)-COLUMN($C$4),1,1)&lt;0,-OFFSET(Forecast!$B$110,0,COLUMN(L$4)-COLUMN($C$4),1,1),0)</f>
        <v>0</v>
      </c>
      <c r="M32" s="102">
        <f ca="1">IF(OFFSET(Forecast!$B$110,0,COLUMN(M$4)-COLUMN($C$4),1,1)&lt;0,-OFFSET(Forecast!$B$110,0,COLUMN(M$4)-COLUMN($C$4),1,1),0)</f>
        <v>0</v>
      </c>
      <c r="N32" s="102">
        <f ca="1">IF(OFFSET(Forecast!$B$110,0,COLUMN(N$4)-COLUMN($C$4),1,1)&lt;0,-OFFSET(Forecast!$B$110,0,COLUMN(N$4)-COLUMN($C$4),1,1),0)</f>
        <v>0</v>
      </c>
      <c r="O32" s="102">
        <f ca="1">IF(OFFSET(Forecast!$B$110,0,COLUMN(O$4)-COLUMN($C$4),1,1)&lt;0,-OFFSET(Forecast!$B$110,0,COLUMN(O$4)-COLUMN($C$4),1,1),0)</f>
        <v>0</v>
      </c>
      <c r="P32" s="102">
        <f ca="1">IF(OFFSET(Forecast!$B$110,0,COLUMN(P$4)-COLUMN($C$4),1,1)&lt;0,-OFFSET(Forecast!$B$110,0,COLUMN(P$4)-COLUMN($C$4),1,1),0)</f>
        <v>0</v>
      </c>
      <c r="Q32" s="102">
        <f ca="1">IF(OFFSET(Forecast!$B$110,0,COLUMN(Q$4)-COLUMN($C$4),1,1)&lt;0,-OFFSET(Forecast!$B$110,0,COLUMN(Q$4)-COLUMN($C$4),1,1),0)</f>
        <v>0</v>
      </c>
      <c r="R32" s="102">
        <f ca="1">IF(OFFSET(Forecast!$B$110,0,COLUMN(R$4)-COLUMN($C$4),1,1)&lt;0,-OFFSET(Forecast!$B$110,0,COLUMN(R$4)-COLUMN($C$4),1,1),0)</f>
        <v>0</v>
      </c>
      <c r="S32" s="102">
        <f ca="1">IF(OFFSET(Forecast!$B$110,0,COLUMN(S$4)-COLUMN($C$4),1,1)&lt;0,-OFFSET(Forecast!$B$110,0,COLUMN(S$4)-COLUMN($C$4),1,1),0)</f>
        <v>0</v>
      </c>
      <c r="T32" s="102">
        <f ca="1">IF(OFFSET(Forecast!$B$110,0,COLUMN(T$4)-COLUMN($C$4),1,1)&lt;0,-OFFSET(Forecast!$B$110,0,COLUMN(T$4)-COLUMN($C$4),1,1),0)</f>
        <v>0</v>
      </c>
      <c r="U32" s="102">
        <f ca="1">IF(OFFSET(Forecast!$B$110,0,COLUMN(U$4)-COLUMN($C$4),1,1)&lt;0,-OFFSET(Forecast!$B$110,0,COLUMN(U$4)-COLUMN($C$4),1,1),0)</f>
        <v>0</v>
      </c>
      <c r="V32" s="102">
        <f ca="1">IF(OFFSET(Forecast!$B$110,0,COLUMN(V$4)-COLUMN($C$4),1,1)&lt;0,-OFFSET(Forecast!$B$110,0,COLUMN(V$4)-COLUMN($C$4),1,1),0)</f>
        <v>0</v>
      </c>
      <c r="W32" s="102">
        <f ca="1">IF(OFFSET(Forecast!$B$110,0,COLUMN(W$4)-COLUMN($C$4),1,1)&lt;0,-OFFSET(Forecast!$B$110,0,COLUMN(W$4)-COLUMN($C$4),1,1),0)</f>
        <v>0</v>
      </c>
      <c r="X32" s="102">
        <f ca="1">IF(OFFSET(Forecast!$B$110,0,COLUMN(X$4)-COLUMN($C$4),1,1)&lt;0,-OFFSET(Forecast!$B$110,0,COLUMN(X$4)-COLUMN($C$4),1,1),0)</f>
        <v>0</v>
      </c>
      <c r="Y32" s="102">
        <f ca="1">IF(OFFSET(Forecast!$B$110,0,COLUMN(Y$4)-COLUMN($C$4),1,1)&lt;0,-OFFSET(Forecast!$B$110,0,COLUMN(Y$4)-COLUMN($C$4),1,1),0)</f>
        <v>0</v>
      </c>
      <c r="Z32" s="102">
        <f ca="1">IF(OFFSET(Forecast!$B$110,0,COLUMN(Z$4)-COLUMN($C$4),1,1)&lt;0,-OFFSET(Forecast!$B$110,0,COLUMN(Z$4)-COLUMN($C$4),1,1),0)</f>
        <v>0</v>
      </c>
      <c r="AA32" s="102">
        <f ca="1">IF(OFFSET(Forecast!$B$110,0,COLUMN(AA$4)-COLUMN($C$4),1,1)&lt;0,-OFFSET(Forecast!$B$110,0,COLUMN(AA$4)-COLUMN($C$4),1,1),0)</f>
        <v>0</v>
      </c>
      <c r="AB32" s="102">
        <f ca="1">IF(OFFSET(Forecast!$B$110,0,COLUMN(AB$4)-COLUMN($C$4),1,1)&lt;0,-OFFSET(Forecast!$B$110,0,COLUMN(AB$4)-COLUMN($C$4),1,1),0)</f>
        <v>0</v>
      </c>
      <c r="AC32" s="102">
        <f ca="1">IF(OFFSET(Forecast!$B$110,0,COLUMN(AC$4)-COLUMN($C$4),1,1)&lt;0,-OFFSET(Forecast!$B$110,0,COLUMN(AC$4)-COLUMN($C$4),1,1),0)</f>
        <v>0</v>
      </c>
      <c r="AD32" s="102">
        <f ca="1">IF(OFFSET(Forecast!$B$110,0,COLUMN(AD$4)-COLUMN($C$4),1,1)&lt;0,-OFFSET(Forecast!$B$110,0,COLUMN(AD$4)-COLUMN($C$4),1,1),0)</f>
        <v>0</v>
      </c>
      <c r="AE32" s="102">
        <f ca="1">IF(OFFSET(Forecast!$B$110,0,COLUMN(AE$4)-COLUMN($C$4),1,1)&lt;0,-OFFSET(Forecast!$B$110,0,COLUMN(AE$4)-COLUMN($C$4),1,1),0)</f>
        <v>0</v>
      </c>
      <c r="AF32" s="102">
        <f ca="1">IF(OFFSET(Forecast!$B$110,0,COLUMN(AF$4)-COLUMN($C$4),1,1)&lt;0,-OFFSET(Forecast!$B$110,0,COLUMN(AF$4)-COLUMN($C$4),1,1),0)</f>
        <v>0</v>
      </c>
      <c r="AG32" s="102">
        <f ca="1">IF(OFFSET(Forecast!$B$110,0,COLUMN(AG$4)-COLUMN($C$4),1,1)&lt;0,-OFFSET(Forecast!$B$110,0,COLUMN(AG$4)-COLUMN($C$4),1,1),0)</f>
        <v>0</v>
      </c>
      <c r="AH32" s="102">
        <f ca="1">IF(OFFSET(Forecast!$B$110,0,COLUMN(AH$4)-COLUMN($C$4),1,1)&lt;0,-OFFSET(Forecast!$B$110,0,COLUMN(AH$4)-COLUMN($C$4),1,1),0)</f>
        <v>0</v>
      </c>
      <c r="AI32" s="102">
        <f ca="1">IF(OFFSET(Forecast!$B$110,0,COLUMN(AI$4)-COLUMN($C$4),1,1)&lt;0,-OFFSET(Forecast!$B$110,0,COLUMN(AI$4)-COLUMN($C$4),1,1),0)</f>
        <v>0</v>
      </c>
      <c r="AJ32" s="102">
        <f ca="1">IF(OFFSET(Forecast!$B$110,0,COLUMN(AJ$4)-COLUMN($C$4),1,1)&lt;0,-OFFSET(Forecast!$B$110,0,COLUMN(AJ$4)-COLUMN($C$4),1,1),0)</f>
        <v>0</v>
      </c>
      <c r="AK32" s="102">
        <f ca="1">IF(OFFSET(Forecast!$B$110,0,COLUMN(AK$4)-COLUMN($C$4),1,1)&lt;0,-OFFSET(Forecast!$B$110,0,COLUMN(AK$4)-COLUMN($C$4),1,1),0)</f>
        <v>0</v>
      </c>
      <c r="AL32" s="102">
        <f ca="1">IF(OFFSET(Forecast!$B$110,0,COLUMN(AL$4)-COLUMN($C$4),1,1)&lt;0,-OFFSET(Forecast!$B$110,0,COLUMN(AL$4)-COLUMN($C$4),1,1),0)</f>
        <v>0</v>
      </c>
      <c r="AM32" s="102">
        <f ca="1">IF(OFFSET(Forecast!$B$110,0,COLUMN(AM$4)-COLUMN($C$4),1,1)&lt;0,-OFFSET(Forecast!$B$110,0,COLUMN(AM$4)-COLUMN($C$4),1,1),0)</f>
        <v>0</v>
      </c>
      <c r="AN32" s="102">
        <f ca="1">IF(OFFSET(Forecast!$B$110,0,COLUMN(AN$4)-COLUMN($C$4),1,1)&lt;0,-OFFSET(Forecast!$B$110,0,COLUMN(AN$4)-COLUMN($C$4),1,1),0)</f>
        <v>0</v>
      </c>
      <c r="AO32" s="102">
        <f ca="1">IF(OFFSET(Forecast!$B$110,0,COLUMN(AO$4)-COLUMN($C$4),1,1)&lt;0,-OFFSET(Forecast!$B$110,0,COLUMN(AO$4)-COLUMN($C$4),1,1),0)</f>
        <v>0</v>
      </c>
      <c r="AP32" s="102">
        <f ca="1">IF(OFFSET(Forecast!$B$110,0,COLUMN(AP$4)-COLUMN($C$4),1,1)&lt;0,-OFFSET(Forecast!$B$110,0,COLUMN(AP$4)-COLUMN($C$4),1,1),0)</f>
        <v>0</v>
      </c>
      <c r="AQ32" s="102">
        <f ca="1">IF(OFFSET(Forecast!$B$110,0,COLUMN(AQ$4)-COLUMN($C$4),1,1)&lt;0,-OFFSET(Forecast!$B$110,0,COLUMN(AQ$4)-COLUMN($C$4),1,1),0)</f>
        <v>0</v>
      </c>
      <c r="AR32" s="102">
        <f ca="1">IF(OFFSET(Forecast!$B$110,0,COLUMN(AR$4)-COLUMN($C$4),1,1)&lt;0,-OFFSET(Forecast!$B$110,0,COLUMN(AR$4)-COLUMN($C$4),1,1),0)</f>
        <v>0</v>
      </c>
      <c r="AS32" s="102">
        <f ca="1">IF(OFFSET(Forecast!$B$110,0,COLUMN(AS$4)-COLUMN($C$4),1,1)&lt;0,-OFFSET(Forecast!$B$110,0,COLUMN(AS$4)-COLUMN($C$4),1,1),0)</f>
        <v>0</v>
      </c>
      <c r="AT32" s="102">
        <f ca="1">IF(OFFSET(Forecast!$B$110,0,COLUMN(AT$4)-COLUMN($C$4),1,1)&lt;0,-OFFSET(Forecast!$B$110,0,COLUMN(AT$4)-COLUMN($C$4),1,1),0)</f>
        <v>0</v>
      </c>
      <c r="AU32" s="102">
        <f ca="1">IF(OFFSET(Forecast!$B$110,0,COLUMN(AU$4)-COLUMN($C$4),1,1)&lt;0,-OFFSET(Forecast!$B$110,0,COLUMN(AU$4)-COLUMN($C$4),1,1),0)</f>
        <v>0</v>
      </c>
      <c r="AV32" s="102">
        <f ca="1">IF(OFFSET(Forecast!$B$110,0,COLUMN(AV$4)-COLUMN($C$4),1,1)&lt;0,-OFFSET(Forecast!$B$110,0,COLUMN(AV$4)-COLUMN($C$4),1,1),0)</f>
        <v>0</v>
      </c>
      <c r="AW32" s="102">
        <f ca="1">IF(OFFSET(Forecast!$B$110,0,COLUMN(AW$4)-COLUMN($C$4),1,1)&lt;0,-OFFSET(Forecast!$B$110,0,COLUMN(AW$4)-COLUMN($C$4),1,1),0)</f>
        <v>0</v>
      </c>
      <c r="AX32" s="102">
        <f ca="1">IF(OFFSET(Forecast!$B$110,0,COLUMN(AX$4)-COLUMN($C$4),1,1)&lt;0,-OFFSET(Forecast!$B$110,0,COLUMN(AX$4)-COLUMN($C$4),1,1),0)</f>
        <v>0</v>
      </c>
      <c r="AY32" s="102">
        <f ca="1">IF(OFFSET(Forecast!$B$110,0,COLUMN(AY$4)-COLUMN($C$4),1,1)&lt;0,-OFFSET(Forecast!$B$110,0,COLUMN(AY$4)-COLUMN($C$4),1,1),0)</f>
        <v>0</v>
      </c>
      <c r="AZ32" s="102">
        <f ca="1">IF(OFFSET(Forecast!$B$110,0,COLUMN(AZ$4)-COLUMN($C$4),1,1)&lt;0,-OFFSET(Forecast!$B$110,0,COLUMN(AZ$4)-COLUMN($C$4),1,1),0)</f>
        <v>0</v>
      </c>
      <c r="BA32" s="102">
        <f ca="1">IF(OFFSET(Forecast!$B$110,0,COLUMN(BA$4)-COLUMN($C$4),1,1)&lt;0,-OFFSET(Forecast!$B$110,0,COLUMN(BA$4)-COLUMN($C$4),1,1),0)</f>
        <v>0</v>
      </c>
      <c r="BB32" s="102">
        <f ca="1">IF(OFFSET(Forecast!$B$110,0,COLUMN(BB$4)-COLUMN($C$4),1,1)&lt;0,-OFFSET(Forecast!$B$110,0,COLUMN(BB$4)-COLUMN($C$4),1,1),0)</f>
        <v>0</v>
      </c>
      <c r="BC32" s="102">
        <f ca="1">IF(OFFSET(Forecast!$B$110,0,COLUMN(BC$4)-COLUMN($C$4),1,1)&lt;0,-OFFSET(Forecast!$B$110,0,COLUMN(BC$4)-COLUMN($C$4),1,1),0)</f>
        <v>0</v>
      </c>
      <c r="BD32" s="53">
        <f ca="1">OFFSET($B32,0,Assumptions!$C$8+1,1,1)</f>
        <v>0</v>
      </c>
      <c r="BE32" s="53">
        <f ca="1">OFFSET($B32,0,SUM(Assumptions!$C$8:$C$9)+1,1,1)</f>
        <v>0</v>
      </c>
      <c r="BF32" s="53">
        <f ca="1">OFFSET($B32,0,SUM(Assumptions!$C$8:$C$10)+1,1,1)</f>
        <v>0</v>
      </c>
      <c r="BG32" s="53">
        <f ca="1">OFFSET($B32,0,SUM(Assumptions!$C$8:$C$11)+1,1,1)</f>
        <v>0</v>
      </c>
      <c r="BH32" s="53">
        <f t="shared" ref="BH32:BH39" ca="1" si="11">BG32</f>
        <v>0</v>
      </c>
    </row>
    <row r="33" spans="1:60" ht="16.149999999999999" customHeight="1" x14ac:dyDescent="0.3">
      <c r="A33" s="291" t="s">
        <v>189</v>
      </c>
      <c r="B33" s="12" t="s">
        <v>190</v>
      </c>
      <c r="C33" s="52">
        <f ca="1">-SUMIF(Assumptions!$A$81:$C$104,$A33,Assumptions!$C$81:$C$104)</f>
        <v>130000</v>
      </c>
      <c r="D33" s="102">
        <f ca="1">(IF(D$94&lt;=D$43,0,IF(ISNA(MATCH(D$4-D$94,$A$4:$BH$4,1)),SUM($D$95:D$95),SUM(OFFSET($A$95,0,MATCH(D$4-D$94,$A$4:$BH$4,1)+1,1,COLUMN(D$4)-MATCH(D$4-D$94,$A$4:$BH$4,1)-1)))))+(IF(D$4-D$94=D$4,0,IF(D$4-D$94&lt;$C$4,0,IF(ISNA(MATCH(D$4-D$94,$A$4:$BH$4,1)),0,OFFSET($A$95,0,MATCH(D$4-D$94,$A$4:$BH$4,1),1,1)/7*(OFFSET($A$4,0,MATCH(D$4-D$94,$A$4:$BH$4,1),1,1)-(D$4-D$94))))))+IF(C$94=0,0,($C$33/$C$94*IF($C$4&gt;(D$4-D$94),$C$4-(D$4-D$94),0)))</f>
        <v>129350</v>
      </c>
      <c r="E33" s="102">
        <f ca="1">(IF(E$94&lt;=E$43,0,IF(ISNA(MATCH(E$4-E$94,$A$4:$BH$4,1)),SUM($D$95:E$95),SUM(OFFSET($A$95,0,MATCH(E$4-E$94,$A$4:$BH$4,1)+1,1,COLUMN(E$4)-MATCH(E$4-E$94,$A$4:$BH$4,1)-1)))))+(IF(E$4-E$94=E$4,0,IF(E$4-E$94&lt;$C$4,0,IF(ISNA(MATCH(E$4-E$94,$A$4:$BH$4,1)),0,OFFSET($A$95,0,MATCH(E$4-E$94,$A$4:$BH$4,1),1,1)/7*(OFFSET($A$4,0,MATCH(E$4-E$94,$A$4:$BH$4,1),1,1)-(E$4-E$94))))))+IF(D$94=0,0,($C$33/$C$94*IF($C$4&gt;(E$4-E$94),$C$4-(E$4-E$94),0)))</f>
        <v>121709.84</v>
      </c>
      <c r="F33" s="102">
        <f ca="1">(IF(F$94&lt;=F$43,0,IF(ISNA(MATCH(F$4-F$94,$A$4:$BH$4,1)),SUM($D$95:F$95),SUM(OFFSET($A$95,0,MATCH(F$4-F$94,$A$4:$BH$4,1)+1,1,COLUMN(F$4)-MATCH(F$4-F$94,$A$4:$BH$4,1)-1)))))+(IF(F$4-F$94=F$4,0,IF(F$4-F$94&lt;$C$4,0,IF(ISNA(MATCH(F$4-F$94,$A$4:$BH$4,1)),0,OFFSET($A$95,0,MATCH(F$4-F$94,$A$4:$BH$4,1),1,1)/7*(OFFSET($A$4,0,MATCH(F$4-F$94,$A$4:$BH$4,1),1,1)-(F$4-F$94))))))+IF(E$94=0,0,($C$33/$C$94*IF($C$4&gt;(F$4-F$94),$C$4-(F$4-F$94),0)))</f>
        <v>128742.69714285714</v>
      </c>
      <c r="G33" s="102">
        <f ca="1">(IF(G$94&lt;=G$43,0,IF(ISNA(MATCH(G$4-G$94,$A$4:$BH$4,1)),SUM($D$95:G$95),SUM(OFFSET($A$95,0,MATCH(G$4-G$94,$A$4:$BH$4,1)+1,1,COLUMN(G$4)-MATCH(G$4-G$94,$A$4:$BH$4,1)-1)))))+(IF(G$4-G$94=G$4,0,IF(G$4-G$94&lt;$C$4,0,IF(ISNA(MATCH(G$4-G$94,$A$4:$BH$4,1)),0,OFFSET($A$95,0,MATCH(G$4-G$94,$A$4:$BH$4,1),1,1)/7*(OFFSET($A$4,0,MATCH(G$4-G$94,$A$4:$BH$4,1),1,1)-(G$4-G$94))))))+IF(F$94=0,0,($C$33/$C$94*IF($C$4&gt;(G$4-G$94),$C$4-(G$4-G$94),0)))</f>
        <v>133927.29142857142</v>
      </c>
      <c r="H33" s="102">
        <f ca="1">(IF(H$94&lt;=H$43,0,IF(ISNA(MATCH(H$4-H$94,$A$4:$BH$4,1)),SUM($D$95:H$95),SUM(OFFSET($A$95,0,MATCH(H$4-H$94,$A$4:$BH$4,1)+1,1,COLUMN(H$4)-MATCH(H$4-H$94,$A$4:$BH$4,1)-1)))))+(IF(H$4-H$94=H$4,0,IF(H$4-H$94&lt;$C$4,0,IF(ISNA(MATCH(H$4-H$94,$A$4:$BH$4,1)),0,OFFSET($A$95,0,MATCH(H$4-H$94,$A$4:$BH$4,1),1,1)/7*(OFFSET($A$4,0,MATCH(H$4-H$94,$A$4:$BH$4,1),1,1)-(H$4-H$94))))))+IF(G$94=0,0,($C$33/$C$94*IF($C$4&gt;(H$4-H$94),$C$4-(H$4-H$94),0)))</f>
        <v>152891.0214285714</v>
      </c>
      <c r="I33" s="102">
        <f ca="1">(IF(I$94&lt;=I$43,0,IF(ISNA(MATCH(I$4-I$94,$A$4:$BH$4,1)),SUM($D$95:I$95),SUM(OFFSET($A$95,0,MATCH(I$4-I$94,$A$4:$BH$4,1)+1,1,COLUMN(I$4)-MATCH(I$4-I$94,$A$4:$BH$4,1)-1)))))+(IF(I$4-I$94=I$4,0,IF(I$4-I$94&lt;$C$4,0,IF(ISNA(MATCH(I$4-I$94,$A$4:$BH$4,1)),0,OFFSET($A$95,0,MATCH(I$4-I$94,$A$4:$BH$4,1),1,1)/7*(OFFSET($A$4,0,MATCH(I$4-I$94,$A$4:$BH$4,1),1,1)-(I$4-I$94))))))+IF(H$94=0,0,($C$33/$C$94*IF($C$4&gt;(I$4-I$94),$C$4-(I$4-I$94),0)))</f>
        <v>154331.80714285711</v>
      </c>
      <c r="J33" s="102">
        <f ca="1">(IF(J$94&lt;=J$43,0,IF(ISNA(MATCH(J$4-J$94,$A$4:$BH$4,1)),SUM($D$95:J$95),SUM(OFFSET($A$95,0,MATCH(J$4-J$94,$A$4:$BH$4,1)+1,1,COLUMN(J$4)-MATCH(J$4-J$94,$A$4:$BH$4,1)-1)))))+(IF(J$4-J$94=J$4,0,IF(J$4-J$94&lt;$C$4,0,IF(ISNA(MATCH(J$4-J$94,$A$4:$BH$4,1)),0,OFFSET($A$95,0,MATCH(J$4-J$94,$A$4:$BH$4,1),1,1)/7*(OFFSET($A$4,0,MATCH(J$4-J$94,$A$4:$BH$4,1),1,1)-(J$4-J$94))))))+IF(I$94=0,0,($C$33/$C$94*IF($C$4&gt;(J$4-J$94),$C$4-(J$4-J$94),0)))</f>
        <v>157243.44285714283</v>
      </c>
      <c r="K33" s="102">
        <f ca="1">(IF(K$94&lt;=K$43,0,IF(ISNA(MATCH(K$4-K$94,$A$4:$BH$4,1)),SUM($D$95:K$95),SUM(OFFSET($A$95,0,MATCH(K$4-K$94,$A$4:$BH$4,1)+1,1,COLUMN(K$4)-MATCH(K$4-K$94,$A$4:$BH$4,1)-1)))))+(IF(K$4-K$94=K$4,0,IF(K$4-K$94&lt;$C$4,0,IF(ISNA(MATCH(K$4-K$94,$A$4:$BH$4,1)),0,OFFSET($A$95,0,MATCH(K$4-K$94,$A$4:$BH$4,1),1,1)/7*(OFFSET($A$4,0,MATCH(K$4-K$94,$A$4:$BH$4,1),1,1)-(K$4-K$94))))))+IF(J$94=0,0,($C$33/$C$94*IF($C$4&gt;(K$4-K$94),$C$4-(K$4-K$94),0)))</f>
        <v>144767.91428571427</v>
      </c>
      <c r="L33" s="102">
        <f ca="1">(IF(L$94&lt;=L$43,0,IF(ISNA(MATCH(L$4-L$94,$A$4:$BH$4,1)),SUM($D$95:L$95),SUM(OFFSET($A$95,0,MATCH(L$4-L$94,$A$4:$BH$4,1)+1,1,COLUMN(L$4)-MATCH(L$4-L$94,$A$4:$BH$4,1)-1)))))+(IF(L$4-L$94=L$4,0,IF(L$4-L$94&lt;$C$4,0,IF(ISNA(MATCH(L$4-L$94,$A$4:$BH$4,1)),0,OFFSET($A$95,0,MATCH(L$4-L$94,$A$4:$BH$4,1),1,1)/7*(OFFSET($A$4,0,MATCH(L$4-L$94,$A$4:$BH$4,1),1,1)-(L$4-L$94))))))+IF(K$94=0,0,($C$33/$C$94*IF($C$4&gt;(L$4-L$94),$C$4-(L$4-L$94),0)))</f>
        <v>146503.92142857143</v>
      </c>
      <c r="M33" s="102">
        <f ca="1">(IF(M$94&lt;=M$43,0,IF(ISNA(MATCH(M$4-M$94,$A$4:$BH$4,1)),SUM($D$95:M$95),SUM(OFFSET($A$95,0,MATCH(M$4-M$94,$A$4:$BH$4,1)+1,1,COLUMN(M$4)-MATCH(M$4-M$94,$A$4:$BH$4,1)-1)))))+(IF(M$4-M$94=M$4,0,IF(M$4-M$94&lt;$C$4,0,IF(ISNA(MATCH(M$4-M$94,$A$4:$BH$4,1)),0,OFFSET($A$95,0,MATCH(M$4-M$94,$A$4:$BH$4,1),1,1)/7*(OFFSET($A$4,0,MATCH(M$4-M$94,$A$4:$BH$4,1),1,1)-(M$4-M$94))))))+IF(L$94=0,0,($C$33/$C$94*IF($C$4&gt;(M$4-M$94),$C$4-(M$4-M$94),0)))</f>
        <v>140616.25</v>
      </c>
      <c r="N33" s="102">
        <f ca="1">(IF(N$94&lt;=N$43,0,IF(ISNA(MATCH(N$4-N$94,$A$4:$BH$4,1)),SUM($D$95:N$95),SUM(OFFSET($A$95,0,MATCH(N$4-N$94,$A$4:$BH$4,1)+1,1,COLUMN(N$4)-MATCH(N$4-N$94,$A$4:$BH$4,1)-1)))))+(IF(N$4-N$94=N$4,0,IF(N$4-N$94&lt;$C$4,0,IF(ISNA(MATCH(N$4-N$94,$A$4:$BH$4,1)),0,OFFSET($A$95,0,MATCH(N$4-N$94,$A$4:$BH$4,1),1,1)/7*(OFFSET($A$4,0,MATCH(N$4-N$94,$A$4:$BH$4,1),1,1)-(N$4-N$94))))))+IF(M$94=0,0,($C$33/$C$94*IF($C$4&gt;(N$4-N$94),$C$4-(N$4-N$94),0)))</f>
        <v>141435.21428571426</v>
      </c>
      <c r="O33" s="102">
        <f ca="1">(IF(O$94&lt;=O$43,0,IF(ISNA(MATCH(O$4-O$94,$A$4:$BH$4,1)),SUM($D$95:O$95),SUM(OFFSET($A$95,0,MATCH(O$4-O$94,$A$4:$BH$4,1)+1,1,COLUMN(O$4)-MATCH(O$4-O$94,$A$4:$BH$4,1)-1)))))+(IF(O$4-O$94=O$4,0,IF(O$4-O$94&lt;$C$4,0,IF(ISNA(MATCH(O$4-O$94,$A$4:$BH$4,1)),0,OFFSET($A$95,0,MATCH(O$4-O$94,$A$4:$BH$4,1),1,1)/7*(OFFSET($A$4,0,MATCH(O$4-O$94,$A$4:$BH$4,1),1,1)-(O$4-O$94))))))+IF(N$94=0,0,($C$33/$C$94*IF($C$4&gt;(O$4-O$94),$C$4-(O$4-O$94),0)))</f>
        <v>135088.19999999998</v>
      </c>
      <c r="P33" s="102">
        <f ca="1">(IF(P$94&lt;=P$43,0,IF(ISNA(MATCH(P$4-P$94,$A$4:$BH$4,1)),SUM($D$95:P$95),SUM(OFFSET($A$95,0,MATCH(P$4-P$94,$A$4:$BH$4,1)+1,1,COLUMN(P$4)-MATCH(P$4-P$94,$A$4:$BH$4,1)-1)))))+(IF(P$4-P$94=P$4,0,IF(P$4-P$94&lt;$C$4,0,IF(ISNA(MATCH(P$4-P$94,$A$4:$BH$4,1)),0,OFFSET($A$95,0,MATCH(P$4-P$94,$A$4:$BH$4,1),1,1)/7*(OFFSET($A$4,0,MATCH(P$4-P$94,$A$4:$BH$4,1),1,1)-(P$4-P$94))))))+IF(O$94=0,0,($C$33/$C$94*IF($C$4&gt;(P$4-P$94),$C$4-(P$4-P$94),0)))</f>
        <v>168087.44999999998</v>
      </c>
      <c r="Q33" s="102">
        <f ca="1">(IF(Q$94&lt;=Q$43,0,IF(ISNA(MATCH(Q$4-Q$94,$A$4:$BH$4,1)),SUM($D$95:Q$95),SUM(OFFSET($A$95,0,MATCH(Q$4-Q$94,$A$4:$BH$4,1)+1,1,COLUMN(Q$4)-MATCH(Q$4-Q$94,$A$4:$BH$4,1)-1)))))+(IF(Q$4-Q$94=Q$4,0,IF(Q$4-Q$94&lt;$C$4,0,IF(ISNA(MATCH(Q$4-Q$94,$A$4:$BH$4,1)),0,OFFSET($A$95,0,MATCH(Q$4-Q$94,$A$4:$BH$4,1),1,1)/7*(OFFSET($A$4,0,MATCH(Q$4-Q$94,$A$4:$BH$4,1),1,1)-(Q$4-Q$94))))))+IF(P$94=0,0,($C$33/$C$94*IF($C$4&gt;(Q$4-Q$94),$C$4-(Q$4-Q$94),0)))</f>
        <v>171026.85</v>
      </c>
      <c r="R33" s="102">
        <f ca="1">(IF(R$94&lt;=R$43,0,IF(ISNA(MATCH(R$4-R$94,$A$4:$BH$4,1)),SUM($D$95:R$95),SUM(OFFSET($A$95,0,MATCH(R$4-R$94,$A$4:$BH$4,1)+1,1,COLUMN(R$4)-MATCH(R$4-R$94,$A$4:$BH$4,1)-1)))))+(IF(R$4-R$94=R$4,0,IF(R$4-R$94&lt;$C$4,0,IF(ISNA(MATCH(R$4-R$94,$A$4:$BH$4,1)),0,OFFSET($A$95,0,MATCH(R$4-R$94,$A$4:$BH$4,1),1,1)/7*(OFFSET($A$4,0,MATCH(R$4-R$94,$A$4:$BH$4,1),1,1)-(R$4-R$94))))))+IF(Q$94=0,0,($C$33/$C$94*IF($C$4&gt;(R$4-R$94),$C$4-(R$4-R$94),0)))</f>
        <v>168164.5</v>
      </c>
      <c r="S33" s="102">
        <f ca="1">(IF(S$94&lt;=S$43,0,IF(ISNA(MATCH(S$4-S$94,$A$4:$BH$4,1)),SUM($D$95:S$95),SUM(OFFSET($A$95,0,MATCH(S$4-S$94,$A$4:$BH$4,1)+1,1,COLUMN(S$4)-MATCH(S$4-S$94,$A$4:$BH$4,1)-1)))))+(IF(S$4-S$94=S$4,0,IF(S$4-S$94&lt;$C$4,0,IF(ISNA(MATCH(S$4-S$94,$A$4:$BH$4,1)),0,OFFSET($A$95,0,MATCH(S$4-S$94,$A$4:$BH$4,1),1,1)/7*(OFFSET($A$4,0,MATCH(S$4-S$94,$A$4:$BH$4,1),1,1)-(S$4-S$94))))))+IF(R$94=0,0,($C$33/$C$94*IF($C$4&gt;(S$4-S$94),$C$4-(S$4-S$94),0)))</f>
        <v>139515.69999999998</v>
      </c>
      <c r="T33" s="102">
        <f ca="1">(IF(T$94&lt;=T$43,0,IF(ISNA(MATCH(T$4-T$94,$A$4:$BH$4,1)),SUM($D$95:T$95),SUM(OFFSET($A$95,0,MATCH(T$4-T$94,$A$4:$BH$4,1)+1,1,COLUMN(T$4)-MATCH(T$4-T$94,$A$4:$BH$4,1)-1)))))+(IF(T$4-T$94=T$4,0,IF(T$4-T$94&lt;$C$4,0,IF(ISNA(MATCH(T$4-T$94,$A$4:$BH$4,1)),0,OFFSET($A$95,0,MATCH(T$4-T$94,$A$4:$BH$4,1),1,1)/7*(OFFSET($A$4,0,MATCH(T$4-T$94,$A$4:$BH$4,1),1,1)-(T$4-T$94))))))+IF(S$94=0,0,($C$33/$C$94*IF($C$4&gt;(T$4-T$94),$C$4-(T$4-T$94),0)))</f>
        <v>139001.48571428569</v>
      </c>
      <c r="U33" s="102">
        <f ca="1">(IF(U$94&lt;=U$43,0,IF(ISNA(MATCH(U$4-U$94,$A$4:$BH$4,1)),SUM($D$95:U$95),SUM(OFFSET($A$95,0,MATCH(U$4-U$94,$A$4:$BH$4,1)+1,1,COLUMN(U$4)-MATCH(U$4-U$94,$A$4:$BH$4,1)-1)))))+(IF(U$4-U$94=U$4,0,IF(U$4-U$94&lt;$C$4,0,IF(ISNA(MATCH(U$4-U$94,$A$4:$BH$4,1)),0,OFFSET($A$95,0,MATCH(U$4-U$94,$A$4:$BH$4,1),1,1)/7*(OFFSET($A$4,0,MATCH(U$4-U$94,$A$4:$BH$4,1),1,1)-(U$4-U$94))))))+IF(T$94=0,0,($C$33/$C$94*IF($C$4&gt;(U$4-U$94),$C$4-(U$4-U$94),0)))</f>
        <v>153056.94999999998</v>
      </c>
      <c r="V33" s="102">
        <f ca="1">(IF(V$94&lt;=V$43,0,IF(ISNA(MATCH(V$4-V$94,$A$4:$BH$4,1)),SUM($D$95:V$95),SUM(OFFSET($A$95,0,MATCH(V$4-V$94,$A$4:$BH$4,1)+1,1,COLUMN(V$4)-MATCH(V$4-V$94,$A$4:$BH$4,1)-1)))))+(IF(V$4-V$94=V$4,0,IF(V$4-V$94&lt;$C$4,0,IF(ISNA(MATCH(V$4-V$94,$A$4:$BH$4,1)),0,OFFSET($A$95,0,MATCH(V$4-V$94,$A$4:$BH$4,1),1,1)/7*(OFFSET($A$4,0,MATCH(V$4-V$94,$A$4:$BH$4,1),1,1)-(V$4-V$94))))))+IF(U$94=0,0,($C$33/$C$94*IF($C$4&gt;(V$4-V$94),$C$4-(V$4-V$94),0)))</f>
        <v>156079.15</v>
      </c>
      <c r="W33" s="102">
        <f ca="1">(IF(W$94&lt;=W$43,0,IF(ISNA(MATCH(W$4-W$94,$A$4:$BH$4,1)),SUM($D$95:W$95),SUM(OFFSET($A$95,0,MATCH(W$4-W$94,$A$4:$BH$4,1)+1,1,COLUMN(W$4)-MATCH(W$4-W$94,$A$4:$BH$4,1)-1)))))+(IF(W$4-W$94=W$4,0,IF(W$4-W$94&lt;$C$4,0,IF(ISNA(MATCH(W$4-W$94,$A$4:$BH$4,1)),0,OFFSET($A$95,0,MATCH(W$4-W$94,$A$4:$BH$4,1),1,1)/7*(OFFSET($A$4,0,MATCH(W$4-W$94,$A$4:$BH$4,1),1,1)-(W$4-W$94))))))+IF(V$94=0,0,($C$33/$C$94*IF($C$4&gt;(W$4-W$94),$C$4-(W$4-W$94),0)))</f>
        <v>153043.3142857143</v>
      </c>
      <c r="X33" s="102">
        <f ca="1">(IF(X$94&lt;=X$43,0,IF(ISNA(MATCH(X$4-X$94,$A$4:$BH$4,1)),SUM($D$95:X$95),SUM(OFFSET($A$95,0,MATCH(X$4-X$94,$A$4:$BH$4,1)+1,1,COLUMN(X$4)-MATCH(X$4-X$94,$A$4:$BH$4,1)-1)))))+(IF(X$4-X$94=X$4,0,IF(X$4-X$94&lt;$C$4,0,IF(ISNA(MATCH(X$4-X$94,$A$4:$BH$4,1)),0,OFFSET($A$95,0,MATCH(X$4-X$94,$A$4:$BH$4,1),1,1)/7*(OFFSET($A$4,0,MATCH(X$4-X$94,$A$4:$BH$4,1),1,1)-(X$4-X$94))))))+IF(W$94=0,0,($C$33/$C$94*IF($C$4&gt;(X$4-X$94),$C$4-(X$4-X$94),0)))</f>
        <v>136822.39999999999</v>
      </c>
      <c r="Y33" s="102">
        <f ca="1">(IF(Y$94&lt;=Y$43,0,IF(ISNA(MATCH(Y$4-Y$94,$A$4:$BH$4,1)),SUM($D$95:Y$95),SUM(OFFSET($A$95,0,MATCH(Y$4-Y$94,$A$4:$BH$4,1)+1,1,COLUMN(Y$4)-MATCH(Y$4-Y$94,$A$4:$BH$4,1)-1)))))+(IF(Y$4-Y$94=Y$4,0,IF(Y$4-Y$94&lt;$C$4,0,IF(ISNA(MATCH(Y$4-Y$94,$A$4:$BH$4,1)),0,OFFSET($A$95,0,MATCH(Y$4-Y$94,$A$4:$BH$4,1),1,1)/7*(OFFSET($A$4,0,MATCH(Y$4-Y$94,$A$4:$BH$4,1),1,1)-(Y$4-Y$94))))))+IF(X$94=0,0,($C$33/$C$94*IF($C$4&gt;(Y$4-Y$94),$C$4-(Y$4-Y$94),0)))</f>
        <v>148317.96428571426</v>
      </c>
      <c r="Z33" s="102">
        <f ca="1">(IF(Z$94&lt;=Z$43,0,IF(ISNA(MATCH(Z$4-Z$94,$A$4:$BH$4,1)),SUM($D$95:Z$95),SUM(OFFSET($A$95,0,MATCH(Z$4-Z$94,$A$4:$BH$4,1)+1,1,COLUMN(Z$4)-MATCH(Z$4-Z$94,$A$4:$BH$4,1)-1)))))+(IF(Z$4-Z$94=Z$4,0,IF(Z$4-Z$94&lt;$C$4,0,IF(ISNA(MATCH(Z$4-Z$94,$A$4:$BH$4,1)),0,OFFSET($A$95,0,MATCH(Z$4-Z$94,$A$4:$BH$4,1),1,1)/7*(OFFSET($A$4,0,MATCH(Z$4-Z$94,$A$4:$BH$4,1),1,1)-(Z$4-Z$94))))))+IF(Y$94=0,0,($C$33/$C$94*IF($C$4&gt;(Z$4-Z$94),$C$4-(Z$4-Z$94),0)))</f>
        <v>148266.04999999999</v>
      </c>
      <c r="AA33" s="102">
        <f ca="1">(IF(AA$94&lt;=AA$43,0,IF(ISNA(MATCH(AA$4-AA$94,$A$4:$BH$4,1)),SUM($D$95:AA$95),SUM(OFFSET($A$95,0,MATCH(AA$4-AA$94,$A$4:$BH$4,1)+1,1,COLUMN(AA$4)-MATCH(AA$4-AA$94,$A$4:$BH$4,1)-1)))))+(IF(AA$4-AA$94=AA$4,0,IF(AA$4-AA$94&lt;$C$4,0,IF(ISNA(MATCH(AA$4-AA$94,$A$4:$BH$4,1)),0,OFFSET($A$95,0,MATCH(AA$4-AA$94,$A$4:$BH$4,1),1,1)/7*(OFFSET($A$4,0,MATCH(AA$4-AA$94,$A$4:$BH$4,1),1,1)-(AA$4-AA$94))))))+IF(Z$94=0,0,($C$33/$C$94*IF($C$4&gt;(AA$4-AA$94),$C$4-(AA$4-AA$94),0)))</f>
        <v>166781.21428571429</v>
      </c>
      <c r="AB33" s="102">
        <f ca="1">(IF(AB$94&lt;=AB$43,0,IF(ISNA(MATCH(AB$4-AB$94,$A$4:$BH$4,1)),SUM($D$95:AB$95),SUM(OFFSET($A$95,0,MATCH(AB$4-AB$94,$A$4:$BH$4,1)+1,1,COLUMN(AB$4)-MATCH(AB$4-AB$94,$A$4:$BH$4,1)-1)))))+(IF(AB$4-AB$94=AB$4,0,IF(AB$4-AB$94&lt;$C$4,0,IF(ISNA(MATCH(AB$4-AB$94,$A$4:$BH$4,1)),0,OFFSET($A$95,0,MATCH(AB$4-AB$94,$A$4:$BH$4,1),1,1)/7*(OFFSET($A$4,0,MATCH(AB$4-AB$94,$A$4:$BH$4,1),1,1)-(AB$4-AB$94))))))+IF(AA$94=0,0,($C$33/$C$94*IF($C$4&gt;(AB$4-AB$94),$C$4-(AB$4-AB$94),0)))</f>
        <v>158033.65714285715</v>
      </c>
      <c r="AC33" s="102">
        <f ca="1">(IF(AC$94&lt;=AC$43,0,IF(ISNA(MATCH(AC$4-AC$94,$A$4:$BH$4,1)),SUM($D$95:AC$95),SUM(OFFSET($A$95,0,MATCH(AC$4-AC$94,$A$4:$BH$4,1)+1,1,COLUMN(AC$4)-MATCH(AC$4-AC$94,$A$4:$BH$4,1)-1)))))+(IF(AC$4-AC$94=AC$4,0,IF(AC$4-AC$94&lt;$C$4,0,IF(ISNA(MATCH(AC$4-AC$94,$A$4:$BH$4,1)),0,OFFSET($A$95,0,MATCH(AC$4-AC$94,$A$4:$BH$4,1),1,1)/7*(OFFSET($A$4,0,MATCH(AC$4-AC$94,$A$4:$BH$4,1),1,1)-(AC$4-AC$94))))))+IF(AB$94=0,0,($C$33/$C$94*IF($C$4&gt;(AC$4-AC$94),$C$4-(AC$4-AC$94),0)))</f>
        <v>179999.80714285714</v>
      </c>
      <c r="AD33" s="102">
        <f ca="1">(IF(AD$94&lt;=AD$43,0,IF(ISNA(MATCH(AD$4-AD$94,$A$4:$BH$4,1)),SUM($D$95:AD$95),SUM(OFFSET($A$95,0,MATCH(AD$4-AD$94,$A$4:$BH$4,1)+1,1,COLUMN(AD$4)-MATCH(AD$4-AD$94,$A$4:$BH$4,1)-1)))))+(IF(AD$4-AD$94=AD$4,0,IF(AD$4-AD$94&lt;$C$4,0,IF(ISNA(MATCH(AD$4-AD$94,$A$4:$BH$4,1)),0,OFFSET($A$95,0,MATCH(AD$4-AD$94,$A$4:$BH$4,1),1,1)/7*(OFFSET($A$4,0,MATCH(AD$4-AD$94,$A$4:$BH$4,1),1,1)-(AD$4-AD$94))))))+IF(AC$94=0,0,($C$33/$C$94*IF($C$4&gt;(AD$4-AD$94),$C$4-(AD$4-AD$94),0)))</f>
        <v>166272.75</v>
      </c>
      <c r="AE33" s="102">
        <f ca="1">(IF(AE$94&lt;=AE$43,0,IF(ISNA(MATCH(AE$4-AE$94,$A$4:$BH$4,1)),SUM($D$95:AE$95),SUM(OFFSET($A$95,0,MATCH(AE$4-AE$94,$A$4:$BH$4,1)+1,1,COLUMN(AE$4)-MATCH(AE$4-AE$94,$A$4:$BH$4,1)-1)))))+(IF(AE$4-AE$94=AE$4,0,IF(AE$4-AE$94&lt;$C$4,0,IF(ISNA(MATCH(AE$4-AE$94,$A$4:$BH$4,1)),0,OFFSET($A$95,0,MATCH(AE$4-AE$94,$A$4:$BH$4,1),1,1)/7*(OFFSET($A$4,0,MATCH(AE$4-AE$94,$A$4:$BH$4,1),1,1)-(AE$4-AE$94))))))+IF(AD$94=0,0,($C$33/$C$94*IF($C$4&gt;(AE$4-AE$94),$C$4-(AE$4-AE$94),0)))</f>
        <v>163038.12857142856</v>
      </c>
      <c r="AF33" s="102">
        <f ca="1">(IF(AF$94&lt;=AF$43,0,IF(ISNA(MATCH(AF$4-AF$94,$A$4:$BH$4,1)),SUM($D$95:AF$95),SUM(OFFSET($A$95,0,MATCH(AF$4-AF$94,$A$4:$BH$4,1)+1,1,COLUMN(AF$4)-MATCH(AF$4-AF$94,$A$4:$BH$4,1)-1)))))+(IF(AF$4-AF$94=AF$4,0,IF(AF$4-AF$94&lt;$C$4,0,IF(ISNA(MATCH(AF$4-AF$94,$A$4:$BH$4,1)),0,OFFSET($A$95,0,MATCH(AF$4-AF$94,$A$4:$BH$4,1),1,1)/7*(OFFSET($A$4,0,MATCH(AF$4-AF$94,$A$4:$BH$4,1),1,1)-(AF$4-AF$94))))))+IF(AE$94=0,0,($C$33/$C$94*IF($C$4&gt;(AF$4-AF$94),$C$4-(AF$4-AF$94),0)))</f>
        <v>144939.42857142855</v>
      </c>
      <c r="AG33" s="102">
        <f ca="1">(IF(AG$94&lt;=AG$43,0,IF(ISNA(MATCH(AG$4-AG$94,$A$4:$BH$4,1)),SUM($D$95:AG$95),SUM(OFFSET($A$95,0,MATCH(AG$4-AG$94,$A$4:$BH$4,1)+1,1,COLUMN(AG$4)-MATCH(AG$4-AG$94,$A$4:$BH$4,1)-1)))))+(IF(AG$4-AG$94=AG$4,0,IF(AG$4-AG$94&lt;$C$4,0,IF(ISNA(MATCH(AG$4-AG$94,$A$4:$BH$4,1)),0,OFFSET($A$95,0,MATCH(AG$4-AG$94,$A$4:$BH$4,1),1,1)/7*(OFFSET($A$4,0,MATCH(AG$4-AG$94,$A$4:$BH$4,1),1,1)-(AG$4-AG$94))))))+IF(AF$94=0,0,($C$33/$C$94*IF($C$4&gt;(AG$4-AG$94),$C$4-(AG$4-AG$94),0)))</f>
        <v>143027.14285714284</v>
      </c>
      <c r="AH33" s="102">
        <f ca="1">(IF(AH$94&lt;=AH$43,0,IF(ISNA(MATCH(AH$4-AH$94,$A$4:$BH$4,1)),SUM($D$95:AH$95),SUM(OFFSET($A$95,0,MATCH(AH$4-AH$94,$A$4:$BH$4,1)+1,1,COLUMN(AH$4)-MATCH(AH$4-AH$94,$A$4:$BH$4,1)-1)))))+(IF(AH$4-AH$94=AH$4,0,IF(AH$4-AH$94&lt;$C$4,0,IF(ISNA(MATCH(AH$4-AH$94,$A$4:$BH$4,1)),0,OFFSET($A$95,0,MATCH(AH$4-AH$94,$A$4:$BH$4,1),1,1)/7*(OFFSET($A$4,0,MATCH(AH$4-AH$94,$A$4:$BH$4,1),1,1)-(AH$4-AH$94))))))+IF(AG$94=0,0,($C$33/$C$94*IF($C$4&gt;(AH$4-AH$94),$C$4-(AH$4-AH$94),0)))</f>
        <v>154879.53571428568</v>
      </c>
      <c r="AI33" s="102">
        <f ca="1">(IF(AI$94&lt;=AI$43,0,IF(ISNA(MATCH(AI$4-AI$94,$A$4:$BH$4,1)),SUM($D$95:AI$95),SUM(OFFSET($A$95,0,MATCH(AI$4-AI$94,$A$4:$BH$4,1)+1,1,COLUMN(AI$4)-MATCH(AI$4-AI$94,$A$4:$BH$4,1)-1)))))+(IF(AI$4-AI$94=AI$4,0,IF(AI$4-AI$94&lt;$C$4,0,IF(ISNA(MATCH(AI$4-AI$94,$A$4:$BH$4,1)),0,OFFSET($A$95,0,MATCH(AI$4-AI$94,$A$4:$BH$4,1),1,1)/7*(OFFSET($A$4,0,MATCH(AI$4-AI$94,$A$4:$BH$4,1),1,1)-(AI$4-AI$94))))))+IF(AH$94=0,0,($C$33/$C$94*IF($C$4&gt;(AI$4-AI$94),$C$4-(AI$4-AI$94),0)))</f>
        <v>165728.96428571426</v>
      </c>
      <c r="AJ33" s="102">
        <f ca="1">(IF(AJ$94&lt;=AJ$43,0,IF(ISNA(MATCH(AJ$4-AJ$94,$A$4:$BH$4,1)),SUM($D$95:AJ$95),SUM(OFFSET($A$95,0,MATCH(AJ$4-AJ$94,$A$4:$BH$4,1)+1,1,COLUMN(AJ$4)-MATCH(AJ$4-AJ$94,$A$4:$BH$4,1)-1)))))+(IF(AJ$4-AJ$94=AJ$4,0,IF(AJ$4-AJ$94&lt;$C$4,0,IF(ISNA(MATCH(AJ$4-AJ$94,$A$4:$BH$4,1)),0,OFFSET($A$95,0,MATCH(AJ$4-AJ$94,$A$4:$BH$4,1),1,1)/7*(OFFSET($A$4,0,MATCH(AJ$4-AJ$94,$A$4:$BH$4,1),1,1)-(AJ$4-AJ$94))))))+IF(AI$94=0,0,($C$33/$C$94*IF($C$4&gt;(AJ$4-AJ$94),$C$4-(AJ$4-AJ$94),0)))</f>
        <v>168065.92857142855</v>
      </c>
      <c r="AK33" s="102">
        <f ca="1">(IF(AK$94&lt;=AK$43,0,IF(ISNA(MATCH(AK$4-AK$94,$A$4:$BH$4,1)),SUM($D$95:AK$95),SUM(OFFSET($A$95,0,MATCH(AK$4-AK$94,$A$4:$BH$4,1)+1,1,COLUMN(AK$4)-MATCH(AK$4-AK$94,$A$4:$BH$4,1)-1)))))+(IF(AK$4-AK$94=AK$4,0,IF(AK$4-AK$94&lt;$C$4,0,IF(ISNA(MATCH(AK$4-AK$94,$A$4:$BH$4,1)),0,OFFSET($A$95,0,MATCH(AK$4-AK$94,$A$4:$BH$4,1),1,1)/7*(OFFSET($A$4,0,MATCH(AK$4-AK$94,$A$4:$BH$4,1),1,1)-(AK$4-AK$94))))))+IF(AJ$94=0,0,($C$33/$C$94*IF($C$4&gt;(AK$4-AK$94),$C$4-(AK$4-AK$94),0)))</f>
        <v>184473.14285714284</v>
      </c>
      <c r="AL33" s="102">
        <f ca="1">(IF(AL$94&lt;=AL$43,0,IF(ISNA(MATCH(AL$4-AL$94,$A$4:$BH$4,1)),SUM($D$95:AL$95),SUM(OFFSET($A$95,0,MATCH(AL$4-AL$94,$A$4:$BH$4,1)+1,1,COLUMN(AL$4)-MATCH(AL$4-AL$94,$A$4:$BH$4,1)-1)))))+(IF(AL$4-AL$94=AL$4,0,IF(AL$4-AL$94&lt;$C$4,0,IF(ISNA(MATCH(AL$4-AL$94,$A$4:$BH$4,1)),0,OFFSET($A$95,0,MATCH(AL$4-AL$94,$A$4:$BH$4,1),1,1)/7*(OFFSET($A$4,0,MATCH(AL$4-AL$94,$A$4:$BH$4,1),1,1)-(AL$4-AL$94))))))+IF(AK$94=0,0,($C$33/$C$94*IF($C$4&gt;(AL$4-AL$94),$C$4-(AL$4-AL$94),0)))</f>
        <v>190490.10714285713</v>
      </c>
      <c r="AM33" s="102">
        <f ca="1">(IF(AM$94&lt;=AM$43,0,IF(ISNA(MATCH(AM$4-AM$94,$A$4:$BH$4,1)),SUM($D$95:AM$95),SUM(OFFSET($A$95,0,MATCH(AM$4-AM$94,$A$4:$BH$4,1)+1,1,COLUMN(AM$4)-MATCH(AM$4-AM$94,$A$4:$BH$4,1)-1)))))+(IF(AM$4-AM$94=AM$4,0,IF(AM$4-AM$94&lt;$C$4,0,IF(ISNA(MATCH(AM$4-AM$94,$A$4:$BH$4,1)),0,OFFSET($A$95,0,MATCH(AM$4-AM$94,$A$4:$BH$4,1),1,1)/7*(OFFSET($A$4,0,MATCH(AM$4-AM$94,$A$4:$BH$4,1),1,1)-(AM$4-AM$94))))))+IF(AL$94=0,0,($C$33/$C$94*IF($C$4&gt;(AM$4-AM$94),$C$4-(AM$4-AM$94),0)))</f>
        <v>191065.10714285716</v>
      </c>
      <c r="AN33" s="102">
        <f ca="1">(IF(AN$94&lt;=AN$43,0,IF(ISNA(MATCH(AN$4-AN$94,$A$4:$BH$4,1)),SUM($D$95:AN$95),SUM(OFFSET($A$95,0,MATCH(AN$4-AN$94,$A$4:$BH$4,1)+1,1,COLUMN(AN$4)-MATCH(AN$4-AN$94,$A$4:$BH$4,1)-1)))))+(IF(AN$4-AN$94=AN$4,0,IF(AN$4-AN$94&lt;$C$4,0,IF(ISNA(MATCH(AN$4-AN$94,$A$4:$BH$4,1)),0,OFFSET($A$95,0,MATCH(AN$4-AN$94,$A$4:$BH$4,1),1,1)/7*(OFFSET($A$4,0,MATCH(AN$4-AN$94,$A$4:$BH$4,1),1,1)-(AN$4-AN$94))))))+IF(AM$94=0,0,($C$33/$C$94*IF($C$4&gt;(AN$4-AN$94),$C$4-(AN$4-AN$94),0)))</f>
        <v>167004.64285714284</v>
      </c>
      <c r="AO33" s="102">
        <f ca="1">(IF(AO$94&lt;=AO$43,0,IF(ISNA(MATCH(AO$4-AO$94,$A$4:$BH$4,1)),SUM($D$95:AO$95),SUM(OFFSET($A$95,0,MATCH(AO$4-AO$94,$A$4:$BH$4,1)+1,1,COLUMN(AO$4)-MATCH(AO$4-AO$94,$A$4:$BH$4,1)-1)))))+(IF(AO$4-AO$94=AO$4,0,IF(AO$4-AO$94&lt;$C$4,0,IF(ISNA(MATCH(AO$4-AO$94,$A$4:$BH$4,1)),0,OFFSET($A$95,0,MATCH(AO$4-AO$94,$A$4:$BH$4,1),1,1)/7*(OFFSET($A$4,0,MATCH(AO$4-AO$94,$A$4:$BH$4,1),1,1)-(AO$4-AO$94))))))+IF(AN$94=0,0,($C$33/$C$94*IF($C$4&gt;(AO$4-AO$94),$C$4-(AO$4-AO$94),0)))</f>
        <v>158134.85714285713</v>
      </c>
      <c r="AP33" s="102">
        <f ca="1">(IF(AP$94&lt;=AP$43,0,IF(ISNA(MATCH(AP$4-AP$94,$A$4:$BH$4,1)),SUM($D$95:AP$95),SUM(OFFSET($A$95,0,MATCH(AP$4-AP$94,$A$4:$BH$4,1)+1,1,COLUMN(AP$4)-MATCH(AP$4-AP$94,$A$4:$BH$4,1)-1)))))+(IF(AP$4-AP$94=AP$4,0,IF(AP$4-AP$94&lt;$C$4,0,IF(ISNA(MATCH(AP$4-AP$94,$A$4:$BH$4,1)),0,OFFSET($A$95,0,MATCH(AP$4-AP$94,$A$4:$BH$4,1),1,1)/7*(OFFSET($A$4,0,MATCH(AP$4-AP$94,$A$4:$BH$4,1),1,1)-(AP$4-AP$94))))))+IF(AO$94=0,0,($C$33/$C$94*IF($C$4&gt;(AP$4-AP$94),$C$4-(AP$4-AP$94),0)))</f>
        <v>182177.25</v>
      </c>
      <c r="AQ33" s="102">
        <f ca="1">(IF(AQ$94&lt;=AQ$43,0,IF(ISNA(MATCH(AQ$4-AQ$94,$A$4:$BH$4,1)),SUM($D$95:AQ$95),SUM(OFFSET($A$95,0,MATCH(AQ$4-AQ$94,$A$4:$BH$4,1)+1,1,COLUMN(AQ$4)-MATCH(AQ$4-AQ$94,$A$4:$BH$4,1)-1)))))+(IF(AQ$4-AQ$94=AQ$4,0,IF(AQ$4-AQ$94&lt;$C$4,0,IF(ISNA(MATCH(AQ$4-AQ$94,$A$4:$BH$4,1)),0,OFFSET($A$95,0,MATCH(AQ$4-AQ$94,$A$4:$BH$4,1),1,1)/7*(OFFSET($A$4,0,MATCH(AQ$4-AQ$94,$A$4:$BH$4,1),1,1)-(AQ$4-AQ$94))))))+IF(AP$94=0,0,($C$33/$C$94*IF($C$4&gt;(AQ$4-AQ$94),$C$4-(AQ$4-AQ$94),0)))</f>
        <v>177293.36428571428</v>
      </c>
      <c r="AR33" s="102">
        <f ca="1">(IF(AR$94&lt;=AR$43,0,IF(ISNA(MATCH(AR$4-AR$94,$A$4:$BH$4,1)),SUM($D$95:AR$95),SUM(OFFSET($A$95,0,MATCH(AR$4-AR$94,$A$4:$BH$4,1)+1,1,COLUMN(AR$4)-MATCH(AR$4-AR$94,$A$4:$BH$4,1)-1)))))+(IF(AR$4-AR$94=AR$4,0,IF(AR$4-AR$94&lt;$C$4,0,IF(ISNA(MATCH(AR$4-AR$94,$A$4:$BH$4,1)),0,OFFSET($A$95,0,MATCH(AR$4-AR$94,$A$4:$BH$4,1),1,1)/7*(OFFSET($A$4,0,MATCH(AR$4-AR$94,$A$4:$BH$4,1),1,1)-(AR$4-AR$94))))))+IF(AQ$94=0,0,($C$33/$C$94*IF($C$4&gt;(AR$4-AR$94),$C$4-(AR$4-AR$94),0)))</f>
        <v>159187.92857142858</v>
      </c>
      <c r="AS33" s="102">
        <f ca="1">(IF(AS$94&lt;=AS$43,0,IF(ISNA(MATCH(AS$4-AS$94,$A$4:$BH$4,1)),SUM($D$95:AS$95),SUM(OFFSET($A$95,0,MATCH(AS$4-AS$94,$A$4:$BH$4,1)+1,1,COLUMN(AS$4)-MATCH(AS$4-AS$94,$A$4:$BH$4,1)-1)))))+(IF(AS$4-AS$94=AS$4,0,IF(AS$4-AS$94&lt;$C$4,0,IF(ISNA(MATCH(AS$4-AS$94,$A$4:$BH$4,1)),0,OFFSET($A$95,0,MATCH(AS$4-AS$94,$A$4:$BH$4,1),1,1)/7*(OFFSET($A$4,0,MATCH(AS$4-AS$94,$A$4:$BH$4,1),1,1)-(AS$4-AS$94))))))+IF(AR$94=0,0,($C$33/$C$94*IF($C$4&gt;(AS$4-AS$94),$C$4-(AS$4-AS$94),0)))</f>
        <v>127015.2</v>
      </c>
      <c r="AT33" s="102">
        <f ca="1">(IF(AT$94&lt;=AT$43,0,IF(ISNA(MATCH(AT$4-AT$94,$A$4:$BH$4,1)),SUM($D$95:AT$95),SUM(OFFSET($A$95,0,MATCH(AT$4-AT$94,$A$4:$BH$4,1)+1,1,COLUMN(AT$4)-MATCH(AT$4-AT$94,$A$4:$BH$4,1)-1)))))+(IF(AT$4-AT$94=AT$4,0,IF(AT$4-AT$94&lt;$C$4,0,IF(ISNA(MATCH(AT$4-AT$94,$A$4:$BH$4,1)),0,OFFSET($A$95,0,MATCH(AT$4-AT$94,$A$4:$BH$4,1),1,1)/7*(OFFSET($A$4,0,MATCH(AT$4-AT$94,$A$4:$BH$4,1),1,1)-(AT$4-AT$94))))))+IF(AS$94=0,0,($C$33/$C$94*IF($C$4&gt;(AT$4-AT$94),$C$4-(AT$4-AT$94),0)))</f>
        <v>112852.45714285714</v>
      </c>
      <c r="AU33" s="102">
        <f ca="1">(IF(AU$94&lt;=AU$43,0,IF(ISNA(MATCH(AU$4-AU$94,$A$4:$BH$4,1)),SUM($D$95:AU$95),SUM(OFFSET($A$95,0,MATCH(AU$4-AU$94,$A$4:$BH$4,1)+1,1,COLUMN(AU$4)-MATCH(AU$4-AU$94,$A$4:$BH$4,1)-1)))))+(IF(AU$4-AU$94=AU$4,0,IF(AU$4-AU$94&lt;$C$4,0,IF(ISNA(MATCH(AU$4-AU$94,$A$4:$BH$4,1)),0,OFFSET($A$95,0,MATCH(AU$4-AU$94,$A$4:$BH$4,1),1,1)/7*(OFFSET($A$4,0,MATCH(AU$4-AU$94,$A$4:$BH$4,1),1,1)-(AU$4-AU$94))))))+IF(AT$94=0,0,($C$33/$C$94*IF($C$4&gt;(AU$4-AU$94),$C$4-(AU$4-AU$94),0)))</f>
        <v>110797.60428571427</v>
      </c>
      <c r="AV33" s="102">
        <f ca="1">(IF(AV$94&lt;=AV$43,0,IF(ISNA(MATCH(AV$4-AV$94,$A$4:$BH$4,1)),SUM($D$95:AV$95),SUM(OFFSET($A$95,0,MATCH(AV$4-AV$94,$A$4:$BH$4,1)+1,1,COLUMN(AV$4)-MATCH(AV$4-AV$94,$A$4:$BH$4,1)-1)))))+(IF(AV$4-AV$94=AV$4,0,IF(AV$4-AV$94&lt;$C$4,0,IF(ISNA(MATCH(AV$4-AV$94,$A$4:$BH$4,1)),0,OFFSET($A$95,0,MATCH(AV$4-AV$94,$A$4:$BH$4,1),1,1)/7*(OFFSET($A$4,0,MATCH(AV$4-AV$94,$A$4:$BH$4,1),1,1)-(AV$4-AV$94))))))+IF(AU$94=0,0,($C$33/$C$94*IF($C$4&gt;(AV$4-AV$94),$C$4-(AV$4-AV$94),0)))</f>
        <v>99074.701428571425</v>
      </c>
      <c r="AW33" s="102">
        <f ca="1">(IF(AW$94&lt;=AW$43,0,IF(ISNA(MATCH(AW$4-AW$94,$A$4:$BH$4,1)),SUM($D$95:AW$95),SUM(OFFSET($A$95,0,MATCH(AW$4-AW$94,$A$4:$BH$4,1)+1,1,COLUMN(AW$4)-MATCH(AW$4-AW$94,$A$4:$BH$4,1)-1)))))+(IF(AW$4-AW$94=AW$4,0,IF(AW$4-AW$94&lt;$C$4,0,IF(ISNA(MATCH(AW$4-AW$94,$A$4:$BH$4,1)),0,OFFSET($A$95,0,MATCH(AW$4-AW$94,$A$4:$BH$4,1),1,1)/7*(OFFSET($A$4,0,MATCH(AW$4-AW$94,$A$4:$BH$4,1),1,1)-(AW$4-AW$94))))))+IF(AV$94=0,0,($C$33/$C$94*IF($C$4&gt;(AW$4-AW$94),$C$4-(AW$4-AW$94),0)))</f>
        <v>102340.60285714285</v>
      </c>
      <c r="AX33" s="102">
        <f ca="1">(IF(AX$94&lt;=AX$43,0,IF(ISNA(MATCH(AX$4-AX$94,$A$4:$BH$4,1)),SUM($D$95:AX$95),SUM(OFFSET($A$95,0,MATCH(AX$4-AX$94,$A$4:$BH$4,1)+1,1,COLUMN(AX$4)-MATCH(AX$4-AX$94,$A$4:$BH$4,1)-1)))))+(IF(AX$4-AX$94=AX$4,0,IF(AX$4-AX$94&lt;$C$4,0,IF(ISNA(MATCH(AX$4-AX$94,$A$4:$BH$4,1)),0,OFFSET($A$95,0,MATCH(AX$4-AX$94,$A$4:$BH$4,1),1,1)/7*(OFFSET($A$4,0,MATCH(AX$4-AX$94,$A$4:$BH$4,1),1,1)-(AX$4-AX$94))))))+IF(AW$94=0,0,($C$33/$C$94*IF($C$4&gt;(AX$4-AX$94),$C$4-(AX$4-AX$94),0)))</f>
        <v>116630.50285714286</v>
      </c>
      <c r="AY33" s="102">
        <f ca="1">(IF(AY$94&lt;=AY$43,0,IF(ISNA(MATCH(AY$4-AY$94,$A$4:$BH$4,1)),SUM($D$95:AY$95),SUM(OFFSET($A$95,0,MATCH(AY$4-AY$94,$A$4:$BH$4,1)+1,1,COLUMN(AY$4)-MATCH(AY$4-AY$94,$A$4:$BH$4,1)-1)))))+(IF(AY$4-AY$94=AY$4,0,IF(AY$4-AY$94&lt;$C$4,0,IF(ISNA(MATCH(AY$4-AY$94,$A$4:$BH$4,1)),0,OFFSET($A$95,0,MATCH(AY$4-AY$94,$A$4:$BH$4,1),1,1)/7*(OFFSET($A$4,0,MATCH(AY$4-AY$94,$A$4:$BH$4,1),1,1)-(AY$4-AY$94))))))+IF(AX$94=0,0,($C$33/$C$94*IF($C$4&gt;(AY$4-AY$94),$C$4-(AY$4-AY$94),0)))</f>
        <v>152619.49</v>
      </c>
      <c r="AZ33" s="102">
        <f ca="1">(IF(AZ$94&lt;=AZ$43,0,IF(ISNA(MATCH(AZ$4-AZ$94,$A$4:$BH$4,1)),SUM($D$95:AZ$95),SUM(OFFSET($A$95,0,MATCH(AZ$4-AZ$94,$A$4:$BH$4,1)+1,1,COLUMN(AZ$4)-MATCH(AZ$4-AZ$94,$A$4:$BH$4,1)-1)))))+(IF(AZ$4-AZ$94=AZ$4,0,IF(AZ$4-AZ$94&lt;$C$4,0,IF(ISNA(MATCH(AZ$4-AZ$94,$A$4:$BH$4,1)),0,OFFSET($A$95,0,MATCH(AZ$4-AZ$94,$A$4:$BH$4,1),1,1)/7*(OFFSET($A$4,0,MATCH(AZ$4-AZ$94,$A$4:$BH$4,1),1,1)-(AZ$4-AZ$94))))))+IF(AY$94=0,0,($C$33/$C$94*IF($C$4&gt;(AZ$4-AZ$94),$C$4-(AZ$4-AZ$94),0)))</f>
        <v>166331.16999999998</v>
      </c>
      <c r="BA33" s="102">
        <f ca="1">(IF(BA$94&lt;=BA$43,0,IF(ISNA(MATCH(BA$4-BA$94,$A$4:$BH$4,1)),SUM($D$95:BA$95),SUM(OFFSET($A$95,0,MATCH(BA$4-BA$94,$A$4:$BH$4,1)+1,1,COLUMN(BA$4)-MATCH(BA$4-BA$94,$A$4:$BH$4,1)-1)))))+(IF(BA$4-BA$94=BA$4,0,IF(BA$4-BA$94&lt;$C$4,0,IF(ISNA(MATCH(BA$4-BA$94,$A$4:$BH$4,1)),0,OFFSET($A$95,0,MATCH(BA$4-BA$94,$A$4:$BH$4,1),1,1)/7*(OFFSET($A$4,0,MATCH(BA$4-BA$94,$A$4:$BH$4,1),1,1)-(BA$4-BA$94))))))+IF(AZ$94=0,0,($C$33/$C$94*IF($C$4&gt;(BA$4-BA$94),$C$4-(BA$4-BA$94),0)))</f>
        <v>172067.92857142858</v>
      </c>
      <c r="BB33" s="102">
        <f ca="1">(IF(BB$94&lt;=BB$43,0,IF(ISNA(MATCH(BB$4-BB$94,$A$4:$BH$4,1)),SUM($D$95:BB$95),SUM(OFFSET($A$95,0,MATCH(BB$4-BB$94,$A$4:$BH$4,1)+1,1,COLUMN(BB$4)-MATCH(BB$4-BB$94,$A$4:$BH$4,1)-1)))))+(IF(BB$4-BB$94=BB$4,0,IF(BB$4-BB$94&lt;$C$4,0,IF(ISNA(MATCH(BB$4-BB$94,$A$4:$BH$4,1)),0,OFFSET($A$95,0,MATCH(BB$4-BB$94,$A$4:$BH$4,1),1,1)/7*(OFFSET($A$4,0,MATCH(BB$4-BB$94,$A$4:$BH$4,1),1,1)-(BB$4-BB$94))))))+IF(BA$94=0,0,($C$33/$C$94*IF($C$4&gt;(BB$4-BB$94),$C$4-(BB$4-BB$94),0)))</f>
        <v>182800.05714285711</v>
      </c>
      <c r="BC33" s="102">
        <f ca="1">(IF(BC$94&lt;=BC$43,0,IF(ISNA(MATCH(BC$4-BC$94,$A$4:$BH$4,1)),SUM($D$95:BC$95),SUM(OFFSET($A$95,0,MATCH(BC$4-BC$94,$A$4:$BH$4,1)+1,1,COLUMN(BC$4)-MATCH(BC$4-BC$94,$A$4:$BH$4,1)-1)))))+(IF(BC$4-BC$94=BC$4,0,IF(BC$4-BC$94&lt;$C$4,0,IF(ISNA(MATCH(BC$4-BC$94,$A$4:$BH$4,1)),0,OFFSET($A$95,0,MATCH(BC$4-BC$94,$A$4:$BH$4,1),1,1)/7*(OFFSET($A$4,0,MATCH(BC$4-BC$94,$A$4:$BH$4,1),1,1)-(BC$4-BC$94))))))+IF(BB$94=0,0,($C$33/$C$94*IF($C$4&gt;(BC$4-BC$94),$C$4-(BC$4-BC$94),0)))</f>
        <v>212662.10714285716</v>
      </c>
      <c r="BD33" s="53">
        <f ca="1">OFFSET($B33,0,Assumptions!$C$8+1,1,1)</f>
        <v>168087.44999999998</v>
      </c>
      <c r="BE33" s="53">
        <f ca="1">OFFSET($B33,0,SUM(Assumptions!$C$8:$C$9)+1,1,1)</f>
        <v>179999.80714285714</v>
      </c>
      <c r="BF33" s="53">
        <f ca="1">OFFSET($B33,0,SUM(Assumptions!$C$8:$C$10)+1,1,1)</f>
        <v>182177.25</v>
      </c>
      <c r="BG33" s="53">
        <f ca="1">OFFSET($B33,0,SUM(Assumptions!$C$8:$C$11)+1,1,1)</f>
        <v>212662.10714285716</v>
      </c>
      <c r="BH33" s="53">
        <f t="shared" ca="1" si="11"/>
        <v>212662.10714285716</v>
      </c>
    </row>
    <row r="34" spans="1:60" ht="16.149999999999999" customHeight="1" x14ac:dyDescent="0.3">
      <c r="A34" s="291" t="s">
        <v>191</v>
      </c>
      <c r="B34" s="12" t="s">
        <v>159</v>
      </c>
      <c r="C34" s="52">
        <f ca="1">-SUMIF(Assumptions!$A$81:$C$104,$A34,Assumptions!$C$81:$C$104)</f>
        <v>16000</v>
      </c>
      <c r="D34" s="102">
        <f ca="1">IF(AND(Assumptions!$C$65="Current",D98=1),0,SUM(OFFSET(D99,0,0,1,-MIN(D98,COLUMN(D$4)-COLUMN($B$4))))-SUM(OFFSET(D100,0,0,1,-MIN(D98,COLUMN(D$4)-COLUMN($B$4)))))</f>
        <v>19412.5</v>
      </c>
      <c r="E34" s="102">
        <f ca="1">IF(AND(Assumptions!$C$65="Current",E98=1),0,SUM(OFFSET(E99,0,0,1,-MIN(E98,COLUMN(E$4)-COLUMN($B$4))))-SUM(OFFSET(E100,0,0,1,-MIN(E98,COLUMN(E$4)-COLUMN($B$4)))))</f>
        <v>25340.959999999995</v>
      </c>
      <c r="F34" s="102">
        <f ca="1">IF(AND(Assumptions!$C$65="Current",F98=1),0,SUM(OFFSET(F99,0,0,1,-MIN(F98,COLUMN(F$4)-COLUMN($B$4))))-SUM(OFFSET(F100,0,0,1,-MIN(F98,COLUMN(F$4)-COLUMN($B$4)))))</f>
        <v>31740.959999999995</v>
      </c>
      <c r="G34" s="102">
        <f ca="1">IF(AND(Assumptions!$C$65="Current",G98=1),0,SUM(OFFSET(G99,0,0,1,-MIN(G98,COLUMN(G$4)-COLUMN($B$4))))-SUM(OFFSET(G100,0,0,1,-MIN(G98,COLUMN(G$4)-COLUMN($B$4)))))</f>
        <v>23161.959999999995</v>
      </c>
      <c r="H34" s="102">
        <f ca="1">IF(AND(Assumptions!$C$65="Current",H98=1),0,SUM(OFFSET(H99,0,0,1,-MIN(H98,COLUMN(H$4)-COLUMN($B$4))))-SUM(OFFSET(H100,0,0,1,-MIN(H98,COLUMN(H$4)-COLUMN($B$4)))))</f>
        <v>28589.259999999995</v>
      </c>
      <c r="I34" s="102">
        <f ca="1">IF(AND(Assumptions!$C$65="Current",I98=1),0,SUM(OFFSET(I99,0,0,1,-MIN(I98,COLUMN(I$4)-COLUMN($B$4))))-SUM(OFFSET(I100,0,0,1,-MIN(I98,COLUMN(I$4)-COLUMN($B$4)))))</f>
        <v>31630.384999999995</v>
      </c>
      <c r="J34" s="102">
        <f ca="1">IF(AND(Assumptions!$C$65="Current",J98=1),0,SUM(OFFSET(J99,0,0,1,-MIN(J98,COLUMN(J$4)-COLUMN($B$4))))-SUM(OFFSET(J100,0,0,1,-MIN(J98,COLUMN(J$4)-COLUMN($B$4)))))</f>
        <v>35759.06</v>
      </c>
      <c r="K34" s="102">
        <f ca="1">IF(AND(Assumptions!$C$65="Current",K98=1),0,SUM(OFFSET(K99,0,0,1,-MIN(K98,COLUMN(K$4)-COLUMN($B$4))))-SUM(OFFSET(K100,0,0,1,-MIN(K98,COLUMN(K$4)-COLUMN($B$4)))))</f>
        <v>43030.31</v>
      </c>
      <c r="L34" s="102">
        <f ca="1">IF(AND(Assumptions!$C$65="Current",L98=1),0,SUM(OFFSET(L99,0,0,1,-MIN(L98,COLUMN(L$4)-COLUMN($B$4))))-SUM(OFFSET(L100,0,0,1,-MIN(L98,COLUMN(L$4)-COLUMN($B$4)))))</f>
        <v>48200.06</v>
      </c>
      <c r="M34" s="102">
        <f ca="1">IF(AND(Assumptions!$C$65="Current",M98=1),0,SUM(OFFSET(M99,0,0,1,-MIN(M98,COLUMN(M$4)-COLUMN($B$4))))-SUM(OFFSET(M100,0,0,1,-MIN(M98,COLUMN(M$4)-COLUMN($B$4)))))</f>
        <v>51447.06</v>
      </c>
      <c r="N34" s="102">
        <f ca="1">IF(AND(Assumptions!$C$65="Current",N98=1),0,SUM(OFFSET(N99,0,0,1,-MIN(N98,COLUMN(N$4)-COLUMN($B$4))))-SUM(OFFSET(N100,0,0,1,-MIN(N98,COLUMN(N$4)-COLUMN($B$4)))))</f>
        <v>59280.960000000006</v>
      </c>
      <c r="O34" s="102">
        <f ca="1">IF(AND(Assumptions!$C$65="Current",O98=1),0,SUM(OFFSET(O99,0,0,1,-MIN(O98,COLUMN(O$4)-COLUMN($B$4))))-SUM(OFFSET(O100,0,0,1,-MIN(O98,COLUMN(O$4)-COLUMN($B$4)))))</f>
        <v>67308.760000000009</v>
      </c>
      <c r="P34" s="102">
        <f ca="1">IF(AND(Assumptions!$C$65="Current",P98=1),0,SUM(OFFSET(P99,0,0,1,-MIN(P98,COLUMN(P$4)-COLUMN($B$4))))-SUM(OFFSET(P100,0,0,1,-MIN(P98,COLUMN(P$4)-COLUMN($B$4)))))</f>
        <v>22050.699999999997</v>
      </c>
      <c r="Q34" s="102">
        <f ca="1">IF(AND(Assumptions!$C$65="Current",Q98=1),0,SUM(OFFSET(Q99,0,0,1,-MIN(Q98,COLUMN(Q$4)-COLUMN($B$4))))-SUM(OFFSET(Q100,0,0,1,-MIN(Q98,COLUMN(Q$4)-COLUMN($B$4)))))</f>
        <v>27448.199999999997</v>
      </c>
      <c r="R34" s="102">
        <f ca="1">IF(AND(Assumptions!$C$65="Current",R98=1),0,SUM(OFFSET(R99,0,0,1,-MIN(R98,COLUMN(R$4)-COLUMN($B$4))))-SUM(OFFSET(R100,0,0,1,-MIN(R98,COLUMN(R$4)-COLUMN($B$4)))))</f>
        <v>34825.199999999997</v>
      </c>
      <c r="S34" s="102">
        <f ca="1">IF(AND(Assumptions!$C$65="Current",S98=1),0,SUM(OFFSET(S99,0,0,1,-MIN(S98,COLUMN(S$4)-COLUMN($B$4))))-SUM(OFFSET(S100,0,0,1,-MIN(S98,COLUMN(S$4)-COLUMN($B$4)))))</f>
        <v>41987</v>
      </c>
      <c r="T34" s="102">
        <f ca="1">IF(AND(Assumptions!$C$65="Current",T98=1),0,SUM(OFFSET(T99,0,0,1,-MIN(T98,COLUMN(T$4)-COLUMN($B$4))))-SUM(OFFSET(T100,0,0,1,-MIN(T98,COLUMN(T$4)-COLUMN($B$4)))))</f>
        <v>48285.875</v>
      </c>
      <c r="U34" s="102">
        <f ca="1">IF(AND(Assumptions!$C$65="Current",U98=1),0,SUM(OFFSET(U99,0,0,1,-MIN(U98,COLUMN(U$4)-COLUMN($B$4))))-SUM(OFFSET(U100,0,0,1,-MIN(U98,COLUMN(U$4)-COLUMN($B$4)))))</f>
        <v>54565.024999999994</v>
      </c>
      <c r="V34" s="102">
        <f ca="1">IF(AND(Assumptions!$C$65="Current",V98=1),0,SUM(OFFSET(V99,0,0,1,-MIN(V98,COLUMN(V$4)-COLUMN($B$4))))-SUM(OFFSET(V100,0,0,1,-MIN(V98,COLUMN(V$4)-COLUMN($B$4)))))</f>
        <v>59759.549999999988</v>
      </c>
      <c r="W34" s="102">
        <f ca="1">IF(AND(Assumptions!$C$65="Current",W98=1),0,SUM(OFFSET(W99,0,0,1,-MIN(W98,COLUMN(W$4)-COLUMN($B$4))))-SUM(OFFSET(W100,0,0,1,-MIN(W98,COLUMN(W$4)-COLUMN($B$4)))))</f>
        <v>66586.549999999988</v>
      </c>
      <c r="X34" s="102">
        <f ca="1">IF(AND(Assumptions!$C$65="Current",X98=1),0,SUM(OFFSET(X99,0,0,1,-MIN(X98,COLUMN(X$4)-COLUMN($B$4))))-SUM(OFFSET(X100,0,0,1,-MIN(X98,COLUMN(X$4)-COLUMN($B$4)))))</f>
        <v>24715.424999999999</v>
      </c>
      <c r="Y34" s="102">
        <f ca="1">IF(AND(Assumptions!$C$65="Current",Y98=1),0,SUM(OFFSET(Y99,0,0,1,-MIN(Y98,COLUMN(Y$4)-COLUMN($B$4))))-SUM(OFFSET(Y100,0,0,1,-MIN(Y98,COLUMN(Y$4)-COLUMN($B$4)))))</f>
        <v>31713.925000000003</v>
      </c>
      <c r="Z34" s="102">
        <f ca="1">IF(AND(Assumptions!$C$65="Current",Z98=1),0,SUM(OFFSET(Z99,0,0,1,-MIN(Z98,COLUMN(Z$4)-COLUMN($B$4))))-SUM(OFFSET(Z100,0,0,1,-MIN(Z98,COLUMN(Z$4)-COLUMN($B$4)))))</f>
        <v>36745.625</v>
      </c>
      <c r="AA34" s="102">
        <f ca="1">IF(AND(Assumptions!$C$65="Current",AA98=1),0,SUM(OFFSET(AA99,0,0,1,-MIN(AA98,COLUMN(AA$4)-COLUMN($B$4))))-SUM(OFFSET(AA100,0,0,1,-MIN(AA98,COLUMN(AA$4)-COLUMN($B$4)))))</f>
        <v>43359.425000000003</v>
      </c>
      <c r="AB34" s="102">
        <f ca="1">IF(AND(Assumptions!$C$65="Current",AB98=1),0,SUM(OFFSET(AB99,0,0,1,-MIN(AB98,COLUMN(AB$4)-COLUMN($B$4))))-SUM(OFFSET(AB100,0,0,1,-MIN(AB98,COLUMN(AB$4)-COLUMN($B$4)))))</f>
        <v>51623.975000000006</v>
      </c>
      <c r="AC34" s="102">
        <f ca="1">IF(AND(Assumptions!$C$65="Current",AC98=1),0,SUM(OFFSET(AC99,0,0,1,-MIN(AC98,COLUMN(AC$4)-COLUMN($B$4))))-SUM(OFFSET(AC100,0,0,1,-MIN(AC98,COLUMN(AC$4)-COLUMN($B$4)))))</f>
        <v>56729.825000000012</v>
      </c>
      <c r="AD34" s="102">
        <f ca="1">IF(AND(Assumptions!$C$65="Current",AD98=1),0,SUM(OFFSET(AD99,0,0,1,-MIN(AD98,COLUMN(AD$4)-COLUMN($B$4))))-SUM(OFFSET(AD100,0,0,1,-MIN(AD98,COLUMN(AD$4)-COLUMN($B$4)))))</f>
        <v>62208.325000000012</v>
      </c>
      <c r="AE34" s="102">
        <f ca="1">IF(AND(Assumptions!$C$65="Current",AE98=1),0,SUM(OFFSET(AE99,0,0,1,-MIN(AE98,COLUMN(AE$4)-COLUMN($B$4))))-SUM(OFFSET(AE100,0,0,1,-MIN(AE98,COLUMN(AE$4)-COLUMN($B$4)))))</f>
        <v>70617.325000000012</v>
      </c>
      <c r="AF34" s="102">
        <f ca="1">IF(AND(Assumptions!$C$65="Current",AF98=1),0,SUM(OFFSET(AF99,0,0,1,-MIN(AF98,COLUMN(AF$4)-COLUMN($B$4))))-SUM(OFFSET(AF100,0,0,1,-MIN(AF98,COLUMN(AF$4)-COLUMN($B$4)))))</f>
        <v>79356.325000000012</v>
      </c>
      <c r="AG34" s="102">
        <f ca="1">IF(AND(Assumptions!$C$65="Current",AG98=1),0,SUM(OFFSET(AG99,0,0,1,-MIN(AG98,COLUMN(AG$4)-COLUMN($B$4))))-SUM(OFFSET(AG100,0,0,1,-MIN(AG98,COLUMN(AG$4)-COLUMN($B$4)))))</f>
        <v>31267.025000000001</v>
      </c>
      <c r="AH34" s="102">
        <f ca="1">IF(AND(Assumptions!$C$65="Current",AH98=1),0,SUM(OFFSET(AH99,0,0,1,-MIN(AH98,COLUMN(AH$4)-COLUMN($B$4))))-SUM(OFFSET(AH100,0,0,1,-MIN(AH98,COLUMN(AH$4)-COLUMN($B$4)))))</f>
        <v>38895.525000000001</v>
      </c>
      <c r="AI34" s="102">
        <f ca="1">IF(AND(Assumptions!$C$65="Current",AI98=1),0,SUM(OFFSET(AI99,0,0,1,-MIN(AI98,COLUMN(AI$4)-COLUMN($B$4))))-SUM(OFFSET(AI100,0,0,1,-MIN(AI98,COLUMN(AI$4)-COLUMN($B$4)))))</f>
        <v>43468.525000000001</v>
      </c>
      <c r="AJ34" s="102">
        <f ca="1">IF(AND(Assumptions!$C$65="Current",AJ98=1),0,SUM(OFFSET(AJ99,0,0,1,-MIN(AJ98,COLUMN(AJ$4)-COLUMN($B$4))))-SUM(OFFSET(AJ100,0,0,1,-MIN(AJ98,COLUMN(AJ$4)-COLUMN($B$4)))))</f>
        <v>52260.175000000003</v>
      </c>
      <c r="AK34" s="102">
        <f ca="1">IF(AND(Assumptions!$C$65="Current",AK98=1),0,SUM(OFFSET(AK99,0,0,1,-MIN(AK98,COLUMN(AK$4)-COLUMN($B$4))))-SUM(OFFSET(AK100,0,0,1,-MIN(AK98,COLUMN(AK$4)-COLUMN($B$4)))))</f>
        <v>58685.175000000003</v>
      </c>
      <c r="AL34" s="102">
        <f ca="1">IF(AND(Assumptions!$C$65="Current",AL98=1),0,SUM(OFFSET(AL99,0,0,1,-MIN(AL98,COLUMN(AL$4)-COLUMN($B$4))))-SUM(OFFSET(AL100,0,0,1,-MIN(AL98,COLUMN(AL$4)-COLUMN($B$4)))))</f>
        <v>65681.925000000003</v>
      </c>
      <c r="AM34" s="102">
        <f ca="1">IF(AND(Assumptions!$C$65="Current",AM98=1),0,SUM(OFFSET(AM99,0,0,1,-MIN(AM98,COLUMN(AM$4)-COLUMN($B$4))))-SUM(OFFSET(AM100,0,0,1,-MIN(AM98,COLUMN(AM$4)-COLUMN($B$4)))))</f>
        <v>70916.925000000003</v>
      </c>
      <c r="AN34" s="102">
        <f ca="1">IF(AND(Assumptions!$C$65="Current",AN98=1),0,SUM(OFFSET(AN99,0,0,1,-MIN(AN98,COLUMN(AN$4)-COLUMN($B$4))))-SUM(OFFSET(AN100,0,0,1,-MIN(AN98,COLUMN(AN$4)-COLUMN($B$4)))))</f>
        <v>80303.175000000003</v>
      </c>
      <c r="AO34" s="102">
        <f ca="1">IF(AND(Assumptions!$C$65="Current",AO98=1),0,SUM(OFFSET(AO99,0,0,1,-MIN(AO98,COLUMN(AO$4)-COLUMN($B$4))))-SUM(OFFSET(AO100,0,0,1,-MIN(AO98,COLUMN(AO$4)-COLUMN($B$4)))))</f>
        <v>88538.925000000003</v>
      </c>
      <c r="AP34" s="102">
        <f ca="1">IF(AND(Assumptions!$C$65="Current",AP98=1),0,SUM(OFFSET(AP99,0,0,1,-MIN(AP98,COLUMN(AP$4)-COLUMN($B$4))))-SUM(OFFSET(AP100,0,0,1,-MIN(AP98,COLUMN(AP$4)-COLUMN($B$4)))))</f>
        <v>28799.25</v>
      </c>
      <c r="AQ34" s="102">
        <f ca="1">IF(AND(Assumptions!$C$65="Current",AQ98=1),0,SUM(OFFSET(AQ99,0,0,1,-MIN(AQ98,COLUMN(AQ$4)-COLUMN($B$4))))-SUM(OFFSET(AQ100,0,0,1,-MIN(AQ98,COLUMN(AQ$4)-COLUMN($B$4)))))</f>
        <v>37045.950000000004</v>
      </c>
      <c r="AR34" s="102">
        <f ca="1">IF(AND(Assumptions!$C$65="Current",AR98=1),0,SUM(OFFSET(AR99,0,0,1,-MIN(AR98,COLUMN(AR$4)-COLUMN($B$4))))-SUM(OFFSET(AR100,0,0,1,-MIN(AR98,COLUMN(AR$4)-COLUMN($B$4)))))</f>
        <v>41464.200000000012</v>
      </c>
      <c r="AS34" s="102">
        <f ca="1">IF(AND(Assumptions!$C$65="Current",AS98=1),0,SUM(OFFSET(AS99,0,0,1,-MIN(AS98,COLUMN(AS$4)-COLUMN($B$4))))-SUM(OFFSET(AS100,0,0,1,-MIN(AS98,COLUMN(AS$4)-COLUMN($B$4)))))</f>
        <v>45941.700000000004</v>
      </c>
      <c r="AT34" s="102">
        <f ca="1">IF(AND(Assumptions!$C$65="Current",AT98=1),0,SUM(OFFSET(AT99,0,0,1,-MIN(AT98,COLUMN(AT$4)-COLUMN($B$4))))-SUM(OFFSET(AT100,0,0,1,-MIN(AT98,COLUMN(AT$4)-COLUMN($B$4)))))</f>
        <v>50649.1</v>
      </c>
      <c r="AU34" s="102">
        <f ca="1">IF(AND(Assumptions!$C$65="Current",AU98=1),0,SUM(OFFSET(AU99,0,0,1,-MIN(AU98,COLUMN(AU$4)-COLUMN($B$4))))-SUM(OFFSET(AU100,0,0,1,-MIN(AU98,COLUMN(AU$4)-COLUMN($B$4)))))</f>
        <v>53659.22</v>
      </c>
      <c r="AV34" s="102">
        <f ca="1">IF(AND(Assumptions!$C$65="Current",AV98=1),0,SUM(OFFSET(AV99,0,0,1,-MIN(AV98,COLUMN(AV$4)-COLUMN($B$4))))-SUM(OFFSET(AV100,0,0,1,-MIN(AV98,COLUMN(AV$4)-COLUMN($B$4)))))</f>
        <v>55531.640000000014</v>
      </c>
      <c r="AW34" s="102">
        <f ca="1">IF(AND(Assumptions!$C$65="Current",AW98=1),0,SUM(OFFSET(AW99,0,0,1,-MIN(AW98,COLUMN(AW$4)-COLUMN($B$4))))-SUM(OFFSET(AW100,0,0,1,-MIN(AW98,COLUMN(AW$4)-COLUMN($B$4)))))</f>
        <v>62316.515000000014</v>
      </c>
      <c r="AX34" s="102">
        <f ca="1">IF(AND(Assumptions!$C$65="Current",AX98=1),0,SUM(OFFSET(AX99,0,0,1,-MIN(AX98,COLUMN(AX$4)-COLUMN($B$4))))-SUM(OFFSET(AX100,0,0,1,-MIN(AX98,COLUMN(AX$4)-COLUMN($B$4)))))</f>
        <v>71398.515000000029</v>
      </c>
      <c r="AY34" s="102">
        <f ca="1">IF(AND(Assumptions!$C$65="Current",AY98=1),0,SUM(OFFSET(AY99,0,0,1,-MIN(AY98,COLUMN(AY$4)-COLUMN($B$4))))-SUM(OFFSET(AY100,0,0,1,-MIN(AY98,COLUMN(AY$4)-COLUMN($B$4)))))</f>
        <v>24636.544999999998</v>
      </c>
      <c r="AZ34" s="102">
        <f ca="1">IF(AND(Assumptions!$C$65="Current",AZ98=1),0,SUM(OFFSET(AZ99,0,0,1,-MIN(AZ98,COLUMN(AZ$4)-COLUMN($B$4))))-SUM(OFFSET(AZ100,0,0,1,-MIN(AZ98,COLUMN(AZ$4)-COLUMN($B$4)))))</f>
        <v>31133.545000000006</v>
      </c>
      <c r="BA34" s="102">
        <f ca="1">IF(AND(Assumptions!$C$65="Current",BA98=1),0,SUM(OFFSET(BA99,0,0,1,-MIN(BA98,COLUMN(BA$4)-COLUMN($B$4))))-SUM(OFFSET(BA100,0,0,1,-MIN(BA98,COLUMN(BA$4)-COLUMN($B$4)))))</f>
        <v>40030.545000000006</v>
      </c>
      <c r="BB34" s="102">
        <f ca="1">IF(AND(Assumptions!$C$65="Current",BB98=1),0,SUM(OFFSET(BB99,0,0,1,-MIN(BB98,COLUMN(BB$4)-COLUMN($B$4))))-SUM(OFFSET(BB100,0,0,1,-MIN(BB98,COLUMN(BB$4)-COLUMN($B$4)))))</f>
        <v>46794.045000000006</v>
      </c>
      <c r="BC34" s="102">
        <f ca="1">IF(AND(Assumptions!$C$65="Current",BC98=1),0,SUM(OFFSET(BC99,0,0,1,-MIN(BC98,COLUMN(BC$4)-COLUMN($B$4))))-SUM(OFFSET(BC100,0,0,1,-MIN(BC98,COLUMN(BC$4)-COLUMN($B$4)))))</f>
        <v>52168.544999999998</v>
      </c>
      <c r="BD34" s="53">
        <f ca="1">OFFSET($B34,0,Assumptions!$C$8+1,1,1)</f>
        <v>22050.699999999997</v>
      </c>
      <c r="BE34" s="53">
        <f ca="1">OFFSET($B34,0,SUM(Assumptions!$C$8:$C$9)+1,1,1)</f>
        <v>56729.825000000012</v>
      </c>
      <c r="BF34" s="53">
        <f ca="1">OFFSET($B34,0,SUM(Assumptions!$C$8:$C$10)+1,1,1)</f>
        <v>28799.25</v>
      </c>
      <c r="BG34" s="53">
        <f ca="1">OFFSET($B34,0,SUM(Assumptions!$C$8:$C$11)+1,1,1)</f>
        <v>52168.544999999998</v>
      </c>
      <c r="BH34" s="53">
        <f t="shared" ca="1" si="11"/>
        <v>52168.544999999998</v>
      </c>
    </row>
    <row r="35" spans="1:60" ht="16.149999999999999" customHeight="1" x14ac:dyDescent="0.3">
      <c r="A35" s="291" t="s">
        <v>192</v>
      </c>
      <c r="B35" s="12" t="s">
        <v>193</v>
      </c>
      <c r="C35" s="52">
        <f ca="1">-SUMIF(Assumptions!$A$81:$C$104,$A35,Assumptions!$C$81:$C$104)</f>
        <v>20000</v>
      </c>
      <c r="D35" s="102">
        <f ca="1">IF(AND(Assumptions!$C$55="Current",D110=1),0,SUM(OFFSET(D111,0,0,1,-MIN(D110,COLUMN(D$4)-COLUMN($B$4)))))</f>
        <v>1160</v>
      </c>
      <c r="E35" s="102">
        <f ca="1">IF(AND(Assumptions!$C$55="Current",E110=1),0,SUM(OFFSET(E111,0,0,1,-MIN(E110,COLUMN(E$4)-COLUMN($B$4)))))</f>
        <v>2320</v>
      </c>
      <c r="F35" s="102">
        <f ca="1">IF(AND(Assumptions!$C$55="Current",F110=1),0,SUM(OFFSET(F111,0,0,1,-MIN(F110,COLUMN(F$4)-COLUMN($B$4)))))</f>
        <v>3480</v>
      </c>
      <c r="G35" s="102">
        <f ca="1">IF(AND(Assumptions!$C$55="Current",G110=1),0,SUM(OFFSET(G111,0,0,1,-MIN(G110,COLUMN(G$4)-COLUMN($B$4)))))</f>
        <v>18640</v>
      </c>
      <c r="H35" s="102">
        <f ca="1">IF(AND(Assumptions!$C$55="Current",H110=1),0,SUM(OFFSET(H111,0,0,1,-MIN(H110,COLUMN(H$4)-COLUMN($B$4)))))</f>
        <v>19800</v>
      </c>
      <c r="I35" s="102">
        <f ca="1">IF(AND(Assumptions!$C$55="Current",I110=1),0,SUM(OFFSET(I111,0,0,1,-MIN(I110,COLUMN(I$4)-COLUMN($B$4)))))</f>
        <v>1160</v>
      </c>
      <c r="J35" s="102">
        <f ca="1">IF(AND(Assumptions!$C$55="Current",J110=1),0,SUM(OFFSET(J111,0,0,1,-MIN(J110,COLUMN(J$4)-COLUMN($B$4)))))</f>
        <v>2320</v>
      </c>
      <c r="K35" s="102">
        <f ca="1">IF(AND(Assumptions!$C$55="Current",K110=1),0,SUM(OFFSET(K111,0,0,1,-MIN(K110,COLUMN(K$4)-COLUMN($B$4)))))</f>
        <v>3480</v>
      </c>
      <c r="L35" s="102">
        <f ca="1">IF(AND(Assumptions!$C$55="Current",L110=1),0,SUM(OFFSET(L111,0,0,1,-MIN(L110,COLUMN(L$4)-COLUMN($B$4)))))</f>
        <v>18640</v>
      </c>
      <c r="M35" s="102">
        <f ca="1">IF(AND(Assumptions!$C$55="Current",M110=1),0,SUM(OFFSET(M111,0,0,1,-MIN(M110,COLUMN(M$4)-COLUMN($B$4)))))</f>
        <v>1160</v>
      </c>
      <c r="N35" s="102">
        <f ca="1">IF(AND(Assumptions!$C$55="Current",N110=1),0,SUM(OFFSET(N111,0,0,1,-MIN(N110,COLUMN(N$4)-COLUMN($B$4)))))</f>
        <v>2320</v>
      </c>
      <c r="O35" s="102">
        <f ca="1">IF(AND(Assumptions!$C$55="Current",O110=1),0,SUM(OFFSET(O111,0,0,1,-MIN(O110,COLUMN(O$4)-COLUMN($B$4)))))</f>
        <v>3480</v>
      </c>
      <c r="P35" s="102">
        <f ca="1">IF(AND(Assumptions!$C$55="Current",P110=1),0,SUM(OFFSET(P111,0,0,1,-MIN(P110,COLUMN(P$4)-COLUMN($B$4)))))</f>
        <v>18640</v>
      </c>
      <c r="Q35" s="102">
        <f ca="1">IF(AND(Assumptions!$C$55="Current",Q110=1),0,SUM(OFFSET(Q111,0,0,1,-MIN(Q110,COLUMN(Q$4)-COLUMN($B$4)))))</f>
        <v>1160</v>
      </c>
      <c r="R35" s="102">
        <f ca="1">IF(AND(Assumptions!$C$55="Current",R110=1),0,SUM(OFFSET(R111,0,0,1,-MIN(R110,COLUMN(R$4)-COLUMN($B$4)))))</f>
        <v>2320</v>
      </c>
      <c r="S35" s="102">
        <f ca="1">IF(AND(Assumptions!$C$55="Current",S110=1),0,SUM(OFFSET(S111,0,0,1,-MIN(S110,COLUMN(S$4)-COLUMN($B$4)))))</f>
        <v>3480</v>
      </c>
      <c r="T35" s="102">
        <f ca="1">IF(AND(Assumptions!$C$55="Current",T110=1),0,SUM(OFFSET(T111,0,0,1,-MIN(T110,COLUMN(T$4)-COLUMN($B$4)))))</f>
        <v>18640</v>
      </c>
      <c r="U35" s="102">
        <f ca="1">IF(AND(Assumptions!$C$55="Current",U110=1),0,SUM(OFFSET(U111,0,0,1,-MIN(U110,COLUMN(U$4)-COLUMN($B$4)))))</f>
        <v>19800</v>
      </c>
      <c r="V35" s="102">
        <f ca="1">IF(AND(Assumptions!$C$55="Current",V110=1),0,SUM(OFFSET(V111,0,0,1,-MIN(V110,COLUMN(V$4)-COLUMN($B$4)))))</f>
        <v>1160</v>
      </c>
      <c r="W35" s="102">
        <f ca="1">IF(AND(Assumptions!$C$55="Current",W110=1),0,SUM(OFFSET(W111,0,0,1,-MIN(W110,COLUMN(W$4)-COLUMN($B$4)))))</f>
        <v>2320</v>
      </c>
      <c r="X35" s="102">
        <f ca="1">IF(AND(Assumptions!$C$55="Current",X110=1),0,SUM(OFFSET(X111,0,0,1,-MIN(X110,COLUMN(X$4)-COLUMN($B$4)))))</f>
        <v>3480</v>
      </c>
      <c r="Y35" s="102">
        <f ca="1">IF(AND(Assumptions!$C$55="Current",Y110=1),0,SUM(OFFSET(Y111,0,0,1,-MIN(Y110,COLUMN(Y$4)-COLUMN($B$4)))))</f>
        <v>18640</v>
      </c>
      <c r="Z35" s="102">
        <f ca="1">IF(AND(Assumptions!$C$55="Current",Z110=1),0,SUM(OFFSET(Z111,0,0,1,-MIN(Z110,COLUMN(Z$4)-COLUMN($B$4)))))</f>
        <v>1160</v>
      </c>
      <c r="AA35" s="102">
        <f ca="1">IF(AND(Assumptions!$C$55="Current",AA110=1),0,SUM(OFFSET(AA111,0,0,1,-MIN(AA110,COLUMN(AA$4)-COLUMN($B$4)))))</f>
        <v>2320</v>
      </c>
      <c r="AB35" s="102">
        <f ca="1">IF(AND(Assumptions!$C$55="Current",AB110=1),0,SUM(OFFSET(AB111,0,0,1,-MIN(AB110,COLUMN(AB$4)-COLUMN($B$4)))))</f>
        <v>3560</v>
      </c>
      <c r="AC35" s="102">
        <f ca="1">IF(AND(Assumptions!$C$55="Current",AC110=1),0,SUM(OFFSET(AC111,0,0,1,-MIN(AC110,COLUMN(AC$4)-COLUMN($B$4)))))</f>
        <v>18800</v>
      </c>
      <c r="AD35" s="102">
        <f ca="1">IF(AND(Assumptions!$C$55="Current",AD110=1),0,SUM(OFFSET(AD111,0,0,1,-MIN(AD110,COLUMN(AD$4)-COLUMN($B$4)))))</f>
        <v>20040</v>
      </c>
      <c r="AE35" s="102">
        <f ca="1">IF(AND(Assumptions!$C$55="Current",AE110=1),0,SUM(OFFSET(AE111,0,0,1,-MIN(AE110,COLUMN(AE$4)-COLUMN($B$4)))))</f>
        <v>1240</v>
      </c>
      <c r="AF35" s="102">
        <f ca="1">IF(AND(Assumptions!$C$55="Current",AF110=1),0,SUM(OFFSET(AF111,0,0,1,-MIN(AF110,COLUMN(AF$4)-COLUMN($B$4)))))</f>
        <v>2480</v>
      </c>
      <c r="AG35" s="102">
        <f ca="1">IF(AND(Assumptions!$C$55="Current",AG110=1),0,SUM(OFFSET(AG111,0,0,1,-MIN(AG110,COLUMN(AG$4)-COLUMN($B$4)))))</f>
        <v>3720</v>
      </c>
      <c r="AH35" s="102">
        <f ca="1">IF(AND(Assumptions!$C$55="Current",AH110=1),0,SUM(OFFSET(AH111,0,0,1,-MIN(AH110,COLUMN(AH$4)-COLUMN($B$4)))))</f>
        <v>18960</v>
      </c>
      <c r="AI35" s="102">
        <f ca="1">IF(AND(Assumptions!$C$55="Current",AI110=1),0,SUM(OFFSET(AI111,0,0,1,-MIN(AI110,COLUMN(AI$4)-COLUMN($B$4)))))</f>
        <v>1240</v>
      </c>
      <c r="AJ35" s="102">
        <f ca="1">IF(AND(Assumptions!$C$55="Current",AJ110=1),0,SUM(OFFSET(AJ111,0,0,1,-MIN(AJ110,COLUMN(AJ$4)-COLUMN($B$4)))))</f>
        <v>2480</v>
      </c>
      <c r="AK35" s="102">
        <f ca="1">IF(AND(Assumptions!$C$55="Current",AK110=1),0,SUM(OFFSET(AK111,0,0,1,-MIN(AK110,COLUMN(AK$4)-COLUMN($B$4)))))</f>
        <v>3720</v>
      </c>
      <c r="AL35" s="102">
        <f ca="1">IF(AND(Assumptions!$C$55="Current",AL110=1),0,SUM(OFFSET(AL111,0,0,1,-MIN(AL110,COLUMN(AL$4)-COLUMN($B$4)))))</f>
        <v>18960</v>
      </c>
      <c r="AM35" s="102">
        <f ca="1">IF(AND(Assumptions!$C$55="Current",AM110=1),0,SUM(OFFSET(AM111,0,0,1,-MIN(AM110,COLUMN(AM$4)-COLUMN($B$4)))))</f>
        <v>1240</v>
      </c>
      <c r="AN35" s="102">
        <f ca="1">IF(AND(Assumptions!$C$55="Current",AN110=1),0,SUM(OFFSET(AN111,0,0,1,-MIN(AN110,COLUMN(AN$4)-COLUMN($B$4)))))</f>
        <v>2480</v>
      </c>
      <c r="AO35" s="102">
        <f ca="1">IF(AND(Assumptions!$C$55="Current",AO110=1),0,SUM(OFFSET(AO111,0,0,1,-MIN(AO110,COLUMN(AO$4)-COLUMN($B$4)))))</f>
        <v>3720</v>
      </c>
      <c r="AP35" s="102">
        <f ca="1">IF(AND(Assumptions!$C$55="Current",AP110=1),0,SUM(OFFSET(AP111,0,0,1,-MIN(AP110,COLUMN(AP$4)-COLUMN($B$4)))))</f>
        <v>18960</v>
      </c>
      <c r="AQ35" s="102">
        <f ca="1">IF(AND(Assumptions!$C$55="Current",AQ110=1),0,SUM(OFFSET(AQ111,0,0,1,-MIN(AQ110,COLUMN(AQ$4)-COLUMN($B$4)))))</f>
        <v>20200</v>
      </c>
      <c r="AR35" s="102">
        <f ca="1">IF(AND(Assumptions!$C$55="Current",AR110=1),0,SUM(OFFSET(AR111,0,0,1,-MIN(AR110,COLUMN(AR$4)-COLUMN($B$4)))))</f>
        <v>1360</v>
      </c>
      <c r="AS35" s="102">
        <f ca="1">IF(AND(Assumptions!$C$55="Current",AS110=1),0,SUM(OFFSET(AS111,0,0,1,-MIN(AS110,COLUMN(AS$4)-COLUMN($B$4)))))</f>
        <v>2720</v>
      </c>
      <c r="AT35" s="102">
        <f ca="1">IF(AND(Assumptions!$C$55="Current",AT110=1),0,SUM(OFFSET(AT111,0,0,1,-MIN(AT110,COLUMN(AT$4)-COLUMN($B$4)))))</f>
        <v>19080</v>
      </c>
      <c r="AU35" s="102">
        <f ca="1">IF(AND(Assumptions!$C$55="Current",AU110=1),0,SUM(OFFSET(AU111,0,0,1,-MIN(AU110,COLUMN(AU$4)-COLUMN($B$4)))))</f>
        <v>20440</v>
      </c>
      <c r="AV35" s="102">
        <f ca="1">IF(AND(Assumptions!$C$55="Current",AV110=1),0,SUM(OFFSET(AV111,0,0,1,-MIN(AV110,COLUMN(AV$4)-COLUMN($B$4)))))</f>
        <v>1360</v>
      </c>
      <c r="AW35" s="102">
        <f ca="1">IF(AND(Assumptions!$C$55="Current",AW110=1),0,SUM(OFFSET(AW111,0,0,1,-MIN(AW110,COLUMN(AW$4)-COLUMN($B$4)))))</f>
        <v>2720</v>
      </c>
      <c r="AX35" s="102">
        <f ca="1">IF(AND(Assumptions!$C$55="Current",AX110=1),0,SUM(OFFSET(AX111,0,0,1,-MIN(AX110,COLUMN(AX$4)-COLUMN($B$4)))))</f>
        <v>4080</v>
      </c>
      <c r="AY35" s="102">
        <f ca="1">IF(AND(Assumptions!$C$55="Current",AY110=1),0,SUM(OFFSET(AY111,0,0,1,-MIN(AY110,COLUMN(AY$4)-COLUMN($B$4)))))</f>
        <v>19440</v>
      </c>
      <c r="AZ35" s="102">
        <f ca="1">IF(AND(Assumptions!$C$55="Current",AZ110=1),0,SUM(OFFSET(AZ111,0,0,1,-MIN(AZ110,COLUMN(AZ$4)-COLUMN($B$4)))))</f>
        <v>1360</v>
      </c>
      <c r="BA35" s="102">
        <f ca="1">IF(AND(Assumptions!$C$55="Current",BA110=1),0,SUM(OFFSET(BA111,0,0,1,-MIN(BA110,COLUMN(BA$4)-COLUMN($B$4)))))</f>
        <v>2720</v>
      </c>
      <c r="BB35" s="102">
        <f ca="1">IF(AND(Assumptions!$C$55="Current",BB110=1),0,SUM(OFFSET(BB111,0,0,1,-MIN(BB110,COLUMN(BB$4)-COLUMN($B$4)))))</f>
        <v>4080</v>
      </c>
      <c r="BC35" s="102">
        <f ca="1">IF(AND(Assumptions!$C$55="Current",BC110=1),0,SUM(OFFSET(BC111,0,0,1,-MIN(BC110,COLUMN(BC$4)-COLUMN($B$4)))))</f>
        <v>19440</v>
      </c>
      <c r="BD35" s="53">
        <f ca="1">OFFSET($B35,0,Assumptions!$C$8+1,1,1)</f>
        <v>18640</v>
      </c>
      <c r="BE35" s="53">
        <f ca="1">OFFSET($B35,0,SUM(Assumptions!$C$8:$C$9)+1,1,1)</f>
        <v>18800</v>
      </c>
      <c r="BF35" s="53">
        <f ca="1">OFFSET($B35,0,SUM(Assumptions!$C$8:$C$10)+1,1,1)</f>
        <v>18960</v>
      </c>
      <c r="BG35" s="53">
        <f ca="1">OFFSET($B35,0,SUM(Assumptions!$C$8:$C$11)+1,1,1)</f>
        <v>19440</v>
      </c>
      <c r="BH35" s="53">
        <f t="shared" ca="1" si="11"/>
        <v>19440</v>
      </c>
    </row>
    <row r="36" spans="1:60" ht="16.149999999999999" customHeight="1" x14ac:dyDescent="0.3">
      <c r="A36" s="291" t="s">
        <v>133</v>
      </c>
      <c r="B36" s="12" t="s">
        <v>134</v>
      </c>
      <c r="C36" s="52">
        <f ca="1">-SUMIF(Assumptions!$A$81:$C$104,$A36,Assumptions!$C$81:$C$104)</f>
        <v>55000</v>
      </c>
      <c r="D36" s="102">
        <f ca="1">OFFSET(D$4,ROW($B36)-ROW($B$4),-1,1,1)+OFFSET(Forecast!$B85,0,COLUMN(D$4)-COLUMN($C$4),1,1)</f>
        <v>0</v>
      </c>
      <c r="E36" s="102">
        <f ca="1">OFFSET(E$4,ROW($B36)-ROW($B$4),-1,1,1)+OFFSET(Forecast!$B85,0,COLUMN(E$4)-COLUMN($C$4),1,1)</f>
        <v>0</v>
      </c>
      <c r="F36" s="102">
        <f ca="1">OFFSET(F$4,ROW($B36)-ROW($B$4),-1,1,1)+OFFSET(Forecast!$B85,0,COLUMN(F$4)-COLUMN($C$4),1,1)</f>
        <v>0</v>
      </c>
      <c r="G36" s="102">
        <f ca="1">OFFSET(G$4,ROW($B36)-ROW($B$4),-1,1,1)+OFFSET(Forecast!$B85,0,COLUMN(G$4)-COLUMN($C$4),1,1)</f>
        <v>0</v>
      </c>
      <c r="H36" s="102">
        <f ca="1">OFFSET(H$4,ROW($B36)-ROW($B$4),-1,1,1)+OFFSET(Forecast!$B85,0,COLUMN(H$4)-COLUMN($C$4),1,1)</f>
        <v>0</v>
      </c>
      <c r="I36" s="102">
        <f ca="1">OFFSET(I$4,ROW($B36)-ROW($B$4),-1,1,1)+OFFSET(Forecast!$B85,0,COLUMN(I$4)-COLUMN($C$4),1,1)</f>
        <v>0</v>
      </c>
      <c r="J36" s="102">
        <f ca="1">OFFSET(J$4,ROW($B36)-ROW($B$4),-1,1,1)+OFFSET(Forecast!$B85,0,COLUMN(J$4)-COLUMN($C$4),1,1)</f>
        <v>0</v>
      </c>
      <c r="K36" s="102">
        <f ca="1">OFFSET(K$4,ROW($B36)-ROW($B$4),-1,1,1)+OFFSET(Forecast!$B85,0,COLUMN(K$4)-COLUMN($C$4),1,1)</f>
        <v>0</v>
      </c>
      <c r="L36" s="102">
        <f ca="1">OFFSET(L$4,ROW($B36)-ROW($B$4),-1,1,1)+OFFSET(Forecast!$B85,0,COLUMN(L$4)-COLUMN($C$4),1,1)</f>
        <v>0</v>
      </c>
      <c r="M36" s="102">
        <f ca="1">OFFSET(M$4,ROW($B36)-ROW($B$4),-1,1,1)+OFFSET(Forecast!$B85,0,COLUMN(M$4)-COLUMN($C$4),1,1)</f>
        <v>0</v>
      </c>
      <c r="N36" s="102">
        <f ca="1">OFFSET(N$4,ROW($B36)-ROW($B$4),-1,1,1)+OFFSET(Forecast!$B85,0,COLUMN(N$4)-COLUMN($C$4),1,1)</f>
        <v>0</v>
      </c>
      <c r="O36" s="102">
        <f ca="1">OFFSET(O$4,ROW($B36)-ROW($B$4),-1,1,1)+OFFSET(Forecast!$B85,0,COLUMN(O$4)-COLUMN($C$4),1,1)</f>
        <v>0</v>
      </c>
      <c r="P36" s="102">
        <f ca="1">OFFSET(P$4,ROW($B36)-ROW($B$4),-1,1,1)+OFFSET(Forecast!$B85,0,COLUMN(P$4)-COLUMN($C$4),1,1)</f>
        <v>0</v>
      </c>
      <c r="Q36" s="102">
        <f ca="1">OFFSET(Q$4,ROW($B36)-ROW($B$4),-1,1,1)+OFFSET(Forecast!$B85,0,COLUMN(Q$4)-COLUMN($C$4),1,1)</f>
        <v>0</v>
      </c>
      <c r="R36" s="102">
        <f ca="1">OFFSET(R$4,ROW($B36)-ROW($B$4),-1,1,1)+OFFSET(Forecast!$B85,0,COLUMN(R$4)-COLUMN($C$4),1,1)</f>
        <v>0</v>
      </c>
      <c r="S36" s="102">
        <f ca="1">OFFSET(S$4,ROW($B36)-ROW($B$4),-1,1,1)+OFFSET(Forecast!$B85,0,COLUMN(S$4)-COLUMN($C$4),1,1)</f>
        <v>0</v>
      </c>
      <c r="T36" s="102">
        <f ca="1">OFFSET(T$4,ROW($B36)-ROW($B$4),-1,1,1)+OFFSET(Forecast!$B85,0,COLUMN(T$4)-COLUMN($C$4),1,1)</f>
        <v>0</v>
      </c>
      <c r="U36" s="102">
        <f ca="1">OFFSET(U$4,ROW($B36)-ROW($B$4),-1,1,1)+OFFSET(Forecast!$B85,0,COLUMN(U$4)-COLUMN($C$4),1,1)</f>
        <v>0</v>
      </c>
      <c r="V36" s="102">
        <f ca="1">OFFSET(V$4,ROW($B36)-ROW($B$4),-1,1,1)+OFFSET(Forecast!$B85,0,COLUMN(V$4)-COLUMN($C$4),1,1)</f>
        <v>0</v>
      </c>
      <c r="W36" s="102">
        <f ca="1">OFFSET(W$4,ROW($B36)-ROW($B$4),-1,1,1)+OFFSET(Forecast!$B85,0,COLUMN(W$4)-COLUMN($C$4),1,1)</f>
        <v>0</v>
      </c>
      <c r="X36" s="102">
        <f ca="1">OFFSET(X$4,ROW($B36)-ROW($B$4),-1,1,1)+OFFSET(Forecast!$B85,0,COLUMN(X$4)-COLUMN($C$4),1,1)</f>
        <v>0</v>
      </c>
      <c r="Y36" s="102">
        <f ca="1">OFFSET(Y$4,ROW($B36)-ROW($B$4),-1,1,1)+OFFSET(Forecast!$B85,0,COLUMN(Y$4)-COLUMN($C$4),1,1)</f>
        <v>0</v>
      </c>
      <c r="Z36" s="102">
        <f ca="1">OFFSET(Z$4,ROW($B36)-ROW($B$4),-1,1,1)+OFFSET(Forecast!$B85,0,COLUMN(Z$4)-COLUMN($C$4),1,1)</f>
        <v>0</v>
      </c>
      <c r="AA36" s="102">
        <f ca="1">OFFSET(AA$4,ROW($B36)-ROW($B$4),-1,1,1)+OFFSET(Forecast!$B85,0,COLUMN(AA$4)-COLUMN($C$4),1,1)</f>
        <v>0</v>
      </c>
      <c r="AB36" s="102">
        <f ca="1">OFFSET(AB$4,ROW($B36)-ROW($B$4),-1,1,1)+OFFSET(Forecast!$B85,0,COLUMN(AB$4)-COLUMN($C$4),1,1)</f>
        <v>0</v>
      </c>
      <c r="AC36" s="102">
        <f ca="1">OFFSET(AC$4,ROW($B36)-ROW($B$4),-1,1,1)+OFFSET(Forecast!$B85,0,COLUMN(AC$4)-COLUMN($C$4),1,1)</f>
        <v>0</v>
      </c>
      <c r="AD36" s="102">
        <f ca="1">OFFSET(AD$4,ROW($B36)-ROW($B$4),-1,1,1)+OFFSET(Forecast!$B85,0,COLUMN(AD$4)-COLUMN($C$4),1,1)</f>
        <v>0</v>
      </c>
      <c r="AE36" s="102">
        <f ca="1">OFFSET(AE$4,ROW($B36)-ROW($B$4),-1,1,1)+OFFSET(Forecast!$B85,0,COLUMN(AE$4)-COLUMN($C$4),1,1)</f>
        <v>0</v>
      </c>
      <c r="AF36" s="102">
        <f ca="1">OFFSET(AF$4,ROW($B36)-ROW($B$4),-1,1,1)+OFFSET(Forecast!$B85,0,COLUMN(AF$4)-COLUMN($C$4),1,1)</f>
        <v>0</v>
      </c>
      <c r="AG36" s="102">
        <f ca="1">OFFSET(AG$4,ROW($B36)-ROW($B$4),-1,1,1)+OFFSET(Forecast!$B85,0,COLUMN(AG$4)-COLUMN($C$4),1,1)</f>
        <v>0</v>
      </c>
      <c r="AH36" s="102">
        <f ca="1">OFFSET(AH$4,ROW($B36)-ROW($B$4),-1,1,1)+OFFSET(Forecast!$B85,0,COLUMN(AH$4)-COLUMN($C$4),1,1)</f>
        <v>0</v>
      </c>
      <c r="AI36" s="102">
        <f ca="1">OFFSET(AI$4,ROW($B36)-ROW($B$4),-1,1,1)+OFFSET(Forecast!$B85,0,COLUMN(AI$4)-COLUMN($C$4),1,1)</f>
        <v>0</v>
      </c>
      <c r="AJ36" s="102">
        <f ca="1">OFFSET(AJ$4,ROW($B36)-ROW($B$4),-1,1,1)+OFFSET(Forecast!$B85,0,COLUMN(AJ$4)-COLUMN($C$4),1,1)</f>
        <v>0</v>
      </c>
      <c r="AK36" s="102">
        <f ca="1">OFFSET(AK$4,ROW($B36)-ROW($B$4),-1,1,1)+OFFSET(Forecast!$B85,0,COLUMN(AK$4)-COLUMN($C$4),1,1)</f>
        <v>0</v>
      </c>
      <c r="AL36" s="102">
        <f ca="1">OFFSET(AL$4,ROW($B36)-ROW($B$4),-1,1,1)+OFFSET(Forecast!$B85,0,COLUMN(AL$4)-COLUMN($C$4),1,1)</f>
        <v>0</v>
      </c>
      <c r="AM36" s="102">
        <f ca="1">OFFSET(AM$4,ROW($B36)-ROW($B$4),-1,1,1)+OFFSET(Forecast!$B85,0,COLUMN(AM$4)-COLUMN($C$4),1,1)</f>
        <v>0</v>
      </c>
      <c r="AN36" s="102">
        <f ca="1">OFFSET(AN$4,ROW($B36)-ROW($B$4),-1,1,1)+OFFSET(Forecast!$B85,0,COLUMN(AN$4)-COLUMN($C$4),1,1)</f>
        <v>0</v>
      </c>
      <c r="AO36" s="102">
        <f ca="1">OFFSET(AO$4,ROW($B36)-ROW($B$4),-1,1,1)+OFFSET(Forecast!$B85,0,COLUMN(AO$4)-COLUMN($C$4),1,1)</f>
        <v>0</v>
      </c>
      <c r="AP36" s="102">
        <f ca="1">OFFSET(AP$4,ROW($B36)-ROW($B$4),-1,1,1)+OFFSET(Forecast!$B85,0,COLUMN(AP$4)-COLUMN($C$4),1,1)</f>
        <v>0</v>
      </c>
      <c r="AQ36" s="102">
        <f ca="1">OFFSET(AQ$4,ROW($B36)-ROW($B$4),-1,1,1)+OFFSET(Forecast!$B85,0,COLUMN(AQ$4)-COLUMN($C$4),1,1)</f>
        <v>0</v>
      </c>
      <c r="AR36" s="102">
        <f ca="1">OFFSET(AR$4,ROW($B36)-ROW($B$4),-1,1,1)+OFFSET(Forecast!$B85,0,COLUMN(AR$4)-COLUMN($C$4),1,1)</f>
        <v>0</v>
      </c>
      <c r="AS36" s="102">
        <f ca="1">OFFSET(AS$4,ROW($B36)-ROW($B$4),-1,1,1)+OFFSET(Forecast!$B85,0,COLUMN(AS$4)-COLUMN($C$4),1,1)</f>
        <v>0</v>
      </c>
      <c r="AT36" s="102">
        <f ca="1">OFFSET(AT$4,ROW($B36)-ROW($B$4),-1,1,1)+OFFSET(Forecast!$B85,0,COLUMN(AT$4)-COLUMN($C$4),1,1)</f>
        <v>0</v>
      </c>
      <c r="AU36" s="102">
        <f ca="1">OFFSET(AU$4,ROW($B36)-ROW($B$4),-1,1,1)+OFFSET(Forecast!$B85,0,COLUMN(AU$4)-COLUMN($C$4),1,1)</f>
        <v>0</v>
      </c>
      <c r="AV36" s="102">
        <f ca="1">OFFSET(AV$4,ROW($B36)-ROW($B$4),-1,1,1)+OFFSET(Forecast!$B85,0,COLUMN(AV$4)-COLUMN($C$4),1,1)</f>
        <v>0</v>
      </c>
      <c r="AW36" s="102">
        <f ca="1">OFFSET(AW$4,ROW($B36)-ROW($B$4),-1,1,1)+OFFSET(Forecast!$B85,0,COLUMN(AW$4)-COLUMN($C$4),1,1)</f>
        <v>0</v>
      </c>
      <c r="AX36" s="102">
        <f ca="1">OFFSET(AX$4,ROW($B36)-ROW($B$4),-1,1,1)+OFFSET(Forecast!$B85,0,COLUMN(AX$4)-COLUMN($C$4),1,1)</f>
        <v>0</v>
      </c>
      <c r="AY36" s="102">
        <f ca="1">OFFSET(AY$4,ROW($B36)-ROW($B$4),-1,1,1)+OFFSET(Forecast!$B85,0,COLUMN(AY$4)-COLUMN($C$4),1,1)</f>
        <v>0</v>
      </c>
      <c r="AZ36" s="102">
        <f ca="1">OFFSET(AZ$4,ROW($B36)-ROW($B$4),-1,1,1)+OFFSET(Forecast!$B85,0,COLUMN(AZ$4)-COLUMN($C$4),1,1)</f>
        <v>0</v>
      </c>
      <c r="BA36" s="102">
        <f ca="1">OFFSET(BA$4,ROW($B36)-ROW($B$4),-1,1,1)+OFFSET(Forecast!$B85,0,COLUMN(BA$4)-COLUMN($C$4),1,1)</f>
        <v>0</v>
      </c>
      <c r="BB36" s="102">
        <f ca="1">OFFSET(BB$4,ROW($B36)-ROW($B$4),-1,1,1)+OFFSET(Forecast!$B85,0,COLUMN(BB$4)-COLUMN($C$4),1,1)</f>
        <v>0</v>
      </c>
      <c r="BC36" s="102">
        <f ca="1">OFFSET(BC$4,ROW($B36)-ROW($B$4),-1,1,1)+OFFSET(Forecast!$B85,0,COLUMN(BC$4)-COLUMN($C$4),1,1)</f>
        <v>60000</v>
      </c>
      <c r="BD36" s="53">
        <f ca="1">OFFSET($B36,0,Assumptions!$C$8+1,1,1)</f>
        <v>0</v>
      </c>
      <c r="BE36" s="53">
        <f ca="1">OFFSET($B36,0,SUM(Assumptions!$C$8:$C$9)+1,1,1)</f>
        <v>0</v>
      </c>
      <c r="BF36" s="53">
        <f ca="1">OFFSET($B36,0,SUM(Assumptions!$C$8:$C$10)+1,1,1)</f>
        <v>0</v>
      </c>
      <c r="BG36" s="53">
        <f ca="1">OFFSET($B36,0,SUM(Assumptions!$C$8:$C$11)+1,1,1)</f>
        <v>60000</v>
      </c>
      <c r="BH36" s="53">
        <f t="shared" ca="1" si="11"/>
        <v>60000</v>
      </c>
    </row>
    <row r="37" spans="1:60" ht="16.149999999999999" customHeight="1" x14ac:dyDescent="0.3">
      <c r="A37" s="291" t="s">
        <v>195</v>
      </c>
      <c r="B37" s="12" t="s">
        <v>196</v>
      </c>
      <c r="C37" s="52">
        <f ca="1">-SUMIF(Assumptions!$A$81:$C$104,$A37,Assumptions!$C$81:$C$104)</f>
        <v>0</v>
      </c>
      <c r="D37" s="102">
        <f ca="1">IF(AND(Assumptions!$C$72="Current",D104=1),0,SUM(OFFSET(D105,0,0,1,-MIN(D104,COLUMN(D$4)-COLUMN($B$4)))))</f>
        <v>1876.0000000000007</v>
      </c>
      <c r="E37" s="102">
        <f ca="1">IF(AND(Assumptions!$C$72="Current",E104=1),0,SUM(OFFSET(E105,0,0,1,-MIN(E104,COLUMN(E$4)-COLUMN($B$4)))))</f>
        <v>10178.042000000001</v>
      </c>
      <c r="F37" s="102">
        <f ca="1">IF(AND(Assumptions!$C$72="Current",F104=1),0,SUM(OFFSET(F105,0,0,1,-MIN(F104,COLUMN(F$4)-COLUMN($B$4)))))</f>
        <v>20500.708666666673</v>
      </c>
      <c r="G37" s="102">
        <f ca="1">IF(AND(Assumptions!$C$72="Current",G104=1),0,SUM(OFFSET(G105,0,0,1,-MIN(G104,COLUMN(G$4)-COLUMN($B$4)))))</f>
        <v>13129.242000000004</v>
      </c>
      <c r="H37" s="102">
        <f ca="1">IF(AND(Assumptions!$C$72="Current",H104=1),0,SUM(OFFSET(H105,0,0,1,-MIN(H104,COLUMN(H$4)-COLUMN($B$4)))))</f>
        <v>16217.035333333339</v>
      </c>
      <c r="I37" s="102">
        <f ca="1">IF(AND(Assumptions!$C$72="Current",I104=1),0,SUM(OFFSET(I105,0,0,1,-MIN(I104,COLUMN(I$4)-COLUMN($B$4)))))</f>
        <v>16292.01979105614</v>
      </c>
      <c r="J37" s="102">
        <f ca="1">IF(AND(Assumptions!$C$72="Current",J104=1),0,SUM(OFFSET(J105,0,0,1,-MIN(J104,COLUMN(J$4)-COLUMN($B$4)))))</f>
        <v>22374.879791056144</v>
      </c>
      <c r="K37" s="102">
        <f ca="1">IF(AND(Assumptions!$C$72="Current",K104=1),0,SUM(OFFSET(K105,0,0,1,-MIN(K104,COLUMN(K$4)-COLUMN($B$4)))))</f>
        <v>34323.879791056148</v>
      </c>
      <c r="L37" s="102">
        <f ca="1">IF(AND(Assumptions!$C$72="Current",L104=1),0,SUM(OFFSET(L105,0,0,1,-MIN(L104,COLUMN(L$4)-COLUMN($B$4)))))</f>
        <v>17338.544868923713</v>
      </c>
      <c r="M37" s="102">
        <f ca="1">IF(AND(Assumptions!$C$72="Current",M104=1),0,SUM(OFFSET(M105,0,0,1,-MIN(M104,COLUMN(M$4)-COLUMN($B$4)))))</f>
        <v>18933.351725900658</v>
      </c>
      <c r="N37" s="102">
        <f ca="1">IF(AND(Assumptions!$C$72="Current",N104=1),0,SUM(OFFSET(N105,0,0,1,-MIN(N104,COLUMN(N$4)-COLUMN($B$4)))))</f>
        <v>30830.042144682702</v>
      </c>
      <c r="O37" s="102">
        <f ca="1">IF(AND(Assumptions!$C$72="Current",O104=1),0,SUM(OFFSET(O105,0,0,1,-MIN(O104,COLUMN(O$4)-COLUMN($B$4)))))</f>
        <v>44191.268811349371</v>
      </c>
      <c r="P37" s="102">
        <f ca="1">IF(AND(Assumptions!$C$72="Current",P104=1),0,SUM(OFFSET(P105,0,0,1,-MIN(P104,COLUMN(P$4)-COLUMN($B$4)))))</f>
        <v>23055.157795115298</v>
      </c>
      <c r="Q37" s="102">
        <f ca="1">IF(AND(Assumptions!$C$72="Current",Q104=1),0,SUM(OFFSET(Q105,0,0,1,-MIN(Q104,COLUMN(Q$4)-COLUMN($B$4)))))</f>
        <v>28678.279376423106</v>
      </c>
      <c r="R37" s="102">
        <f ca="1">IF(AND(Assumptions!$C$72="Current",R104=1),0,SUM(OFFSET(R105,0,0,1,-MIN(R104,COLUMN(R$4)-COLUMN($B$4)))))</f>
        <v>39741.275652291537</v>
      </c>
      <c r="S37" s="102">
        <f ca="1">IF(AND(Assumptions!$C$72="Current",S104=1),0,SUM(OFFSET(S105,0,0,1,-MIN(S104,COLUMN(S$4)-COLUMN($B$4)))))</f>
        <v>51485.968985624873</v>
      </c>
      <c r="T37" s="102">
        <f ca="1">IF(AND(Assumptions!$C$72="Current",T104=1),0,SUM(OFFSET(T105,0,0,1,-MIN(T104,COLUMN(T$4)-COLUMN($B$4)))))</f>
        <v>42019.868985624875</v>
      </c>
      <c r="U37" s="102">
        <f ca="1">IF(AND(Assumptions!$C$72="Current",U104=1),0,SUM(OFFSET(U105,0,0,1,-MIN(U104,COLUMN(U$4)-COLUMN($B$4)))))</f>
        <v>46720.854490119345</v>
      </c>
      <c r="V37" s="102">
        <f ca="1">IF(AND(Assumptions!$C$72="Current",V104=1),0,SUM(OFFSET(V105,0,0,1,-MIN(V104,COLUMN(V$4)-COLUMN($B$4)))))</f>
        <v>50915.223453669125</v>
      </c>
      <c r="W37" s="102">
        <f ca="1">IF(AND(Assumptions!$C$72="Current",W104=1),0,SUM(OFFSET(W105,0,0,1,-MIN(W104,COLUMN(W$4)-COLUMN($B$4)))))</f>
        <v>62034.956787002462</v>
      </c>
      <c r="X37" s="102">
        <f ca="1">IF(AND(Assumptions!$C$72="Current",X104=1),0,SUM(OFFSET(X105,0,0,1,-MIN(X104,COLUMN(X$4)-COLUMN($B$4)))))</f>
        <v>72385.156787002459</v>
      </c>
      <c r="Y37" s="102">
        <f ca="1">IF(AND(Assumptions!$C$72="Current",Y104=1),0,SUM(OFFSET(Y105,0,0,1,-MIN(Y104,COLUMN(Y$4)-COLUMN($B$4)))))</f>
        <v>58836.738550683869</v>
      </c>
      <c r="Z37" s="102">
        <f ca="1">IF(AND(Assumptions!$C$72="Current",Z104=1),0,SUM(OFFSET(Z105,0,0,1,-MIN(Z104,COLUMN(Z$4)-COLUMN($B$4)))))</f>
        <v>63805.490587078326</v>
      </c>
      <c r="AA37" s="102">
        <f ca="1">IF(AND(Assumptions!$C$72="Current",AA104=1),0,SUM(OFFSET(AA105,0,0,1,-MIN(AA104,COLUMN(AA$4)-COLUMN($B$4)))))</f>
        <v>73482.771932545205</v>
      </c>
      <c r="AB37" s="102">
        <f ca="1">IF(AND(Assumptions!$C$72="Current",AB104=1),0,SUM(OFFSET(AB105,0,0,1,-MIN(AB104,COLUMN(AB$4)-COLUMN($B$4)))))</f>
        <v>87173.931932545194</v>
      </c>
      <c r="AC37" s="102">
        <f ca="1">IF(AND(Assumptions!$C$72="Current",AC104=1),0,SUM(OFFSET(AC105,0,0,1,-MIN(AC104,COLUMN(AC$4)-COLUMN($B$4)))))</f>
        <v>0</v>
      </c>
      <c r="AD37" s="102">
        <f ca="1">IF(AND(Assumptions!$C$72="Current",AD104=1),0,SUM(OFFSET(AD105,0,0,1,-MIN(AD104,COLUMN(AD$4)-COLUMN($B$4)))))</f>
        <v>-11696.138619056452</v>
      </c>
      <c r="AE37" s="102">
        <f ca="1">IF(AND(Assumptions!$C$72="Current",AE104=1),0,SUM(OFFSET(AE105,0,0,1,-MIN(AE104,COLUMN(AE$4)-COLUMN($B$4)))))</f>
        <v>1239.9254798775219</v>
      </c>
      <c r="AF37" s="102">
        <f ca="1">IF(AND(Assumptions!$C$72="Current",AF104=1),0,SUM(OFFSET(AF105,0,0,1,-MIN(AF104,COLUMN(AF$4)-COLUMN($B$4)))))</f>
        <v>15816.725479877525</v>
      </c>
      <c r="AG37" s="102">
        <f ca="1">IF(AND(Assumptions!$C$72="Current",AG104=1),0,SUM(OFFSET(AG105,0,0,1,-MIN(AG104,COLUMN(AG$4)-COLUMN($B$4)))))</f>
        <v>30209.705479877521</v>
      </c>
      <c r="AH37" s="102">
        <f ca="1">IF(AND(Assumptions!$C$72="Current",AH104=1),0,SUM(OFFSET(AH105,0,0,1,-MIN(AH104,COLUMN(AH$4)-COLUMN($B$4)))))</f>
        <v>17526.780505033545</v>
      </c>
      <c r="AI37" s="102">
        <f ca="1">IF(AND(Assumptions!$C$72="Current",AI104=1),0,SUM(OFFSET(AI105,0,0,1,-MIN(AI104,COLUMN(AI$4)-COLUMN($B$4)))))</f>
        <v>20551.433935699999</v>
      </c>
      <c r="AJ37" s="102">
        <f ca="1">IF(AND(Assumptions!$C$72="Current",AJ104=1),0,SUM(OFFSET(AJ105,0,0,1,-MIN(AJ104,COLUMN(AJ$4)-COLUMN($B$4)))))</f>
        <v>35226.513935700001</v>
      </c>
      <c r="AK37" s="102">
        <f ca="1">IF(AND(Assumptions!$C$72="Current",AK104=1),0,SUM(OFFSET(AK105,0,0,1,-MIN(AK104,COLUMN(AK$4)-COLUMN($B$4)))))</f>
        <v>45483.847269033329</v>
      </c>
      <c r="AL37" s="102">
        <f ca="1">IF(AND(Assumptions!$C$72="Current",AL104=1),0,SUM(OFFSET(AL105,0,0,1,-MIN(AL104,COLUMN(AL$4)-COLUMN($B$4)))))</f>
        <v>31631.185327060462</v>
      </c>
      <c r="AM37" s="102">
        <f ca="1">IF(AND(Assumptions!$C$72="Current",AM104=1),0,SUM(OFFSET(AM105,0,0,1,-MIN(AM104,COLUMN(AM$4)-COLUMN($B$4)))))</f>
        <v>36911.034401460114</v>
      </c>
      <c r="AN37" s="102">
        <f ca="1">IF(AND(Assumptions!$C$72="Current",AN104=1),0,SUM(OFFSET(AN105,0,0,1,-MIN(AN104,COLUMN(AN$4)-COLUMN($B$4)))))</f>
        <v>51711.35342467048</v>
      </c>
      <c r="AO37" s="102">
        <f ca="1">IF(AND(Assumptions!$C$72="Current",AO104=1),0,SUM(OFFSET(AO105,0,0,1,-MIN(AO104,COLUMN(AO$4)-COLUMN($B$4)))))</f>
        <v>65348.753424670445</v>
      </c>
      <c r="AP37" s="102">
        <f ca="1">IF(AND(Assumptions!$C$72="Current",AP104=1),0,SUM(OFFSET(AP105,0,0,1,-MIN(AP104,COLUMN(AP$4)-COLUMN($B$4)))))</f>
        <v>50764.953424670457</v>
      </c>
      <c r="AQ37" s="102">
        <f ca="1">IF(AND(Assumptions!$C$72="Current",AQ104=1),0,SUM(OFFSET(AQ105,0,0,1,-MIN(AQ104,COLUMN(AQ$4)-COLUMN($B$4)))))</f>
        <v>60453.76728578475</v>
      </c>
      <c r="AR37" s="102">
        <f ca="1">IF(AND(Assumptions!$C$72="Current",AR104=1),0,SUM(OFFSET(AR105,0,0,1,-MIN(AR104,COLUMN(AR$4)-COLUMN($B$4)))))</f>
        <v>65832.80212354059</v>
      </c>
      <c r="AS37" s="102">
        <f ca="1">IF(AND(Assumptions!$C$72="Current",AS104=1),0,SUM(OFFSET(AS105,0,0,1,-MIN(AS104,COLUMN(AS$4)-COLUMN($B$4)))))</f>
        <v>72286.80212354059</v>
      </c>
      <c r="AT37" s="102">
        <f ca="1">IF(AND(Assumptions!$C$72="Current",AT104=1),0,SUM(OFFSET(AT105,0,0,1,-MIN(AT104,COLUMN(AT$4)-COLUMN($B$4)))))</f>
        <v>58169.948790207258</v>
      </c>
      <c r="AU37" s="102">
        <f ca="1">IF(AND(Assumptions!$C$72="Current",AU104=1),0,SUM(OFFSET(AU105,0,0,1,-MIN(AU104,COLUMN(AU$4)-COLUMN($B$4)))))</f>
        <v>56326.857854517919</v>
      </c>
      <c r="AV37" s="102">
        <f ca="1">IF(AND(Assumptions!$C$72="Current",AV104=1),0,SUM(OFFSET(AV105,0,0,1,-MIN(AV104,COLUMN(AV$4)-COLUMN($B$4)))))</f>
        <v>55191.584347351876</v>
      </c>
      <c r="AW37" s="102">
        <f ca="1">IF(AND(Assumptions!$C$72="Current",AW104=1),0,SUM(OFFSET(AW105,0,0,1,-MIN(AW104,COLUMN(AW$4)-COLUMN($B$4)))))</f>
        <v>65008.829692875923</v>
      </c>
      <c r="AX37" s="102">
        <f ca="1">IF(AND(Assumptions!$C$72="Current",AX104=1),0,SUM(OFFSET(AX105,0,0,1,-MIN(AX104,COLUMN(AX$4)-COLUMN($B$4)))))</f>
        <v>80057.896359542603</v>
      </c>
      <c r="AY37" s="102">
        <f ca="1">IF(AND(Assumptions!$C$72="Current",AY104=1),0,SUM(OFFSET(AY105,0,0,1,-MIN(AY104,COLUMN(AY$4)-COLUMN($B$4)))))</f>
        <v>64760.53320077619</v>
      </c>
      <c r="AZ37" s="102">
        <f ca="1">IF(AND(Assumptions!$C$72="Current",AZ104=1),0,SUM(OFFSET(AZ105,0,0,1,-MIN(AZ104,COLUMN(AZ$4)-COLUMN($B$4)))))</f>
        <v>71572.846229275063</v>
      </c>
      <c r="BA37" s="102">
        <f ca="1">IF(AND(Assumptions!$C$72="Current",BA104=1),0,SUM(OFFSET(BA105,0,0,1,-MIN(BA104,COLUMN(BA$4)-COLUMN($B$4)))))</f>
        <v>85353.431974933439</v>
      </c>
      <c r="BB37" s="102">
        <f ca="1">IF(AND(Assumptions!$C$72="Current",BB104=1),0,SUM(OFFSET(BB105,0,0,1,-MIN(BB104,COLUMN(BB$4)-COLUMN($B$4)))))</f>
        <v>96074.631974933422</v>
      </c>
      <c r="BC37" s="102">
        <f ca="1">IF(AND(Assumptions!$C$72="Current",BC104=1),0,SUM(OFFSET(BC105,0,0,1,-MIN(BC104,COLUMN(BC$4)-COLUMN($B$4)))))</f>
        <v>0</v>
      </c>
      <c r="BD37" s="53">
        <f ca="1">OFFSET($B37,0,Assumptions!$C$8+1,1,1)</f>
        <v>23055.157795115298</v>
      </c>
      <c r="BE37" s="53">
        <f ca="1">OFFSET($B37,0,SUM(Assumptions!$C$8:$C$9)+1,1,1)</f>
        <v>0</v>
      </c>
      <c r="BF37" s="53">
        <f ca="1">OFFSET($B37,0,SUM(Assumptions!$C$8:$C$10)+1,1,1)</f>
        <v>50764.953424670457</v>
      </c>
      <c r="BG37" s="53">
        <f ca="1">OFFSET($B37,0,SUM(Assumptions!$C$8:$C$11)+1,1,1)</f>
        <v>0</v>
      </c>
      <c r="BH37" s="53">
        <f t="shared" ca="1" si="11"/>
        <v>0</v>
      </c>
    </row>
    <row r="38" spans="1:60" ht="16.149999999999999" customHeight="1" x14ac:dyDescent="0.3">
      <c r="A38" s="291" t="s">
        <v>276</v>
      </c>
      <c r="B38" s="12" t="s">
        <v>278</v>
      </c>
      <c r="C38" s="52">
        <f ca="1">-SUMIF(Assumptions!$A$81:$C$104,$A38,Assumptions!$C$81:$C$104)</f>
        <v>0</v>
      </c>
      <c r="D38" s="102">
        <f ca="1">D120</f>
        <v>0</v>
      </c>
      <c r="E38" s="102">
        <f t="shared" ref="E38:BC38" ca="1" si="12">E120</f>
        <v>0</v>
      </c>
      <c r="F38" s="102">
        <f t="shared" ca="1" si="12"/>
        <v>0</v>
      </c>
      <c r="G38" s="102">
        <f t="shared" ca="1" si="12"/>
        <v>0</v>
      </c>
      <c r="H38" s="102">
        <f t="shared" ca="1" si="12"/>
        <v>0</v>
      </c>
      <c r="I38" s="102">
        <f t="shared" ca="1" si="12"/>
        <v>0</v>
      </c>
      <c r="J38" s="102">
        <f t="shared" ca="1" si="12"/>
        <v>0</v>
      </c>
      <c r="K38" s="102">
        <f t="shared" ca="1" si="12"/>
        <v>0</v>
      </c>
      <c r="L38" s="102">
        <f t="shared" ca="1" si="12"/>
        <v>0</v>
      </c>
      <c r="M38" s="102">
        <f t="shared" ca="1" si="12"/>
        <v>0</v>
      </c>
      <c r="N38" s="102">
        <f t="shared" ca="1" si="12"/>
        <v>0</v>
      </c>
      <c r="O38" s="102">
        <f t="shared" ca="1" si="12"/>
        <v>0</v>
      </c>
      <c r="P38" s="102">
        <f t="shared" ca="1" si="12"/>
        <v>0</v>
      </c>
      <c r="Q38" s="102">
        <f t="shared" ca="1" si="12"/>
        <v>0</v>
      </c>
      <c r="R38" s="102">
        <f t="shared" ca="1" si="12"/>
        <v>0</v>
      </c>
      <c r="S38" s="102">
        <f t="shared" ca="1" si="12"/>
        <v>0</v>
      </c>
      <c r="T38" s="102">
        <f t="shared" ca="1" si="12"/>
        <v>0</v>
      </c>
      <c r="U38" s="102">
        <f t="shared" ca="1" si="12"/>
        <v>0</v>
      </c>
      <c r="V38" s="102">
        <f t="shared" ca="1" si="12"/>
        <v>0</v>
      </c>
      <c r="W38" s="102">
        <f t="shared" ca="1" si="12"/>
        <v>0</v>
      </c>
      <c r="X38" s="102">
        <f t="shared" ca="1" si="12"/>
        <v>0</v>
      </c>
      <c r="Y38" s="102">
        <f t="shared" ca="1" si="12"/>
        <v>0</v>
      </c>
      <c r="Z38" s="102">
        <f t="shared" ca="1" si="12"/>
        <v>0</v>
      </c>
      <c r="AA38" s="102">
        <f t="shared" ca="1" si="12"/>
        <v>0</v>
      </c>
      <c r="AB38" s="102">
        <f t="shared" ca="1" si="12"/>
        <v>0</v>
      </c>
      <c r="AC38" s="102">
        <f t="shared" ca="1" si="12"/>
        <v>0</v>
      </c>
      <c r="AD38" s="102">
        <f t="shared" ca="1" si="12"/>
        <v>0</v>
      </c>
      <c r="AE38" s="102">
        <f t="shared" ca="1" si="12"/>
        <v>0</v>
      </c>
      <c r="AF38" s="102">
        <f t="shared" ca="1" si="12"/>
        <v>0</v>
      </c>
      <c r="AG38" s="102">
        <f t="shared" ca="1" si="12"/>
        <v>0</v>
      </c>
      <c r="AH38" s="102">
        <f t="shared" ca="1" si="12"/>
        <v>0</v>
      </c>
      <c r="AI38" s="102">
        <f t="shared" ca="1" si="12"/>
        <v>0</v>
      </c>
      <c r="AJ38" s="102">
        <f t="shared" ca="1" si="12"/>
        <v>0</v>
      </c>
      <c r="AK38" s="102">
        <f t="shared" ca="1" si="12"/>
        <v>0</v>
      </c>
      <c r="AL38" s="102">
        <f t="shared" ca="1" si="12"/>
        <v>0</v>
      </c>
      <c r="AM38" s="102">
        <f t="shared" ca="1" si="12"/>
        <v>0</v>
      </c>
      <c r="AN38" s="102">
        <f t="shared" ca="1" si="12"/>
        <v>0</v>
      </c>
      <c r="AO38" s="102">
        <f t="shared" ca="1" si="12"/>
        <v>0</v>
      </c>
      <c r="AP38" s="102">
        <f t="shared" ca="1" si="12"/>
        <v>0</v>
      </c>
      <c r="AQ38" s="102">
        <f t="shared" ca="1" si="12"/>
        <v>0</v>
      </c>
      <c r="AR38" s="102">
        <f t="shared" ca="1" si="12"/>
        <v>0</v>
      </c>
      <c r="AS38" s="102">
        <f t="shared" ca="1" si="12"/>
        <v>0</v>
      </c>
      <c r="AT38" s="102">
        <f t="shared" ca="1" si="12"/>
        <v>0</v>
      </c>
      <c r="AU38" s="102">
        <f t="shared" ca="1" si="12"/>
        <v>0</v>
      </c>
      <c r="AV38" s="102">
        <f t="shared" ca="1" si="12"/>
        <v>0</v>
      </c>
      <c r="AW38" s="102">
        <f t="shared" ca="1" si="12"/>
        <v>0</v>
      </c>
      <c r="AX38" s="102">
        <f t="shared" ca="1" si="12"/>
        <v>0</v>
      </c>
      <c r="AY38" s="102">
        <f t="shared" ca="1" si="12"/>
        <v>0</v>
      </c>
      <c r="AZ38" s="102">
        <f t="shared" ca="1" si="12"/>
        <v>0</v>
      </c>
      <c r="BA38" s="102">
        <f t="shared" ca="1" si="12"/>
        <v>0</v>
      </c>
      <c r="BB38" s="102">
        <f t="shared" ca="1" si="12"/>
        <v>0</v>
      </c>
      <c r="BC38" s="102">
        <f t="shared" ca="1" si="12"/>
        <v>0</v>
      </c>
      <c r="BD38" s="53">
        <f ca="1">OFFSET($B38,0,Assumptions!$C$8+1,1,1)</f>
        <v>0</v>
      </c>
      <c r="BE38" s="53">
        <f ca="1">OFFSET($B38,0,SUM(Assumptions!$C$8:$C$9)+1,1,1)</f>
        <v>0</v>
      </c>
      <c r="BF38" s="53">
        <f ca="1">OFFSET($B38,0,SUM(Assumptions!$C$8:$C$10)+1,1,1)</f>
        <v>0</v>
      </c>
      <c r="BG38" s="53">
        <f ca="1">OFFSET($B38,0,SUM(Assumptions!$C$8:$C$11)+1,1,1)</f>
        <v>0</v>
      </c>
      <c r="BH38" s="53">
        <f t="shared" ref="BH38" ca="1" si="13">BG38</f>
        <v>0</v>
      </c>
    </row>
    <row r="39" spans="1:60" ht="16.149999999999999" customHeight="1" x14ac:dyDescent="0.3">
      <c r="A39" s="291" t="s">
        <v>135</v>
      </c>
      <c r="B39" s="12" t="s">
        <v>136</v>
      </c>
      <c r="C39" s="52">
        <f ca="1">-SUMIF(Assumptions!$A$81:$C$104,$A39,Assumptions!$C$81:$C$104)</f>
        <v>42000</v>
      </c>
      <c r="D39" s="52">
        <f ca="1">OFFSET(D$4,ROW($B39)-ROW($B$4),-1,1,1)+OFFSET(Forecast!$B86,0,COLUMN(D$4)-COLUMN($C$4),1,1)</f>
        <v>0</v>
      </c>
      <c r="E39" s="52">
        <f ca="1">OFFSET(E$4,ROW($B39)-ROW($B$4),-1,1,1)+OFFSET(Forecast!$B86,0,COLUMN(E$4)-COLUMN($C$4),1,1)</f>
        <v>0</v>
      </c>
      <c r="F39" s="52">
        <f ca="1">OFFSET(F$4,ROW($B39)-ROW($B$4),-1,1,1)+OFFSET(Forecast!$B86,0,COLUMN(F$4)-COLUMN($C$4),1,1)</f>
        <v>0</v>
      </c>
      <c r="G39" s="52">
        <f ca="1">OFFSET(G$4,ROW($B39)-ROW($B$4),-1,1,1)+OFFSET(Forecast!$B86,0,COLUMN(G$4)-COLUMN($C$4),1,1)</f>
        <v>0</v>
      </c>
      <c r="H39" s="52">
        <f ca="1">OFFSET(H$4,ROW($B39)-ROW($B$4),-1,1,1)+OFFSET(Forecast!$B86,0,COLUMN(H$4)-COLUMN($C$4),1,1)</f>
        <v>0</v>
      </c>
      <c r="I39" s="52">
        <f ca="1">OFFSET(I$4,ROW($B39)-ROW($B$4),-1,1,1)+OFFSET(Forecast!$B86,0,COLUMN(I$4)-COLUMN($C$4),1,1)</f>
        <v>0</v>
      </c>
      <c r="J39" s="52">
        <f ca="1">OFFSET(J$4,ROW($B39)-ROW($B$4),-1,1,1)+OFFSET(Forecast!$B86,0,COLUMN(J$4)-COLUMN($C$4),1,1)</f>
        <v>0</v>
      </c>
      <c r="K39" s="52">
        <f ca="1">OFFSET(K$4,ROW($B39)-ROW($B$4),-1,1,1)+OFFSET(Forecast!$B86,0,COLUMN(K$4)-COLUMN($C$4),1,1)</f>
        <v>0</v>
      </c>
      <c r="L39" s="52">
        <f ca="1">OFFSET(L$4,ROW($B39)-ROW($B$4),-1,1,1)+OFFSET(Forecast!$B86,0,COLUMN(L$4)-COLUMN($C$4),1,1)</f>
        <v>0</v>
      </c>
      <c r="M39" s="52">
        <f ca="1">OFFSET(M$4,ROW($B39)-ROW($B$4),-1,1,1)+OFFSET(Forecast!$B86,0,COLUMN(M$4)-COLUMN($C$4),1,1)</f>
        <v>0</v>
      </c>
      <c r="N39" s="52">
        <f ca="1">OFFSET(N$4,ROW($B39)-ROW($B$4),-1,1,1)+OFFSET(Forecast!$B86,0,COLUMN(N$4)-COLUMN($C$4),1,1)</f>
        <v>0</v>
      </c>
      <c r="O39" s="52">
        <f ca="1">OFFSET(O$4,ROW($B39)-ROW($B$4),-1,1,1)+OFFSET(Forecast!$B86,0,COLUMN(O$4)-COLUMN($C$4),1,1)</f>
        <v>0</v>
      </c>
      <c r="P39" s="52">
        <f ca="1">OFFSET(P$4,ROW($B39)-ROW($B$4),-1,1,1)+OFFSET(Forecast!$B86,0,COLUMN(P$4)-COLUMN($C$4),1,1)</f>
        <v>0</v>
      </c>
      <c r="Q39" s="52">
        <f ca="1">OFFSET(Q$4,ROW($B39)-ROW($B$4),-1,1,1)+OFFSET(Forecast!$B86,0,COLUMN(Q$4)-COLUMN($C$4),1,1)</f>
        <v>0</v>
      </c>
      <c r="R39" s="52">
        <f ca="1">OFFSET(R$4,ROW($B39)-ROW($B$4),-1,1,1)+OFFSET(Forecast!$B86,0,COLUMN(R$4)-COLUMN($C$4),1,1)</f>
        <v>0</v>
      </c>
      <c r="S39" s="52">
        <f ca="1">OFFSET(S$4,ROW($B39)-ROW($B$4),-1,1,1)+OFFSET(Forecast!$B86,0,COLUMN(S$4)-COLUMN($C$4),1,1)</f>
        <v>0</v>
      </c>
      <c r="T39" s="52">
        <f ca="1">OFFSET(T$4,ROW($B39)-ROW($B$4),-1,1,1)+OFFSET(Forecast!$B86,0,COLUMN(T$4)-COLUMN($C$4),1,1)</f>
        <v>0</v>
      </c>
      <c r="U39" s="52">
        <f ca="1">OFFSET(U$4,ROW($B39)-ROW($B$4),-1,1,1)+OFFSET(Forecast!$B86,0,COLUMN(U$4)-COLUMN($C$4),1,1)</f>
        <v>0</v>
      </c>
      <c r="V39" s="52">
        <f ca="1">OFFSET(V$4,ROW($B39)-ROW($B$4),-1,1,1)+OFFSET(Forecast!$B86,0,COLUMN(V$4)-COLUMN($C$4),1,1)</f>
        <v>0</v>
      </c>
      <c r="W39" s="52">
        <f ca="1">OFFSET(W$4,ROW($B39)-ROW($B$4),-1,1,1)+OFFSET(Forecast!$B86,0,COLUMN(W$4)-COLUMN($C$4),1,1)</f>
        <v>0</v>
      </c>
      <c r="X39" s="52">
        <f ca="1">OFFSET(X$4,ROW($B39)-ROW($B$4),-1,1,1)+OFFSET(Forecast!$B86,0,COLUMN(X$4)-COLUMN($C$4),1,1)</f>
        <v>0</v>
      </c>
      <c r="Y39" s="52">
        <f ca="1">OFFSET(Y$4,ROW($B39)-ROW($B$4),-1,1,1)+OFFSET(Forecast!$B86,0,COLUMN(Y$4)-COLUMN($C$4),1,1)</f>
        <v>0</v>
      </c>
      <c r="Z39" s="52">
        <f ca="1">OFFSET(Z$4,ROW($B39)-ROW($B$4),-1,1,1)+OFFSET(Forecast!$B86,0,COLUMN(Z$4)-COLUMN($C$4),1,1)</f>
        <v>0</v>
      </c>
      <c r="AA39" s="52">
        <f ca="1">OFFSET(AA$4,ROW($B39)-ROW($B$4),-1,1,1)+OFFSET(Forecast!$B86,0,COLUMN(AA$4)-COLUMN($C$4),1,1)</f>
        <v>0</v>
      </c>
      <c r="AB39" s="52">
        <f ca="1">OFFSET(AB$4,ROW($B39)-ROW($B$4),-1,1,1)+OFFSET(Forecast!$B86,0,COLUMN(AB$4)-COLUMN($C$4),1,1)</f>
        <v>0</v>
      </c>
      <c r="AC39" s="52">
        <f ca="1">OFFSET(AC$4,ROW($B39)-ROW($B$4),-1,1,1)+OFFSET(Forecast!$B86,0,COLUMN(AC$4)-COLUMN($C$4),1,1)</f>
        <v>0</v>
      </c>
      <c r="AD39" s="52">
        <f ca="1">OFFSET(AD$4,ROW($B39)-ROW($B$4),-1,1,1)+OFFSET(Forecast!$B86,0,COLUMN(AD$4)-COLUMN($C$4),1,1)</f>
        <v>0</v>
      </c>
      <c r="AE39" s="52">
        <f ca="1">OFFSET(AE$4,ROW($B39)-ROW($B$4),-1,1,1)+OFFSET(Forecast!$B86,0,COLUMN(AE$4)-COLUMN($C$4),1,1)</f>
        <v>0</v>
      </c>
      <c r="AF39" s="52">
        <f ca="1">OFFSET(AF$4,ROW($B39)-ROW($B$4),-1,1,1)+OFFSET(Forecast!$B86,0,COLUMN(AF$4)-COLUMN($C$4),1,1)</f>
        <v>0</v>
      </c>
      <c r="AG39" s="52">
        <f ca="1">OFFSET(AG$4,ROW($B39)-ROW($B$4),-1,1,1)+OFFSET(Forecast!$B86,0,COLUMN(AG$4)-COLUMN($C$4),1,1)</f>
        <v>0</v>
      </c>
      <c r="AH39" s="52">
        <f ca="1">OFFSET(AH$4,ROW($B39)-ROW($B$4),-1,1,1)+OFFSET(Forecast!$B86,0,COLUMN(AH$4)-COLUMN($C$4),1,1)</f>
        <v>0</v>
      </c>
      <c r="AI39" s="52">
        <f ca="1">OFFSET(AI$4,ROW($B39)-ROW($B$4),-1,1,1)+OFFSET(Forecast!$B86,0,COLUMN(AI$4)-COLUMN($C$4),1,1)</f>
        <v>0</v>
      </c>
      <c r="AJ39" s="52">
        <f ca="1">OFFSET(AJ$4,ROW($B39)-ROW($B$4),-1,1,1)+OFFSET(Forecast!$B86,0,COLUMN(AJ$4)-COLUMN($C$4),1,1)</f>
        <v>0</v>
      </c>
      <c r="AK39" s="52">
        <f ca="1">OFFSET(AK$4,ROW($B39)-ROW($B$4),-1,1,1)+OFFSET(Forecast!$B86,0,COLUMN(AK$4)-COLUMN($C$4),1,1)</f>
        <v>0</v>
      </c>
      <c r="AL39" s="52">
        <f ca="1">OFFSET(AL$4,ROW($B39)-ROW($B$4),-1,1,1)+OFFSET(Forecast!$B86,0,COLUMN(AL$4)-COLUMN($C$4),1,1)</f>
        <v>0</v>
      </c>
      <c r="AM39" s="52">
        <f ca="1">OFFSET(AM$4,ROW($B39)-ROW($B$4),-1,1,1)+OFFSET(Forecast!$B86,0,COLUMN(AM$4)-COLUMN($C$4),1,1)</f>
        <v>0</v>
      </c>
      <c r="AN39" s="52">
        <f ca="1">OFFSET(AN$4,ROW($B39)-ROW($B$4),-1,1,1)+OFFSET(Forecast!$B86,0,COLUMN(AN$4)-COLUMN($C$4),1,1)</f>
        <v>0</v>
      </c>
      <c r="AO39" s="52">
        <f ca="1">OFFSET(AO$4,ROW($B39)-ROW($B$4),-1,1,1)+OFFSET(Forecast!$B86,0,COLUMN(AO$4)-COLUMN($C$4),1,1)</f>
        <v>0</v>
      </c>
      <c r="AP39" s="52">
        <f ca="1">OFFSET(AP$4,ROW($B39)-ROW($B$4),-1,1,1)+OFFSET(Forecast!$B86,0,COLUMN(AP$4)-COLUMN($C$4),1,1)</f>
        <v>0</v>
      </c>
      <c r="AQ39" s="52">
        <f ca="1">OFFSET(AQ$4,ROW($B39)-ROW($B$4),-1,1,1)+OFFSET(Forecast!$B86,0,COLUMN(AQ$4)-COLUMN($C$4),1,1)</f>
        <v>0</v>
      </c>
      <c r="AR39" s="52">
        <f ca="1">OFFSET(AR$4,ROW($B39)-ROW($B$4),-1,1,1)+OFFSET(Forecast!$B86,0,COLUMN(AR$4)-COLUMN($C$4),1,1)</f>
        <v>0</v>
      </c>
      <c r="AS39" s="52">
        <f ca="1">OFFSET(AS$4,ROW($B39)-ROW($B$4),-1,1,1)+OFFSET(Forecast!$B86,0,COLUMN(AS$4)-COLUMN($C$4),1,1)</f>
        <v>0</v>
      </c>
      <c r="AT39" s="52">
        <f ca="1">OFFSET(AT$4,ROW($B39)-ROW($B$4),-1,1,1)+OFFSET(Forecast!$B86,0,COLUMN(AT$4)-COLUMN($C$4),1,1)</f>
        <v>0</v>
      </c>
      <c r="AU39" s="52">
        <f ca="1">OFFSET(AU$4,ROW($B39)-ROW($B$4),-1,1,1)+OFFSET(Forecast!$B86,0,COLUMN(AU$4)-COLUMN($C$4),1,1)</f>
        <v>0</v>
      </c>
      <c r="AV39" s="52">
        <f ca="1">OFFSET(AV$4,ROW($B39)-ROW($B$4),-1,1,1)+OFFSET(Forecast!$B86,0,COLUMN(AV$4)-COLUMN($C$4),1,1)</f>
        <v>0</v>
      </c>
      <c r="AW39" s="52">
        <f ca="1">OFFSET(AW$4,ROW($B39)-ROW($B$4),-1,1,1)+OFFSET(Forecast!$B86,0,COLUMN(AW$4)-COLUMN($C$4),1,1)</f>
        <v>0</v>
      </c>
      <c r="AX39" s="52">
        <f ca="1">OFFSET(AX$4,ROW($B39)-ROW($B$4),-1,1,1)+OFFSET(Forecast!$B86,0,COLUMN(AX$4)-COLUMN($C$4),1,1)</f>
        <v>0</v>
      </c>
      <c r="AY39" s="52">
        <f ca="1">OFFSET(AY$4,ROW($B39)-ROW($B$4),-1,1,1)+OFFSET(Forecast!$B86,0,COLUMN(AY$4)-COLUMN($C$4),1,1)</f>
        <v>0</v>
      </c>
      <c r="AZ39" s="52">
        <f ca="1">OFFSET(AZ$4,ROW($B39)-ROW($B$4),-1,1,1)+OFFSET(Forecast!$B86,0,COLUMN(AZ$4)-COLUMN($C$4),1,1)</f>
        <v>0</v>
      </c>
      <c r="BA39" s="52">
        <f ca="1">OFFSET(BA$4,ROW($B39)-ROW($B$4),-1,1,1)+OFFSET(Forecast!$B86,0,COLUMN(BA$4)-COLUMN($C$4),1,1)</f>
        <v>0</v>
      </c>
      <c r="BB39" s="52">
        <f ca="1">OFFSET(BB$4,ROW($B39)-ROW($B$4),-1,1,1)+OFFSET(Forecast!$B86,0,COLUMN(BB$4)-COLUMN($C$4),1,1)</f>
        <v>0</v>
      </c>
      <c r="BC39" s="52">
        <f ca="1">OFFSET(BC$4,ROW($B39)-ROW($B$4),-1,1,1)+OFFSET(Forecast!$B86,0,COLUMN(BC$4)-COLUMN($C$4),1,1)</f>
        <v>30000</v>
      </c>
      <c r="BD39" s="53">
        <f ca="1">OFFSET($B39,0,Assumptions!$C$8+1,1,1)</f>
        <v>0</v>
      </c>
      <c r="BE39" s="53">
        <f ca="1">OFFSET($B39,0,SUM(Assumptions!$C$8:$C$9)+1,1,1)</f>
        <v>0</v>
      </c>
      <c r="BF39" s="53">
        <f ca="1">OFFSET($B39,0,SUM(Assumptions!$C$8:$C$10)+1,1,1)</f>
        <v>0</v>
      </c>
      <c r="BG39" s="53">
        <f ca="1">OFFSET($B39,0,SUM(Assumptions!$C$8:$C$11)+1,1,1)</f>
        <v>30000</v>
      </c>
      <c r="BH39" s="53">
        <f t="shared" ca="1" si="11"/>
        <v>30000</v>
      </c>
    </row>
    <row r="40" spans="1:60" ht="16.149999999999999" customHeight="1" thickBot="1" x14ac:dyDescent="0.35">
      <c r="C40" s="100">
        <f ca="1">SUM(C32:C39)</f>
        <v>263000</v>
      </c>
      <c r="D40" s="100">
        <f t="shared" ref="D40:BH40" ca="1" si="14">SUM(D32:D39)</f>
        <v>151798.5</v>
      </c>
      <c r="E40" s="100">
        <f t="shared" ca="1" si="14"/>
        <v>159548.842</v>
      </c>
      <c r="F40" s="100">
        <f t="shared" ca="1" si="14"/>
        <v>184464.36580952382</v>
      </c>
      <c r="G40" s="100">
        <f t="shared" ca="1" si="14"/>
        <v>188858.49342857141</v>
      </c>
      <c r="H40" s="100">
        <f t="shared" ca="1" si="14"/>
        <v>217497.31676190472</v>
      </c>
      <c r="I40" s="100">
        <f t="shared" ca="1" si="14"/>
        <v>203414.21193391326</v>
      </c>
      <c r="J40" s="100">
        <f t="shared" ca="1" si="14"/>
        <v>217697.38264819898</v>
      </c>
      <c r="K40" s="100">
        <f t="shared" ca="1" si="14"/>
        <v>225602.10407677043</v>
      </c>
      <c r="L40" s="100">
        <f t="shared" ca="1" si="14"/>
        <v>230682.52629749515</v>
      </c>
      <c r="M40" s="100">
        <f t="shared" ca="1" si="14"/>
        <v>212156.66172590066</v>
      </c>
      <c r="N40" s="100">
        <f t="shared" ca="1" si="14"/>
        <v>233866.21643039698</v>
      </c>
      <c r="O40" s="100">
        <f t="shared" ca="1" si="14"/>
        <v>250068.22881134937</v>
      </c>
      <c r="P40" s="100">
        <f t="shared" ca="1" si="14"/>
        <v>231833.30779511525</v>
      </c>
      <c r="Q40" s="100">
        <f t="shared" ca="1" si="14"/>
        <v>228313.32937642309</v>
      </c>
      <c r="R40" s="100">
        <f t="shared" ca="1" si="14"/>
        <v>245050.97565229156</v>
      </c>
      <c r="S40" s="100">
        <f t="shared" ca="1" si="14"/>
        <v>236468.66898562486</v>
      </c>
      <c r="T40" s="100">
        <f t="shared" ca="1" si="14"/>
        <v>247947.22969991056</v>
      </c>
      <c r="U40" s="100">
        <f t="shared" ca="1" si="14"/>
        <v>274142.8294901193</v>
      </c>
      <c r="V40" s="100">
        <f t="shared" ca="1" si="14"/>
        <v>267913.92345366912</v>
      </c>
      <c r="W40" s="100">
        <f t="shared" ca="1" si="14"/>
        <v>283984.82107271673</v>
      </c>
      <c r="X40" s="100">
        <f t="shared" ca="1" si="14"/>
        <v>237402.98178700244</v>
      </c>
      <c r="Y40" s="100">
        <f t="shared" ca="1" si="14"/>
        <v>257508.62783639811</v>
      </c>
      <c r="Z40" s="100">
        <f t="shared" ca="1" si="14"/>
        <v>249977.16558707831</v>
      </c>
      <c r="AA40" s="100">
        <f t="shared" ca="1" si="14"/>
        <v>285943.41121825948</v>
      </c>
      <c r="AB40" s="100">
        <f t="shared" ca="1" si="14"/>
        <v>300391.56407540233</v>
      </c>
      <c r="AC40" s="100">
        <f t="shared" ca="1" si="14"/>
        <v>255529.63214285715</v>
      </c>
      <c r="AD40" s="100">
        <f t="shared" ca="1" si="14"/>
        <v>236824.93638094357</v>
      </c>
      <c r="AE40" s="100">
        <f t="shared" ca="1" si="14"/>
        <v>236135.37905130611</v>
      </c>
      <c r="AF40" s="100">
        <f t="shared" ca="1" si="14"/>
        <v>242592.47905130609</v>
      </c>
      <c r="AG40" s="100">
        <f t="shared" ca="1" si="14"/>
        <v>208223.87333702034</v>
      </c>
      <c r="AH40" s="100">
        <f t="shared" ca="1" si="14"/>
        <v>230261.84121931921</v>
      </c>
      <c r="AI40" s="100">
        <f t="shared" ca="1" si="14"/>
        <v>230988.92322141427</v>
      </c>
      <c r="AJ40" s="100">
        <f t="shared" ca="1" si="14"/>
        <v>258032.61750712857</v>
      </c>
      <c r="AK40" s="100">
        <f t="shared" ca="1" si="14"/>
        <v>292362.16512617614</v>
      </c>
      <c r="AL40" s="100">
        <f t="shared" ca="1" si="14"/>
        <v>306763.21746991761</v>
      </c>
      <c r="AM40" s="100">
        <f t="shared" ca="1" si="14"/>
        <v>300133.06654431729</v>
      </c>
      <c r="AN40" s="100">
        <f t="shared" ca="1" si="14"/>
        <v>301499.17128181329</v>
      </c>
      <c r="AO40" s="100">
        <f t="shared" ca="1" si="14"/>
        <v>315742.53556752758</v>
      </c>
      <c r="AP40" s="100">
        <f t="shared" ca="1" si="14"/>
        <v>280701.45342467044</v>
      </c>
      <c r="AQ40" s="100">
        <f t="shared" ca="1" si="14"/>
        <v>294993.08157149906</v>
      </c>
      <c r="AR40" s="100">
        <f t="shared" ca="1" si="14"/>
        <v>267844.9306949692</v>
      </c>
      <c r="AS40" s="100">
        <f t="shared" ca="1" si="14"/>
        <v>247963.70212354057</v>
      </c>
      <c r="AT40" s="100">
        <f t="shared" ca="1" si="14"/>
        <v>240751.50593306439</v>
      </c>
      <c r="AU40" s="100">
        <f t="shared" ca="1" si="14"/>
        <v>241223.68214023218</v>
      </c>
      <c r="AV40" s="100">
        <f t="shared" ca="1" si="14"/>
        <v>211157.9257759233</v>
      </c>
      <c r="AW40" s="100">
        <f t="shared" ca="1" si="14"/>
        <v>232385.94755001878</v>
      </c>
      <c r="AX40" s="100">
        <f t="shared" ca="1" si="14"/>
        <v>272166.91421668552</v>
      </c>
      <c r="AY40" s="100">
        <f t="shared" ca="1" si="14"/>
        <v>261456.56820077618</v>
      </c>
      <c r="AZ40" s="100">
        <f t="shared" ca="1" si="14"/>
        <v>270397.56122927507</v>
      </c>
      <c r="BA40" s="100">
        <f t="shared" ca="1" si="14"/>
        <v>300171.90554636205</v>
      </c>
      <c r="BB40" s="100">
        <f t="shared" ca="1" si="14"/>
        <v>329748.73411779053</v>
      </c>
      <c r="BC40" s="100">
        <f t="shared" ca="1" si="14"/>
        <v>374270.65214285714</v>
      </c>
      <c r="BD40" s="57">
        <f t="shared" ca="1" si="14"/>
        <v>231833.30779511525</v>
      </c>
      <c r="BE40" s="57">
        <f t="shared" ca="1" si="14"/>
        <v>255529.63214285715</v>
      </c>
      <c r="BF40" s="57">
        <f t="shared" ca="1" si="14"/>
        <v>280701.45342467044</v>
      </c>
      <c r="BG40" s="57">
        <f t="shared" ca="1" si="14"/>
        <v>374270.65214285714</v>
      </c>
      <c r="BH40" s="57">
        <f t="shared" ca="1" si="14"/>
        <v>374270.65214285714</v>
      </c>
    </row>
    <row r="41" spans="1:60" s="10" customFormat="1" ht="16.149999999999999" customHeight="1" thickBot="1" x14ac:dyDescent="0.3">
      <c r="A41" s="294"/>
      <c r="B41" s="3" t="s">
        <v>115</v>
      </c>
      <c r="C41" s="103">
        <f ca="1">SUM(C24,C30,C40)</f>
        <v>2789000</v>
      </c>
      <c r="D41" s="103">
        <f t="shared" ref="D41:BH41" ca="1" si="15">SUM(D24,D30,D40)</f>
        <v>2676847.8197747869</v>
      </c>
      <c r="E41" s="103">
        <f t="shared" ca="1" si="15"/>
        <v>2698931.357656464</v>
      </c>
      <c r="F41" s="103">
        <f t="shared" ca="1" si="15"/>
        <v>2750390.8814659878</v>
      </c>
      <c r="G41" s="103">
        <f t="shared" ca="1" si="15"/>
        <v>2735829.8090850352</v>
      </c>
      <c r="H41" s="103">
        <f t="shared" ca="1" si="15"/>
        <v>2768872.7290048222</v>
      </c>
      <c r="I41" s="103">
        <f t="shared" ca="1" si="15"/>
        <v>2742076.2973755714</v>
      </c>
      <c r="J41" s="103">
        <f t="shared" ca="1" si="15"/>
        <v>2772001.1080898573</v>
      </c>
      <c r="K41" s="103">
        <f t="shared" ca="1" si="15"/>
        <v>2810631.829518429</v>
      </c>
      <c r="L41" s="103">
        <f t="shared" ca="1" si="15"/>
        <v>2768472.4765810724</v>
      </c>
      <c r="M41" s="103">
        <f t="shared" ca="1" si="15"/>
        <v>2748173.7915939544</v>
      </c>
      <c r="N41" s="103">
        <f t="shared" ca="1" si="15"/>
        <v>2793324.8270946792</v>
      </c>
      <c r="O41" s="103">
        <f t="shared" ca="1" si="15"/>
        <v>2843884.2794756317</v>
      </c>
      <c r="P41" s="103">
        <f t="shared" ca="1" si="15"/>
        <v>2767708.6927287518</v>
      </c>
      <c r="Q41" s="103">
        <f t="shared" ca="1" si="15"/>
        <v>2772724.2458368721</v>
      </c>
      <c r="R41" s="103">
        <f t="shared" ca="1" si="15"/>
        <v>2810691.0670518829</v>
      </c>
      <c r="S41" s="103">
        <f t="shared" ca="1" si="15"/>
        <v>2832309.4003852159</v>
      </c>
      <c r="T41" s="103">
        <f t="shared" ca="1" si="15"/>
        <v>2819446.5610995018</v>
      </c>
      <c r="U41" s="103">
        <f t="shared" ca="1" si="15"/>
        <v>2854112.0653050025</v>
      </c>
      <c r="V41" s="103">
        <f t="shared" ca="1" si="15"/>
        <v>2845406.4479614664</v>
      </c>
      <c r="W41" s="103">
        <f t="shared" ca="1" si="15"/>
        <v>2890070.9455805141</v>
      </c>
      <c r="X41" s="103">
        <f t="shared" ca="1" si="15"/>
        <v>2870103.9062948003</v>
      </c>
      <c r="Y41" s="103">
        <f t="shared" ca="1" si="15"/>
        <v>2851724.5271669677</v>
      </c>
      <c r="Z41" s="103">
        <f t="shared" ca="1" si="15"/>
        <v>2950944.2993227066</v>
      </c>
      <c r="AA41" s="103">
        <f t="shared" ca="1" si="15"/>
        <v>3004437.434823432</v>
      </c>
      <c r="AB41" s="103">
        <f t="shared" ca="1" si="15"/>
        <v>3054091.4276805748</v>
      </c>
      <c r="AC41" s="103">
        <f t="shared" ca="1" si="15"/>
        <v>2967713.5757480296</v>
      </c>
      <c r="AD41" s="103">
        <f t="shared" ca="1" si="15"/>
        <v>2949990.4596170364</v>
      </c>
      <c r="AE41" s="103">
        <f t="shared" ca="1" si="15"/>
        <v>2975137.0094034756</v>
      </c>
      <c r="AF41" s="103">
        <f t="shared" ca="1" si="15"/>
        <v>3019077.3094034754</v>
      </c>
      <c r="AG41" s="103">
        <f t="shared" ca="1" si="15"/>
        <v>3021719.2236891896</v>
      </c>
      <c r="AH41" s="103">
        <f t="shared" ca="1" si="15"/>
        <v>3006728.6511167432</v>
      </c>
      <c r="AI41" s="103">
        <f t="shared" ca="1" si="15"/>
        <v>3001605.2373446361</v>
      </c>
      <c r="AJ41" s="103">
        <f t="shared" ca="1" si="15"/>
        <v>3066384.8516303501</v>
      </c>
      <c r="AK41" s="103">
        <f t="shared" ca="1" si="15"/>
        <v>3127090.3992493977</v>
      </c>
      <c r="AL41" s="103">
        <f t="shared" ca="1" si="15"/>
        <v>3101420.9814388561</v>
      </c>
      <c r="AM41" s="103">
        <f t="shared" ca="1" si="15"/>
        <v>3102186.301213643</v>
      </c>
      <c r="AN41" s="103">
        <f t="shared" ca="1" si="15"/>
        <v>3134039.2581429393</v>
      </c>
      <c r="AO41" s="103">
        <f t="shared" ca="1" si="15"/>
        <v>3183350.2224286534</v>
      </c>
      <c r="AP41" s="103">
        <f t="shared" ca="1" si="15"/>
        <v>3110807.9402857963</v>
      </c>
      <c r="AQ41" s="103">
        <f t="shared" ca="1" si="15"/>
        <v>3139295.9422500413</v>
      </c>
      <c r="AR41" s="103">
        <f t="shared" ca="1" si="15"/>
        <v>3118335.9277507667</v>
      </c>
      <c r="AS41" s="103">
        <f t="shared" ca="1" si="15"/>
        <v>3115050.6991793378</v>
      </c>
      <c r="AT41" s="103">
        <f t="shared" ca="1" si="15"/>
        <v>3071538.0229888619</v>
      </c>
      <c r="AU41" s="103">
        <f t="shared" ca="1" si="15"/>
        <v>3062752.6247021295</v>
      </c>
      <c r="AV41" s="103">
        <f t="shared" ca="1" si="15"/>
        <v>3263480.2616197737</v>
      </c>
      <c r="AW41" s="103">
        <f t="shared" ca="1" si="15"/>
        <v>3302235.7092633555</v>
      </c>
      <c r="AX41" s="103">
        <f t="shared" ca="1" si="15"/>
        <v>3380714.2759300224</v>
      </c>
      <c r="AY41" s="103">
        <f t="shared" ca="1" si="15"/>
        <v>3326114.8276432902</v>
      </c>
      <c r="AZ41" s="103">
        <f t="shared" ca="1" si="15"/>
        <v>3343332.6555773104</v>
      </c>
      <c r="BA41" s="103">
        <f t="shared" ca="1" si="15"/>
        <v>3400751.9186970829</v>
      </c>
      <c r="BB41" s="103">
        <f t="shared" ca="1" si="15"/>
        <v>3457897.5472685113</v>
      </c>
      <c r="BC41" s="103">
        <f t="shared" ca="1" si="15"/>
        <v>3458881.065293578</v>
      </c>
      <c r="BD41" s="103">
        <f t="shared" ca="1" si="15"/>
        <v>2767708.6927287518</v>
      </c>
      <c r="BE41" s="103">
        <f t="shared" ca="1" si="15"/>
        <v>2967713.5757480296</v>
      </c>
      <c r="BF41" s="103">
        <f t="shared" ca="1" si="15"/>
        <v>3110807.9402857963</v>
      </c>
      <c r="BG41" s="103">
        <f t="shared" ca="1" si="15"/>
        <v>3458881.065293578</v>
      </c>
      <c r="BH41" s="103">
        <f t="shared" ca="1" si="15"/>
        <v>3458881.065293578</v>
      </c>
    </row>
    <row r="42" spans="1:60" s="113" customFormat="1" ht="16.149999999999999" customHeight="1" thickTop="1" x14ac:dyDescent="0.3">
      <c r="A42" s="296"/>
      <c r="B42" s="19"/>
      <c r="C42" s="111" t="str">
        <f ca="1">IF(ROUND(C18-C41,0)&lt;&gt;0,ROUND(C18-C41,0),"")</f>
        <v/>
      </c>
      <c r="D42" s="111" t="str">
        <f t="shared" ref="D42:BH42" ca="1" si="16">IF(ROUND(D18-D41,0)&lt;&gt;0,ROUND(D18-D41,0),"")</f>
        <v/>
      </c>
      <c r="E42" s="111" t="str">
        <f t="shared" ca="1" si="16"/>
        <v/>
      </c>
      <c r="F42" s="111" t="str">
        <f t="shared" ca="1" si="16"/>
        <v/>
      </c>
      <c r="G42" s="111" t="str">
        <f t="shared" ca="1" si="16"/>
        <v/>
      </c>
      <c r="H42" s="111" t="str">
        <f t="shared" ca="1" si="16"/>
        <v/>
      </c>
      <c r="I42" s="111" t="str">
        <f t="shared" ca="1" si="16"/>
        <v/>
      </c>
      <c r="J42" s="111" t="str">
        <f t="shared" ca="1" si="16"/>
        <v/>
      </c>
      <c r="K42" s="111" t="str">
        <f t="shared" ca="1" si="16"/>
        <v/>
      </c>
      <c r="L42" s="111" t="str">
        <f t="shared" ca="1" si="16"/>
        <v/>
      </c>
      <c r="M42" s="111" t="str">
        <f t="shared" ca="1" si="16"/>
        <v/>
      </c>
      <c r="N42" s="111" t="str">
        <f t="shared" ca="1" si="16"/>
        <v/>
      </c>
      <c r="O42" s="111" t="str">
        <f t="shared" ca="1" si="16"/>
        <v/>
      </c>
      <c r="P42" s="111" t="str">
        <f t="shared" ca="1" si="16"/>
        <v/>
      </c>
      <c r="Q42" s="111" t="str">
        <f t="shared" ca="1" si="16"/>
        <v/>
      </c>
      <c r="R42" s="111" t="str">
        <f t="shared" ca="1" si="16"/>
        <v/>
      </c>
      <c r="S42" s="111" t="str">
        <f t="shared" ca="1" si="16"/>
        <v/>
      </c>
      <c r="T42" s="111" t="str">
        <f t="shared" ca="1" si="16"/>
        <v/>
      </c>
      <c r="U42" s="111" t="str">
        <f t="shared" ca="1" si="16"/>
        <v/>
      </c>
      <c r="V42" s="111" t="str">
        <f t="shared" ca="1" si="16"/>
        <v/>
      </c>
      <c r="W42" s="111" t="str">
        <f t="shared" ca="1" si="16"/>
        <v/>
      </c>
      <c r="X42" s="111" t="str">
        <f t="shared" ca="1" si="16"/>
        <v/>
      </c>
      <c r="Y42" s="111" t="str">
        <f t="shared" ca="1" si="16"/>
        <v/>
      </c>
      <c r="Z42" s="111" t="str">
        <f t="shared" ca="1" si="16"/>
        <v/>
      </c>
      <c r="AA42" s="111" t="str">
        <f t="shared" ca="1" si="16"/>
        <v/>
      </c>
      <c r="AB42" s="111" t="str">
        <f t="shared" ca="1" si="16"/>
        <v/>
      </c>
      <c r="AC42" s="111" t="str">
        <f t="shared" ca="1" si="16"/>
        <v/>
      </c>
      <c r="AD42" s="111" t="str">
        <f t="shared" ca="1" si="16"/>
        <v/>
      </c>
      <c r="AE42" s="111" t="str">
        <f t="shared" ca="1" si="16"/>
        <v/>
      </c>
      <c r="AF42" s="111" t="str">
        <f t="shared" ca="1" si="16"/>
        <v/>
      </c>
      <c r="AG42" s="111" t="str">
        <f t="shared" ca="1" si="16"/>
        <v/>
      </c>
      <c r="AH42" s="111" t="str">
        <f t="shared" ca="1" si="16"/>
        <v/>
      </c>
      <c r="AI42" s="111" t="str">
        <f t="shared" ca="1" si="16"/>
        <v/>
      </c>
      <c r="AJ42" s="111" t="str">
        <f t="shared" ca="1" si="16"/>
        <v/>
      </c>
      <c r="AK42" s="111" t="str">
        <f t="shared" ca="1" si="16"/>
        <v/>
      </c>
      <c r="AL42" s="111" t="str">
        <f t="shared" ca="1" si="16"/>
        <v/>
      </c>
      <c r="AM42" s="111" t="str">
        <f t="shared" ca="1" si="16"/>
        <v/>
      </c>
      <c r="AN42" s="111" t="str">
        <f t="shared" ca="1" si="16"/>
        <v/>
      </c>
      <c r="AO42" s="111" t="str">
        <f t="shared" ca="1" si="16"/>
        <v/>
      </c>
      <c r="AP42" s="111" t="str">
        <f t="shared" ca="1" si="16"/>
        <v/>
      </c>
      <c r="AQ42" s="111" t="str">
        <f t="shared" ca="1" si="16"/>
        <v/>
      </c>
      <c r="AR42" s="111" t="str">
        <f t="shared" ca="1" si="16"/>
        <v/>
      </c>
      <c r="AS42" s="111" t="str">
        <f t="shared" ca="1" si="16"/>
        <v/>
      </c>
      <c r="AT42" s="111" t="str">
        <f t="shared" ca="1" si="16"/>
        <v/>
      </c>
      <c r="AU42" s="111" t="str">
        <f t="shared" ca="1" si="16"/>
        <v/>
      </c>
      <c r="AV42" s="111" t="str">
        <f t="shared" ca="1" si="16"/>
        <v/>
      </c>
      <c r="AW42" s="111" t="str">
        <f t="shared" ca="1" si="16"/>
        <v/>
      </c>
      <c r="AX42" s="111" t="str">
        <f t="shared" ca="1" si="16"/>
        <v/>
      </c>
      <c r="AY42" s="111" t="str">
        <f t="shared" ca="1" si="16"/>
        <v/>
      </c>
      <c r="AZ42" s="111" t="str">
        <f t="shared" ca="1" si="16"/>
        <v/>
      </c>
      <c r="BA42" s="111" t="str">
        <f t="shared" ca="1" si="16"/>
        <v/>
      </c>
      <c r="BB42" s="111" t="str">
        <f t="shared" ca="1" si="16"/>
        <v/>
      </c>
      <c r="BC42" s="111" t="str">
        <f t="shared" ca="1" si="16"/>
        <v/>
      </c>
      <c r="BD42" s="112" t="str">
        <f t="shared" ca="1" si="16"/>
        <v/>
      </c>
      <c r="BE42" s="112" t="str">
        <f t="shared" ca="1" si="16"/>
        <v/>
      </c>
      <c r="BF42" s="112" t="str">
        <f t="shared" ca="1" si="16"/>
        <v/>
      </c>
      <c r="BG42" s="112" t="str">
        <f t="shared" ca="1" si="16"/>
        <v/>
      </c>
      <c r="BH42" s="112" t="str">
        <f t="shared" ca="1" si="16"/>
        <v/>
      </c>
    </row>
    <row r="43" spans="1:60" s="20" customFormat="1" ht="16.149999999999999" customHeight="1" x14ac:dyDescent="0.25">
      <c r="A43" s="292"/>
      <c r="B43" s="6" t="s">
        <v>95</v>
      </c>
      <c r="C43" s="114"/>
      <c r="D43" s="114">
        <v>7</v>
      </c>
      <c r="E43" s="114">
        <v>7</v>
      </c>
      <c r="F43" s="114">
        <v>7</v>
      </c>
      <c r="G43" s="114">
        <v>7</v>
      </c>
      <c r="H43" s="114">
        <v>7</v>
      </c>
      <c r="I43" s="114">
        <v>7</v>
      </c>
      <c r="J43" s="114">
        <v>7</v>
      </c>
      <c r="K43" s="114">
        <v>7</v>
      </c>
      <c r="L43" s="114">
        <v>7</v>
      </c>
      <c r="M43" s="114">
        <v>7</v>
      </c>
      <c r="N43" s="114">
        <v>7</v>
      </c>
      <c r="O43" s="114">
        <v>7</v>
      </c>
      <c r="P43" s="114">
        <v>7</v>
      </c>
      <c r="Q43" s="114">
        <v>7</v>
      </c>
      <c r="R43" s="114">
        <v>7</v>
      </c>
      <c r="S43" s="114">
        <v>7</v>
      </c>
      <c r="T43" s="114">
        <v>7</v>
      </c>
      <c r="U43" s="114">
        <v>7</v>
      </c>
      <c r="V43" s="114">
        <v>7</v>
      </c>
      <c r="W43" s="114">
        <v>7</v>
      </c>
      <c r="X43" s="114">
        <v>7</v>
      </c>
      <c r="Y43" s="114">
        <v>7</v>
      </c>
      <c r="Z43" s="114">
        <v>7</v>
      </c>
      <c r="AA43" s="114">
        <v>7</v>
      </c>
      <c r="AB43" s="114">
        <v>7</v>
      </c>
      <c r="AC43" s="114">
        <v>7</v>
      </c>
      <c r="AD43" s="114">
        <v>7</v>
      </c>
      <c r="AE43" s="114">
        <v>7</v>
      </c>
      <c r="AF43" s="114">
        <v>7</v>
      </c>
      <c r="AG43" s="114">
        <v>7</v>
      </c>
      <c r="AH43" s="114">
        <v>7</v>
      </c>
      <c r="AI43" s="114">
        <v>7</v>
      </c>
      <c r="AJ43" s="114">
        <v>7</v>
      </c>
      <c r="AK43" s="114">
        <v>7</v>
      </c>
      <c r="AL43" s="114">
        <v>7</v>
      </c>
      <c r="AM43" s="114">
        <v>7</v>
      </c>
      <c r="AN43" s="114">
        <v>7</v>
      </c>
      <c r="AO43" s="114">
        <v>7</v>
      </c>
      <c r="AP43" s="114">
        <v>7</v>
      </c>
      <c r="AQ43" s="114">
        <v>7</v>
      </c>
      <c r="AR43" s="114">
        <v>7</v>
      </c>
      <c r="AS43" s="114">
        <v>7</v>
      </c>
      <c r="AT43" s="114">
        <v>7</v>
      </c>
      <c r="AU43" s="114">
        <v>7</v>
      </c>
      <c r="AV43" s="114">
        <v>7</v>
      </c>
      <c r="AW43" s="114">
        <v>7</v>
      </c>
      <c r="AX43" s="114">
        <v>7</v>
      </c>
      <c r="AY43" s="114">
        <v>7</v>
      </c>
      <c r="AZ43" s="114">
        <v>7</v>
      </c>
      <c r="BA43" s="114">
        <v>7</v>
      </c>
      <c r="BB43" s="114">
        <v>7</v>
      </c>
      <c r="BC43" s="114">
        <v>7</v>
      </c>
      <c r="BD43" s="115">
        <f ca="1">SUM(OFFSET($B43,0,2,1,Assumptions!$C$8))</f>
        <v>91</v>
      </c>
      <c r="BE43" s="115">
        <f ca="1">SUM(OFFSET($B43,0,Assumptions!$C$8+1,1,SUM(Assumptions!$C$9)))</f>
        <v>91</v>
      </c>
      <c r="BF43" s="115">
        <f ca="1">SUM(OFFSET($B43,0,SUM(Assumptions!$C$8:$C$9)+1,1,SUM(Assumptions!$C$10)))</f>
        <v>91</v>
      </c>
      <c r="BG43" s="115">
        <f ca="1">SUM(OFFSET($B43,0,SUM(Assumptions!$C$8:$C$10)+1,1,SUM(Assumptions!$C$11)))</f>
        <v>91</v>
      </c>
      <c r="BH43" s="115">
        <f ca="1">SUM(BD43:BG43)</f>
        <v>364</v>
      </c>
    </row>
    <row r="44" spans="1:60" ht="16.149999999999999" customHeight="1" x14ac:dyDescent="0.3">
      <c r="J44" s="17"/>
      <c r="K44" s="17"/>
      <c r="L44" s="17"/>
      <c r="M44" s="17"/>
      <c r="N44" s="17"/>
      <c r="O44" s="17"/>
      <c r="P44" s="17"/>
    </row>
    <row r="45" spans="1:60" s="116" customFormat="1" ht="16.149999999999999" customHeight="1" x14ac:dyDescent="0.25">
      <c r="A45" s="292"/>
      <c r="B45" s="290" t="str">
        <f>IF(ISBLANK(Assumptions!$C$4),"Example Limited",Assumptions!$C$4)</f>
        <v>Example (Pty) Limited</v>
      </c>
      <c r="C45" s="4"/>
      <c r="D45" s="17"/>
      <c r="E45" s="17"/>
      <c r="F45" s="17"/>
      <c r="G45" s="17"/>
      <c r="H45" s="17"/>
      <c r="I45" s="17"/>
      <c r="J45" s="2"/>
      <c r="K45" s="2"/>
      <c r="L45" s="2"/>
      <c r="M45" s="2"/>
      <c r="N45" s="2"/>
      <c r="O45" s="2"/>
      <c r="P45" s="2"/>
      <c r="Q45" s="95"/>
      <c r="R45" s="2"/>
      <c r="S45" s="2"/>
      <c r="T45" s="2"/>
      <c r="U45" s="2"/>
      <c r="V45" s="2"/>
      <c r="W45" s="2"/>
      <c r="X45" s="2"/>
      <c r="Y45" s="2"/>
      <c r="Z45" s="2"/>
      <c r="AA45" s="2"/>
      <c r="AB45" s="2"/>
      <c r="AC45" s="2"/>
      <c r="AD45" s="95"/>
      <c r="AE45" s="2"/>
      <c r="AF45" s="2"/>
      <c r="AG45" s="2"/>
      <c r="AH45" s="2"/>
      <c r="AI45" s="2"/>
      <c r="AJ45" s="2"/>
      <c r="AK45" s="2"/>
      <c r="AL45" s="2"/>
      <c r="AM45" s="2"/>
      <c r="AN45" s="2"/>
      <c r="AO45" s="2"/>
      <c r="AP45" s="2"/>
      <c r="AQ45" s="95"/>
      <c r="AR45" s="2"/>
      <c r="AS45" s="2"/>
      <c r="AT45" s="2"/>
      <c r="AU45" s="2"/>
      <c r="AV45" s="2"/>
      <c r="AW45" s="2"/>
      <c r="AX45" s="2"/>
      <c r="AY45" s="2"/>
      <c r="AZ45" s="2"/>
      <c r="BA45" s="2"/>
      <c r="BB45" s="2"/>
      <c r="BC45" s="2"/>
      <c r="BD45" s="10"/>
      <c r="BE45" s="10"/>
      <c r="BF45" s="10"/>
      <c r="BG45" s="10"/>
      <c r="BH45" s="10"/>
    </row>
    <row r="46" spans="1:60" ht="16.149999999999999" customHeight="1" x14ac:dyDescent="0.3">
      <c r="B46" s="6" t="s">
        <v>103</v>
      </c>
      <c r="C46" s="4"/>
    </row>
    <row r="47" spans="1:60" ht="16.149999999999999" customHeight="1" x14ac:dyDescent="0.3">
      <c r="B47" s="73"/>
      <c r="C47" s="25" t="s">
        <v>94</v>
      </c>
      <c r="D47" s="25" t="str">
        <f>IF(COLUMN(D48)-2&lt;=Assumptions!$C$8,"Q1",IF(COLUMN(D48)-2&lt;=SUM(Assumptions!$C$8:$C$9),"Q2",IF(COLUMN(D48)-2&lt;=SUM(Assumptions!$C$8:$C$10),"Q3","Q4")))</f>
        <v>Q1</v>
      </c>
      <c r="E47" s="25" t="str">
        <f>IF(COLUMN(E48)-2&lt;=Assumptions!$C$8,"Q1",IF(COLUMN(E48)-2&lt;=SUM(Assumptions!$C$8:$C$9),"Q2",IF(COLUMN(E48)-2&lt;=SUM(Assumptions!$C$8:$C$10),"Q3","Q4")))</f>
        <v>Q1</v>
      </c>
      <c r="F47" s="25" t="str">
        <f>IF(COLUMN(F48)-2&lt;=Assumptions!$C$8,"Q1",IF(COLUMN(F48)-2&lt;=SUM(Assumptions!$C$8:$C$9),"Q2",IF(COLUMN(F48)-2&lt;=SUM(Assumptions!$C$8:$C$10),"Q3","Q4")))</f>
        <v>Q1</v>
      </c>
      <c r="G47" s="25" t="str">
        <f>IF(COLUMN(G48)-2&lt;=Assumptions!$C$8,"Q1",IF(COLUMN(G48)-2&lt;=SUM(Assumptions!$C$8:$C$9),"Q2",IF(COLUMN(G48)-2&lt;=SUM(Assumptions!$C$8:$C$10),"Q3","Q4")))</f>
        <v>Q1</v>
      </c>
      <c r="H47" s="25" t="str">
        <f>IF(COLUMN(H48)-2&lt;=Assumptions!$C$8,"Q1",IF(COLUMN(H48)-2&lt;=SUM(Assumptions!$C$8:$C$9),"Q2",IF(COLUMN(H48)-2&lt;=SUM(Assumptions!$C$8:$C$10),"Q3","Q4")))</f>
        <v>Q1</v>
      </c>
      <c r="I47" s="25" t="str">
        <f>IF(COLUMN(I48)-2&lt;=Assumptions!$C$8,"Q1",IF(COLUMN(I48)-2&lt;=SUM(Assumptions!$C$8:$C$9),"Q2",IF(COLUMN(I48)-2&lt;=SUM(Assumptions!$C$8:$C$10),"Q3","Q4")))</f>
        <v>Q1</v>
      </c>
      <c r="J47" s="25" t="str">
        <f>IF(COLUMN(J48)-2&lt;=Assumptions!$C$8,"Q1",IF(COLUMN(J48)-2&lt;=SUM(Assumptions!$C$8:$C$9),"Q2",IF(COLUMN(J48)-2&lt;=SUM(Assumptions!$C$8:$C$10),"Q3","Q4")))</f>
        <v>Q1</v>
      </c>
      <c r="K47" s="25" t="str">
        <f>IF(COLUMN(K48)-2&lt;=Assumptions!$C$8,"Q1",IF(COLUMN(K48)-2&lt;=SUM(Assumptions!$C$8:$C$9),"Q2",IF(COLUMN(K48)-2&lt;=SUM(Assumptions!$C$8:$C$10),"Q3","Q4")))</f>
        <v>Q1</v>
      </c>
      <c r="L47" s="25" t="str">
        <f>IF(COLUMN(L48)-2&lt;=Assumptions!$C$8,"Q1",IF(COLUMN(L48)-2&lt;=SUM(Assumptions!$C$8:$C$9),"Q2",IF(COLUMN(L48)-2&lt;=SUM(Assumptions!$C$8:$C$10),"Q3","Q4")))</f>
        <v>Q1</v>
      </c>
      <c r="M47" s="25" t="str">
        <f>IF(COLUMN(M48)-2&lt;=Assumptions!$C$8,"Q1",IF(COLUMN(M48)-2&lt;=SUM(Assumptions!$C$8:$C$9),"Q2",IF(COLUMN(M48)-2&lt;=SUM(Assumptions!$C$8:$C$10),"Q3","Q4")))</f>
        <v>Q1</v>
      </c>
      <c r="N47" s="25" t="str">
        <f>IF(COLUMN(N48)-2&lt;=Assumptions!$C$8,"Q1",IF(COLUMN(N48)-2&lt;=SUM(Assumptions!$C$8:$C$9),"Q2",IF(COLUMN(N48)-2&lt;=SUM(Assumptions!$C$8:$C$10),"Q3","Q4")))</f>
        <v>Q1</v>
      </c>
      <c r="O47" s="25" t="str">
        <f>IF(COLUMN(O48)-2&lt;=Assumptions!$C$8,"Q1",IF(COLUMN(O48)-2&lt;=SUM(Assumptions!$C$8:$C$9),"Q2",IF(COLUMN(O48)-2&lt;=SUM(Assumptions!$C$8:$C$10),"Q3","Q4")))</f>
        <v>Q1</v>
      </c>
      <c r="P47" s="25" t="str">
        <f>IF(COLUMN(P48)-2&lt;=Assumptions!$C$8,"Q1",IF(COLUMN(P48)-2&lt;=SUM(Assumptions!$C$8:$C$9),"Q2",IF(COLUMN(P48)-2&lt;=SUM(Assumptions!$C$8:$C$10),"Q3","Q4")))</f>
        <v>Q2</v>
      </c>
      <c r="Q47" s="25" t="str">
        <f>IF(COLUMN(Q48)-2&lt;=Assumptions!$C$8,"Q1",IF(COLUMN(Q48)-2&lt;=SUM(Assumptions!$C$8:$C$9),"Q2",IF(COLUMN(Q48)-2&lt;=SUM(Assumptions!$C$8:$C$10),"Q3","Q4")))</f>
        <v>Q2</v>
      </c>
      <c r="R47" s="25" t="str">
        <f>IF(COLUMN(R48)-2&lt;=Assumptions!$C$8,"Q1",IF(COLUMN(R48)-2&lt;=SUM(Assumptions!$C$8:$C$9),"Q2",IF(COLUMN(R48)-2&lt;=SUM(Assumptions!$C$8:$C$10),"Q3","Q4")))</f>
        <v>Q2</v>
      </c>
      <c r="S47" s="25" t="str">
        <f>IF(COLUMN(S48)-2&lt;=Assumptions!$C$8,"Q1",IF(COLUMN(S48)-2&lt;=SUM(Assumptions!$C$8:$C$9),"Q2",IF(COLUMN(S48)-2&lt;=SUM(Assumptions!$C$8:$C$10),"Q3","Q4")))</f>
        <v>Q2</v>
      </c>
      <c r="T47" s="25" t="str">
        <f>IF(COLUMN(T48)-2&lt;=Assumptions!$C$8,"Q1",IF(COLUMN(T48)-2&lt;=SUM(Assumptions!$C$8:$C$9),"Q2",IF(COLUMN(T48)-2&lt;=SUM(Assumptions!$C$8:$C$10),"Q3","Q4")))</f>
        <v>Q2</v>
      </c>
      <c r="U47" s="25" t="str">
        <f>IF(COLUMN(U48)-2&lt;=Assumptions!$C$8,"Q1",IF(COLUMN(U48)-2&lt;=SUM(Assumptions!$C$8:$C$9),"Q2",IF(COLUMN(U48)-2&lt;=SUM(Assumptions!$C$8:$C$10),"Q3","Q4")))</f>
        <v>Q2</v>
      </c>
      <c r="V47" s="25" t="str">
        <f>IF(COLUMN(V48)-2&lt;=Assumptions!$C$8,"Q1",IF(COLUMN(V48)-2&lt;=SUM(Assumptions!$C$8:$C$9),"Q2",IF(COLUMN(V48)-2&lt;=SUM(Assumptions!$C$8:$C$10),"Q3","Q4")))</f>
        <v>Q2</v>
      </c>
      <c r="W47" s="25" t="str">
        <f>IF(COLUMN(W48)-2&lt;=Assumptions!$C$8,"Q1",IF(COLUMN(W48)-2&lt;=SUM(Assumptions!$C$8:$C$9),"Q2",IF(COLUMN(W48)-2&lt;=SUM(Assumptions!$C$8:$C$10),"Q3","Q4")))</f>
        <v>Q2</v>
      </c>
      <c r="X47" s="25" t="str">
        <f>IF(COLUMN(X48)-2&lt;=Assumptions!$C$8,"Q1",IF(COLUMN(X48)-2&lt;=SUM(Assumptions!$C$8:$C$9),"Q2",IF(COLUMN(X48)-2&lt;=SUM(Assumptions!$C$8:$C$10),"Q3","Q4")))</f>
        <v>Q2</v>
      </c>
      <c r="Y47" s="25" t="str">
        <f>IF(COLUMN(Y48)-2&lt;=Assumptions!$C$8,"Q1",IF(COLUMN(Y48)-2&lt;=SUM(Assumptions!$C$8:$C$9),"Q2",IF(COLUMN(Y48)-2&lt;=SUM(Assumptions!$C$8:$C$10),"Q3","Q4")))</f>
        <v>Q2</v>
      </c>
      <c r="Z47" s="25" t="str">
        <f>IF(COLUMN(Z48)-2&lt;=Assumptions!$C$8,"Q1",IF(COLUMN(Z48)-2&lt;=SUM(Assumptions!$C$8:$C$9),"Q2",IF(COLUMN(Z48)-2&lt;=SUM(Assumptions!$C$8:$C$10),"Q3","Q4")))</f>
        <v>Q2</v>
      </c>
      <c r="AA47" s="25" t="str">
        <f>IF(COLUMN(AA48)-2&lt;=Assumptions!$C$8,"Q1",IF(COLUMN(AA48)-2&lt;=SUM(Assumptions!$C$8:$C$9),"Q2",IF(COLUMN(AA48)-2&lt;=SUM(Assumptions!$C$8:$C$10),"Q3","Q4")))</f>
        <v>Q2</v>
      </c>
      <c r="AB47" s="25" t="str">
        <f>IF(COLUMN(AB48)-2&lt;=Assumptions!$C$8,"Q1",IF(COLUMN(AB48)-2&lt;=SUM(Assumptions!$C$8:$C$9),"Q2",IF(COLUMN(AB48)-2&lt;=SUM(Assumptions!$C$8:$C$10),"Q3","Q4")))</f>
        <v>Q2</v>
      </c>
      <c r="AC47" s="25" t="str">
        <f>IF(COLUMN(AC48)-2&lt;=Assumptions!$C$8,"Q1",IF(COLUMN(AC48)-2&lt;=SUM(Assumptions!$C$8:$C$9),"Q2",IF(COLUMN(AC48)-2&lt;=SUM(Assumptions!$C$8:$C$10),"Q3","Q4")))</f>
        <v>Q3</v>
      </c>
      <c r="AD47" s="25" t="str">
        <f>IF(COLUMN(AD48)-2&lt;=Assumptions!$C$8,"Q1",IF(COLUMN(AD48)-2&lt;=SUM(Assumptions!$C$8:$C$9),"Q2",IF(COLUMN(AD48)-2&lt;=SUM(Assumptions!$C$8:$C$10),"Q3","Q4")))</f>
        <v>Q3</v>
      </c>
      <c r="AE47" s="25" t="str">
        <f>IF(COLUMN(AE48)-2&lt;=Assumptions!$C$8,"Q1",IF(COLUMN(AE48)-2&lt;=SUM(Assumptions!$C$8:$C$9),"Q2",IF(COLUMN(AE48)-2&lt;=SUM(Assumptions!$C$8:$C$10),"Q3","Q4")))</f>
        <v>Q3</v>
      </c>
      <c r="AF47" s="25" t="str">
        <f>IF(COLUMN(AF48)-2&lt;=Assumptions!$C$8,"Q1",IF(COLUMN(AF48)-2&lt;=SUM(Assumptions!$C$8:$C$9),"Q2",IF(COLUMN(AF48)-2&lt;=SUM(Assumptions!$C$8:$C$10),"Q3","Q4")))</f>
        <v>Q3</v>
      </c>
      <c r="AG47" s="25" t="str">
        <f>IF(COLUMN(AG48)-2&lt;=Assumptions!$C$8,"Q1",IF(COLUMN(AG48)-2&lt;=SUM(Assumptions!$C$8:$C$9),"Q2",IF(COLUMN(AG48)-2&lt;=SUM(Assumptions!$C$8:$C$10),"Q3","Q4")))</f>
        <v>Q3</v>
      </c>
      <c r="AH47" s="25" t="str">
        <f>IF(COLUMN(AH48)-2&lt;=Assumptions!$C$8,"Q1",IF(COLUMN(AH48)-2&lt;=SUM(Assumptions!$C$8:$C$9),"Q2",IF(COLUMN(AH48)-2&lt;=SUM(Assumptions!$C$8:$C$10),"Q3","Q4")))</f>
        <v>Q3</v>
      </c>
      <c r="AI47" s="25" t="str">
        <f>IF(COLUMN(AI48)-2&lt;=Assumptions!$C$8,"Q1",IF(COLUMN(AI48)-2&lt;=SUM(Assumptions!$C$8:$C$9),"Q2",IF(COLUMN(AI48)-2&lt;=SUM(Assumptions!$C$8:$C$10),"Q3","Q4")))</f>
        <v>Q3</v>
      </c>
      <c r="AJ47" s="25" t="str">
        <f>IF(COLUMN(AJ48)-2&lt;=Assumptions!$C$8,"Q1",IF(COLUMN(AJ48)-2&lt;=SUM(Assumptions!$C$8:$C$9),"Q2",IF(COLUMN(AJ48)-2&lt;=SUM(Assumptions!$C$8:$C$10),"Q3","Q4")))</f>
        <v>Q3</v>
      </c>
      <c r="AK47" s="25" t="str">
        <f>IF(COLUMN(AK48)-2&lt;=Assumptions!$C$8,"Q1",IF(COLUMN(AK48)-2&lt;=SUM(Assumptions!$C$8:$C$9),"Q2",IF(COLUMN(AK48)-2&lt;=SUM(Assumptions!$C$8:$C$10),"Q3","Q4")))</f>
        <v>Q3</v>
      </c>
      <c r="AL47" s="25" t="str">
        <f>IF(COLUMN(AL48)-2&lt;=Assumptions!$C$8,"Q1",IF(COLUMN(AL48)-2&lt;=SUM(Assumptions!$C$8:$C$9),"Q2",IF(COLUMN(AL48)-2&lt;=SUM(Assumptions!$C$8:$C$10),"Q3","Q4")))</f>
        <v>Q3</v>
      </c>
      <c r="AM47" s="25" t="str">
        <f>IF(COLUMN(AM48)-2&lt;=Assumptions!$C$8,"Q1",IF(COLUMN(AM48)-2&lt;=SUM(Assumptions!$C$8:$C$9),"Q2",IF(COLUMN(AM48)-2&lt;=SUM(Assumptions!$C$8:$C$10),"Q3","Q4")))</f>
        <v>Q3</v>
      </c>
      <c r="AN47" s="25" t="str">
        <f>IF(COLUMN(AN48)-2&lt;=Assumptions!$C$8,"Q1",IF(COLUMN(AN48)-2&lt;=SUM(Assumptions!$C$8:$C$9),"Q2",IF(COLUMN(AN48)-2&lt;=SUM(Assumptions!$C$8:$C$10),"Q3","Q4")))</f>
        <v>Q3</v>
      </c>
      <c r="AO47" s="25" t="str">
        <f>IF(COLUMN(AO48)-2&lt;=Assumptions!$C$8,"Q1",IF(COLUMN(AO48)-2&lt;=SUM(Assumptions!$C$8:$C$9),"Q2",IF(COLUMN(AO48)-2&lt;=SUM(Assumptions!$C$8:$C$10),"Q3","Q4")))</f>
        <v>Q3</v>
      </c>
      <c r="AP47" s="25" t="str">
        <f>IF(COLUMN(AP48)-2&lt;=Assumptions!$C$8,"Q1",IF(COLUMN(AP48)-2&lt;=SUM(Assumptions!$C$8:$C$9),"Q2",IF(COLUMN(AP48)-2&lt;=SUM(Assumptions!$C$8:$C$10),"Q3","Q4")))</f>
        <v>Q4</v>
      </c>
      <c r="AQ47" s="25" t="str">
        <f>IF(COLUMN(AQ48)-2&lt;=Assumptions!$C$8,"Q1",IF(COLUMN(AQ48)-2&lt;=SUM(Assumptions!$C$8:$C$9),"Q2",IF(COLUMN(AQ48)-2&lt;=SUM(Assumptions!$C$8:$C$10),"Q3","Q4")))</f>
        <v>Q4</v>
      </c>
      <c r="AR47" s="25" t="str">
        <f>IF(COLUMN(AR48)-2&lt;=Assumptions!$C$8,"Q1",IF(COLUMN(AR48)-2&lt;=SUM(Assumptions!$C$8:$C$9),"Q2",IF(COLUMN(AR48)-2&lt;=SUM(Assumptions!$C$8:$C$10),"Q3","Q4")))</f>
        <v>Q4</v>
      </c>
      <c r="AS47" s="25" t="str">
        <f>IF(COLUMN(AS48)-2&lt;=Assumptions!$C$8,"Q1",IF(COLUMN(AS48)-2&lt;=SUM(Assumptions!$C$8:$C$9),"Q2",IF(COLUMN(AS48)-2&lt;=SUM(Assumptions!$C$8:$C$10),"Q3","Q4")))</f>
        <v>Q4</v>
      </c>
      <c r="AT47" s="25" t="str">
        <f>IF(COLUMN(AT48)-2&lt;=Assumptions!$C$8,"Q1",IF(COLUMN(AT48)-2&lt;=SUM(Assumptions!$C$8:$C$9),"Q2",IF(COLUMN(AT48)-2&lt;=SUM(Assumptions!$C$8:$C$10),"Q3","Q4")))</f>
        <v>Q4</v>
      </c>
      <c r="AU47" s="25" t="str">
        <f>IF(COLUMN(AU48)-2&lt;=Assumptions!$C$8,"Q1",IF(COLUMN(AU48)-2&lt;=SUM(Assumptions!$C$8:$C$9),"Q2",IF(COLUMN(AU48)-2&lt;=SUM(Assumptions!$C$8:$C$10),"Q3","Q4")))</f>
        <v>Q4</v>
      </c>
      <c r="AV47" s="25" t="str">
        <f>IF(COLUMN(AV48)-2&lt;=Assumptions!$C$8,"Q1",IF(COLUMN(AV48)-2&lt;=SUM(Assumptions!$C$8:$C$9),"Q2",IF(COLUMN(AV48)-2&lt;=SUM(Assumptions!$C$8:$C$10),"Q3","Q4")))</f>
        <v>Q4</v>
      </c>
      <c r="AW47" s="25" t="str">
        <f>IF(COLUMN(AW48)-2&lt;=Assumptions!$C$8,"Q1",IF(COLUMN(AW48)-2&lt;=SUM(Assumptions!$C$8:$C$9),"Q2",IF(COLUMN(AW48)-2&lt;=SUM(Assumptions!$C$8:$C$10),"Q3","Q4")))</f>
        <v>Q4</v>
      </c>
      <c r="AX47" s="25" t="str">
        <f>IF(COLUMN(AX48)-2&lt;=Assumptions!$C$8,"Q1",IF(COLUMN(AX48)-2&lt;=SUM(Assumptions!$C$8:$C$9),"Q2",IF(COLUMN(AX48)-2&lt;=SUM(Assumptions!$C$8:$C$10),"Q3","Q4")))</f>
        <v>Q4</v>
      </c>
      <c r="AY47" s="25" t="str">
        <f>IF(COLUMN(AY48)-2&lt;=Assumptions!$C$8,"Q1",IF(COLUMN(AY48)-2&lt;=SUM(Assumptions!$C$8:$C$9),"Q2",IF(COLUMN(AY48)-2&lt;=SUM(Assumptions!$C$8:$C$10),"Q3","Q4")))</f>
        <v>Q4</v>
      </c>
      <c r="AZ47" s="25" t="str">
        <f>IF(COLUMN(AZ48)-2&lt;=Assumptions!$C$8,"Q1",IF(COLUMN(AZ48)-2&lt;=SUM(Assumptions!$C$8:$C$9),"Q2",IF(COLUMN(AZ48)-2&lt;=SUM(Assumptions!$C$8:$C$10),"Q3","Q4")))</f>
        <v>Q4</v>
      </c>
      <c r="BA47" s="25" t="str">
        <f>IF(COLUMN(BA48)-2&lt;=Assumptions!$C$8,"Q1",IF(COLUMN(BA48)-2&lt;=SUM(Assumptions!$C$8:$C$9),"Q2",IF(COLUMN(BA48)-2&lt;=SUM(Assumptions!$C$8:$C$10),"Q3","Q4")))</f>
        <v>Q4</v>
      </c>
      <c r="BB47" s="25" t="str">
        <f>IF(COLUMN(BB48)-2&lt;=Assumptions!$C$8,"Q1",IF(COLUMN(BB48)-2&lt;=SUM(Assumptions!$C$8:$C$9),"Q2",IF(COLUMN(BB48)-2&lt;=SUM(Assumptions!$C$8:$C$10),"Q3","Q4")))</f>
        <v>Q4</v>
      </c>
      <c r="BC47" s="25" t="str">
        <f>IF(COLUMN(BC48)-2&lt;=Assumptions!$C$8,"Q1",IF(COLUMN(BC48)-2&lt;=SUM(Assumptions!$C$8:$C$9),"Q2",IF(COLUMN(BC48)-2&lt;=SUM(Assumptions!$C$8:$C$10),"Q3","Q4")))</f>
        <v>Q4</v>
      </c>
      <c r="BD47" s="39" t="s">
        <v>90</v>
      </c>
      <c r="BE47" s="39" t="s">
        <v>91</v>
      </c>
      <c r="BF47" s="39" t="s">
        <v>92</v>
      </c>
      <c r="BG47" s="39" t="s">
        <v>93</v>
      </c>
      <c r="BH47" s="39"/>
    </row>
    <row r="48" spans="1:60" ht="18" customHeight="1" x14ac:dyDescent="0.3">
      <c r="B48" s="42"/>
      <c r="C48" s="96">
        <f ca="1">IF(ISBLANK(Assumptions!$C$5)=TRUE,DATE(YEAR(TODAY()),MONTH(TODAY()),0),DATE(YEAR(Assumptions!$C$5),MONTH(Assumptions!$C$5),DAY(Assumptions!$C$5)-1))</f>
        <v>43890</v>
      </c>
      <c r="D48" s="117">
        <f ca="1">IF(ISBLANK(Assumptions!$C$5)=TRUE,DATE(YEAR(TODAY()),MONTH(TODAY()),7),DATE(YEAR(Assumptions!$C$5),MONTH(Assumptions!$C$5),DAY(Assumptions!$C$5)+6))</f>
        <v>43897</v>
      </c>
      <c r="E48" s="117">
        <f t="shared" ref="E48:BC48" ca="1" si="17">DATE(YEAR(OFFSET(E47,1,-1,1,1)),MONTH(OFFSET(E47,1,-1,1,1)),DAY(OFFSET(E47,1,-1,1,1))+7)</f>
        <v>43904</v>
      </c>
      <c r="F48" s="117">
        <f t="shared" ca="1" si="17"/>
        <v>43911</v>
      </c>
      <c r="G48" s="117">
        <f t="shared" ca="1" si="17"/>
        <v>43918</v>
      </c>
      <c r="H48" s="117">
        <f t="shared" ca="1" si="17"/>
        <v>43925</v>
      </c>
      <c r="I48" s="117">
        <f t="shared" ca="1" si="17"/>
        <v>43932</v>
      </c>
      <c r="J48" s="117">
        <f t="shared" ca="1" si="17"/>
        <v>43939</v>
      </c>
      <c r="K48" s="117">
        <f t="shared" ca="1" si="17"/>
        <v>43946</v>
      </c>
      <c r="L48" s="117">
        <f t="shared" ca="1" si="17"/>
        <v>43953</v>
      </c>
      <c r="M48" s="117">
        <f t="shared" ca="1" si="17"/>
        <v>43960</v>
      </c>
      <c r="N48" s="117">
        <f t="shared" ca="1" si="17"/>
        <v>43967</v>
      </c>
      <c r="O48" s="117">
        <f t="shared" ca="1" si="17"/>
        <v>43974</v>
      </c>
      <c r="P48" s="117">
        <f t="shared" ca="1" si="17"/>
        <v>43981</v>
      </c>
      <c r="Q48" s="117">
        <f t="shared" ca="1" si="17"/>
        <v>43988</v>
      </c>
      <c r="R48" s="117">
        <f t="shared" ca="1" si="17"/>
        <v>43995</v>
      </c>
      <c r="S48" s="117">
        <f t="shared" ca="1" si="17"/>
        <v>44002</v>
      </c>
      <c r="T48" s="117">
        <f t="shared" ca="1" si="17"/>
        <v>44009</v>
      </c>
      <c r="U48" s="117">
        <f t="shared" ca="1" si="17"/>
        <v>44016</v>
      </c>
      <c r="V48" s="117">
        <f t="shared" ca="1" si="17"/>
        <v>44023</v>
      </c>
      <c r="W48" s="117">
        <f t="shared" ca="1" si="17"/>
        <v>44030</v>
      </c>
      <c r="X48" s="117">
        <f t="shared" ca="1" si="17"/>
        <v>44037</v>
      </c>
      <c r="Y48" s="117">
        <f t="shared" ca="1" si="17"/>
        <v>44044</v>
      </c>
      <c r="Z48" s="117">
        <f t="shared" ca="1" si="17"/>
        <v>44051</v>
      </c>
      <c r="AA48" s="117">
        <f t="shared" ca="1" si="17"/>
        <v>44058</v>
      </c>
      <c r="AB48" s="117">
        <f t="shared" ca="1" si="17"/>
        <v>44065</v>
      </c>
      <c r="AC48" s="117">
        <f t="shared" ca="1" si="17"/>
        <v>44072</v>
      </c>
      <c r="AD48" s="117">
        <f t="shared" ca="1" si="17"/>
        <v>44079</v>
      </c>
      <c r="AE48" s="117">
        <f t="shared" ca="1" si="17"/>
        <v>44086</v>
      </c>
      <c r="AF48" s="117">
        <f t="shared" ca="1" si="17"/>
        <v>44093</v>
      </c>
      <c r="AG48" s="117">
        <f t="shared" ca="1" si="17"/>
        <v>44100</v>
      </c>
      <c r="AH48" s="117">
        <f t="shared" ca="1" si="17"/>
        <v>44107</v>
      </c>
      <c r="AI48" s="117">
        <f t="shared" ca="1" si="17"/>
        <v>44114</v>
      </c>
      <c r="AJ48" s="117">
        <f t="shared" ca="1" si="17"/>
        <v>44121</v>
      </c>
      <c r="AK48" s="117">
        <f t="shared" ca="1" si="17"/>
        <v>44128</v>
      </c>
      <c r="AL48" s="117">
        <f t="shared" ca="1" si="17"/>
        <v>44135</v>
      </c>
      <c r="AM48" s="117">
        <f t="shared" ca="1" si="17"/>
        <v>44142</v>
      </c>
      <c r="AN48" s="117">
        <f t="shared" ca="1" si="17"/>
        <v>44149</v>
      </c>
      <c r="AO48" s="117">
        <f t="shared" ca="1" si="17"/>
        <v>44156</v>
      </c>
      <c r="AP48" s="117">
        <f t="shared" ca="1" si="17"/>
        <v>44163</v>
      </c>
      <c r="AQ48" s="117">
        <f t="shared" ca="1" si="17"/>
        <v>44170</v>
      </c>
      <c r="AR48" s="117">
        <f t="shared" ca="1" si="17"/>
        <v>44177</v>
      </c>
      <c r="AS48" s="117">
        <f t="shared" ca="1" si="17"/>
        <v>44184</v>
      </c>
      <c r="AT48" s="117">
        <f t="shared" ca="1" si="17"/>
        <v>44191</v>
      </c>
      <c r="AU48" s="117">
        <f t="shared" ca="1" si="17"/>
        <v>44198</v>
      </c>
      <c r="AV48" s="117">
        <f t="shared" ca="1" si="17"/>
        <v>44205</v>
      </c>
      <c r="AW48" s="117">
        <f t="shared" ca="1" si="17"/>
        <v>44212</v>
      </c>
      <c r="AX48" s="117">
        <f t="shared" ca="1" si="17"/>
        <v>44219</v>
      </c>
      <c r="AY48" s="117">
        <f t="shared" ca="1" si="17"/>
        <v>44226</v>
      </c>
      <c r="AZ48" s="117">
        <f t="shared" ca="1" si="17"/>
        <v>44233</v>
      </c>
      <c r="BA48" s="117">
        <f t="shared" ca="1" si="17"/>
        <v>44240</v>
      </c>
      <c r="BB48" s="117">
        <f t="shared" ca="1" si="17"/>
        <v>44247</v>
      </c>
      <c r="BC48" s="117">
        <f t="shared" ca="1" si="17"/>
        <v>44254</v>
      </c>
      <c r="BD48" s="44" t="s">
        <v>76</v>
      </c>
      <c r="BE48" s="44" t="s">
        <v>77</v>
      </c>
      <c r="BF48" s="44" t="s">
        <v>78</v>
      </c>
      <c r="BG48" s="44" t="s">
        <v>79</v>
      </c>
      <c r="BH48" s="44" t="str">
        <f ca="1">"Total "&amp;YEAR(OFFSET($BD$4,0,-1,1,1))</f>
        <v>Total 2021</v>
      </c>
    </row>
    <row r="49" spans="1:60" s="119" customFormat="1" ht="16.149999999999999" customHeight="1" x14ac:dyDescent="0.25">
      <c r="A49" s="294"/>
      <c r="B49" s="3" t="s">
        <v>235</v>
      </c>
      <c r="C49" s="49"/>
      <c r="D49" s="118"/>
      <c r="E49" s="49"/>
      <c r="F49" s="49"/>
      <c r="G49" s="49"/>
      <c r="H49" s="49"/>
      <c r="I49" s="49"/>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row>
    <row r="50" spans="1:60" s="119" customFormat="1" ht="16.149999999999999" customHeight="1" x14ac:dyDescent="0.25">
      <c r="A50" s="297"/>
      <c r="B50" s="3" t="s">
        <v>236</v>
      </c>
      <c r="C50" s="53"/>
      <c r="D50" s="120"/>
      <c r="E50" s="53"/>
      <c r="F50" s="53"/>
      <c r="G50" s="53"/>
      <c r="H50" s="53"/>
      <c r="I50" s="53"/>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row>
    <row r="51" spans="1:60" ht="16.149999999999999" customHeight="1" x14ac:dyDescent="0.3">
      <c r="A51" s="298" t="s">
        <v>137</v>
      </c>
      <c r="B51" s="12" t="s">
        <v>48</v>
      </c>
      <c r="C51" s="51">
        <f ca="1">SUMIF(Assumptions!$A$81:$C$104,$A51,Assumptions!$C$81:$C$104)</f>
        <v>1050000</v>
      </c>
      <c r="D51" s="121">
        <v>1050000</v>
      </c>
      <c r="E51" s="52">
        <v>1050000</v>
      </c>
      <c r="F51" s="52">
        <v>1050000</v>
      </c>
      <c r="G51" s="52">
        <v>1050000</v>
      </c>
      <c r="H51" s="52">
        <v>1035000</v>
      </c>
      <c r="I51" s="52">
        <v>1035000</v>
      </c>
      <c r="J51" s="52">
        <v>1035000</v>
      </c>
      <c r="K51" s="52">
        <v>1035000</v>
      </c>
      <c r="L51" s="52">
        <v>1020000</v>
      </c>
      <c r="M51" s="52">
        <v>1020000</v>
      </c>
      <c r="N51" s="52">
        <v>1020000</v>
      </c>
      <c r="O51" s="52">
        <v>1020000</v>
      </c>
      <c r="P51" s="52">
        <v>1005000</v>
      </c>
      <c r="Q51" s="52">
        <v>1005000</v>
      </c>
      <c r="R51" s="52">
        <v>1005000</v>
      </c>
      <c r="S51" s="52">
        <v>1005000</v>
      </c>
      <c r="T51" s="52">
        <v>1005000</v>
      </c>
      <c r="U51" s="52">
        <v>990000</v>
      </c>
      <c r="V51" s="52">
        <v>990000</v>
      </c>
      <c r="W51" s="52">
        <v>990000</v>
      </c>
      <c r="X51" s="52">
        <v>990000</v>
      </c>
      <c r="Y51" s="52">
        <v>975000</v>
      </c>
      <c r="Z51" s="52">
        <v>975000</v>
      </c>
      <c r="AA51" s="52">
        <v>975000</v>
      </c>
      <c r="AB51" s="52">
        <v>975000</v>
      </c>
      <c r="AC51" s="52">
        <v>960000</v>
      </c>
      <c r="AD51" s="52">
        <v>960000</v>
      </c>
      <c r="AE51" s="52">
        <v>960000</v>
      </c>
      <c r="AF51" s="52">
        <v>960000</v>
      </c>
      <c r="AG51" s="52">
        <v>960000</v>
      </c>
      <c r="AH51" s="52">
        <v>945000</v>
      </c>
      <c r="AI51" s="52">
        <v>945000</v>
      </c>
      <c r="AJ51" s="52">
        <v>945000</v>
      </c>
      <c r="AK51" s="52">
        <v>945000</v>
      </c>
      <c r="AL51" s="52">
        <v>930000</v>
      </c>
      <c r="AM51" s="52">
        <v>930000</v>
      </c>
      <c r="AN51" s="52">
        <v>930000</v>
      </c>
      <c r="AO51" s="52">
        <v>930000</v>
      </c>
      <c r="AP51" s="52">
        <v>915000</v>
      </c>
      <c r="AQ51" s="52">
        <v>915000</v>
      </c>
      <c r="AR51" s="52">
        <v>915000</v>
      </c>
      <c r="AS51" s="52">
        <v>915000</v>
      </c>
      <c r="AT51" s="52">
        <v>915000</v>
      </c>
      <c r="AU51" s="52">
        <v>900000</v>
      </c>
      <c r="AV51" s="52">
        <v>900000</v>
      </c>
      <c r="AW51" s="52">
        <v>900000</v>
      </c>
      <c r="AX51" s="52">
        <v>900000</v>
      </c>
      <c r="AY51" s="52">
        <v>885000</v>
      </c>
      <c r="AZ51" s="52">
        <v>1135000</v>
      </c>
      <c r="BA51" s="52">
        <v>1135000</v>
      </c>
      <c r="BB51" s="52">
        <v>1135000</v>
      </c>
      <c r="BC51" s="52">
        <v>1115000</v>
      </c>
      <c r="BD51" s="53">
        <f ca="1">OFFSET($B51,0,Assumptions!$C$8+1,1,1)</f>
        <v>1005000</v>
      </c>
      <c r="BE51" s="53">
        <f ca="1">OFFSET($B51,0,SUM(Assumptions!$C$8:$C$9)+1,1,1)</f>
        <v>960000</v>
      </c>
      <c r="BF51" s="53">
        <f ca="1">OFFSET($B51,0,SUM(Assumptions!$C$8:$C$10)+1,1,1)</f>
        <v>915000</v>
      </c>
      <c r="BG51" s="53">
        <f ca="1">OFFSET($B51,0,SUM(Assumptions!$C$8:$C$11)+1,1,1)</f>
        <v>1115000</v>
      </c>
      <c r="BH51" s="53">
        <f ca="1">BG51</f>
        <v>1115000</v>
      </c>
    </row>
    <row r="52" spans="1:60" ht="16.149999999999999" customHeight="1" x14ac:dyDescent="0.3">
      <c r="A52" s="298" t="s">
        <v>138</v>
      </c>
      <c r="B52" s="12" t="s">
        <v>175</v>
      </c>
      <c r="C52" s="51">
        <f ca="1">SUMIF(Assumptions!$A$81:$C$104,$A52,Assumptions!$C$81:$C$104)</f>
        <v>120000</v>
      </c>
      <c r="D52" s="121">
        <v>120000</v>
      </c>
      <c r="E52" s="52">
        <v>120000</v>
      </c>
      <c r="F52" s="52">
        <v>120000</v>
      </c>
      <c r="G52" s="52">
        <v>120000</v>
      </c>
      <c r="H52" s="52">
        <v>119000</v>
      </c>
      <c r="I52" s="52">
        <v>119000</v>
      </c>
      <c r="J52" s="52">
        <v>119000</v>
      </c>
      <c r="K52" s="52">
        <v>119000</v>
      </c>
      <c r="L52" s="52">
        <v>118000</v>
      </c>
      <c r="M52" s="52">
        <v>118000</v>
      </c>
      <c r="N52" s="52">
        <v>118000</v>
      </c>
      <c r="O52" s="52">
        <v>118000</v>
      </c>
      <c r="P52" s="52">
        <v>117000</v>
      </c>
      <c r="Q52" s="52">
        <v>117000</v>
      </c>
      <c r="R52" s="52">
        <v>117000</v>
      </c>
      <c r="S52" s="52">
        <v>117000</v>
      </c>
      <c r="T52" s="52">
        <v>117000</v>
      </c>
      <c r="U52" s="52">
        <v>116000</v>
      </c>
      <c r="V52" s="52">
        <v>116000</v>
      </c>
      <c r="W52" s="52">
        <v>116000</v>
      </c>
      <c r="X52" s="52">
        <v>116000</v>
      </c>
      <c r="Y52" s="52">
        <v>115000</v>
      </c>
      <c r="Z52" s="52">
        <v>115000</v>
      </c>
      <c r="AA52" s="52">
        <v>115000</v>
      </c>
      <c r="AB52" s="52">
        <v>115000</v>
      </c>
      <c r="AC52" s="52">
        <v>114000</v>
      </c>
      <c r="AD52" s="52">
        <v>114000</v>
      </c>
      <c r="AE52" s="52">
        <v>114000</v>
      </c>
      <c r="AF52" s="52">
        <v>114000</v>
      </c>
      <c r="AG52" s="52">
        <v>114000</v>
      </c>
      <c r="AH52" s="52">
        <v>113000</v>
      </c>
      <c r="AI52" s="52">
        <v>113000</v>
      </c>
      <c r="AJ52" s="52">
        <v>113000</v>
      </c>
      <c r="AK52" s="52">
        <v>113000</v>
      </c>
      <c r="AL52" s="52">
        <v>112000</v>
      </c>
      <c r="AM52" s="52">
        <v>112000</v>
      </c>
      <c r="AN52" s="52">
        <v>112000</v>
      </c>
      <c r="AO52" s="52">
        <v>112000</v>
      </c>
      <c r="AP52" s="52">
        <v>111000</v>
      </c>
      <c r="AQ52" s="52">
        <v>111000</v>
      </c>
      <c r="AR52" s="52">
        <v>111000</v>
      </c>
      <c r="AS52" s="52">
        <v>111000</v>
      </c>
      <c r="AT52" s="52">
        <v>111000</v>
      </c>
      <c r="AU52" s="52">
        <v>110000</v>
      </c>
      <c r="AV52" s="52">
        <v>110000</v>
      </c>
      <c r="AW52" s="52">
        <v>110000</v>
      </c>
      <c r="AX52" s="52">
        <v>110000</v>
      </c>
      <c r="AY52" s="52">
        <v>109000</v>
      </c>
      <c r="AZ52" s="52">
        <v>109000</v>
      </c>
      <c r="BA52" s="52">
        <v>109000</v>
      </c>
      <c r="BB52" s="52">
        <v>109000</v>
      </c>
      <c r="BC52" s="52">
        <v>108000</v>
      </c>
      <c r="BD52" s="53">
        <f ca="1">OFFSET($B52,0,Assumptions!$C$8+1,1,1)</f>
        <v>117000</v>
      </c>
      <c r="BE52" s="53">
        <f ca="1">OFFSET($B52,0,SUM(Assumptions!$C$8:$C$9)+1,1,1)</f>
        <v>114000</v>
      </c>
      <c r="BF52" s="53">
        <f ca="1">OFFSET($B52,0,SUM(Assumptions!$C$8:$C$10)+1,1,1)</f>
        <v>111000</v>
      </c>
      <c r="BG52" s="53">
        <f ca="1">OFFSET($B52,0,SUM(Assumptions!$C$8:$C$11)+1,1,1)</f>
        <v>108000</v>
      </c>
      <c r="BH52" s="53">
        <f t="shared" ref="BH52:BH53" ca="1" si="18">BG52</f>
        <v>108000</v>
      </c>
    </row>
    <row r="53" spans="1:60" ht="16.149999999999999" customHeight="1" x14ac:dyDescent="0.3">
      <c r="A53" s="298" t="s">
        <v>140</v>
      </c>
      <c r="B53" s="12" t="s">
        <v>176</v>
      </c>
      <c r="C53" s="122">
        <f ca="1">SUMIF(Assumptions!$A$81:$C$104,$A53,Assumptions!$C$81:$C$104)</f>
        <v>800000</v>
      </c>
      <c r="D53" s="121">
        <v>800000</v>
      </c>
      <c r="E53" s="52">
        <v>800000</v>
      </c>
      <c r="F53" s="52">
        <v>800000</v>
      </c>
      <c r="G53" s="52">
        <v>800000</v>
      </c>
      <c r="H53" s="52">
        <v>800000</v>
      </c>
      <c r="I53" s="52">
        <v>800000</v>
      </c>
      <c r="J53" s="52">
        <v>800000</v>
      </c>
      <c r="K53" s="52">
        <v>800000</v>
      </c>
      <c r="L53" s="52">
        <v>800000</v>
      </c>
      <c r="M53" s="52">
        <v>800000</v>
      </c>
      <c r="N53" s="52">
        <v>800000</v>
      </c>
      <c r="O53" s="52">
        <v>800000</v>
      </c>
      <c r="P53" s="52">
        <v>800000</v>
      </c>
      <c r="Q53" s="52">
        <v>800000</v>
      </c>
      <c r="R53" s="52">
        <v>800000</v>
      </c>
      <c r="S53" s="52">
        <v>800000</v>
      </c>
      <c r="T53" s="52">
        <v>800000</v>
      </c>
      <c r="U53" s="52">
        <v>800000</v>
      </c>
      <c r="V53" s="52">
        <v>800000</v>
      </c>
      <c r="W53" s="52">
        <v>800000</v>
      </c>
      <c r="X53" s="52">
        <v>800000</v>
      </c>
      <c r="Y53" s="52">
        <v>800000</v>
      </c>
      <c r="Z53" s="52">
        <v>800000</v>
      </c>
      <c r="AA53" s="52">
        <v>800000</v>
      </c>
      <c r="AB53" s="52">
        <v>800000</v>
      </c>
      <c r="AC53" s="52">
        <v>800000</v>
      </c>
      <c r="AD53" s="52">
        <v>800000</v>
      </c>
      <c r="AE53" s="52">
        <v>800000</v>
      </c>
      <c r="AF53" s="52">
        <v>800000</v>
      </c>
      <c r="AG53" s="52">
        <v>800000</v>
      </c>
      <c r="AH53" s="52">
        <v>800000</v>
      </c>
      <c r="AI53" s="52">
        <v>800000</v>
      </c>
      <c r="AJ53" s="52">
        <v>800000</v>
      </c>
      <c r="AK53" s="52">
        <v>800000</v>
      </c>
      <c r="AL53" s="52">
        <v>800000</v>
      </c>
      <c r="AM53" s="52">
        <v>800000</v>
      </c>
      <c r="AN53" s="52">
        <v>800000</v>
      </c>
      <c r="AO53" s="52">
        <v>800000</v>
      </c>
      <c r="AP53" s="52">
        <v>800000</v>
      </c>
      <c r="AQ53" s="52">
        <v>800000</v>
      </c>
      <c r="AR53" s="52">
        <v>800000</v>
      </c>
      <c r="AS53" s="52">
        <v>800000</v>
      </c>
      <c r="AT53" s="52">
        <v>800000</v>
      </c>
      <c r="AU53" s="52">
        <v>800000</v>
      </c>
      <c r="AV53" s="52">
        <v>800000</v>
      </c>
      <c r="AW53" s="52">
        <v>800000</v>
      </c>
      <c r="AX53" s="52">
        <v>800000</v>
      </c>
      <c r="AY53" s="52">
        <v>800000</v>
      </c>
      <c r="AZ53" s="52">
        <v>800000</v>
      </c>
      <c r="BA53" s="52">
        <v>800000</v>
      </c>
      <c r="BB53" s="52">
        <v>800000</v>
      </c>
      <c r="BC53" s="52">
        <v>800000</v>
      </c>
      <c r="BD53" s="53">
        <f ca="1">OFFSET($B53,0,Assumptions!$C$8+1,1,1)</f>
        <v>800000</v>
      </c>
      <c r="BE53" s="53">
        <f ca="1">OFFSET($B53,0,SUM(Assumptions!$C$8:$C$9)+1,1,1)</f>
        <v>800000</v>
      </c>
      <c r="BF53" s="53">
        <f ca="1">OFFSET($B53,0,SUM(Assumptions!$C$8:$C$10)+1,1,1)</f>
        <v>800000</v>
      </c>
      <c r="BG53" s="53">
        <f ca="1">OFFSET($B53,0,SUM(Assumptions!$C$8:$C$11)+1,1,1)</f>
        <v>800000</v>
      </c>
      <c r="BH53" s="53">
        <f t="shared" ca="1" si="18"/>
        <v>800000</v>
      </c>
    </row>
    <row r="54" spans="1:60" s="125" customFormat="1" ht="16.149999999999999" customHeight="1" thickBot="1" x14ac:dyDescent="0.35">
      <c r="A54" s="298"/>
      <c r="B54" s="123"/>
      <c r="C54" s="124">
        <f ca="1">SUM(C51:C53)</f>
        <v>1970000</v>
      </c>
      <c r="D54" s="124">
        <f t="shared" ref="D54:BH54" si="19">SUM(D51:D53)</f>
        <v>1970000</v>
      </c>
      <c r="E54" s="124">
        <f t="shared" si="19"/>
        <v>1970000</v>
      </c>
      <c r="F54" s="124">
        <f t="shared" si="19"/>
        <v>1970000</v>
      </c>
      <c r="G54" s="124">
        <f t="shared" si="19"/>
        <v>1970000</v>
      </c>
      <c r="H54" s="124">
        <f t="shared" si="19"/>
        <v>1954000</v>
      </c>
      <c r="I54" s="124">
        <f t="shared" si="19"/>
        <v>1954000</v>
      </c>
      <c r="J54" s="124">
        <f t="shared" si="19"/>
        <v>1954000</v>
      </c>
      <c r="K54" s="124">
        <f t="shared" si="19"/>
        <v>1954000</v>
      </c>
      <c r="L54" s="124">
        <f t="shared" si="19"/>
        <v>1938000</v>
      </c>
      <c r="M54" s="124">
        <f t="shared" si="19"/>
        <v>1938000</v>
      </c>
      <c r="N54" s="124">
        <f t="shared" si="19"/>
        <v>1938000</v>
      </c>
      <c r="O54" s="124">
        <f t="shared" si="19"/>
        <v>1938000</v>
      </c>
      <c r="P54" s="124">
        <f t="shared" si="19"/>
        <v>1922000</v>
      </c>
      <c r="Q54" s="124">
        <f t="shared" si="19"/>
        <v>1922000</v>
      </c>
      <c r="R54" s="124">
        <f t="shared" si="19"/>
        <v>1922000</v>
      </c>
      <c r="S54" s="124">
        <f t="shared" si="19"/>
        <v>1922000</v>
      </c>
      <c r="T54" s="124">
        <f t="shared" si="19"/>
        <v>1922000</v>
      </c>
      <c r="U54" s="124">
        <f t="shared" si="19"/>
        <v>1906000</v>
      </c>
      <c r="V54" s="124">
        <f t="shared" si="19"/>
        <v>1906000</v>
      </c>
      <c r="W54" s="124">
        <f t="shared" si="19"/>
        <v>1906000</v>
      </c>
      <c r="X54" s="124">
        <f t="shared" si="19"/>
        <v>1906000</v>
      </c>
      <c r="Y54" s="124">
        <f t="shared" si="19"/>
        <v>1890000</v>
      </c>
      <c r="Z54" s="124">
        <f t="shared" si="19"/>
        <v>1890000</v>
      </c>
      <c r="AA54" s="124">
        <f t="shared" si="19"/>
        <v>1890000</v>
      </c>
      <c r="AB54" s="124">
        <f t="shared" si="19"/>
        <v>1890000</v>
      </c>
      <c r="AC54" s="124">
        <f t="shared" si="19"/>
        <v>1874000</v>
      </c>
      <c r="AD54" s="124">
        <f t="shared" si="19"/>
        <v>1874000</v>
      </c>
      <c r="AE54" s="124">
        <f t="shared" si="19"/>
        <v>1874000</v>
      </c>
      <c r="AF54" s="124">
        <f t="shared" si="19"/>
        <v>1874000</v>
      </c>
      <c r="AG54" s="124">
        <f t="shared" si="19"/>
        <v>1874000</v>
      </c>
      <c r="AH54" s="124">
        <f t="shared" si="19"/>
        <v>1858000</v>
      </c>
      <c r="AI54" s="124">
        <f t="shared" si="19"/>
        <v>1858000</v>
      </c>
      <c r="AJ54" s="124">
        <f t="shared" si="19"/>
        <v>1858000</v>
      </c>
      <c r="AK54" s="124">
        <f t="shared" si="19"/>
        <v>1858000</v>
      </c>
      <c r="AL54" s="124">
        <f t="shared" si="19"/>
        <v>1842000</v>
      </c>
      <c r="AM54" s="124">
        <f t="shared" si="19"/>
        <v>1842000</v>
      </c>
      <c r="AN54" s="124">
        <f t="shared" si="19"/>
        <v>1842000</v>
      </c>
      <c r="AO54" s="124">
        <f t="shared" si="19"/>
        <v>1842000</v>
      </c>
      <c r="AP54" s="124">
        <f t="shared" si="19"/>
        <v>1826000</v>
      </c>
      <c r="AQ54" s="124">
        <f t="shared" si="19"/>
        <v>1826000</v>
      </c>
      <c r="AR54" s="124">
        <f t="shared" si="19"/>
        <v>1826000</v>
      </c>
      <c r="AS54" s="124">
        <f t="shared" si="19"/>
        <v>1826000</v>
      </c>
      <c r="AT54" s="124">
        <f t="shared" si="19"/>
        <v>1826000</v>
      </c>
      <c r="AU54" s="124">
        <f t="shared" si="19"/>
        <v>1810000</v>
      </c>
      <c r="AV54" s="124">
        <f t="shared" si="19"/>
        <v>1810000</v>
      </c>
      <c r="AW54" s="124">
        <f t="shared" si="19"/>
        <v>1810000</v>
      </c>
      <c r="AX54" s="124">
        <f t="shared" si="19"/>
        <v>1810000</v>
      </c>
      <c r="AY54" s="124">
        <f t="shared" si="19"/>
        <v>1794000</v>
      </c>
      <c r="AZ54" s="124">
        <f t="shared" si="19"/>
        <v>2044000</v>
      </c>
      <c r="BA54" s="124">
        <f t="shared" si="19"/>
        <v>2044000</v>
      </c>
      <c r="BB54" s="124">
        <f t="shared" si="19"/>
        <v>2044000</v>
      </c>
      <c r="BC54" s="124">
        <f t="shared" si="19"/>
        <v>2023000</v>
      </c>
      <c r="BD54" s="55">
        <f t="shared" ca="1" si="19"/>
        <v>1922000</v>
      </c>
      <c r="BE54" s="55">
        <f t="shared" ca="1" si="19"/>
        <v>1874000</v>
      </c>
      <c r="BF54" s="55">
        <f t="shared" ca="1" si="19"/>
        <v>1826000</v>
      </c>
      <c r="BG54" s="55">
        <f t="shared" ca="1" si="19"/>
        <v>2023000</v>
      </c>
      <c r="BH54" s="55">
        <f t="shared" ca="1" si="19"/>
        <v>2023000</v>
      </c>
    </row>
    <row r="55" spans="1:60" s="10" customFormat="1" ht="16.149999999999999" customHeight="1" x14ac:dyDescent="0.25">
      <c r="A55" s="297"/>
      <c r="B55" s="101" t="s">
        <v>34</v>
      </c>
      <c r="C55" s="53"/>
      <c r="D55" s="126"/>
      <c r="E55" s="53"/>
      <c r="F55" s="53"/>
      <c r="G55" s="53"/>
      <c r="H55" s="53"/>
      <c r="I55" s="53"/>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row>
    <row r="56" spans="1:60" ht="16.149999999999999" customHeight="1" x14ac:dyDescent="0.3">
      <c r="A56" s="298" t="s">
        <v>177</v>
      </c>
      <c r="B56" s="31" t="s">
        <v>25</v>
      </c>
      <c r="C56" s="51">
        <f ca="1">SUMIF(Assumptions!$A$81:$C$104,$A56,Assumptions!$C$81:$C$104)</f>
        <v>170000</v>
      </c>
      <c r="D56" s="127">
        <v>170000</v>
      </c>
      <c r="E56" s="52">
        <v>168000</v>
      </c>
      <c r="F56" s="52">
        <v>170000</v>
      </c>
      <c r="G56" s="52">
        <v>172000</v>
      </c>
      <c r="H56" s="52">
        <v>175000</v>
      </c>
      <c r="I56" s="52">
        <v>181000</v>
      </c>
      <c r="J56" s="52">
        <v>175000</v>
      </c>
      <c r="K56" s="52">
        <v>173000</v>
      </c>
      <c r="L56" s="52">
        <v>174500</v>
      </c>
      <c r="M56" s="52">
        <v>181000</v>
      </c>
      <c r="N56" s="52">
        <v>186000</v>
      </c>
      <c r="O56" s="52">
        <v>186500</v>
      </c>
      <c r="P56" s="52">
        <v>180700</v>
      </c>
      <c r="Q56" s="52">
        <v>183900</v>
      </c>
      <c r="R56" s="52">
        <v>185000</v>
      </c>
      <c r="S56" s="52">
        <v>188300</v>
      </c>
      <c r="T56" s="52">
        <v>189500</v>
      </c>
      <c r="U56" s="52">
        <v>185600</v>
      </c>
      <c r="V56" s="52">
        <v>185500</v>
      </c>
      <c r="W56" s="52">
        <v>190000</v>
      </c>
      <c r="X56" s="52">
        <v>192200</v>
      </c>
      <c r="Y56" s="52">
        <v>195000</v>
      </c>
      <c r="Z56" s="52">
        <v>192600</v>
      </c>
      <c r="AA56" s="52">
        <v>195200</v>
      </c>
      <c r="AB56" s="52">
        <v>195620</v>
      </c>
      <c r="AC56" s="52">
        <v>198400</v>
      </c>
      <c r="AD56" s="52">
        <v>195300</v>
      </c>
      <c r="AE56" s="52">
        <v>195500</v>
      </c>
      <c r="AF56" s="52">
        <v>200000</v>
      </c>
      <c r="AG56" s="52">
        <v>206670</v>
      </c>
      <c r="AH56" s="52">
        <v>217000</v>
      </c>
      <c r="AI56" s="52">
        <v>225000</v>
      </c>
      <c r="AJ56" s="52">
        <v>224200</v>
      </c>
      <c r="AK56" s="52">
        <v>221900</v>
      </c>
      <c r="AL56" s="52">
        <v>219000</v>
      </c>
      <c r="AM56" s="52">
        <v>218000</v>
      </c>
      <c r="AN56" s="52">
        <v>221400</v>
      </c>
      <c r="AO56" s="52">
        <v>220700</v>
      </c>
      <c r="AP56" s="52">
        <v>212620</v>
      </c>
      <c r="AQ56" s="52">
        <v>205820</v>
      </c>
      <c r="AR56" s="52">
        <v>193200</v>
      </c>
      <c r="AS56" s="52">
        <v>178700</v>
      </c>
      <c r="AT56" s="52">
        <v>163500</v>
      </c>
      <c r="AU56" s="52">
        <v>144000</v>
      </c>
      <c r="AV56" s="52">
        <v>127000</v>
      </c>
      <c r="AW56" s="52">
        <v>139000</v>
      </c>
      <c r="AX56" s="52">
        <v>165000</v>
      </c>
      <c r="AY56" s="52">
        <v>196000</v>
      </c>
      <c r="AZ56" s="52">
        <v>222000</v>
      </c>
      <c r="BA56" s="52">
        <v>230000</v>
      </c>
      <c r="BB56" s="52">
        <v>225600</v>
      </c>
      <c r="BC56" s="52">
        <v>223700</v>
      </c>
      <c r="BD56" s="53">
        <f ca="1">OFFSET($B56,0,Assumptions!$C$8+1,1,1)</f>
        <v>180700</v>
      </c>
      <c r="BE56" s="53">
        <f ca="1">OFFSET($B56,0,SUM(Assumptions!$C$8:$C$9)+1,1,1)</f>
        <v>198400</v>
      </c>
      <c r="BF56" s="53">
        <f ca="1">OFFSET($B56,0,SUM(Assumptions!$C$8:$C$10)+1,1,1)</f>
        <v>212620</v>
      </c>
      <c r="BG56" s="53">
        <f ca="1">OFFSET($B56,0,SUM(Assumptions!$C$8:$C$11)+1,1,1)</f>
        <v>223700</v>
      </c>
      <c r="BH56" s="53">
        <f ca="1">BG56</f>
        <v>223700</v>
      </c>
    </row>
    <row r="57" spans="1:60" ht="16.149999999999999" customHeight="1" x14ac:dyDescent="0.3">
      <c r="A57" s="298" t="s">
        <v>178</v>
      </c>
      <c r="B57" s="31" t="s">
        <v>179</v>
      </c>
      <c r="C57" s="51">
        <f ca="1">SUMIF(Assumptions!$A$81:$C$104,$A57,Assumptions!$C$81:$C$104)</f>
        <v>370000</v>
      </c>
      <c r="D57" s="127">
        <v>310700</v>
      </c>
      <c r="E57" s="102">
        <v>314300</v>
      </c>
      <c r="F57" s="102">
        <v>326800</v>
      </c>
      <c r="G57" s="102">
        <v>327900</v>
      </c>
      <c r="H57" s="102">
        <v>327900</v>
      </c>
      <c r="I57" s="102">
        <v>337100</v>
      </c>
      <c r="J57" s="102">
        <v>334200</v>
      </c>
      <c r="K57" s="102">
        <v>332000</v>
      </c>
      <c r="L57" s="102">
        <v>332600</v>
      </c>
      <c r="M57" s="102">
        <v>338700</v>
      </c>
      <c r="N57" s="102">
        <v>349800</v>
      </c>
      <c r="O57" s="102">
        <v>352900</v>
      </c>
      <c r="P57" s="102">
        <v>346400</v>
      </c>
      <c r="Q57" s="102">
        <v>352300</v>
      </c>
      <c r="R57" s="102">
        <v>353700</v>
      </c>
      <c r="S57" s="102">
        <v>355400</v>
      </c>
      <c r="T57" s="102">
        <v>362300</v>
      </c>
      <c r="U57" s="102">
        <v>357600</v>
      </c>
      <c r="V57" s="102">
        <v>355500</v>
      </c>
      <c r="W57" s="102">
        <v>362300</v>
      </c>
      <c r="X57" s="102">
        <v>365100</v>
      </c>
      <c r="Y57" s="102">
        <v>370800</v>
      </c>
      <c r="Z57" s="102">
        <v>369900</v>
      </c>
      <c r="AA57" s="102">
        <v>377200</v>
      </c>
      <c r="AB57" s="102">
        <v>380000</v>
      </c>
      <c r="AC57" s="102">
        <v>386100</v>
      </c>
      <c r="AD57" s="52">
        <v>386800</v>
      </c>
      <c r="AE57" s="52">
        <v>388400</v>
      </c>
      <c r="AF57" s="52">
        <v>394800</v>
      </c>
      <c r="AG57" s="52">
        <v>403900</v>
      </c>
      <c r="AH57" s="52">
        <v>422300</v>
      </c>
      <c r="AI57" s="52">
        <v>439900</v>
      </c>
      <c r="AJ57" s="52">
        <v>442100</v>
      </c>
      <c r="AK57" s="52">
        <v>441400</v>
      </c>
      <c r="AL57" s="52">
        <v>439900</v>
      </c>
      <c r="AM57" s="52">
        <v>435700</v>
      </c>
      <c r="AN57" s="52">
        <v>438700</v>
      </c>
      <c r="AO57" s="52">
        <v>439100</v>
      </c>
      <c r="AP57" s="52">
        <v>426900</v>
      </c>
      <c r="AQ57" s="52">
        <v>416300</v>
      </c>
      <c r="AR57" s="52">
        <v>394600</v>
      </c>
      <c r="AS57" s="52">
        <v>365500</v>
      </c>
      <c r="AT57" s="52">
        <v>339300</v>
      </c>
      <c r="AU57" s="52">
        <v>303300</v>
      </c>
      <c r="AV57" s="52">
        <v>267900</v>
      </c>
      <c r="AW57" s="52">
        <v>282100</v>
      </c>
      <c r="AX57" s="52">
        <v>319900</v>
      </c>
      <c r="AY57" s="52">
        <v>366900</v>
      </c>
      <c r="AZ57" s="52">
        <v>425400</v>
      </c>
      <c r="BA57" s="52">
        <v>456200</v>
      </c>
      <c r="BB57" s="52">
        <v>454800</v>
      </c>
      <c r="BC57" s="52">
        <v>453500</v>
      </c>
      <c r="BD57" s="53">
        <f ca="1">OFFSET($B57,0,Assumptions!$C$8+1,1,1)</f>
        <v>346400</v>
      </c>
      <c r="BE57" s="53">
        <f ca="1">OFFSET($B57,0,SUM(Assumptions!$C$8:$C$9)+1,1,1)</f>
        <v>386100</v>
      </c>
      <c r="BF57" s="53">
        <f ca="1">OFFSET($B57,0,SUM(Assumptions!$C$8:$C$10)+1,1,1)</f>
        <v>426900</v>
      </c>
      <c r="BG57" s="53">
        <f ca="1">OFFSET($B57,0,SUM(Assumptions!$C$8:$C$11)+1,1,1)</f>
        <v>453500</v>
      </c>
      <c r="BH57" s="53">
        <f ca="1">BG57</f>
        <v>453500</v>
      </c>
    </row>
    <row r="58" spans="1:60" ht="16.149999999999999" customHeight="1" x14ac:dyDescent="0.3">
      <c r="A58" s="298" t="s">
        <v>129</v>
      </c>
      <c r="B58" s="31" t="s">
        <v>130</v>
      </c>
      <c r="C58" s="51">
        <f ca="1">SUMIF(Assumptions!$A$81:$C$104,$A58,Assumptions!$C$81:$C$104)</f>
        <v>55000</v>
      </c>
      <c r="D58" s="127">
        <v>55000</v>
      </c>
      <c r="E58" s="102">
        <v>55000</v>
      </c>
      <c r="F58" s="102">
        <v>55000</v>
      </c>
      <c r="G58" s="102">
        <v>55000</v>
      </c>
      <c r="H58" s="102">
        <v>55000</v>
      </c>
      <c r="I58" s="102">
        <v>55000</v>
      </c>
      <c r="J58" s="102">
        <v>55000</v>
      </c>
      <c r="K58" s="102">
        <v>55000</v>
      </c>
      <c r="L58" s="102">
        <v>55000</v>
      </c>
      <c r="M58" s="102">
        <v>55000</v>
      </c>
      <c r="N58" s="102">
        <v>55000</v>
      </c>
      <c r="O58" s="102">
        <v>55000</v>
      </c>
      <c r="P58" s="102">
        <v>55000</v>
      </c>
      <c r="Q58" s="102">
        <v>55000</v>
      </c>
      <c r="R58" s="102">
        <v>55000</v>
      </c>
      <c r="S58" s="102">
        <v>55000</v>
      </c>
      <c r="T58" s="102">
        <v>55000</v>
      </c>
      <c r="U58" s="102">
        <v>55000</v>
      </c>
      <c r="V58" s="102">
        <v>55000</v>
      </c>
      <c r="W58" s="102">
        <v>55000</v>
      </c>
      <c r="X58" s="102">
        <v>55000</v>
      </c>
      <c r="Y58" s="102">
        <v>55000</v>
      </c>
      <c r="Z58" s="102">
        <v>55000</v>
      </c>
      <c r="AA58" s="102">
        <v>55000</v>
      </c>
      <c r="AB58" s="102">
        <v>55000</v>
      </c>
      <c r="AC58" s="102">
        <v>55000</v>
      </c>
      <c r="AD58" s="52">
        <v>55000</v>
      </c>
      <c r="AE58" s="52">
        <v>55000</v>
      </c>
      <c r="AF58" s="52">
        <v>55000</v>
      </c>
      <c r="AG58" s="52">
        <v>55000</v>
      </c>
      <c r="AH58" s="52">
        <v>65000</v>
      </c>
      <c r="AI58" s="52">
        <v>65000</v>
      </c>
      <c r="AJ58" s="52">
        <v>65000</v>
      </c>
      <c r="AK58" s="52">
        <v>65000</v>
      </c>
      <c r="AL58" s="52">
        <v>65000</v>
      </c>
      <c r="AM58" s="52">
        <v>65000</v>
      </c>
      <c r="AN58" s="52">
        <v>65000</v>
      </c>
      <c r="AO58" s="52">
        <v>65000</v>
      </c>
      <c r="AP58" s="52">
        <v>65000</v>
      </c>
      <c r="AQ58" s="52">
        <v>55000</v>
      </c>
      <c r="AR58" s="52">
        <v>65000</v>
      </c>
      <c r="AS58" s="52">
        <v>65000</v>
      </c>
      <c r="AT58" s="52">
        <v>65000</v>
      </c>
      <c r="AU58" s="52">
        <v>65000</v>
      </c>
      <c r="AV58" s="52">
        <v>65000</v>
      </c>
      <c r="AW58" s="52">
        <v>65000</v>
      </c>
      <c r="AX58" s="52">
        <v>65000</v>
      </c>
      <c r="AY58" s="52">
        <v>65000</v>
      </c>
      <c r="AZ58" s="52">
        <v>65000</v>
      </c>
      <c r="BA58" s="52">
        <v>65000</v>
      </c>
      <c r="BB58" s="52">
        <v>65000</v>
      </c>
      <c r="BC58" s="52">
        <v>65000</v>
      </c>
      <c r="BD58" s="53">
        <f ca="1">OFFSET($B58,0,Assumptions!$C$8+1,1,1)</f>
        <v>55000</v>
      </c>
      <c r="BE58" s="53">
        <f ca="1">OFFSET($B58,0,SUM(Assumptions!$C$8:$C$9)+1,1,1)</f>
        <v>55000</v>
      </c>
      <c r="BF58" s="53">
        <f ca="1">OFFSET($B58,0,SUM(Assumptions!$C$8:$C$10)+1,1,1)</f>
        <v>65000</v>
      </c>
      <c r="BG58" s="53">
        <f ca="1">OFFSET($B58,0,SUM(Assumptions!$C$8:$C$11)+1,1,1)</f>
        <v>65000</v>
      </c>
      <c r="BH58" s="53">
        <f t="shared" ref="BH58:BH59" ca="1" si="20">BG58</f>
        <v>65000</v>
      </c>
    </row>
    <row r="59" spans="1:60" ht="16.149999999999999" customHeight="1" x14ac:dyDescent="0.3">
      <c r="A59" s="298" t="s">
        <v>131</v>
      </c>
      <c r="B59" s="31" t="s">
        <v>132</v>
      </c>
      <c r="C59" s="51">
        <f ca="1">SUMIF(Assumptions!$A$81:$C$104,$A59,Assumptions!$C$81:$C$104)</f>
        <v>53000</v>
      </c>
      <c r="D59" s="127">
        <v>53000</v>
      </c>
      <c r="E59" s="102">
        <v>53000</v>
      </c>
      <c r="F59" s="102">
        <v>53000</v>
      </c>
      <c r="G59" s="102">
        <v>53000</v>
      </c>
      <c r="H59" s="102">
        <v>53000</v>
      </c>
      <c r="I59" s="102">
        <v>53000</v>
      </c>
      <c r="J59" s="102">
        <v>53000</v>
      </c>
      <c r="K59" s="102">
        <v>53000</v>
      </c>
      <c r="L59" s="102">
        <v>53000</v>
      </c>
      <c r="M59" s="102">
        <v>53000</v>
      </c>
      <c r="N59" s="102">
        <v>53000</v>
      </c>
      <c r="O59" s="102">
        <v>53000</v>
      </c>
      <c r="P59" s="102">
        <v>53000</v>
      </c>
      <c r="Q59" s="102">
        <v>53000</v>
      </c>
      <c r="R59" s="102">
        <v>53000</v>
      </c>
      <c r="S59" s="102">
        <v>53000</v>
      </c>
      <c r="T59" s="102">
        <v>53000</v>
      </c>
      <c r="U59" s="102">
        <v>53000</v>
      </c>
      <c r="V59" s="102">
        <v>53000</v>
      </c>
      <c r="W59" s="102">
        <v>53000</v>
      </c>
      <c r="X59" s="102">
        <v>53000</v>
      </c>
      <c r="Y59" s="102">
        <v>53000</v>
      </c>
      <c r="Z59" s="102">
        <v>53000</v>
      </c>
      <c r="AA59" s="102">
        <v>53000</v>
      </c>
      <c r="AB59" s="102">
        <v>53000</v>
      </c>
      <c r="AC59" s="102">
        <v>53000</v>
      </c>
      <c r="AD59" s="52">
        <v>53000</v>
      </c>
      <c r="AE59" s="52">
        <v>53000</v>
      </c>
      <c r="AF59" s="52">
        <v>53000</v>
      </c>
      <c r="AG59" s="52">
        <v>53000</v>
      </c>
      <c r="AH59" s="52">
        <v>53000</v>
      </c>
      <c r="AI59" s="52">
        <v>53000</v>
      </c>
      <c r="AJ59" s="52">
        <v>53000</v>
      </c>
      <c r="AK59" s="52">
        <v>53000</v>
      </c>
      <c r="AL59" s="52">
        <v>53000</v>
      </c>
      <c r="AM59" s="52">
        <v>53000</v>
      </c>
      <c r="AN59" s="52">
        <v>53000</v>
      </c>
      <c r="AO59" s="52">
        <v>53000</v>
      </c>
      <c r="AP59" s="52">
        <v>53000</v>
      </c>
      <c r="AQ59" s="52">
        <v>53000</v>
      </c>
      <c r="AR59" s="52">
        <v>53000</v>
      </c>
      <c r="AS59" s="52">
        <v>53000</v>
      </c>
      <c r="AT59" s="52">
        <v>53000</v>
      </c>
      <c r="AU59" s="52">
        <v>53000</v>
      </c>
      <c r="AV59" s="52">
        <v>50000</v>
      </c>
      <c r="AW59" s="52">
        <v>50000</v>
      </c>
      <c r="AX59" s="52">
        <v>50000</v>
      </c>
      <c r="AY59" s="52">
        <v>50000</v>
      </c>
      <c r="AZ59" s="52">
        <v>50000</v>
      </c>
      <c r="BA59" s="52">
        <v>50000</v>
      </c>
      <c r="BB59" s="52">
        <v>50000</v>
      </c>
      <c r="BC59" s="52">
        <v>50000</v>
      </c>
      <c r="BD59" s="53">
        <f ca="1">OFFSET($B59,0,Assumptions!$C$8+1,1,1)</f>
        <v>53000</v>
      </c>
      <c r="BE59" s="53">
        <f ca="1">OFFSET($B59,0,SUM(Assumptions!$C$8:$C$9)+1,1,1)</f>
        <v>53000</v>
      </c>
      <c r="BF59" s="53">
        <f ca="1">OFFSET($B59,0,SUM(Assumptions!$C$8:$C$10)+1,1,1)</f>
        <v>53000</v>
      </c>
      <c r="BG59" s="53">
        <f ca="1">OFFSET($B59,0,SUM(Assumptions!$C$8:$C$11)+1,1,1)</f>
        <v>50000</v>
      </c>
      <c r="BH59" s="53">
        <f t="shared" ca="1" si="20"/>
        <v>50000</v>
      </c>
    </row>
    <row r="60" spans="1:60" ht="16.149999999999999" customHeight="1" x14ac:dyDescent="0.3">
      <c r="A60" s="299" t="s">
        <v>180</v>
      </c>
      <c r="B60" s="31" t="s">
        <v>181</v>
      </c>
      <c r="C60" s="122">
        <f ca="1">SUMIF(Assumptions!$A$81:$C$104,$A60,Assumptions!$C$81:$C$104)</f>
        <v>171000</v>
      </c>
      <c r="D60" s="121">
        <f ca="1">IF(OFFSET(Actual!$B$110,0,COLUMN(D$4)-COLUMN($C$4),1,1)&gt;=0,OFFSET(Actual!$B$110,0,COLUMN(D$4)-COLUMN($C$4),1,1),0)</f>
        <v>151564.34795109785</v>
      </c>
      <c r="E60" s="52">
        <f ca="1">IF(OFFSET(Actual!$B$110,0,COLUMN(E$4)-COLUMN($C$4),1,1)&gt;=0,OFFSET(Actual!$B$110,0,COLUMN(E$4)-COLUMN($C$4),1,1),0)</f>
        <v>127449.32841953292</v>
      </c>
      <c r="F60" s="52">
        <f ca="1">IF(OFFSET(Actual!$B$110,0,COLUMN(F$4)-COLUMN($C$4),1,1)&gt;=0,OFFSET(Actual!$B$110,0,COLUMN(F$4)-COLUMN($C$4),1,1),0)</f>
        <v>174092.18937191388</v>
      </c>
      <c r="G60" s="52">
        <f ca="1">IF(OFFSET(Actual!$B$110,0,COLUMN(G$4)-COLUMN($C$4),1,1)&gt;=0,OFFSET(Actual!$B$110,0,COLUMN(G$4)-COLUMN($C$4),1,1),0)</f>
        <v>159039.61773381862</v>
      </c>
      <c r="H60" s="52">
        <f ca="1">IF(OFFSET(Actual!$B$110,0,COLUMN(H$4)-COLUMN($C$4),1,1)&gt;=0,OFFSET(Actual!$B$110,0,COLUMN(H$4)-COLUMN($C$4),1,1),0)</f>
        <v>219212.48412777361</v>
      </c>
      <c r="I60" s="52">
        <f ca="1">IF(OFFSET(Actual!$B$110,0,COLUMN(I$4)-COLUMN($C$4),1,1)&gt;=0,OFFSET(Actual!$B$110,0,COLUMN(I$4)-COLUMN($C$4),1,1),0)</f>
        <v>166905.73841321905</v>
      </c>
      <c r="J60" s="52">
        <f ca="1">IF(OFFSET(Actual!$B$110,0,COLUMN(J$4)-COLUMN($C$4),1,1)&gt;=0,OFFSET(Actual!$B$110,0,COLUMN(J$4)-COLUMN($C$4),1,1),0)</f>
        <v>229798.56095335161</v>
      </c>
      <c r="K60" s="52">
        <f ca="1">IF(OFFSET(Actual!$B$110,0,COLUMN(K$4)-COLUMN($C$4),1,1)&gt;=0,OFFSET(Actual!$B$110,0,COLUMN(K$4)-COLUMN($C$4),1,1),0)</f>
        <v>247008.74221049447</v>
      </c>
      <c r="L60" s="52">
        <f ca="1">IF(OFFSET(Actual!$B$110,0,COLUMN(L$4)-COLUMN($C$4),1,1)&gt;=0,OFFSET(Actual!$B$110,0,COLUMN(L$4)-COLUMN($C$4),1,1),0)</f>
        <v>231191.8433390659</v>
      </c>
      <c r="M60" s="52">
        <f ca="1">IF(OFFSET(Actual!$B$110,0,COLUMN(M$4)-COLUMN($C$4),1,1)&gt;=0,OFFSET(Actual!$B$110,0,COLUMN(M$4)-COLUMN($C$4),1,1),0)</f>
        <v>194701.64173513313</v>
      </c>
      <c r="N60" s="52">
        <f ca="1">IF(OFFSET(Actual!$B$110,0,COLUMN(N$4)-COLUMN($C$4),1,1)&gt;=0,OFFSET(Actual!$B$110,0,COLUMN(N$4)-COLUMN($C$4),1,1),0)</f>
        <v>209522.36586812275</v>
      </c>
      <c r="O60" s="52">
        <f ca="1">IF(OFFSET(Actual!$B$110,0,COLUMN(O$4)-COLUMN($C$4),1,1)&gt;=0,OFFSET(Actual!$B$110,0,COLUMN(O$4)-COLUMN($C$4),1,1),0)</f>
        <v>259631.82345859898</v>
      </c>
      <c r="P60" s="52">
        <f ca="1">IF(OFFSET(Actual!$B$110,0,COLUMN(P$4)-COLUMN($C$4),1,1)&gt;=0,OFFSET(Actual!$B$110,0,COLUMN(P$4)-COLUMN($C$4),1,1),0)</f>
        <v>214348.07212526567</v>
      </c>
      <c r="Q60" s="52">
        <f ca="1">IF(OFFSET(Actual!$B$110,0,COLUMN(Q$4)-COLUMN($C$4),1,1)&gt;=0,OFFSET(Actual!$B$110,0,COLUMN(Q$4)-COLUMN($C$4),1,1),0)</f>
        <v>256690.66974303016</v>
      </c>
      <c r="R60" s="52">
        <f ca="1">IF(OFFSET(Actual!$B$110,0,COLUMN(R$4)-COLUMN($C$4),1,1)&gt;=0,OFFSET(Actual!$B$110,0,COLUMN(R$4)-COLUMN($C$4),1,1),0)</f>
        <v>243977.04127813209</v>
      </c>
      <c r="S60" s="52">
        <f ca="1">IF(OFFSET(Actual!$B$110,0,COLUMN(S$4)-COLUMN($C$4),1,1)&gt;=0,OFFSET(Actual!$B$110,0,COLUMN(S$4)-COLUMN($C$4),1,1),0)</f>
        <v>275922.27361146541</v>
      </c>
      <c r="T60" s="52">
        <f ca="1">IF(OFFSET(Actual!$B$110,0,COLUMN(T$4)-COLUMN($C$4),1,1)&gt;=0,OFFSET(Actual!$B$110,0,COLUMN(T$4)-COLUMN($C$4),1,1),0)</f>
        <v>250240.66671860823</v>
      </c>
      <c r="U60" s="52">
        <f ca="1">IF(OFFSET(Actual!$B$110,0,COLUMN(U$4)-COLUMN($C$4),1,1)&gt;=0,OFFSET(Actual!$B$110,0,COLUMN(U$4)-COLUMN($C$4),1,1),0)</f>
        <v>312314.73531256325</v>
      </c>
      <c r="V60" s="52">
        <f ca="1">IF(OFFSET(Actual!$B$110,0,COLUMN(V$4)-COLUMN($C$4),1,1)&gt;=0,OFFSET(Actual!$B$110,0,COLUMN(V$4)-COLUMN($C$4),1,1),0)</f>
        <v>316579.69854086597</v>
      </c>
      <c r="W60" s="52">
        <f ca="1">IF(OFFSET(Actual!$B$110,0,COLUMN(W$4)-COLUMN($C$4),1,1)&gt;=0,OFFSET(Actual!$B$110,0,COLUMN(W$4)-COLUMN($C$4),1,1),0)</f>
        <v>347400.34807385568</v>
      </c>
      <c r="X60" s="52">
        <f ca="1">IF(OFFSET(Actual!$B$110,0,COLUMN(X$4)-COLUMN($C$4),1,1)&gt;=0,OFFSET(Actual!$B$110,0,COLUMN(X$4)-COLUMN($C$4),1,1),0)</f>
        <v>377087.57543099852</v>
      </c>
      <c r="Y60" s="52">
        <f ca="1">IF(OFFSET(Actual!$B$110,0,COLUMN(Y$4)-COLUMN($C$4),1,1)&gt;=0,OFFSET(Actual!$B$110,0,COLUMN(Y$4)-COLUMN($C$4),1,1),0)</f>
        <v>322336.35418099852</v>
      </c>
      <c r="Z60" s="52">
        <f ca="1">IF(OFFSET(Actual!$B$110,0,COLUMN(Z$4)-COLUMN($C$4),1,1)&gt;=0,OFFSET(Actual!$B$110,0,COLUMN(Z$4)-COLUMN($C$4),1,1),0)</f>
        <v>437547.58920061856</v>
      </c>
      <c r="AA60" s="52">
        <f ca="1">IF(OFFSET(Actual!$B$110,0,COLUMN(AA$4)-COLUMN($C$4),1,1)&gt;=0,OFFSET(Actual!$B$110,0,COLUMN(AA$4)-COLUMN($C$4),1,1),0)</f>
        <v>455092.62566217972</v>
      </c>
      <c r="AB60" s="52">
        <f ca="1">IF(OFFSET(Actual!$B$110,0,COLUMN(AB$4)-COLUMN($C$4),1,1)&gt;=0,OFFSET(Actual!$B$110,0,COLUMN(AB$4)-COLUMN($C$4),1,1),0)</f>
        <v>478944.766197894</v>
      </c>
      <c r="AC60" s="52">
        <f ca="1">IF(OFFSET(Actual!$B$110,0,COLUMN(AC$4)-COLUMN($C$4),1,1)&gt;=0,OFFSET(Actual!$B$110,0,COLUMN(AC$4)-COLUMN($C$4),1,1),0)</f>
        <v>495034.74584075116</v>
      </c>
      <c r="AD60" s="52">
        <f ca="1">IF(OFFSET(Actual!$B$110,0,COLUMN(AD$4)-COLUMN($C$4),1,1)&gt;=0,OFFSET(Actual!$B$110,0,COLUMN(AD$4)-COLUMN($C$4),1,1),0)</f>
        <v>405400.52706970891</v>
      </c>
      <c r="AE60" s="52">
        <f ca="1">IF(OFFSET(Actual!$B$110,0,COLUMN(AE$4)-COLUMN($C$4),1,1)&gt;=0,OFFSET(Actual!$B$110,0,COLUMN(AE$4)-COLUMN($C$4),1,1),0)</f>
        <v>437734.51385753532</v>
      </c>
      <c r="AF60" s="52">
        <f ca="1">IF(OFFSET(Actual!$B$110,0,COLUMN(AF$4)-COLUMN($C$4),1,1)&gt;=0,OFFSET(Actual!$B$110,0,COLUMN(AF$4)-COLUMN($C$4),1,1),0)</f>
        <v>449500.57671195356</v>
      </c>
      <c r="AG60" s="52">
        <f ca="1">IF(OFFSET(Actual!$B$110,0,COLUMN(AG$4)-COLUMN($C$4),1,1)&gt;=0,OFFSET(Actual!$B$110,0,COLUMN(AG$4)-COLUMN($C$4),1,1),0)</f>
        <v>511804.45171195356</v>
      </c>
      <c r="AH60" s="52">
        <f ca="1">IF(OFFSET(Actual!$B$110,0,COLUMN(AH$4)-COLUMN($C$4),1,1)&gt;=0,OFFSET(Actual!$B$110,0,COLUMN(AH$4)-COLUMN($C$4),1,1),0)</f>
        <v>426917.13718184229</v>
      </c>
      <c r="AI60" s="52">
        <f ca="1">IF(OFFSET(Actual!$B$110,0,COLUMN(AI$4)-COLUMN($C$4),1,1)&gt;=0,OFFSET(Actual!$B$110,0,COLUMN(AI$4)-COLUMN($C$4),1,1),0)</f>
        <v>398500.98444585921</v>
      </c>
      <c r="AJ60" s="52">
        <f ca="1">IF(OFFSET(Actual!$B$110,0,COLUMN(AJ$4)-COLUMN($C$4),1,1)&gt;=0,OFFSET(Actual!$B$110,0,COLUMN(AJ$4)-COLUMN($C$4),1,1),0)</f>
        <v>464533.3296931347</v>
      </c>
      <c r="AK60" s="52">
        <f ca="1">IF(OFFSET(Actual!$B$110,0,COLUMN(AK$4)-COLUMN($C$4),1,1)&gt;=0,OFFSET(Actual!$B$110,0,COLUMN(AK$4)-COLUMN($C$4),1,1),0)</f>
        <v>544779.03162170621</v>
      </c>
      <c r="AL60" s="52">
        <f ca="1">IF(OFFSET(Actual!$B$110,0,COLUMN(AL$4)-COLUMN($C$4),1,1)&gt;=0,OFFSET(Actual!$B$110,0,COLUMN(AL$4)-COLUMN($C$4),1,1),0)</f>
        <v>536490.54122884909</v>
      </c>
      <c r="AM60" s="52">
        <f ca="1">IF(OFFSET(Actual!$B$110,0,COLUMN(AM$4)-COLUMN($C$4),1,1)&gt;=0,OFFSET(Actual!$B$110,0,COLUMN(AM$4)-COLUMN($C$4),1,1),0)</f>
        <v>571958.3633773094</v>
      </c>
      <c r="AN60" s="52">
        <f ca="1">IF(OFFSET(Actual!$B$110,0,COLUMN(AN$4)-COLUMN($C$4),1,1)&gt;=0,OFFSET(Actual!$B$110,0,COLUMN(AN$4)-COLUMN($C$4),1,1),0)</f>
        <v>567226.98441241134</v>
      </c>
      <c r="AO60" s="52">
        <f ca="1">IF(OFFSET(Actual!$B$110,0,COLUMN(AO$4)-COLUMN($C$4),1,1)&gt;=0,OFFSET(Actual!$B$110,0,COLUMN(AO$4)-COLUMN($C$4),1,1),0)</f>
        <v>594504.0705909828</v>
      </c>
      <c r="AP60" s="52">
        <f ca="1">IF(OFFSET(Actual!$B$110,0,COLUMN(AP$4)-COLUMN($C$4),1,1)&gt;=0,OFFSET(Actual!$B$110,0,COLUMN(AP$4)-COLUMN($C$4),1,1),0)</f>
        <v>581592.6473409828</v>
      </c>
      <c r="AQ60" s="52">
        <f ca="1">IF(OFFSET(Actual!$B$110,0,COLUMN(AQ$4)-COLUMN($C$4),1,1)&gt;=0,OFFSET(Actual!$B$110,0,COLUMN(AQ$4)-COLUMN($C$4),1,1),0)</f>
        <v>625303.71188230021</v>
      </c>
      <c r="AR60" s="52">
        <f ca="1">IF(OFFSET(Actual!$B$110,0,COLUMN(AR$4)-COLUMN($C$4),1,1)&gt;=0,OFFSET(Actual!$B$110,0,COLUMN(AR$4)-COLUMN($C$4),1,1),0)</f>
        <v>655280.17367012682</v>
      </c>
      <c r="AS60" s="52">
        <f ca="1">IF(OFFSET(Actual!$B$110,0,COLUMN(AS$4)-COLUMN($C$4),1,1)&gt;=0,OFFSET(Actual!$B$110,0,COLUMN(AS$4)-COLUMN($C$4),1,1),0)</f>
        <v>676546.71641740215</v>
      </c>
      <c r="AT60" s="52">
        <f ca="1">IF(OFFSET(Actual!$B$110,0,COLUMN(AT$4)-COLUMN($C$4),1,1)&gt;=0,OFFSET(Actual!$B$110,0,COLUMN(AT$4)-COLUMN($C$4),1,1),0)</f>
        <v>668689.71398883068</v>
      </c>
      <c r="AU60" s="52">
        <f ca="1">IF(OFFSET(Actual!$B$110,0,COLUMN(AU$4)-COLUMN($C$4),1,1)&gt;=0,OFFSET(Actual!$B$110,0,COLUMN(AU$4)-COLUMN($C$4),1,1),0)</f>
        <v>747463.1295682434</v>
      </c>
      <c r="AV60" s="52">
        <f ca="1">IF(OFFSET(Actual!$B$110,0,COLUMN(AV$4)-COLUMN($C$4),1,1)&gt;=0,OFFSET(Actual!$B$110,0,COLUMN(AV$4)-COLUMN($C$4),1,1),0)</f>
        <v>740262.43695606978</v>
      </c>
      <c r="AW60" s="52">
        <f ca="1">IF(OFFSET(Actual!$B$110,0,COLUMN(AW$4)-COLUMN($C$4),1,1)&gt;=0,OFFSET(Actual!$B$110,0,COLUMN(AW$4)-COLUMN($C$4),1,1),0)</f>
        <v>778805.13952477369</v>
      </c>
      <c r="AX60" s="52">
        <f ca="1">IF(OFFSET(Actual!$B$110,0,COLUMN(AX$4)-COLUMN($C$4),1,1)&gt;=0,OFFSET(Actual!$B$110,0,COLUMN(AX$4)-COLUMN($C$4),1,1),0)</f>
        <v>803294.04619620228</v>
      </c>
      <c r="AY60" s="52">
        <f ca="1">IF(OFFSET(Actual!$B$110,0,COLUMN(AY$4)-COLUMN($C$4),1,1)&gt;=0,OFFSET(Actual!$B$110,0,COLUMN(AY$4)-COLUMN($C$4),1,1),0)</f>
        <v>713824.81242715463</v>
      </c>
      <c r="AZ60" s="52">
        <f ca="1">IF(OFFSET(Actual!$B$110,0,COLUMN(AZ$4)-COLUMN($C$4),1,1)&gt;=0,OFFSET(Actual!$B$110,0,COLUMN(AZ$4)-COLUMN($C$4),1,1),0)</f>
        <v>654113.54664142116</v>
      </c>
      <c r="BA60" s="52">
        <f ca="1">IF(OFFSET(Actual!$B$110,0,COLUMN(BA$4)-COLUMN($C$4),1,1)&gt;=0,OFFSET(Actual!$B$110,0,COLUMN(BA$4)-COLUMN($C$4),1,1),0)</f>
        <v>640393.61032176123</v>
      </c>
      <c r="BB60" s="52">
        <f ca="1">IF(OFFSET(Actual!$B$110,0,COLUMN(BB$4)-COLUMN($C$4),1,1)&gt;=0,OFFSET(Actual!$B$110,0,COLUMN(BB$4)-COLUMN($C$4),1,1),0)</f>
        <v>719532.45850747544</v>
      </c>
      <c r="BC60" s="52">
        <f ca="1">IF(OFFSET(Actual!$B$110,0,COLUMN(BC$4)-COLUMN($C$4),1,1)&gt;=0,OFFSET(Actual!$B$110,0,COLUMN(BC$4)-COLUMN($C$4),1,1),0)</f>
        <v>818506.46170747548</v>
      </c>
      <c r="BD60" s="53">
        <f ca="1">OFFSET($B60,0,Assumptions!$C$8+1,1,1)</f>
        <v>214348.07212526567</v>
      </c>
      <c r="BE60" s="53">
        <f ca="1">OFFSET($B60,0,SUM(Assumptions!$C$8:$C$9)+1,1,1)</f>
        <v>495034.74584075116</v>
      </c>
      <c r="BF60" s="53">
        <f ca="1">OFFSET($B60,0,SUM(Assumptions!$C$8:$C$10)+1,1,1)</f>
        <v>581592.6473409828</v>
      </c>
      <c r="BG60" s="53">
        <f ca="1">OFFSET($B60,0,SUM(Assumptions!$C$8:$C$11)+1,1,1)</f>
        <v>818506.46170747548</v>
      </c>
      <c r="BH60" s="53">
        <f ca="1">BG60</f>
        <v>818506.46170747548</v>
      </c>
    </row>
    <row r="61" spans="1:60" ht="16.149999999999999" customHeight="1" thickBot="1" x14ac:dyDescent="0.35">
      <c r="A61" s="298"/>
      <c r="B61" s="31"/>
      <c r="C61" s="124">
        <f ca="1">SUM(C56:C60)</f>
        <v>819000</v>
      </c>
      <c r="D61" s="124">
        <f t="shared" ref="D61:BH61" ca="1" si="21">SUM(D56:D60)</f>
        <v>740264.34795109788</v>
      </c>
      <c r="E61" s="124">
        <f t="shared" ca="1" si="21"/>
        <v>717749.32841953286</v>
      </c>
      <c r="F61" s="124">
        <f t="shared" ca="1" si="21"/>
        <v>778892.1893719139</v>
      </c>
      <c r="G61" s="124">
        <f t="shared" ca="1" si="21"/>
        <v>766939.6177338186</v>
      </c>
      <c r="H61" s="124">
        <f t="shared" ca="1" si="21"/>
        <v>830112.48412777367</v>
      </c>
      <c r="I61" s="124">
        <f t="shared" ca="1" si="21"/>
        <v>793005.73841321911</v>
      </c>
      <c r="J61" s="124">
        <f t="shared" ca="1" si="21"/>
        <v>846998.56095335167</v>
      </c>
      <c r="K61" s="124">
        <f t="shared" ca="1" si="21"/>
        <v>860008.74221049447</v>
      </c>
      <c r="L61" s="124">
        <f t="shared" ca="1" si="21"/>
        <v>846291.8433390659</v>
      </c>
      <c r="M61" s="124">
        <f t="shared" ca="1" si="21"/>
        <v>822401.64173513313</v>
      </c>
      <c r="N61" s="124">
        <f t="shared" ca="1" si="21"/>
        <v>853322.36586812278</v>
      </c>
      <c r="O61" s="124">
        <f t="shared" ca="1" si="21"/>
        <v>907031.82345859893</v>
      </c>
      <c r="P61" s="124">
        <f t="shared" ca="1" si="21"/>
        <v>849448.07212526561</v>
      </c>
      <c r="Q61" s="124">
        <f t="shared" ca="1" si="21"/>
        <v>900890.6697430301</v>
      </c>
      <c r="R61" s="124">
        <f t="shared" ca="1" si="21"/>
        <v>890677.04127813212</v>
      </c>
      <c r="S61" s="124">
        <f t="shared" ca="1" si="21"/>
        <v>927622.27361146547</v>
      </c>
      <c r="T61" s="124">
        <f t="shared" ca="1" si="21"/>
        <v>910040.66671860823</v>
      </c>
      <c r="U61" s="124">
        <f t="shared" ca="1" si="21"/>
        <v>963514.73531256325</v>
      </c>
      <c r="V61" s="124">
        <f t="shared" ca="1" si="21"/>
        <v>965579.69854086591</v>
      </c>
      <c r="W61" s="124">
        <f t="shared" ca="1" si="21"/>
        <v>1007700.3480738557</v>
      </c>
      <c r="X61" s="124">
        <f t="shared" ca="1" si="21"/>
        <v>1042387.5754309986</v>
      </c>
      <c r="Y61" s="124">
        <f t="shared" ca="1" si="21"/>
        <v>996136.35418099852</v>
      </c>
      <c r="Z61" s="124">
        <f t="shared" ca="1" si="21"/>
        <v>1108047.5892006187</v>
      </c>
      <c r="AA61" s="124">
        <f t="shared" ca="1" si="21"/>
        <v>1135492.6256621797</v>
      </c>
      <c r="AB61" s="124">
        <f t="shared" ca="1" si="21"/>
        <v>1162564.766197894</v>
      </c>
      <c r="AC61" s="124">
        <f t="shared" ca="1" si="21"/>
        <v>1187534.7458407511</v>
      </c>
      <c r="AD61" s="124">
        <f t="shared" ca="1" si="21"/>
        <v>1095500.5270697088</v>
      </c>
      <c r="AE61" s="124">
        <f t="shared" ca="1" si="21"/>
        <v>1129634.5138575353</v>
      </c>
      <c r="AF61" s="124">
        <f t="shared" ca="1" si="21"/>
        <v>1152300.5767119536</v>
      </c>
      <c r="AG61" s="124">
        <f t="shared" ca="1" si="21"/>
        <v>1230374.4517119536</v>
      </c>
      <c r="AH61" s="124">
        <f t="shared" ca="1" si="21"/>
        <v>1184217.1371818422</v>
      </c>
      <c r="AI61" s="124">
        <f t="shared" ca="1" si="21"/>
        <v>1181400.9844458592</v>
      </c>
      <c r="AJ61" s="124">
        <f t="shared" ca="1" si="21"/>
        <v>1248833.3296931346</v>
      </c>
      <c r="AK61" s="124">
        <f t="shared" ca="1" si="21"/>
        <v>1326079.0316217062</v>
      </c>
      <c r="AL61" s="124">
        <f t="shared" ca="1" si="21"/>
        <v>1313390.541228849</v>
      </c>
      <c r="AM61" s="124">
        <f t="shared" ca="1" si="21"/>
        <v>1343658.3633773094</v>
      </c>
      <c r="AN61" s="124">
        <f t="shared" ca="1" si="21"/>
        <v>1345326.9844124112</v>
      </c>
      <c r="AO61" s="124">
        <f t="shared" ca="1" si="21"/>
        <v>1372304.0705909827</v>
      </c>
      <c r="AP61" s="124">
        <f t="shared" ca="1" si="21"/>
        <v>1339112.6473409827</v>
      </c>
      <c r="AQ61" s="124">
        <f t="shared" ca="1" si="21"/>
        <v>1355423.7118823002</v>
      </c>
      <c r="AR61" s="124">
        <f t="shared" ca="1" si="21"/>
        <v>1361080.1736701268</v>
      </c>
      <c r="AS61" s="124">
        <f t="shared" ca="1" si="21"/>
        <v>1338746.716417402</v>
      </c>
      <c r="AT61" s="124">
        <f t="shared" ca="1" si="21"/>
        <v>1289489.7139888308</v>
      </c>
      <c r="AU61" s="124">
        <f t="shared" ca="1" si="21"/>
        <v>1312763.1295682434</v>
      </c>
      <c r="AV61" s="124">
        <f t="shared" ca="1" si="21"/>
        <v>1250162.4369560699</v>
      </c>
      <c r="AW61" s="124">
        <f t="shared" ca="1" si="21"/>
        <v>1314905.1395247737</v>
      </c>
      <c r="AX61" s="124">
        <f t="shared" ca="1" si="21"/>
        <v>1403194.0461962023</v>
      </c>
      <c r="AY61" s="124">
        <f t="shared" ca="1" si="21"/>
        <v>1391724.8124271547</v>
      </c>
      <c r="AZ61" s="124">
        <f t="shared" ca="1" si="21"/>
        <v>1416513.546641421</v>
      </c>
      <c r="BA61" s="124">
        <f t="shared" ca="1" si="21"/>
        <v>1441593.6103217611</v>
      </c>
      <c r="BB61" s="124">
        <f t="shared" ca="1" si="21"/>
        <v>1514932.4585074754</v>
      </c>
      <c r="BC61" s="124">
        <f t="shared" ca="1" si="21"/>
        <v>1610706.4617074756</v>
      </c>
      <c r="BD61" s="55">
        <f t="shared" ca="1" si="21"/>
        <v>849448.07212526561</v>
      </c>
      <c r="BE61" s="55">
        <f t="shared" ca="1" si="21"/>
        <v>1187534.7458407511</v>
      </c>
      <c r="BF61" s="55">
        <f t="shared" ca="1" si="21"/>
        <v>1339112.6473409827</v>
      </c>
      <c r="BG61" s="55">
        <f t="shared" ca="1" si="21"/>
        <v>1610706.4617074756</v>
      </c>
      <c r="BH61" s="55">
        <f t="shared" ca="1" si="21"/>
        <v>1610706.4617074756</v>
      </c>
    </row>
    <row r="62" spans="1:60" ht="16.149999999999999" customHeight="1" thickBot="1" x14ac:dyDescent="0.3">
      <c r="A62" s="297"/>
      <c r="B62" s="3"/>
      <c r="C62" s="103">
        <f ca="1">SUM(C54,C61)</f>
        <v>2789000</v>
      </c>
      <c r="D62" s="128">
        <f t="shared" ref="D62:BH62" ca="1" si="22">SUM(D54,D61)</f>
        <v>2710264.3479510979</v>
      </c>
      <c r="E62" s="87">
        <f t="shared" ca="1" si="22"/>
        <v>2687749.3284195326</v>
      </c>
      <c r="F62" s="87">
        <f t="shared" ca="1" si="22"/>
        <v>2748892.1893719137</v>
      </c>
      <c r="G62" s="87">
        <f t="shared" ca="1" si="22"/>
        <v>2736939.6177338185</v>
      </c>
      <c r="H62" s="87">
        <f t="shared" ca="1" si="22"/>
        <v>2784112.4841277739</v>
      </c>
      <c r="I62" s="87">
        <f t="shared" ca="1" si="22"/>
        <v>2747005.7384132193</v>
      </c>
      <c r="J62" s="87">
        <f t="shared" ca="1" si="22"/>
        <v>2800998.5609533517</v>
      </c>
      <c r="K62" s="87">
        <f t="shared" ca="1" si="22"/>
        <v>2814008.7422104944</v>
      </c>
      <c r="L62" s="87">
        <f t="shared" ca="1" si="22"/>
        <v>2784291.843339066</v>
      </c>
      <c r="M62" s="87">
        <f t="shared" ca="1" si="22"/>
        <v>2760401.6417351332</v>
      </c>
      <c r="N62" s="87">
        <f t="shared" ca="1" si="22"/>
        <v>2791322.3658681228</v>
      </c>
      <c r="O62" s="87">
        <f t="shared" ca="1" si="22"/>
        <v>2845031.8234585989</v>
      </c>
      <c r="P62" s="87">
        <f t="shared" ca="1" si="22"/>
        <v>2771448.0721252654</v>
      </c>
      <c r="Q62" s="87">
        <f t="shared" ca="1" si="22"/>
        <v>2822890.6697430303</v>
      </c>
      <c r="R62" s="87">
        <f t="shared" ca="1" si="22"/>
        <v>2812677.0412781322</v>
      </c>
      <c r="S62" s="87">
        <f t="shared" ca="1" si="22"/>
        <v>2849622.2736114655</v>
      </c>
      <c r="T62" s="87">
        <f t="shared" ca="1" si="22"/>
        <v>2832040.6667186082</v>
      </c>
      <c r="U62" s="87">
        <f t="shared" ca="1" si="22"/>
        <v>2869514.7353125634</v>
      </c>
      <c r="V62" s="87">
        <f t="shared" ca="1" si="22"/>
        <v>2871579.6985408659</v>
      </c>
      <c r="W62" s="87">
        <f t="shared" ca="1" si="22"/>
        <v>2913700.348073856</v>
      </c>
      <c r="X62" s="87">
        <f t="shared" ca="1" si="22"/>
        <v>2948387.5754309986</v>
      </c>
      <c r="Y62" s="87">
        <f t="shared" ca="1" si="22"/>
        <v>2886136.3541809986</v>
      </c>
      <c r="Z62" s="87">
        <f t="shared" ca="1" si="22"/>
        <v>2998047.5892006187</v>
      </c>
      <c r="AA62" s="87">
        <f t="shared" ca="1" si="22"/>
        <v>3025492.6256621797</v>
      </c>
      <c r="AB62" s="87">
        <f t="shared" ca="1" si="22"/>
        <v>3052564.7661978938</v>
      </c>
      <c r="AC62" s="87">
        <f t="shared" ca="1" si="22"/>
        <v>3061534.7458407511</v>
      </c>
      <c r="AD62" s="87">
        <f t="shared" ca="1" si="22"/>
        <v>2969500.5270697088</v>
      </c>
      <c r="AE62" s="87">
        <f t="shared" ca="1" si="22"/>
        <v>3003634.5138575351</v>
      </c>
      <c r="AF62" s="87">
        <f t="shared" ca="1" si="22"/>
        <v>3026300.5767119536</v>
      </c>
      <c r="AG62" s="87">
        <f t="shared" ca="1" si="22"/>
        <v>3104374.4517119536</v>
      </c>
      <c r="AH62" s="87">
        <f t="shared" ca="1" si="22"/>
        <v>3042217.1371818422</v>
      </c>
      <c r="AI62" s="87">
        <f t="shared" ca="1" si="22"/>
        <v>3039400.9844458592</v>
      </c>
      <c r="AJ62" s="87">
        <f t="shared" ca="1" si="22"/>
        <v>3106833.3296931349</v>
      </c>
      <c r="AK62" s="87">
        <f t="shared" ca="1" si="22"/>
        <v>3184079.0316217062</v>
      </c>
      <c r="AL62" s="87">
        <f t="shared" ca="1" si="22"/>
        <v>3155390.541228849</v>
      </c>
      <c r="AM62" s="87">
        <f t="shared" ca="1" si="22"/>
        <v>3185658.3633773094</v>
      </c>
      <c r="AN62" s="87">
        <f t="shared" ca="1" si="22"/>
        <v>3187326.9844124112</v>
      </c>
      <c r="AO62" s="87">
        <f t="shared" ca="1" si="22"/>
        <v>3214304.0705909827</v>
      </c>
      <c r="AP62" s="87">
        <f t="shared" ca="1" si="22"/>
        <v>3165112.6473409827</v>
      </c>
      <c r="AQ62" s="87">
        <f t="shared" ca="1" si="22"/>
        <v>3181423.7118823002</v>
      </c>
      <c r="AR62" s="87">
        <f t="shared" ca="1" si="22"/>
        <v>3187080.1736701271</v>
      </c>
      <c r="AS62" s="87">
        <f t="shared" ca="1" si="22"/>
        <v>3164746.716417402</v>
      </c>
      <c r="AT62" s="87">
        <f t="shared" ca="1" si="22"/>
        <v>3115489.7139888308</v>
      </c>
      <c r="AU62" s="87">
        <f t="shared" ca="1" si="22"/>
        <v>3122763.1295682434</v>
      </c>
      <c r="AV62" s="87">
        <f t="shared" ca="1" si="22"/>
        <v>3060162.4369560699</v>
      </c>
      <c r="AW62" s="87">
        <f t="shared" ca="1" si="22"/>
        <v>3124905.1395247737</v>
      </c>
      <c r="AX62" s="87">
        <f t="shared" ca="1" si="22"/>
        <v>3213194.0461962023</v>
      </c>
      <c r="AY62" s="87">
        <f t="shared" ca="1" si="22"/>
        <v>3185724.8124271547</v>
      </c>
      <c r="AZ62" s="87">
        <f t="shared" ca="1" si="22"/>
        <v>3460513.546641421</v>
      </c>
      <c r="BA62" s="87">
        <f t="shared" ca="1" si="22"/>
        <v>3485593.6103217611</v>
      </c>
      <c r="BB62" s="87">
        <f t="shared" ca="1" si="22"/>
        <v>3558932.4585074754</v>
      </c>
      <c r="BC62" s="87">
        <f t="shared" ca="1" si="22"/>
        <v>3633706.4617074756</v>
      </c>
      <c r="BD62" s="87">
        <f t="shared" ca="1" si="22"/>
        <v>2771448.0721252654</v>
      </c>
      <c r="BE62" s="87">
        <f t="shared" ca="1" si="22"/>
        <v>3061534.7458407511</v>
      </c>
      <c r="BF62" s="87">
        <f t="shared" ca="1" si="22"/>
        <v>3165112.6473409827</v>
      </c>
      <c r="BG62" s="87">
        <f t="shared" ca="1" si="22"/>
        <v>3633706.4617074756</v>
      </c>
      <c r="BH62" s="87">
        <f t="shared" ca="1" si="22"/>
        <v>3633706.4617074756</v>
      </c>
    </row>
    <row r="63" spans="1:60" ht="16.149999999999999" customHeight="1" thickTop="1" x14ac:dyDescent="0.3">
      <c r="A63" s="298"/>
      <c r="B63" s="3" t="s">
        <v>237</v>
      </c>
      <c r="C63" s="52"/>
      <c r="D63" s="121"/>
      <c r="E63" s="52"/>
      <c r="F63" s="52"/>
      <c r="G63" s="52"/>
      <c r="H63" s="52"/>
      <c r="I63" s="52"/>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5"/>
      <c r="BE63" s="65"/>
      <c r="BF63" s="65"/>
      <c r="BG63" s="65"/>
      <c r="BH63" s="65"/>
    </row>
    <row r="64" spans="1:60" ht="16.149999999999999" customHeight="1" x14ac:dyDescent="0.3">
      <c r="A64" s="298"/>
      <c r="B64" s="3" t="s">
        <v>238</v>
      </c>
      <c r="C64" s="52"/>
      <c r="D64" s="121"/>
      <c r="E64" s="52"/>
      <c r="F64" s="52"/>
      <c r="G64" s="52"/>
      <c r="H64" s="52"/>
      <c r="I64" s="52"/>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5"/>
      <c r="BE64" s="65"/>
      <c r="BF64" s="65"/>
      <c r="BG64" s="65"/>
      <c r="BH64" s="65"/>
    </row>
    <row r="65" spans="1:60" ht="16.149999999999999" customHeight="1" x14ac:dyDescent="0.3">
      <c r="A65" s="298" t="s">
        <v>142</v>
      </c>
      <c r="B65" s="12" t="s">
        <v>0</v>
      </c>
      <c r="C65" s="51">
        <f ca="1">-SUMIF(Assumptions!$A$81:$C$104,$A65,Assumptions!$C$81:$C$104)</f>
        <v>1000</v>
      </c>
      <c r="D65" s="121">
        <v>1000</v>
      </c>
      <c r="E65" s="52">
        <v>1000</v>
      </c>
      <c r="F65" s="52">
        <v>1000</v>
      </c>
      <c r="G65" s="52">
        <v>1000</v>
      </c>
      <c r="H65" s="52">
        <v>1000</v>
      </c>
      <c r="I65" s="52">
        <v>1000</v>
      </c>
      <c r="J65" s="52">
        <v>1000</v>
      </c>
      <c r="K65" s="52">
        <v>1000</v>
      </c>
      <c r="L65" s="52">
        <v>1000</v>
      </c>
      <c r="M65" s="52">
        <v>1000</v>
      </c>
      <c r="N65" s="52">
        <v>1000</v>
      </c>
      <c r="O65" s="52">
        <v>1000</v>
      </c>
      <c r="P65" s="52">
        <v>1000</v>
      </c>
      <c r="Q65" s="52">
        <v>1000</v>
      </c>
      <c r="R65" s="52">
        <v>1000</v>
      </c>
      <c r="S65" s="52">
        <v>1000</v>
      </c>
      <c r="T65" s="52">
        <v>1000</v>
      </c>
      <c r="U65" s="52">
        <v>1000</v>
      </c>
      <c r="V65" s="52">
        <v>1000</v>
      </c>
      <c r="W65" s="52">
        <v>1000</v>
      </c>
      <c r="X65" s="52">
        <v>1000</v>
      </c>
      <c r="Y65" s="52">
        <v>1000</v>
      </c>
      <c r="Z65" s="52">
        <v>1000</v>
      </c>
      <c r="AA65" s="52">
        <v>1000</v>
      </c>
      <c r="AB65" s="52">
        <v>1000</v>
      </c>
      <c r="AC65" s="52">
        <v>1000</v>
      </c>
      <c r="AD65" s="52">
        <v>1000</v>
      </c>
      <c r="AE65" s="52">
        <v>1000</v>
      </c>
      <c r="AF65" s="52">
        <v>1000</v>
      </c>
      <c r="AG65" s="52">
        <v>1000</v>
      </c>
      <c r="AH65" s="52">
        <v>1000</v>
      </c>
      <c r="AI65" s="52">
        <v>1000</v>
      </c>
      <c r="AJ65" s="52">
        <v>1000</v>
      </c>
      <c r="AK65" s="52">
        <v>1000</v>
      </c>
      <c r="AL65" s="52">
        <v>1000</v>
      </c>
      <c r="AM65" s="52">
        <v>1000</v>
      </c>
      <c r="AN65" s="52">
        <v>1000</v>
      </c>
      <c r="AO65" s="52">
        <v>1000</v>
      </c>
      <c r="AP65" s="52">
        <v>1000</v>
      </c>
      <c r="AQ65" s="52">
        <v>1000</v>
      </c>
      <c r="AR65" s="52">
        <v>1000</v>
      </c>
      <c r="AS65" s="52">
        <v>1000</v>
      </c>
      <c r="AT65" s="52">
        <v>1000</v>
      </c>
      <c r="AU65" s="52">
        <v>1000</v>
      </c>
      <c r="AV65" s="52">
        <v>1000</v>
      </c>
      <c r="AW65" s="52">
        <v>1000</v>
      </c>
      <c r="AX65" s="52">
        <v>1000</v>
      </c>
      <c r="AY65" s="52">
        <v>1000</v>
      </c>
      <c r="AZ65" s="52">
        <v>1000</v>
      </c>
      <c r="BA65" s="52">
        <v>1000</v>
      </c>
      <c r="BB65" s="52">
        <v>1000</v>
      </c>
      <c r="BC65" s="52">
        <v>1000</v>
      </c>
      <c r="BD65" s="53">
        <f ca="1">OFFSET($B65,0,Assumptions!$C$8+1,1,1)</f>
        <v>1000</v>
      </c>
      <c r="BE65" s="53">
        <f ca="1">OFFSET($B65,0,SUM(Assumptions!$C$8:$C$9)+1,1,1)</f>
        <v>1000</v>
      </c>
      <c r="BF65" s="53">
        <f ca="1">OFFSET($B65,0,SUM(Assumptions!$C$8:$C$10)+1,1,1)</f>
        <v>1000</v>
      </c>
      <c r="BG65" s="53">
        <f ca="1">OFFSET($B65,0,SUM(Assumptions!$C$8:$C$11)+1,1,1)</f>
        <v>1000</v>
      </c>
      <c r="BH65" s="53">
        <f ca="1">BG65</f>
        <v>1000</v>
      </c>
    </row>
    <row r="66" spans="1:60" ht="16.149999999999999" customHeight="1" x14ac:dyDescent="0.3">
      <c r="A66" s="298" t="s">
        <v>127</v>
      </c>
      <c r="B66" s="12" t="s">
        <v>128</v>
      </c>
      <c r="C66" s="51">
        <f ca="1">-SUMIF(Assumptions!$A$81:$C$104,$A66,Assumptions!$C$81:$C$104)</f>
        <v>0</v>
      </c>
      <c r="D66" s="121">
        <v>0</v>
      </c>
      <c r="E66" s="52">
        <v>0</v>
      </c>
      <c r="F66" s="52">
        <v>0</v>
      </c>
      <c r="G66" s="52">
        <v>0</v>
      </c>
      <c r="H66" s="52">
        <v>0</v>
      </c>
      <c r="I66" s="52">
        <v>0</v>
      </c>
      <c r="J66" s="52">
        <v>0</v>
      </c>
      <c r="K66" s="52">
        <v>0</v>
      </c>
      <c r="L66" s="52">
        <v>0</v>
      </c>
      <c r="M66" s="52">
        <v>0</v>
      </c>
      <c r="N66" s="52">
        <v>0</v>
      </c>
      <c r="O66" s="52">
        <v>0</v>
      </c>
      <c r="P66" s="52">
        <v>0</v>
      </c>
      <c r="Q66" s="52">
        <v>0</v>
      </c>
      <c r="R66" s="52">
        <v>0</v>
      </c>
      <c r="S66" s="52">
        <v>0</v>
      </c>
      <c r="T66" s="52">
        <v>0</v>
      </c>
      <c r="U66" s="52">
        <v>0</v>
      </c>
      <c r="V66" s="52">
        <v>0</v>
      </c>
      <c r="W66" s="52">
        <v>0</v>
      </c>
      <c r="X66" s="52">
        <v>0</v>
      </c>
      <c r="Y66" s="52">
        <v>0</v>
      </c>
      <c r="Z66" s="52">
        <v>0</v>
      </c>
      <c r="AA66" s="52">
        <v>0</v>
      </c>
      <c r="AB66" s="52">
        <v>0</v>
      </c>
      <c r="AC66" s="52">
        <v>0</v>
      </c>
      <c r="AD66" s="52">
        <v>0</v>
      </c>
      <c r="AE66" s="52">
        <v>0</v>
      </c>
      <c r="AF66" s="52">
        <v>0</v>
      </c>
      <c r="AG66" s="52">
        <v>0</v>
      </c>
      <c r="AH66" s="52">
        <v>0</v>
      </c>
      <c r="AI66" s="52">
        <v>0</v>
      </c>
      <c r="AJ66" s="52">
        <v>0</v>
      </c>
      <c r="AK66" s="52">
        <v>0</v>
      </c>
      <c r="AL66" s="52">
        <v>0</v>
      </c>
      <c r="AM66" s="52">
        <v>0</v>
      </c>
      <c r="AN66" s="52">
        <v>0</v>
      </c>
      <c r="AO66" s="52">
        <v>0</v>
      </c>
      <c r="AP66" s="52">
        <v>0</v>
      </c>
      <c r="AQ66" s="52">
        <v>0</v>
      </c>
      <c r="AR66" s="52">
        <v>0</v>
      </c>
      <c r="AS66" s="52">
        <v>0</v>
      </c>
      <c r="AT66" s="52">
        <v>0</v>
      </c>
      <c r="AU66" s="52">
        <v>0</v>
      </c>
      <c r="AV66" s="52">
        <v>0</v>
      </c>
      <c r="AW66" s="52">
        <v>0</v>
      </c>
      <c r="AX66" s="52">
        <v>0</v>
      </c>
      <c r="AY66" s="52">
        <v>0</v>
      </c>
      <c r="AZ66" s="52">
        <v>0</v>
      </c>
      <c r="BA66" s="52">
        <v>0</v>
      </c>
      <c r="BB66" s="52">
        <v>0</v>
      </c>
      <c r="BC66" s="52">
        <v>0</v>
      </c>
      <c r="BD66" s="53">
        <f ca="1">OFFSET($B66,0,Assumptions!$C$8+1,1,1)</f>
        <v>0</v>
      </c>
      <c r="BE66" s="53">
        <f ca="1">OFFSET($B66,0,SUM(Assumptions!$C$8:$C$9)+1,1,1)</f>
        <v>0</v>
      </c>
      <c r="BF66" s="53">
        <f ca="1">OFFSET($B66,0,SUM(Assumptions!$C$8:$C$10)+1,1,1)</f>
        <v>0</v>
      </c>
      <c r="BG66" s="53">
        <f ca="1">OFFSET($B66,0,SUM(Assumptions!$C$8:$C$11)+1,1,1)</f>
        <v>0</v>
      </c>
      <c r="BH66" s="53">
        <f ca="1">BG66</f>
        <v>0</v>
      </c>
    </row>
    <row r="67" spans="1:60" ht="16.149999999999999" customHeight="1" x14ac:dyDescent="0.3">
      <c r="A67" s="299" t="s">
        <v>182</v>
      </c>
      <c r="B67" s="12" t="s">
        <v>35</v>
      </c>
      <c r="C67" s="122">
        <f ca="1">-SUMIF(Assumptions!$A$81:$C$104,$A67,Assumptions!$C$81:$C$104)</f>
        <v>400000</v>
      </c>
      <c r="D67" s="121">
        <f ca="1">OFFSET(D$4,ROW($B67)-ROW($B$4),-1,1,1)+OFFSET(Actual!$B$61,0,COLUMN(D$4)-COLUMN($C$4),1,1)</f>
        <v>409924</v>
      </c>
      <c r="E67" s="52">
        <f ca="1">OFFSET(E$4,ROW($B67)-ROW($B$4),-1,1,1)+OFFSET(Actual!$B$61,0,COLUMN(E$4)-COLUMN($C$4),1,1)</f>
        <v>424416.89439999999</v>
      </c>
      <c r="F67" s="52">
        <f ca="1">OFFSET(F$4,ROW($B67)-ROW($B$4),-1,1,1)+OFFSET(Actual!$B$61,0,COLUMN(F$4)-COLUMN($C$4),1,1)</f>
        <v>452233.85440000001</v>
      </c>
      <c r="G67" s="52">
        <f ca="1">OFFSET(G$4,ROW($B67)-ROW($B$4),-1,1,1)+OFFSET(Actual!$B$61,0,COLUMN(G$4)-COLUMN($C$4),1,1)</f>
        <v>436908.60639999999</v>
      </c>
      <c r="H67" s="52">
        <f ca="1">OFFSET(H$4,ROW($B67)-ROW($B$4),-1,1,1)+OFFSET(Actual!$B$61,0,COLUMN(H$4)-COLUMN($C$4),1,1)</f>
        <v>445709.6208922934</v>
      </c>
      <c r="I67" s="52">
        <f ca="1">OFFSET(I$4,ROW($B67)-ROW($B$4),-1,1,1)+OFFSET(Actual!$B$61,0,COLUMN(I$4)-COLUMN($C$4),1,1)</f>
        <v>447639.2569012366</v>
      </c>
      <c r="J67" s="52">
        <f ca="1">OFFSET(J$4,ROW($B67)-ROW($B$4),-1,1,1)+OFFSET(Actual!$B$61,0,COLUMN(J$4)-COLUMN($C$4),1,1)</f>
        <v>471508.69309216173</v>
      </c>
      <c r="K67" s="52">
        <f ca="1">OFFSET(K$4,ROW($B67)-ROW($B$4),-1,1,1)+OFFSET(Actual!$B$61,0,COLUMN(K$4)-COLUMN($C$4),1,1)</f>
        <v>493941.73309216171</v>
      </c>
      <c r="L67" s="52">
        <f ca="1">OFFSET(L$4,ROW($B67)-ROW($B$4),-1,1,1)+OFFSET(Actual!$B$61,0,COLUMN(L$4)-COLUMN($C$4),1,1)</f>
        <v>453035.82909216173</v>
      </c>
      <c r="M67" s="52">
        <f ca="1">OFFSET(M$4,ROW($B67)-ROW($B$4),-1,1,1)+OFFSET(Actual!$B$61,0,COLUMN(M$4)-COLUMN($C$4),1,1)</f>
        <v>454432.93568048603</v>
      </c>
      <c r="N67" s="52">
        <f ca="1">OFFSET(N$4,ROW($B67)-ROW($B$4),-1,1,1)+OFFSET(Actual!$B$61,0,COLUMN(N$4)-COLUMN($C$4),1,1)</f>
        <v>484903.81691741978</v>
      </c>
      <c r="O67" s="52">
        <f ca="1">OFFSET(O$4,ROW($B67)-ROW($B$4),-1,1,1)+OFFSET(Actual!$B$61,0,COLUMN(O$4)-COLUMN($C$4),1,1)</f>
        <v>519585.16091741977</v>
      </c>
      <c r="P67" s="52">
        <f ca="1">OFFSET(P$4,ROW($B67)-ROW($B$4),-1,1,1)+OFFSET(Actual!$B$61,0,COLUMN(P$4)-COLUMN($C$4),1,1)</f>
        <v>470516.8809174198</v>
      </c>
      <c r="Q67" s="52">
        <f ca="1">OFFSET(Q$4,ROW($B67)-ROW($B$4),-1,1,1)+OFFSET(Actual!$B$61,0,COLUMN(Q$4)-COLUMN($C$4),1,1)</f>
        <v>490923.28288178047</v>
      </c>
      <c r="R67" s="52">
        <f ca="1">OFFSET(R$4,ROW($B67)-ROW($B$4),-1,1,1)+OFFSET(Actual!$B$61,0,COLUMN(R$4)-COLUMN($C$4),1,1)</f>
        <v>515200.50673990004</v>
      </c>
      <c r="S67" s="52">
        <f ca="1">OFFSET(S$4,ROW($B67)-ROW($B$4),-1,1,1)+OFFSET(Actual!$B$61,0,COLUMN(S$4)-COLUMN($C$4),1,1)</f>
        <v>546451.55473990005</v>
      </c>
      <c r="T67" s="52">
        <f ca="1">OFFSET(T$4,ROW($B67)-ROW($B$4),-1,1,1)+OFFSET(Actual!$B$61,0,COLUMN(T$4)-COLUMN($C$4),1,1)</f>
        <v>522605.10793990007</v>
      </c>
      <c r="U67" s="52">
        <f ca="1">OFFSET(U$4,ROW($B67)-ROW($B$4),-1,1,1)+OFFSET(Actual!$B$61,0,COLUMN(U$4)-COLUMN($C$4),1,1)</f>
        <v>537573.63774625713</v>
      </c>
      <c r="V67" s="52">
        <f ca="1">OFFSET(V$4,ROW($B67)-ROW($B$4),-1,1,1)+OFFSET(Actual!$B$61,0,COLUMN(V$4)-COLUMN($C$4),1,1)</f>
        <v>547139.70186802093</v>
      </c>
      <c r="W67" s="52">
        <f ca="1">OFFSET(W$4,ROW($B67)-ROW($B$4),-1,1,1)+OFFSET(Actual!$B$61,0,COLUMN(W$4)-COLUMN($C$4),1,1)</f>
        <v>580230.84752294444</v>
      </c>
      <c r="X67" s="52">
        <f ca="1">OFFSET(X$4,ROW($B67)-ROW($B$4),-1,1,1)+OFFSET(Actual!$B$61,0,COLUMN(X$4)-COLUMN($C$4),1,1)</f>
        <v>605232.05552294443</v>
      </c>
      <c r="Y67" s="52">
        <f ca="1">OFFSET(Y$4,ROW($B67)-ROW($B$4),-1,1,1)+OFFSET(Actual!$B$61,0,COLUMN(Y$4)-COLUMN($C$4),1,1)</f>
        <v>573332.94832294446</v>
      </c>
      <c r="Z67" s="52">
        <f ca="1">OFFSET(Z$4,ROW($B67)-ROW($B$4),-1,1,1)+OFFSET(Actual!$B$61,0,COLUMN(Z$4)-COLUMN($C$4),1,1)</f>
        <v>580861.78796813777</v>
      </c>
      <c r="AA67" s="52">
        <f ca="1">OFFSET(AA$4,ROW($B67)-ROW($B$4),-1,1,1)+OFFSET(Actual!$B$61,0,COLUMN(AA$4)-COLUMN($C$4),1,1)</f>
        <v>607786.11888582318</v>
      </c>
      <c r="AB67" s="52">
        <f ca="1">OFFSET(AB$4,ROW($B67)-ROW($B$4),-1,1,1)+OFFSET(Actual!$B$61,0,COLUMN(AB$4)-COLUMN($C$4),1,1)</f>
        <v>638799.18288582319</v>
      </c>
      <c r="AC67" s="52">
        <f ca="1">OFFSET(AC$4,ROW($B67)-ROW($B$4),-1,1,1)+OFFSET(Actual!$B$61,0,COLUMN(AC$4)-COLUMN($C$4),1,1)</f>
        <v>598204.89488582325</v>
      </c>
      <c r="AD67" s="52">
        <f ca="1">OFFSET(AD$4,ROW($B67)-ROW($B$4),-1,1,1)+OFFSET(Actual!$B$61,0,COLUMN(AD$4)-COLUMN($C$4),1,1)</f>
        <v>613704.36673178186</v>
      </c>
      <c r="AE67" s="52">
        <f ca="1">OFFSET(AE$4,ROW($B67)-ROW($B$4),-1,1,1)+OFFSET(Actual!$B$61,0,COLUMN(AE$4)-COLUMN($C$4),1,1)</f>
        <v>642946.16302184248</v>
      </c>
      <c r="AF67" s="52">
        <f ca="1">OFFSET(AF$4,ROW($B67)-ROW($B$4),-1,1,1)+OFFSET(Actual!$B$61,0,COLUMN(AF$4)-COLUMN($C$4),1,1)</f>
        <v>679554.69215959846</v>
      </c>
      <c r="AG67" s="52">
        <f ca="1">OFFSET(AG$4,ROW($B67)-ROW($B$4),-1,1,1)+OFFSET(Actual!$B$61,0,COLUMN(AG$4)-COLUMN($C$4),1,1)</f>
        <v>720806.99495959841</v>
      </c>
      <c r="AH67" s="52">
        <f ca="1">OFFSET(AH$4,ROW($B67)-ROW($B$4),-1,1,1)+OFFSET(Actual!$B$61,0,COLUMN(AH$4)-COLUMN($C$4),1,1)</f>
        <v>688518.63494169211</v>
      </c>
      <c r="AI67" s="52">
        <f ca="1">OFFSET(AI$4,ROW($B67)-ROW($B$4),-1,1,1)+OFFSET(Actual!$B$61,0,COLUMN(AI$4)-COLUMN($C$4),1,1)</f>
        <v>700682.89360002149</v>
      </c>
      <c r="AJ67" s="52">
        <f ca="1">OFFSET(AJ$4,ROW($B67)-ROW($B$4),-1,1,1)+OFFSET(Actual!$B$61,0,COLUMN(AJ$4)-COLUMN($C$4),1,1)</f>
        <v>735740.50295246544</v>
      </c>
      <c r="AK67" s="52">
        <f ca="1">OFFSET(AK$4,ROW($B67)-ROW($B$4),-1,1,1)+OFFSET(Actual!$B$61,0,COLUMN(AK$4)-COLUMN($C$4),1,1)</f>
        <v>774694.69175246544</v>
      </c>
      <c r="AL67" s="52">
        <f ca="1">OFFSET(AL$4,ROW($B67)-ROW($B$4),-1,1,1)+OFFSET(Actual!$B$61,0,COLUMN(AL$4)-COLUMN($C$4),1,1)</f>
        <v>735709.57495246548</v>
      </c>
      <c r="AM67" s="52">
        <f ca="1">OFFSET(AM$4,ROW($B67)-ROW($B$4),-1,1,1)+OFFSET(Actual!$B$61,0,COLUMN(AM$4)-COLUMN($C$4),1,1)</f>
        <v>757111.16851182876</v>
      </c>
      <c r="AN67" s="52">
        <f ca="1">OFFSET(AN$4,ROW($B67)-ROW($B$4),-1,1,1)+OFFSET(Actual!$B$61,0,COLUMN(AN$4)-COLUMN($C$4),1,1)</f>
        <v>788788.82388790243</v>
      </c>
      <c r="AO67" s="52">
        <f ca="1">OFFSET(AO$4,ROW($B67)-ROW($B$4),-1,1,1)+OFFSET(Actual!$B$61,0,COLUMN(AO$4)-COLUMN($C$4),1,1)</f>
        <v>827601.71124790248</v>
      </c>
      <c r="AP67" s="52">
        <f ca="1">OFFSET(AP$4,ROW($B67)-ROW($B$4),-1,1,1)+OFFSET(Actual!$B$61,0,COLUMN(AP$4)-COLUMN($C$4),1,1)</f>
        <v>781334.49716790253</v>
      </c>
      <c r="AQ67" s="52">
        <f ca="1">OFFSET(AQ$4,ROW($B67)-ROW($B$4),-1,1,1)+OFFSET(Actual!$B$61,0,COLUMN(AQ$4)-COLUMN($C$4),1,1)</f>
        <v>814934.33681101259</v>
      </c>
      <c r="AR67" s="52">
        <f ca="1">OFFSET(AR$4,ROW($B67)-ROW($B$4),-1,1,1)+OFFSET(Actual!$B$61,0,COLUMN(AR$4)-COLUMN($C$4),1,1)</f>
        <v>824184.5628244431</v>
      </c>
      <c r="AS67" s="52">
        <f ca="1">OFFSET(AS$4,ROW($B67)-ROW($B$4),-1,1,1)+OFFSET(Actual!$B$61,0,COLUMN(AS$4)-COLUMN($C$4),1,1)</f>
        <v>840072.36852656864</v>
      </c>
      <c r="AT67" s="52">
        <f ca="1">OFFSET(AT$4,ROW($B67)-ROW($B$4),-1,1,1)+OFFSET(Actual!$B$61,0,COLUMN(AT$4)-COLUMN($C$4),1,1)</f>
        <v>806902.89012656861</v>
      </c>
      <c r="AU67" s="52">
        <f ca="1">OFFSET(AU$4,ROW($B67)-ROW($B$4),-1,1,1)+OFFSET(Actual!$B$61,0,COLUMN(AU$4)-COLUMN($C$4),1,1)</f>
        <v>805002.04696012335</v>
      </c>
      <c r="AV67" s="52">
        <f ca="1">OFFSET(AV$4,ROW($B67)-ROW($B$4),-1,1,1)+OFFSET(Actual!$B$61,0,COLUMN(AV$4)-COLUMN($C$4),1,1)</f>
        <v>799729.31022895349</v>
      </c>
      <c r="AW67" s="52">
        <f ca="1">OFFSET(AW$4,ROW($B67)-ROW($B$4),-1,1,1)+OFFSET(Actual!$B$61,0,COLUMN(AW$4)-COLUMN($C$4),1,1)</f>
        <v>832144.69400894025</v>
      </c>
      <c r="AX67" s="52">
        <f ca="1">OFFSET(AX$4,ROW($B67)-ROW($B$4),-1,1,1)+OFFSET(Actual!$B$61,0,COLUMN(AX$4)-COLUMN($C$4),1,1)</f>
        <v>879349.14968894026</v>
      </c>
      <c r="AY67" s="52">
        <f ca="1">OFFSET(AY$4,ROW($B67)-ROW($B$4),-1,1,1)+OFFSET(Actual!$B$61,0,COLUMN(AY$4)-COLUMN($C$4),1,1)</f>
        <v>845100.42808894033</v>
      </c>
      <c r="AZ67" s="52">
        <f ca="1">OFFSET(AZ$4,ROW($B67)-ROW($B$4),-1,1,1)+OFFSET(Actual!$B$61,0,COLUMN(AZ$4)-COLUMN($C$4),1,1)</f>
        <v>868922.99055486009</v>
      </c>
      <c r="BA67" s="52">
        <f ca="1">OFFSET(BA$4,ROW($B67)-ROW($B$4),-1,1,1)+OFFSET(Actual!$B$61,0,COLUMN(BA$4)-COLUMN($C$4),1,1)</f>
        <v>899211.48297869286</v>
      </c>
      <c r="BB67" s="52">
        <f ca="1">OFFSET(BB$4,ROW($B67)-ROW($B$4),-1,1,1)+OFFSET(Actual!$B$61,0,COLUMN(BB$4)-COLUMN($C$4),1,1)</f>
        <v>937722.69897869288</v>
      </c>
      <c r="BC67" s="52">
        <f ca="1">OFFSET(BC$4,ROW($B67)-ROW($B$4),-1,1,1)+OFFSET(Actual!$B$61,0,COLUMN(BC$4)-COLUMN($C$4),1,1)</f>
        <v>893816.98697869293</v>
      </c>
      <c r="BD67" s="53">
        <f ca="1">OFFSET($B67,0,Assumptions!$C$8+1,1,1)</f>
        <v>470516.8809174198</v>
      </c>
      <c r="BE67" s="53">
        <f ca="1">OFFSET($B67,0,SUM(Assumptions!$C$8:$C$9)+1,1,1)</f>
        <v>598204.89488582325</v>
      </c>
      <c r="BF67" s="53">
        <f ca="1">OFFSET($B67,0,SUM(Assumptions!$C$8:$C$10)+1,1,1)</f>
        <v>781334.49716790253</v>
      </c>
      <c r="BG67" s="53">
        <f ca="1">OFFSET($B67,0,SUM(Assumptions!$C$8:$C$11)+1,1,1)</f>
        <v>893816.98697869293</v>
      </c>
      <c r="BH67" s="53">
        <f ca="1">BG67</f>
        <v>893816.98697869293</v>
      </c>
    </row>
    <row r="68" spans="1:60" s="125" customFormat="1" ht="16.149999999999999" customHeight="1" thickBot="1" x14ac:dyDescent="0.35">
      <c r="A68" s="298"/>
      <c r="B68" s="123"/>
      <c r="C68" s="124">
        <f ca="1">SUM(C65:C67)</f>
        <v>401000</v>
      </c>
      <c r="D68" s="124">
        <f t="shared" ref="D68:BH68" ca="1" si="23">SUM(D65:D67)</f>
        <v>410924</v>
      </c>
      <c r="E68" s="124">
        <f t="shared" ca="1" si="23"/>
        <v>425416.89439999999</v>
      </c>
      <c r="F68" s="124">
        <f t="shared" ca="1" si="23"/>
        <v>453233.85440000001</v>
      </c>
      <c r="G68" s="124">
        <f t="shared" ca="1" si="23"/>
        <v>437908.60639999999</v>
      </c>
      <c r="H68" s="124">
        <f t="shared" ca="1" si="23"/>
        <v>446709.6208922934</v>
      </c>
      <c r="I68" s="124">
        <f t="shared" ca="1" si="23"/>
        <v>448639.2569012366</v>
      </c>
      <c r="J68" s="124">
        <f t="shared" ca="1" si="23"/>
        <v>472508.69309216173</v>
      </c>
      <c r="K68" s="124">
        <f t="shared" ca="1" si="23"/>
        <v>494941.73309216171</v>
      </c>
      <c r="L68" s="124">
        <f t="shared" ca="1" si="23"/>
        <v>454035.82909216173</v>
      </c>
      <c r="M68" s="124">
        <f t="shared" ca="1" si="23"/>
        <v>455432.93568048603</v>
      </c>
      <c r="N68" s="124">
        <f t="shared" ca="1" si="23"/>
        <v>485903.81691741978</v>
      </c>
      <c r="O68" s="124">
        <f t="shared" ca="1" si="23"/>
        <v>520585.16091741977</v>
      </c>
      <c r="P68" s="124">
        <f t="shared" ca="1" si="23"/>
        <v>471516.8809174198</v>
      </c>
      <c r="Q68" s="124">
        <f t="shared" ca="1" si="23"/>
        <v>491923.28288178047</v>
      </c>
      <c r="R68" s="124">
        <f t="shared" ca="1" si="23"/>
        <v>516200.50673990004</v>
      </c>
      <c r="S68" s="124">
        <f t="shared" ca="1" si="23"/>
        <v>547451.55473990005</v>
      </c>
      <c r="T68" s="124">
        <f t="shared" ca="1" si="23"/>
        <v>523605.10793990007</v>
      </c>
      <c r="U68" s="124">
        <f t="shared" ca="1" si="23"/>
        <v>538573.63774625713</v>
      </c>
      <c r="V68" s="124">
        <f t="shared" ca="1" si="23"/>
        <v>548139.70186802093</v>
      </c>
      <c r="W68" s="124">
        <f t="shared" ca="1" si="23"/>
        <v>581230.84752294444</v>
      </c>
      <c r="X68" s="124">
        <f t="shared" ca="1" si="23"/>
        <v>606232.05552294443</v>
      </c>
      <c r="Y68" s="124">
        <f t="shared" ca="1" si="23"/>
        <v>574332.94832294446</v>
      </c>
      <c r="Z68" s="124">
        <f t="shared" ca="1" si="23"/>
        <v>581861.78796813777</v>
      </c>
      <c r="AA68" s="124">
        <f t="shared" ca="1" si="23"/>
        <v>608786.11888582318</v>
      </c>
      <c r="AB68" s="124">
        <f t="shared" ca="1" si="23"/>
        <v>639799.18288582319</v>
      </c>
      <c r="AC68" s="124">
        <f t="shared" ca="1" si="23"/>
        <v>599204.89488582325</v>
      </c>
      <c r="AD68" s="124">
        <f t="shared" ca="1" si="23"/>
        <v>614704.36673178186</v>
      </c>
      <c r="AE68" s="124">
        <f t="shared" ca="1" si="23"/>
        <v>643946.16302184248</v>
      </c>
      <c r="AF68" s="124">
        <f t="shared" ca="1" si="23"/>
        <v>680554.69215959846</v>
      </c>
      <c r="AG68" s="124">
        <f t="shared" ca="1" si="23"/>
        <v>721806.99495959841</v>
      </c>
      <c r="AH68" s="124">
        <f t="shared" ca="1" si="23"/>
        <v>689518.63494169211</v>
      </c>
      <c r="AI68" s="124">
        <f t="shared" ca="1" si="23"/>
        <v>701682.89360002149</v>
      </c>
      <c r="AJ68" s="124">
        <f t="shared" ca="1" si="23"/>
        <v>736740.50295246544</v>
      </c>
      <c r="AK68" s="124">
        <f t="shared" ca="1" si="23"/>
        <v>775694.69175246544</v>
      </c>
      <c r="AL68" s="124">
        <f t="shared" ca="1" si="23"/>
        <v>736709.57495246548</v>
      </c>
      <c r="AM68" s="124">
        <f t="shared" ca="1" si="23"/>
        <v>758111.16851182876</v>
      </c>
      <c r="AN68" s="124">
        <f t="shared" ca="1" si="23"/>
        <v>789788.82388790243</v>
      </c>
      <c r="AO68" s="124">
        <f t="shared" ca="1" si="23"/>
        <v>828601.71124790248</v>
      </c>
      <c r="AP68" s="124">
        <f t="shared" ca="1" si="23"/>
        <v>782334.49716790253</v>
      </c>
      <c r="AQ68" s="124">
        <f t="shared" ca="1" si="23"/>
        <v>815934.33681101259</v>
      </c>
      <c r="AR68" s="124">
        <f t="shared" ca="1" si="23"/>
        <v>825184.5628244431</v>
      </c>
      <c r="AS68" s="124">
        <f t="shared" ca="1" si="23"/>
        <v>841072.36852656864</v>
      </c>
      <c r="AT68" s="124">
        <f t="shared" ca="1" si="23"/>
        <v>807902.89012656861</v>
      </c>
      <c r="AU68" s="124">
        <f t="shared" ca="1" si="23"/>
        <v>806002.04696012335</v>
      </c>
      <c r="AV68" s="124">
        <f t="shared" ca="1" si="23"/>
        <v>800729.31022895349</v>
      </c>
      <c r="AW68" s="124">
        <f t="shared" ca="1" si="23"/>
        <v>833144.69400894025</v>
      </c>
      <c r="AX68" s="124">
        <f t="shared" ca="1" si="23"/>
        <v>880349.14968894026</v>
      </c>
      <c r="AY68" s="124">
        <f t="shared" ca="1" si="23"/>
        <v>846100.42808894033</v>
      </c>
      <c r="AZ68" s="124">
        <f t="shared" ca="1" si="23"/>
        <v>869922.99055486009</v>
      </c>
      <c r="BA68" s="124">
        <f t="shared" ca="1" si="23"/>
        <v>900211.48297869286</v>
      </c>
      <c r="BB68" s="124">
        <f t="shared" ca="1" si="23"/>
        <v>938722.69897869288</v>
      </c>
      <c r="BC68" s="124">
        <f t="shared" ca="1" si="23"/>
        <v>894816.98697869293</v>
      </c>
      <c r="BD68" s="55">
        <f t="shared" ca="1" si="23"/>
        <v>471516.8809174198</v>
      </c>
      <c r="BE68" s="55">
        <f t="shared" ca="1" si="23"/>
        <v>599204.89488582325</v>
      </c>
      <c r="BF68" s="55">
        <f t="shared" ca="1" si="23"/>
        <v>782334.49716790253</v>
      </c>
      <c r="BG68" s="55">
        <f t="shared" ca="1" si="23"/>
        <v>894816.98697869293</v>
      </c>
      <c r="BH68" s="55">
        <f t="shared" ca="1" si="23"/>
        <v>894816.98697869293</v>
      </c>
    </row>
    <row r="69" spans="1:60" s="10" customFormat="1" ht="16.149999999999999" customHeight="1" x14ac:dyDescent="0.25">
      <c r="A69" s="297"/>
      <c r="B69" s="3" t="s">
        <v>239</v>
      </c>
      <c r="C69" s="99"/>
      <c r="D69" s="126"/>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row>
    <row r="70" spans="1:60" ht="16.149999999999999" customHeight="1" x14ac:dyDescent="0.3">
      <c r="A70" s="298" t="s">
        <v>143</v>
      </c>
      <c r="B70" s="104" t="s">
        <v>183</v>
      </c>
      <c r="C70" s="51">
        <f ca="1">-SUMIF(Assumptions!$A$81:$C$104,$A70,Assumptions!$C$81:$C$104)</f>
        <v>1200000</v>
      </c>
      <c r="D70" s="129">
        <v>1200000</v>
      </c>
      <c r="E70" s="105">
        <v>1194469.9986449692</v>
      </c>
      <c r="F70" s="105">
        <v>1194469.9986449692</v>
      </c>
      <c r="G70" s="105">
        <v>1194469.9986449692</v>
      </c>
      <c r="H70" s="105">
        <v>1194469.9986449692</v>
      </c>
      <c r="I70" s="105">
        <v>1188889.3056108507</v>
      </c>
      <c r="J70" s="105">
        <v>1188889.3056108507</v>
      </c>
      <c r="K70" s="105">
        <v>1188889.3056108507</v>
      </c>
      <c r="L70" s="105">
        <v>1188889.3056108507</v>
      </c>
      <c r="M70" s="105">
        <v>1183257.4562239195</v>
      </c>
      <c r="N70" s="105">
        <v>1183257.4562239195</v>
      </c>
      <c r="O70" s="105">
        <v>1183257.4562239195</v>
      </c>
      <c r="P70" s="105">
        <v>1183257.4562239195</v>
      </c>
      <c r="Q70" s="105">
        <v>1183257.4562239195</v>
      </c>
      <c r="R70" s="105">
        <v>1177573.9815509415</v>
      </c>
      <c r="S70" s="105">
        <v>1177573.9815509415</v>
      </c>
      <c r="T70" s="105">
        <v>1177573.9815509415</v>
      </c>
      <c r="U70" s="105">
        <v>1177573.9815509415</v>
      </c>
      <c r="V70" s="105">
        <v>1171838.4083601278</v>
      </c>
      <c r="W70" s="105">
        <v>1171838.4083601278</v>
      </c>
      <c r="X70" s="105">
        <v>1171838.4083601278</v>
      </c>
      <c r="Y70" s="105">
        <v>1171838.4083601278</v>
      </c>
      <c r="Z70" s="105">
        <v>1166050.2590817316</v>
      </c>
      <c r="AA70" s="105">
        <v>1166050.2590817316</v>
      </c>
      <c r="AB70" s="105">
        <v>1166050.2590817316</v>
      </c>
      <c r="AC70" s="105">
        <v>1166050.2590817316</v>
      </c>
      <c r="AD70" s="105">
        <v>1166050.2590817316</v>
      </c>
      <c r="AE70" s="105">
        <v>1160209.0517682834</v>
      </c>
      <c r="AF70" s="105">
        <v>1160209.0517682834</v>
      </c>
      <c r="AG70" s="105">
        <v>1160209.0517682834</v>
      </c>
      <c r="AH70" s="105">
        <v>1160209.0517682834</v>
      </c>
      <c r="AI70" s="105">
        <v>1154314.3000544619</v>
      </c>
      <c r="AJ70" s="105">
        <v>1154314.3000544619</v>
      </c>
      <c r="AK70" s="105">
        <v>1154314.3000544619</v>
      </c>
      <c r="AL70" s="105">
        <v>1154314.3000544619</v>
      </c>
      <c r="AM70" s="105">
        <v>1154314.3000544619</v>
      </c>
      <c r="AN70" s="105">
        <v>1148365.5131165972</v>
      </c>
      <c r="AO70" s="105">
        <v>1148365.5131165972</v>
      </c>
      <c r="AP70" s="105">
        <v>1148365.5131165972</v>
      </c>
      <c r="AQ70" s="105">
        <v>1148365.5131165972</v>
      </c>
      <c r="AR70" s="105">
        <v>1142362.1956318021</v>
      </c>
      <c r="AS70" s="105">
        <v>1142362.1956318021</v>
      </c>
      <c r="AT70" s="105">
        <v>1142362.1956318021</v>
      </c>
      <c r="AU70" s="105">
        <v>1142362.1956318021</v>
      </c>
      <c r="AV70" s="105">
        <v>1136303.8477367295</v>
      </c>
      <c r="AW70" s="105">
        <v>1136303.8477367295</v>
      </c>
      <c r="AX70" s="105">
        <v>1136303.8477367295</v>
      </c>
      <c r="AY70" s="105">
        <v>1136303.8477367295</v>
      </c>
      <c r="AZ70" s="105">
        <v>1136303.8477367295</v>
      </c>
      <c r="BA70" s="105">
        <v>1130189.9649859522</v>
      </c>
      <c r="BB70" s="105">
        <v>1130189.9649859522</v>
      </c>
      <c r="BC70" s="105">
        <v>1130189.9649859522</v>
      </c>
      <c r="BD70" s="106">
        <f ca="1">OFFSET($B70,0,Assumptions!$C$8+1,1,1)</f>
        <v>1183257.4562239195</v>
      </c>
      <c r="BE70" s="106">
        <f ca="1">OFFSET($B70,0,SUM(Assumptions!$C$8:$C$9)+1,1,1)</f>
        <v>1166050.2590817316</v>
      </c>
      <c r="BF70" s="106">
        <f ca="1">OFFSET($B70,0,SUM(Assumptions!$C$8:$C$10)+1,1,1)</f>
        <v>1148365.5131165972</v>
      </c>
      <c r="BG70" s="106">
        <f ca="1">OFFSET($B70,0,SUM(Assumptions!$C$8:$C$11)+1,1,1)</f>
        <v>1130189.9649859522</v>
      </c>
      <c r="BH70" s="106">
        <f ca="1">BG70</f>
        <v>1130189.9649859522</v>
      </c>
    </row>
    <row r="71" spans="1:60" ht="16.149999999999999" customHeight="1" x14ac:dyDescent="0.3">
      <c r="A71" s="298" t="s">
        <v>145</v>
      </c>
      <c r="B71" s="104" t="s">
        <v>184</v>
      </c>
      <c r="C71" s="51">
        <f ca="1">-SUMIF(Assumptions!$A$81:$C$104,$A71,Assumptions!$C$81:$C$104)</f>
        <v>500000</v>
      </c>
      <c r="D71" s="129">
        <v>496579.58461776451</v>
      </c>
      <c r="E71" s="105">
        <v>496579.58461776451</v>
      </c>
      <c r="F71" s="105">
        <v>496579.58461776451</v>
      </c>
      <c r="G71" s="105">
        <v>496579.58461776451</v>
      </c>
      <c r="H71" s="105">
        <v>493130.66577401041</v>
      </c>
      <c r="I71" s="105">
        <v>493130.66577401041</v>
      </c>
      <c r="J71" s="105">
        <v>493130.66577401041</v>
      </c>
      <c r="K71" s="105">
        <v>493130.66577401041</v>
      </c>
      <c r="L71" s="105">
        <v>493130.66577401041</v>
      </c>
      <c r="M71" s="105">
        <v>489653.00593989168</v>
      </c>
      <c r="N71" s="105">
        <v>489653.00593989168</v>
      </c>
      <c r="O71" s="105">
        <v>489653.00593989168</v>
      </c>
      <c r="P71" s="105">
        <v>489653.00593989168</v>
      </c>
      <c r="Q71" s="105">
        <v>486146.36560715525</v>
      </c>
      <c r="R71" s="105">
        <v>486146.36560715525</v>
      </c>
      <c r="S71" s="105">
        <v>486146.36560715525</v>
      </c>
      <c r="T71" s="105">
        <v>486146.36560715525</v>
      </c>
      <c r="U71" s="105">
        <v>482610.50327164604</v>
      </c>
      <c r="V71" s="105">
        <v>482610.50327164604</v>
      </c>
      <c r="W71" s="105">
        <v>482610.50327164604</v>
      </c>
      <c r="X71" s="105">
        <v>482610.50327164604</v>
      </c>
      <c r="Y71" s="105">
        <v>482610.50327164604</v>
      </c>
      <c r="Z71" s="105">
        <v>578361.09234022722</v>
      </c>
      <c r="AA71" s="105">
        <v>578361.09234022722</v>
      </c>
      <c r="AB71" s="105">
        <v>578361.09234022722</v>
      </c>
      <c r="AC71" s="105">
        <v>578361.09234022722</v>
      </c>
      <c r="AD71" s="105">
        <v>574076.26965104649</v>
      </c>
      <c r="AE71" s="105">
        <v>574076.26965104649</v>
      </c>
      <c r="AF71" s="105">
        <v>574076.26965104649</v>
      </c>
      <c r="AG71" s="105">
        <v>574076.26965104649</v>
      </c>
      <c r="AH71" s="105">
        <v>569755.74010612257</v>
      </c>
      <c r="AI71" s="105">
        <v>569755.74010612257</v>
      </c>
      <c r="AJ71" s="105">
        <v>569755.74010612257</v>
      </c>
      <c r="AK71" s="105">
        <v>569755.74010612257</v>
      </c>
      <c r="AL71" s="105">
        <v>569755.74010612257</v>
      </c>
      <c r="AM71" s="105">
        <v>565399.2061483243</v>
      </c>
      <c r="AN71" s="105">
        <v>565399.2061483243</v>
      </c>
      <c r="AO71" s="105">
        <v>565399.2061483243</v>
      </c>
      <c r="AP71" s="105">
        <v>565399.2061483243</v>
      </c>
      <c r="AQ71" s="105">
        <v>561006.36774087779</v>
      </c>
      <c r="AR71" s="105">
        <v>561006.36774087779</v>
      </c>
      <c r="AS71" s="105">
        <v>561006.36774087779</v>
      </c>
      <c r="AT71" s="105">
        <v>561006.36774087779</v>
      </c>
      <c r="AU71" s="105">
        <v>556576.92234670254</v>
      </c>
      <c r="AV71" s="105">
        <v>556576.92234670254</v>
      </c>
      <c r="AW71" s="105">
        <v>556576.92234670254</v>
      </c>
      <c r="AX71" s="105">
        <v>556576.92234670254</v>
      </c>
      <c r="AY71" s="105">
        <v>556576.92234670254</v>
      </c>
      <c r="AZ71" s="105">
        <v>552110.56490757584</v>
      </c>
      <c r="BA71" s="105">
        <v>552110.56490757584</v>
      </c>
      <c r="BB71" s="105">
        <v>552110.56490757584</v>
      </c>
      <c r="BC71" s="105">
        <v>552110.56490757584</v>
      </c>
      <c r="BD71" s="106">
        <f ca="1">OFFSET($B71,0,Assumptions!$C$8+1,1,1)</f>
        <v>489653.00593989168</v>
      </c>
      <c r="BE71" s="106">
        <f ca="1">OFFSET($B71,0,SUM(Assumptions!$C$8:$C$9)+1,1,1)</f>
        <v>578361.09234022722</v>
      </c>
      <c r="BF71" s="106">
        <f ca="1">OFFSET($B71,0,SUM(Assumptions!$C$8:$C$10)+1,1,1)</f>
        <v>565399.2061483243</v>
      </c>
      <c r="BG71" s="106">
        <f ca="1">OFFSET($B71,0,SUM(Assumptions!$C$8:$C$11)+1,1,1)</f>
        <v>552110.56490757584</v>
      </c>
      <c r="BH71" s="106">
        <f t="shared" ref="BH71:BH73" ca="1" si="24">BG71</f>
        <v>552110.56490757584</v>
      </c>
    </row>
    <row r="72" spans="1:60" ht="16.149999999999999" customHeight="1" x14ac:dyDescent="0.3">
      <c r="A72" s="298" t="s">
        <v>147</v>
      </c>
      <c r="B72" s="104" t="s">
        <v>185</v>
      </c>
      <c r="C72" s="51">
        <f ca="1">-SUMIF(Assumptions!$A$81:$C$104,$A72,Assumptions!$C$81:$C$104)</f>
        <v>0</v>
      </c>
      <c r="D72" s="129">
        <v>0</v>
      </c>
      <c r="E72" s="105">
        <v>0</v>
      </c>
      <c r="F72" s="105">
        <v>0</v>
      </c>
      <c r="G72" s="105">
        <v>0</v>
      </c>
      <c r="H72" s="105">
        <v>0</v>
      </c>
      <c r="I72" s="105">
        <v>0</v>
      </c>
      <c r="J72" s="105">
        <v>0</v>
      </c>
      <c r="K72" s="105">
        <v>0</v>
      </c>
      <c r="L72" s="105">
        <v>0</v>
      </c>
      <c r="M72" s="105">
        <v>0</v>
      </c>
      <c r="N72" s="105">
        <v>0</v>
      </c>
      <c r="O72" s="105">
        <v>0</v>
      </c>
      <c r="P72" s="105">
        <v>0</v>
      </c>
      <c r="Q72" s="105">
        <v>0</v>
      </c>
      <c r="R72" s="105">
        <v>0</v>
      </c>
      <c r="S72" s="105">
        <v>0</v>
      </c>
      <c r="T72" s="105">
        <v>0</v>
      </c>
      <c r="U72" s="105">
        <v>0</v>
      </c>
      <c r="V72" s="105">
        <v>0</v>
      </c>
      <c r="W72" s="105">
        <v>0</v>
      </c>
      <c r="X72" s="105">
        <v>0</v>
      </c>
      <c r="Y72" s="105">
        <v>0</v>
      </c>
      <c r="Z72" s="105">
        <v>0</v>
      </c>
      <c r="AA72" s="105">
        <v>0</v>
      </c>
      <c r="AB72" s="105">
        <v>0</v>
      </c>
      <c r="AC72" s="105">
        <v>0</v>
      </c>
      <c r="AD72" s="105">
        <v>0</v>
      </c>
      <c r="AE72" s="105">
        <v>0</v>
      </c>
      <c r="AF72" s="105">
        <v>0</v>
      </c>
      <c r="AG72" s="105">
        <v>0</v>
      </c>
      <c r="AH72" s="105">
        <v>0</v>
      </c>
      <c r="AI72" s="105">
        <v>0</v>
      </c>
      <c r="AJ72" s="105">
        <v>0</v>
      </c>
      <c r="AK72" s="105">
        <v>0</v>
      </c>
      <c r="AL72" s="105">
        <v>0</v>
      </c>
      <c r="AM72" s="105">
        <v>0</v>
      </c>
      <c r="AN72" s="105">
        <v>0</v>
      </c>
      <c r="AO72" s="105">
        <v>0</v>
      </c>
      <c r="AP72" s="105">
        <v>0</v>
      </c>
      <c r="AQ72" s="105">
        <v>0</v>
      </c>
      <c r="AR72" s="105">
        <v>0</v>
      </c>
      <c r="AS72" s="105">
        <v>0</v>
      </c>
      <c r="AT72" s="105">
        <v>0</v>
      </c>
      <c r="AU72" s="105">
        <v>0</v>
      </c>
      <c r="AV72" s="105">
        <v>0</v>
      </c>
      <c r="AW72" s="105">
        <v>0</v>
      </c>
      <c r="AX72" s="105">
        <v>0</v>
      </c>
      <c r="AY72" s="105">
        <v>0</v>
      </c>
      <c r="AZ72" s="105">
        <v>246897.68148961573</v>
      </c>
      <c r="BA72" s="105">
        <v>246897.68148961573</v>
      </c>
      <c r="BB72" s="105">
        <v>246897.68148961573</v>
      </c>
      <c r="BC72" s="105">
        <v>246897.68148961573</v>
      </c>
      <c r="BD72" s="106">
        <f ca="1">OFFSET($B72,0,Assumptions!$C$8+1,1,1)</f>
        <v>0</v>
      </c>
      <c r="BE72" s="106">
        <f ca="1">OFFSET($B72,0,SUM(Assumptions!$C$8:$C$9)+1,1,1)</f>
        <v>0</v>
      </c>
      <c r="BF72" s="106">
        <f ca="1">OFFSET($B72,0,SUM(Assumptions!$C$8:$C$10)+1,1,1)</f>
        <v>0</v>
      </c>
      <c r="BG72" s="106">
        <f ca="1">OFFSET($B72,0,SUM(Assumptions!$C$8:$C$11)+1,1,1)</f>
        <v>246897.68148961573</v>
      </c>
      <c r="BH72" s="106">
        <f t="shared" ca="1" si="24"/>
        <v>246897.68148961573</v>
      </c>
    </row>
    <row r="73" spans="1:60" ht="16.149999999999999" customHeight="1" x14ac:dyDescent="0.3">
      <c r="A73" s="298" t="s">
        <v>149</v>
      </c>
      <c r="B73" s="104" t="s">
        <v>186</v>
      </c>
      <c r="C73" s="51">
        <f ca="1">-SUMIF(Assumptions!$A$81:$C$104,$A73,Assumptions!$C$81:$C$104)</f>
        <v>425000</v>
      </c>
      <c r="D73" s="129">
        <v>425000</v>
      </c>
      <c r="E73" s="105">
        <v>417911.48622346588</v>
      </c>
      <c r="F73" s="105">
        <v>417911.48622346588</v>
      </c>
      <c r="G73" s="105">
        <v>417911.48622346588</v>
      </c>
      <c r="H73" s="105">
        <v>417911.48622346588</v>
      </c>
      <c r="I73" s="105">
        <v>417911.48622346588</v>
      </c>
      <c r="J73" s="105">
        <v>410757.99440398021</v>
      </c>
      <c r="K73" s="105">
        <v>410757.99440398021</v>
      </c>
      <c r="L73" s="105">
        <v>410757.99440398021</v>
      </c>
      <c r="M73" s="105">
        <v>410757.99440398021</v>
      </c>
      <c r="N73" s="105">
        <v>403538.92890948255</v>
      </c>
      <c r="O73" s="105">
        <v>403538.92890948255</v>
      </c>
      <c r="P73" s="105">
        <v>403538.92890948255</v>
      </c>
      <c r="Q73" s="105">
        <v>403538.92890948255</v>
      </c>
      <c r="R73" s="105">
        <v>396253.68864795205</v>
      </c>
      <c r="S73" s="105">
        <v>396253.68864795205</v>
      </c>
      <c r="T73" s="105">
        <v>396253.68864795205</v>
      </c>
      <c r="U73" s="105">
        <v>396253.68864795205</v>
      </c>
      <c r="V73" s="105">
        <v>396253.68864795205</v>
      </c>
      <c r="W73" s="105">
        <v>388901.66701735748</v>
      </c>
      <c r="X73" s="105">
        <v>388901.66701735748</v>
      </c>
      <c r="Y73" s="105">
        <v>388901.66701735748</v>
      </c>
      <c r="Z73" s="105">
        <v>388901.66701735748</v>
      </c>
      <c r="AA73" s="105">
        <v>381482.25185514917</v>
      </c>
      <c r="AB73" s="105">
        <v>381482.25185514917</v>
      </c>
      <c r="AC73" s="105">
        <v>381482.25185514917</v>
      </c>
      <c r="AD73" s="105">
        <v>381482.25185514917</v>
      </c>
      <c r="AE73" s="105">
        <v>381482.25185514917</v>
      </c>
      <c r="AF73" s="105">
        <v>373994.82538728724</v>
      </c>
      <c r="AG73" s="105">
        <v>373994.82538728724</v>
      </c>
      <c r="AH73" s="105">
        <v>373994.82538728724</v>
      </c>
      <c r="AI73" s="105">
        <v>373994.82538728724</v>
      </c>
      <c r="AJ73" s="105">
        <v>366438.76417680329</v>
      </c>
      <c r="AK73" s="105">
        <v>366438.76417680329</v>
      </c>
      <c r="AL73" s="105">
        <v>366438.76417680329</v>
      </c>
      <c r="AM73" s="105">
        <v>366438.76417680329</v>
      </c>
      <c r="AN73" s="105">
        <v>358813.43907188985</v>
      </c>
      <c r="AO73" s="105">
        <v>358813.43907188985</v>
      </c>
      <c r="AP73" s="105">
        <v>358813.43907188985</v>
      </c>
      <c r="AQ73" s="105">
        <v>358813.43907188985</v>
      </c>
      <c r="AR73" s="105">
        <v>358813.43907188985</v>
      </c>
      <c r="AS73" s="105">
        <v>351118.2151535147</v>
      </c>
      <c r="AT73" s="105">
        <v>351118.2151535147</v>
      </c>
      <c r="AU73" s="105">
        <v>351118.2151535147</v>
      </c>
      <c r="AV73" s="105">
        <v>351118.2151535147</v>
      </c>
      <c r="AW73" s="105">
        <v>343352.45168255444</v>
      </c>
      <c r="AX73" s="105">
        <v>343352.45168255444</v>
      </c>
      <c r="AY73" s="105">
        <v>343352.45168255444</v>
      </c>
      <c r="AZ73" s="105">
        <v>343352.45168255444</v>
      </c>
      <c r="BA73" s="105">
        <v>335515.50204644375</v>
      </c>
      <c r="BB73" s="105">
        <v>335515.50204644375</v>
      </c>
      <c r="BC73" s="105">
        <v>335515.50204644375</v>
      </c>
      <c r="BD73" s="106">
        <f ca="1">OFFSET($B73,0,Assumptions!$C$8+1,1,1)</f>
        <v>403538.92890948255</v>
      </c>
      <c r="BE73" s="106">
        <f ca="1">OFFSET($B73,0,SUM(Assumptions!$C$8:$C$9)+1,1,1)</f>
        <v>381482.25185514917</v>
      </c>
      <c r="BF73" s="106">
        <f ca="1">OFFSET($B73,0,SUM(Assumptions!$C$8:$C$10)+1,1,1)</f>
        <v>358813.43907188985</v>
      </c>
      <c r="BG73" s="106">
        <f ca="1">OFFSET($B73,0,SUM(Assumptions!$C$8:$C$11)+1,1,1)</f>
        <v>335515.50204644375</v>
      </c>
      <c r="BH73" s="106">
        <f t="shared" ca="1" si="24"/>
        <v>335515.50204644375</v>
      </c>
    </row>
    <row r="74" spans="1:60" s="125" customFormat="1" ht="16.149999999999999" customHeight="1" thickBot="1" x14ac:dyDescent="0.35">
      <c r="A74" s="300"/>
      <c r="B74" s="130"/>
      <c r="C74" s="124">
        <f ca="1">SUM(C70:C73)</f>
        <v>2125000</v>
      </c>
      <c r="D74" s="124">
        <f t="shared" ref="D74:BH74" si="25">SUM(D70:D73)</f>
        <v>2121579.5846177647</v>
      </c>
      <c r="E74" s="124">
        <f t="shared" si="25"/>
        <v>2108961.0694861994</v>
      </c>
      <c r="F74" s="124">
        <f t="shared" si="25"/>
        <v>2108961.0694861994</v>
      </c>
      <c r="G74" s="124">
        <f t="shared" si="25"/>
        <v>2108961.0694861994</v>
      </c>
      <c r="H74" s="124">
        <f t="shared" si="25"/>
        <v>2105512.1506424453</v>
      </c>
      <c r="I74" s="124">
        <f t="shared" si="25"/>
        <v>2099931.4576083268</v>
      </c>
      <c r="J74" s="124">
        <f t="shared" si="25"/>
        <v>2092777.9657888412</v>
      </c>
      <c r="K74" s="124">
        <f t="shared" si="25"/>
        <v>2092777.9657888412</v>
      </c>
      <c r="L74" s="124">
        <f t="shared" si="25"/>
        <v>2092777.9657888412</v>
      </c>
      <c r="M74" s="124">
        <f t="shared" si="25"/>
        <v>2083668.4565677913</v>
      </c>
      <c r="N74" s="124">
        <f t="shared" si="25"/>
        <v>2076449.3910732935</v>
      </c>
      <c r="O74" s="124">
        <f t="shared" si="25"/>
        <v>2076449.3910732935</v>
      </c>
      <c r="P74" s="124">
        <f t="shared" si="25"/>
        <v>2076449.3910732935</v>
      </c>
      <c r="Q74" s="124">
        <f t="shared" si="25"/>
        <v>2072942.7507405574</v>
      </c>
      <c r="R74" s="124">
        <f t="shared" si="25"/>
        <v>2059974.0358060487</v>
      </c>
      <c r="S74" s="124">
        <f t="shared" si="25"/>
        <v>2059974.0358060487</v>
      </c>
      <c r="T74" s="124">
        <f t="shared" si="25"/>
        <v>2059974.0358060487</v>
      </c>
      <c r="U74" s="124">
        <f t="shared" si="25"/>
        <v>2056438.1734705395</v>
      </c>
      <c r="V74" s="124">
        <f t="shared" si="25"/>
        <v>2050702.6002797261</v>
      </c>
      <c r="W74" s="124">
        <f t="shared" si="25"/>
        <v>2043350.5786491313</v>
      </c>
      <c r="X74" s="124">
        <f t="shared" si="25"/>
        <v>2043350.5786491313</v>
      </c>
      <c r="Y74" s="124">
        <f t="shared" si="25"/>
        <v>2043350.5786491313</v>
      </c>
      <c r="Z74" s="124">
        <f t="shared" si="25"/>
        <v>2133313.0184393162</v>
      </c>
      <c r="AA74" s="124">
        <f t="shared" si="25"/>
        <v>2125893.6032771077</v>
      </c>
      <c r="AB74" s="124">
        <f t="shared" si="25"/>
        <v>2125893.6032771077</v>
      </c>
      <c r="AC74" s="124">
        <f t="shared" si="25"/>
        <v>2125893.6032771077</v>
      </c>
      <c r="AD74" s="124">
        <f t="shared" si="25"/>
        <v>2121608.7805879274</v>
      </c>
      <c r="AE74" s="124">
        <f t="shared" si="25"/>
        <v>2115767.5732744792</v>
      </c>
      <c r="AF74" s="124">
        <f t="shared" si="25"/>
        <v>2108280.1468066173</v>
      </c>
      <c r="AG74" s="124">
        <f t="shared" si="25"/>
        <v>2108280.1468066173</v>
      </c>
      <c r="AH74" s="124">
        <f t="shared" si="25"/>
        <v>2103959.6172616933</v>
      </c>
      <c r="AI74" s="124">
        <f t="shared" si="25"/>
        <v>2098064.8655478717</v>
      </c>
      <c r="AJ74" s="124">
        <f t="shared" si="25"/>
        <v>2090508.8043373879</v>
      </c>
      <c r="AK74" s="124">
        <f t="shared" si="25"/>
        <v>2090508.8043373879</v>
      </c>
      <c r="AL74" s="124">
        <f t="shared" si="25"/>
        <v>2090508.8043373879</v>
      </c>
      <c r="AM74" s="124">
        <f t="shared" si="25"/>
        <v>2086152.2703795894</v>
      </c>
      <c r="AN74" s="124">
        <f t="shared" si="25"/>
        <v>2072578.1583368112</v>
      </c>
      <c r="AO74" s="124">
        <f t="shared" si="25"/>
        <v>2072578.1583368112</v>
      </c>
      <c r="AP74" s="124">
        <f t="shared" si="25"/>
        <v>2072578.1583368112</v>
      </c>
      <c r="AQ74" s="124">
        <f t="shared" si="25"/>
        <v>2068185.3199293651</v>
      </c>
      <c r="AR74" s="124">
        <f t="shared" si="25"/>
        <v>2062182.00244457</v>
      </c>
      <c r="AS74" s="124">
        <f t="shared" si="25"/>
        <v>2054486.7785261946</v>
      </c>
      <c r="AT74" s="124">
        <f t="shared" si="25"/>
        <v>2054486.7785261946</v>
      </c>
      <c r="AU74" s="124">
        <f t="shared" si="25"/>
        <v>2050057.3331320193</v>
      </c>
      <c r="AV74" s="124">
        <f t="shared" si="25"/>
        <v>2043998.9852369467</v>
      </c>
      <c r="AW74" s="124">
        <f t="shared" si="25"/>
        <v>2036233.2217659866</v>
      </c>
      <c r="AX74" s="124">
        <f t="shared" si="25"/>
        <v>2036233.2217659866</v>
      </c>
      <c r="AY74" s="124">
        <f t="shared" si="25"/>
        <v>2036233.2217659866</v>
      </c>
      <c r="AZ74" s="124">
        <f t="shared" si="25"/>
        <v>2278664.5458164755</v>
      </c>
      <c r="BA74" s="124">
        <f t="shared" si="25"/>
        <v>2264713.7134295879</v>
      </c>
      <c r="BB74" s="124">
        <f t="shared" si="25"/>
        <v>2264713.7134295879</v>
      </c>
      <c r="BC74" s="124">
        <f t="shared" si="25"/>
        <v>2264713.7134295879</v>
      </c>
      <c r="BD74" s="55">
        <f t="shared" ca="1" si="25"/>
        <v>2076449.3910732935</v>
      </c>
      <c r="BE74" s="55">
        <f t="shared" ca="1" si="25"/>
        <v>2125893.6032771077</v>
      </c>
      <c r="BF74" s="55">
        <f t="shared" ca="1" si="25"/>
        <v>2072578.1583368112</v>
      </c>
      <c r="BG74" s="55">
        <f t="shared" ca="1" si="25"/>
        <v>2264713.7134295879</v>
      </c>
      <c r="BH74" s="55">
        <f t="shared" ca="1" si="25"/>
        <v>2264713.7134295879</v>
      </c>
    </row>
    <row r="75" spans="1:60" s="10" customFormat="1" ht="16.149999999999999" customHeight="1" x14ac:dyDescent="0.25">
      <c r="A75" s="297"/>
      <c r="B75" s="3" t="s">
        <v>36</v>
      </c>
      <c r="C75" s="53"/>
      <c r="D75" s="126"/>
      <c r="E75" s="53"/>
      <c r="F75" s="53"/>
      <c r="G75" s="53"/>
      <c r="H75" s="53"/>
      <c r="I75" s="53"/>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60" ht="16.149999999999999" customHeight="1" x14ac:dyDescent="0.3">
      <c r="A76" s="299" t="s">
        <v>187</v>
      </c>
      <c r="B76" s="12" t="s">
        <v>188</v>
      </c>
      <c r="C76" s="51">
        <f ca="1">-SUMIF(Assumptions!$A$81:$C$104,$A76,Assumptions!$C$81:$C$104)</f>
        <v>0</v>
      </c>
      <c r="D76" s="127">
        <f ca="1">IF(OFFSET(Actual!$B$110,0,COLUMN(D$4)-COLUMN($C$4),1,1)&lt;0,-OFFSET(Actual!$B$110,0,COLUMN(D$4)-COLUMN($C$4),1,1),0)</f>
        <v>0</v>
      </c>
      <c r="E76" s="52">
        <f ca="1">IF(OFFSET(Actual!$B$110,0,COLUMN(E$4)-COLUMN($C$4),1,1)&lt;0,-OFFSET(Actual!$B$110,0,COLUMN(E$4)-COLUMN($C$4),1,1),0)</f>
        <v>0</v>
      </c>
      <c r="F76" s="52">
        <f ca="1">IF(OFFSET(Actual!$B$110,0,COLUMN(F$4)-COLUMN($C$4),1,1)&lt;0,-OFFSET(Actual!$B$110,0,COLUMN(F$4)-COLUMN($C$4),1,1),0)</f>
        <v>0</v>
      </c>
      <c r="G76" s="52">
        <f ca="1">IF(OFFSET(Actual!$B$110,0,COLUMN(G$4)-COLUMN($C$4),1,1)&lt;0,-OFFSET(Actual!$B$110,0,COLUMN(G$4)-COLUMN($C$4),1,1),0)</f>
        <v>0</v>
      </c>
      <c r="H76" s="52">
        <f ca="1">IF(OFFSET(Actual!$B$110,0,COLUMN(H$4)-COLUMN($C$4),1,1)&lt;0,-OFFSET(Actual!$B$110,0,COLUMN(H$4)-COLUMN($C$4),1,1),0)</f>
        <v>0</v>
      </c>
      <c r="I76" s="52">
        <f ca="1">IF(OFFSET(Actual!$B$110,0,COLUMN(I$4)-COLUMN($C$4),1,1)&lt;0,-OFFSET(Actual!$B$110,0,COLUMN(I$4)-COLUMN($C$4),1,1),0)</f>
        <v>0</v>
      </c>
      <c r="J76" s="52">
        <f ca="1">IF(OFFSET(Actual!$B$110,0,COLUMN(J$4)-COLUMN($C$4),1,1)&lt;0,-OFFSET(Actual!$B$110,0,COLUMN(J$4)-COLUMN($C$4),1,1),0)</f>
        <v>0</v>
      </c>
      <c r="K76" s="52">
        <f ca="1">IF(OFFSET(Actual!$B$110,0,COLUMN(K$4)-COLUMN($C$4),1,1)&lt;0,-OFFSET(Actual!$B$110,0,COLUMN(K$4)-COLUMN($C$4),1,1),0)</f>
        <v>0</v>
      </c>
      <c r="L76" s="52">
        <f ca="1">IF(OFFSET(Actual!$B$110,0,COLUMN(L$4)-COLUMN($C$4),1,1)&lt;0,-OFFSET(Actual!$B$110,0,COLUMN(L$4)-COLUMN($C$4),1,1),0)</f>
        <v>0</v>
      </c>
      <c r="M76" s="52">
        <f ca="1">IF(OFFSET(Actual!$B$110,0,COLUMN(M$4)-COLUMN($C$4),1,1)&lt;0,-OFFSET(Actual!$B$110,0,COLUMN(M$4)-COLUMN($C$4),1,1),0)</f>
        <v>0</v>
      </c>
      <c r="N76" s="52">
        <f ca="1">IF(OFFSET(Actual!$B$110,0,COLUMN(N$4)-COLUMN($C$4),1,1)&lt;0,-OFFSET(Actual!$B$110,0,COLUMN(N$4)-COLUMN($C$4),1,1),0)</f>
        <v>0</v>
      </c>
      <c r="O76" s="52">
        <f ca="1">IF(OFFSET(Actual!$B$110,0,COLUMN(O$4)-COLUMN($C$4),1,1)&lt;0,-OFFSET(Actual!$B$110,0,COLUMN(O$4)-COLUMN($C$4),1,1),0)</f>
        <v>0</v>
      </c>
      <c r="P76" s="52">
        <f ca="1">IF(OFFSET(Actual!$B$110,0,COLUMN(P$4)-COLUMN($C$4),1,1)&lt;0,-OFFSET(Actual!$B$110,0,COLUMN(P$4)-COLUMN($C$4),1,1),0)</f>
        <v>0</v>
      </c>
      <c r="Q76" s="52">
        <f ca="1">IF(OFFSET(Actual!$B$110,0,COLUMN(Q$4)-COLUMN($C$4),1,1)&lt;0,-OFFSET(Actual!$B$110,0,COLUMN(Q$4)-COLUMN($C$4),1,1),0)</f>
        <v>0</v>
      </c>
      <c r="R76" s="52">
        <f ca="1">IF(OFFSET(Actual!$B$110,0,COLUMN(R$4)-COLUMN($C$4),1,1)&lt;0,-OFFSET(Actual!$B$110,0,COLUMN(R$4)-COLUMN($C$4),1,1),0)</f>
        <v>0</v>
      </c>
      <c r="S76" s="52">
        <f ca="1">IF(OFFSET(Actual!$B$110,0,COLUMN(S$4)-COLUMN($C$4),1,1)&lt;0,-OFFSET(Actual!$B$110,0,COLUMN(S$4)-COLUMN($C$4),1,1),0)</f>
        <v>0</v>
      </c>
      <c r="T76" s="52">
        <f ca="1">IF(OFFSET(Actual!$B$110,0,COLUMN(T$4)-COLUMN($C$4),1,1)&lt;0,-OFFSET(Actual!$B$110,0,COLUMN(T$4)-COLUMN($C$4),1,1),0)</f>
        <v>0</v>
      </c>
      <c r="U76" s="52">
        <f ca="1">IF(OFFSET(Actual!$B$110,0,COLUMN(U$4)-COLUMN($C$4),1,1)&lt;0,-OFFSET(Actual!$B$110,0,COLUMN(U$4)-COLUMN($C$4),1,1),0)</f>
        <v>0</v>
      </c>
      <c r="V76" s="52">
        <f ca="1">IF(OFFSET(Actual!$B$110,0,COLUMN(V$4)-COLUMN($C$4),1,1)&lt;0,-OFFSET(Actual!$B$110,0,COLUMN(V$4)-COLUMN($C$4),1,1),0)</f>
        <v>0</v>
      </c>
      <c r="W76" s="52">
        <f ca="1">IF(OFFSET(Actual!$B$110,0,COLUMN(W$4)-COLUMN($C$4),1,1)&lt;0,-OFFSET(Actual!$B$110,0,COLUMN(W$4)-COLUMN($C$4),1,1),0)</f>
        <v>0</v>
      </c>
      <c r="X76" s="52">
        <f ca="1">IF(OFFSET(Actual!$B$110,0,COLUMN(X$4)-COLUMN($C$4),1,1)&lt;0,-OFFSET(Actual!$B$110,0,COLUMN(X$4)-COLUMN($C$4),1,1),0)</f>
        <v>0</v>
      </c>
      <c r="Y76" s="52">
        <f ca="1">IF(OFFSET(Actual!$B$110,0,COLUMN(Y$4)-COLUMN($C$4),1,1)&lt;0,-OFFSET(Actual!$B$110,0,COLUMN(Y$4)-COLUMN($C$4),1,1),0)</f>
        <v>0</v>
      </c>
      <c r="Z76" s="52">
        <f ca="1">IF(OFFSET(Actual!$B$110,0,COLUMN(Z$4)-COLUMN($C$4),1,1)&lt;0,-OFFSET(Actual!$B$110,0,COLUMN(Z$4)-COLUMN($C$4),1,1),0)</f>
        <v>0</v>
      </c>
      <c r="AA76" s="52">
        <f ca="1">IF(OFFSET(Actual!$B$110,0,COLUMN(AA$4)-COLUMN($C$4),1,1)&lt;0,-OFFSET(Actual!$B$110,0,COLUMN(AA$4)-COLUMN($C$4),1,1),0)</f>
        <v>0</v>
      </c>
      <c r="AB76" s="52">
        <f ca="1">IF(OFFSET(Actual!$B$110,0,COLUMN(AB$4)-COLUMN($C$4),1,1)&lt;0,-OFFSET(Actual!$B$110,0,COLUMN(AB$4)-COLUMN($C$4),1,1),0)</f>
        <v>0</v>
      </c>
      <c r="AC76" s="52">
        <f ca="1">IF(OFFSET(Actual!$B$110,0,COLUMN(AC$4)-COLUMN($C$4),1,1)&lt;0,-OFFSET(Actual!$B$110,0,COLUMN(AC$4)-COLUMN($C$4),1,1),0)</f>
        <v>0</v>
      </c>
      <c r="AD76" s="52">
        <f ca="1">IF(OFFSET(Actual!$B$110,0,COLUMN(AD$4)-COLUMN($C$4),1,1)&lt;0,-OFFSET(Actual!$B$110,0,COLUMN(AD$4)-COLUMN($C$4),1,1),0)</f>
        <v>0</v>
      </c>
      <c r="AE76" s="52">
        <f ca="1">IF(OFFSET(Actual!$B$110,0,COLUMN(AE$4)-COLUMN($C$4),1,1)&lt;0,-OFFSET(Actual!$B$110,0,COLUMN(AE$4)-COLUMN($C$4),1,1),0)</f>
        <v>0</v>
      </c>
      <c r="AF76" s="52">
        <f ca="1">IF(OFFSET(Actual!$B$110,0,COLUMN(AF$4)-COLUMN($C$4),1,1)&lt;0,-OFFSET(Actual!$B$110,0,COLUMN(AF$4)-COLUMN($C$4),1,1),0)</f>
        <v>0</v>
      </c>
      <c r="AG76" s="52">
        <f ca="1">IF(OFFSET(Actual!$B$110,0,COLUMN(AG$4)-COLUMN($C$4),1,1)&lt;0,-OFFSET(Actual!$B$110,0,COLUMN(AG$4)-COLUMN($C$4),1,1),0)</f>
        <v>0</v>
      </c>
      <c r="AH76" s="52">
        <f ca="1">IF(OFFSET(Actual!$B$110,0,COLUMN(AH$4)-COLUMN($C$4),1,1)&lt;0,-OFFSET(Actual!$B$110,0,COLUMN(AH$4)-COLUMN($C$4),1,1),0)</f>
        <v>0</v>
      </c>
      <c r="AI76" s="52">
        <f ca="1">IF(OFFSET(Actual!$B$110,0,COLUMN(AI$4)-COLUMN($C$4),1,1)&lt;0,-OFFSET(Actual!$B$110,0,COLUMN(AI$4)-COLUMN($C$4),1,1),0)</f>
        <v>0</v>
      </c>
      <c r="AJ76" s="52">
        <f ca="1">IF(OFFSET(Actual!$B$110,0,COLUMN(AJ$4)-COLUMN($C$4),1,1)&lt;0,-OFFSET(Actual!$B$110,0,COLUMN(AJ$4)-COLUMN($C$4),1,1),0)</f>
        <v>0</v>
      </c>
      <c r="AK76" s="52">
        <f ca="1">IF(OFFSET(Actual!$B$110,0,COLUMN(AK$4)-COLUMN($C$4),1,1)&lt;0,-OFFSET(Actual!$B$110,0,COLUMN(AK$4)-COLUMN($C$4),1,1),0)</f>
        <v>0</v>
      </c>
      <c r="AL76" s="52">
        <f ca="1">IF(OFFSET(Actual!$B$110,0,COLUMN(AL$4)-COLUMN($C$4),1,1)&lt;0,-OFFSET(Actual!$B$110,0,COLUMN(AL$4)-COLUMN($C$4),1,1),0)</f>
        <v>0</v>
      </c>
      <c r="AM76" s="52">
        <f ca="1">IF(OFFSET(Actual!$B$110,0,COLUMN(AM$4)-COLUMN($C$4),1,1)&lt;0,-OFFSET(Actual!$B$110,0,COLUMN(AM$4)-COLUMN($C$4),1,1),0)</f>
        <v>0</v>
      </c>
      <c r="AN76" s="52">
        <f ca="1">IF(OFFSET(Actual!$B$110,0,COLUMN(AN$4)-COLUMN($C$4),1,1)&lt;0,-OFFSET(Actual!$B$110,0,COLUMN(AN$4)-COLUMN($C$4),1,1),0)</f>
        <v>0</v>
      </c>
      <c r="AO76" s="52">
        <f ca="1">IF(OFFSET(Actual!$B$110,0,COLUMN(AO$4)-COLUMN($C$4),1,1)&lt;0,-OFFSET(Actual!$B$110,0,COLUMN(AO$4)-COLUMN($C$4),1,1),0)</f>
        <v>0</v>
      </c>
      <c r="AP76" s="52">
        <f ca="1">IF(OFFSET(Actual!$B$110,0,COLUMN(AP$4)-COLUMN($C$4),1,1)&lt;0,-OFFSET(Actual!$B$110,0,COLUMN(AP$4)-COLUMN($C$4),1,1),0)</f>
        <v>0</v>
      </c>
      <c r="AQ76" s="52">
        <f ca="1">IF(OFFSET(Actual!$B$110,0,COLUMN(AQ$4)-COLUMN($C$4),1,1)&lt;0,-OFFSET(Actual!$B$110,0,COLUMN(AQ$4)-COLUMN($C$4),1,1),0)</f>
        <v>0</v>
      </c>
      <c r="AR76" s="52">
        <f ca="1">IF(OFFSET(Actual!$B$110,0,COLUMN(AR$4)-COLUMN($C$4),1,1)&lt;0,-OFFSET(Actual!$B$110,0,COLUMN(AR$4)-COLUMN($C$4),1,1),0)</f>
        <v>0</v>
      </c>
      <c r="AS76" s="52">
        <f ca="1">IF(OFFSET(Actual!$B$110,0,COLUMN(AS$4)-COLUMN($C$4),1,1)&lt;0,-OFFSET(Actual!$B$110,0,COLUMN(AS$4)-COLUMN($C$4),1,1),0)</f>
        <v>0</v>
      </c>
      <c r="AT76" s="52">
        <f ca="1">IF(OFFSET(Actual!$B$110,0,COLUMN(AT$4)-COLUMN($C$4),1,1)&lt;0,-OFFSET(Actual!$B$110,0,COLUMN(AT$4)-COLUMN($C$4),1,1),0)</f>
        <v>0</v>
      </c>
      <c r="AU76" s="52">
        <f ca="1">IF(OFFSET(Actual!$B$110,0,COLUMN(AU$4)-COLUMN($C$4),1,1)&lt;0,-OFFSET(Actual!$B$110,0,COLUMN(AU$4)-COLUMN($C$4),1,1),0)</f>
        <v>0</v>
      </c>
      <c r="AV76" s="52">
        <f ca="1">IF(OFFSET(Actual!$B$110,0,COLUMN(AV$4)-COLUMN($C$4),1,1)&lt;0,-OFFSET(Actual!$B$110,0,COLUMN(AV$4)-COLUMN($C$4),1,1),0)</f>
        <v>0</v>
      </c>
      <c r="AW76" s="52">
        <f ca="1">IF(OFFSET(Actual!$B$110,0,COLUMN(AW$4)-COLUMN($C$4),1,1)&lt;0,-OFFSET(Actual!$B$110,0,COLUMN(AW$4)-COLUMN($C$4),1,1),0)</f>
        <v>0</v>
      </c>
      <c r="AX76" s="52">
        <f ca="1">IF(OFFSET(Actual!$B$110,0,COLUMN(AX$4)-COLUMN($C$4),1,1)&lt;0,-OFFSET(Actual!$B$110,0,COLUMN(AX$4)-COLUMN($C$4),1,1),0)</f>
        <v>0</v>
      </c>
      <c r="AY76" s="52">
        <f ca="1">IF(OFFSET(Actual!$B$110,0,COLUMN(AY$4)-COLUMN($C$4),1,1)&lt;0,-OFFSET(Actual!$B$110,0,COLUMN(AY$4)-COLUMN($C$4),1,1),0)</f>
        <v>0</v>
      </c>
      <c r="AZ76" s="52">
        <f ca="1">IF(OFFSET(Actual!$B$110,0,COLUMN(AZ$4)-COLUMN($C$4),1,1)&lt;0,-OFFSET(Actual!$B$110,0,COLUMN(AZ$4)-COLUMN($C$4),1,1),0)</f>
        <v>0</v>
      </c>
      <c r="BA76" s="52">
        <f ca="1">IF(OFFSET(Actual!$B$110,0,COLUMN(BA$4)-COLUMN($C$4),1,1)&lt;0,-OFFSET(Actual!$B$110,0,COLUMN(BA$4)-COLUMN($C$4),1,1),0)</f>
        <v>0</v>
      </c>
      <c r="BB76" s="52">
        <f ca="1">IF(OFFSET(Actual!$B$110,0,COLUMN(BB$4)-COLUMN($C$4),1,1)&lt;0,-OFFSET(Actual!$B$110,0,COLUMN(BB$4)-COLUMN($C$4),1,1),0)</f>
        <v>0</v>
      </c>
      <c r="BC76" s="52">
        <f ca="1">IF(OFFSET(Actual!$B$110,0,COLUMN(BC$4)-COLUMN($C$4),1,1)&lt;0,-OFFSET(Actual!$B$110,0,COLUMN(BC$4)-COLUMN($C$4),1,1),0)</f>
        <v>0</v>
      </c>
      <c r="BD76" s="53">
        <f ca="1">OFFSET($B76,0,Assumptions!$C$8+1,1,1)</f>
        <v>0</v>
      </c>
      <c r="BE76" s="53">
        <f ca="1">OFFSET($B76,0,SUM(Assumptions!$C$8:$C$9)+1,1,1)</f>
        <v>0</v>
      </c>
      <c r="BF76" s="53">
        <f ca="1">OFFSET($B76,0,SUM(Assumptions!$C$8:$C$10)+1,1,1)</f>
        <v>0</v>
      </c>
      <c r="BG76" s="53">
        <f ca="1">OFFSET($B76,0,SUM(Assumptions!$C$8:$C$11)+1,1,1)</f>
        <v>0</v>
      </c>
      <c r="BH76" s="53">
        <f ca="1">BG76</f>
        <v>0</v>
      </c>
    </row>
    <row r="77" spans="1:60" ht="16.149999999999999" customHeight="1" x14ac:dyDescent="0.3">
      <c r="A77" s="298" t="s">
        <v>189</v>
      </c>
      <c r="B77" s="12" t="s">
        <v>190</v>
      </c>
      <c r="C77" s="51">
        <f ca="1">-SUMIF(Assumptions!$A$81:$C$104,$A77,Assumptions!$C$81:$C$104)</f>
        <v>130000</v>
      </c>
      <c r="D77" s="127">
        <v>133230.5</v>
      </c>
      <c r="E77" s="52">
        <v>116841.44639999999</v>
      </c>
      <c r="F77" s="52">
        <v>131317.55108571428</v>
      </c>
      <c r="G77" s="52">
        <v>132588.01851428571</v>
      </c>
      <c r="H77" s="52">
        <v>166651.21335714284</v>
      </c>
      <c r="I77" s="52">
        <v>145071.89871428566</v>
      </c>
      <c r="J77" s="52">
        <v>171395.35271428569</v>
      </c>
      <c r="K77" s="52">
        <v>147663.27257142856</v>
      </c>
      <c r="L77" s="52">
        <v>153829.11749999999</v>
      </c>
      <c r="M77" s="52">
        <v>150459.38750000001</v>
      </c>
      <c r="N77" s="52">
        <v>140020.86214285711</v>
      </c>
      <c r="O77" s="52">
        <v>124281.14399999999</v>
      </c>
      <c r="P77" s="52">
        <v>154640.454</v>
      </c>
      <c r="Q77" s="52">
        <v>174447.38700000002</v>
      </c>
      <c r="R77" s="52">
        <v>159756.27499999999</v>
      </c>
      <c r="S77" s="52">
        <v>142306.014</v>
      </c>
      <c r="T77" s="52">
        <v>137611.47085714282</v>
      </c>
      <c r="U77" s="52">
        <v>153056.94999999998</v>
      </c>
      <c r="V77" s="52">
        <v>152957.56699999998</v>
      </c>
      <c r="W77" s="52">
        <v>151512.88114285716</v>
      </c>
      <c r="X77" s="52">
        <v>139558.848</v>
      </c>
      <c r="Y77" s="52">
        <v>155733.86249999999</v>
      </c>
      <c r="Z77" s="52">
        <v>163092.655</v>
      </c>
      <c r="AA77" s="52">
        <v>170116.83857142858</v>
      </c>
      <c r="AB77" s="52">
        <v>151712.31085714285</v>
      </c>
      <c r="AC77" s="52">
        <v>188999.79750000002</v>
      </c>
      <c r="AD77" s="52">
        <v>159621.84</v>
      </c>
      <c r="AE77" s="52">
        <v>166298.89114285714</v>
      </c>
      <c r="AF77" s="52">
        <v>136243.06285714282</v>
      </c>
      <c r="AG77" s="52">
        <v>143027.14285714284</v>
      </c>
      <c r="AH77" s="52">
        <v>170367.48928571425</v>
      </c>
      <c r="AI77" s="52">
        <v>169043.54357142854</v>
      </c>
      <c r="AJ77" s="52">
        <v>184872.52142857143</v>
      </c>
      <c r="AK77" s="52">
        <v>197386.26285714286</v>
      </c>
      <c r="AL77" s="52">
        <v>205729.31571428571</v>
      </c>
      <c r="AM77" s="52">
        <v>202529.0135714286</v>
      </c>
      <c r="AN77" s="52">
        <v>173684.82857142857</v>
      </c>
      <c r="AO77" s="52">
        <v>143902.72</v>
      </c>
      <c r="AP77" s="52">
        <v>200394.97500000001</v>
      </c>
      <c r="AQ77" s="52">
        <v>161336.9615</v>
      </c>
      <c r="AR77" s="52">
        <v>173514.84214285717</v>
      </c>
      <c r="AS77" s="52">
        <v>132095.80799999999</v>
      </c>
      <c r="AT77" s="52">
        <v>103824.26057142857</v>
      </c>
      <c r="AU77" s="52">
        <v>117445.46054285714</v>
      </c>
      <c r="AV77" s="52">
        <v>89167.231285714282</v>
      </c>
      <c r="AW77" s="52">
        <v>104387.41491428571</v>
      </c>
      <c r="AX77" s="52">
        <v>117796.80788571428</v>
      </c>
      <c r="AY77" s="52">
        <v>167881.43900000001</v>
      </c>
      <c r="AZ77" s="52">
        <v>159677.92319999999</v>
      </c>
      <c r="BA77" s="52">
        <v>165185.21142857143</v>
      </c>
      <c r="BB77" s="52">
        <v>184628.05771428568</v>
      </c>
      <c r="BC77" s="52">
        <v>214788.72821428574</v>
      </c>
      <c r="BD77" s="53">
        <f ca="1">OFFSET($B77,0,Assumptions!$C$8+1,1,1)</f>
        <v>154640.454</v>
      </c>
      <c r="BE77" s="53">
        <f ca="1">OFFSET($B77,0,SUM(Assumptions!$C$8:$C$9)+1,1,1)</f>
        <v>188999.79750000002</v>
      </c>
      <c r="BF77" s="53">
        <f ca="1">OFFSET($B77,0,SUM(Assumptions!$C$8:$C$10)+1,1,1)</f>
        <v>200394.97500000001</v>
      </c>
      <c r="BG77" s="53">
        <f ca="1">OFFSET($B77,0,SUM(Assumptions!$C$8:$C$11)+1,1,1)</f>
        <v>214788.72821428574</v>
      </c>
      <c r="BH77" s="53">
        <f t="shared" ref="BH77:BH81" ca="1" si="26">BG77</f>
        <v>214788.72821428574</v>
      </c>
    </row>
    <row r="78" spans="1:60" ht="16.149999999999999" customHeight="1" x14ac:dyDescent="0.3">
      <c r="A78" s="298" t="s">
        <v>191</v>
      </c>
      <c r="B78" s="12" t="s">
        <v>159</v>
      </c>
      <c r="C78" s="51">
        <f ca="1">-SUMIF(Assumptions!$A$81:$C$104,$A78,Assumptions!$C$81:$C$104)</f>
        <v>16000</v>
      </c>
      <c r="D78" s="127">
        <v>19024.25</v>
      </c>
      <c r="E78" s="52">
        <v>25847.779199999997</v>
      </c>
      <c r="F78" s="52">
        <v>32693.188799999996</v>
      </c>
      <c r="G78" s="52">
        <v>25246.536399999997</v>
      </c>
      <c r="H78" s="52">
        <v>28589.259999999995</v>
      </c>
      <c r="I78" s="52">
        <v>33844.511949999993</v>
      </c>
      <c r="J78" s="52">
        <v>34328.6976</v>
      </c>
      <c r="K78" s="52">
        <v>38727.279000000002</v>
      </c>
      <c r="L78" s="52">
        <v>44344.055200000003</v>
      </c>
      <c r="M78" s="52">
        <v>48874.706999999995</v>
      </c>
      <c r="N78" s="52">
        <v>53945.673600000009</v>
      </c>
      <c r="O78" s="52">
        <v>74039.636000000013</v>
      </c>
      <c r="P78" s="52">
        <v>22932.727999999999</v>
      </c>
      <c r="Q78" s="52">
        <v>28546.127999999997</v>
      </c>
      <c r="R78" s="52">
        <v>31342.679999999997</v>
      </c>
      <c r="S78" s="52">
        <v>41147.26</v>
      </c>
      <c r="T78" s="52">
        <v>45871.581249999996</v>
      </c>
      <c r="U78" s="52">
        <v>49654.172749999998</v>
      </c>
      <c r="V78" s="52">
        <v>62149.931999999993</v>
      </c>
      <c r="W78" s="52">
        <v>65920.684499999988</v>
      </c>
      <c r="X78" s="52">
        <v>76651.364999999991</v>
      </c>
      <c r="Y78" s="52">
        <v>27215.209250000004</v>
      </c>
      <c r="Z78" s="52">
        <v>30161.810250000006</v>
      </c>
      <c r="AA78" s="52">
        <v>39675.894250000012</v>
      </c>
      <c r="AB78" s="52">
        <v>40810.342500000013</v>
      </c>
      <c r="AC78" s="52">
        <v>53477.71550000002</v>
      </c>
      <c r="AD78" s="52">
        <v>54251.299750000013</v>
      </c>
      <c r="AE78" s="52">
        <v>64981.556750000018</v>
      </c>
      <c r="AF78" s="52">
        <v>73077.175000000017</v>
      </c>
      <c r="AG78" s="52">
        <v>85803.585000000021</v>
      </c>
      <c r="AH78" s="52">
        <v>30075.322500000002</v>
      </c>
      <c r="AI78" s="52">
        <v>35710.623500000002</v>
      </c>
      <c r="AJ78" s="52">
        <v>44910.408000000003</v>
      </c>
      <c r="AK78" s="52">
        <v>54270.808500000006</v>
      </c>
      <c r="AL78" s="52">
        <v>55989.185250000002</v>
      </c>
      <c r="AM78" s="52">
        <v>62820.887999999999</v>
      </c>
      <c r="AN78" s="52">
        <v>82307.142500000016</v>
      </c>
      <c r="AO78" s="52">
        <v>83891.029250000007</v>
      </c>
      <c r="AP78" s="52">
        <v>27071.294999999998</v>
      </c>
      <c r="AQ78" s="52">
        <v>38898.247500000005</v>
      </c>
      <c r="AR78" s="52">
        <v>43537.410000000011</v>
      </c>
      <c r="AS78" s="52">
        <v>46860.534000000007</v>
      </c>
      <c r="AT78" s="52">
        <v>55207.519</v>
      </c>
      <c r="AU78" s="52">
        <v>54732.404399999999</v>
      </c>
      <c r="AV78" s="52">
        <v>53310.374400000008</v>
      </c>
      <c r="AW78" s="52">
        <v>64186.010450000016</v>
      </c>
      <c r="AX78" s="52">
        <v>72112.500150000036</v>
      </c>
      <c r="AY78" s="52">
        <v>26607.4686</v>
      </c>
      <c r="AZ78" s="52">
        <v>32690.222250000006</v>
      </c>
      <c r="BA78" s="52">
        <v>44033.599500000011</v>
      </c>
      <c r="BB78" s="52">
        <v>43050.521400000005</v>
      </c>
      <c r="BC78" s="52">
        <v>51125.174099999997</v>
      </c>
      <c r="BD78" s="53">
        <f ca="1">OFFSET($B78,0,Assumptions!$C$8+1,1,1)</f>
        <v>22932.727999999999</v>
      </c>
      <c r="BE78" s="53">
        <f ca="1">OFFSET($B78,0,SUM(Assumptions!$C$8:$C$9)+1,1,1)</f>
        <v>53477.71550000002</v>
      </c>
      <c r="BF78" s="53">
        <f ca="1">OFFSET($B78,0,SUM(Assumptions!$C$8:$C$10)+1,1,1)</f>
        <v>27071.294999999998</v>
      </c>
      <c r="BG78" s="53">
        <f ca="1">OFFSET($B78,0,SUM(Assumptions!$C$8:$C$11)+1,1,1)</f>
        <v>51125.174099999997</v>
      </c>
      <c r="BH78" s="53">
        <f t="shared" ca="1" si="26"/>
        <v>51125.174099999997</v>
      </c>
    </row>
    <row r="79" spans="1:60" ht="16.149999999999999" customHeight="1" x14ac:dyDescent="0.3">
      <c r="A79" s="298" t="s">
        <v>192</v>
      </c>
      <c r="B79" s="12" t="s">
        <v>193</v>
      </c>
      <c r="C79" s="51">
        <f ca="1">-SUMIF(Assumptions!$A$81:$C$104,$A79,Assumptions!$C$81:$C$104)</f>
        <v>20000</v>
      </c>
      <c r="D79" s="127">
        <v>21646.679999999997</v>
      </c>
      <c r="E79" s="52">
        <v>1186.6799999999998</v>
      </c>
      <c r="F79" s="52">
        <v>2373.3599999999997</v>
      </c>
      <c r="G79" s="52">
        <v>17882.039999999997</v>
      </c>
      <c r="H79" s="52">
        <v>19068.719999999998</v>
      </c>
      <c r="I79" s="52">
        <v>1186.6799999999998</v>
      </c>
      <c r="J79" s="52">
        <v>2373.3599999999997</v>
      </c>
      <c r="K79" s="52">
        <v>3560.0399999999995</v>
      </c>
      <c r="L79" s="52">
        <v>19068.719999999998</v>
      </c>
      <c r="M79" s="52">
        <v>1186.6799999999998</v>
      </c>
      <c r="N79" s="52">
        <v>2373.3599999999997</v>
      </c>
      <c r="O79" s="52">
        <v>3560.0399999999995</v>
      </c>
      <c r="P79" s="52">
        <v>19068.719999999998</v>
      </c>
      <c r="Q79" s="52">
        <v>20255.399999999998</v>
      </c>
      <c r="R79" s="52">
        <v>1186.6799999999998</v>
      </c>
      <c r="S79" s="52">
        <v>2373.3599999999997</v>
      </c>
      <c r="T79" s="52">
        <v>17882.039999999997</v>
      </c>
      <c r="U79" s="52">
        <v>19068.719999999998</v>
      </c>
      <c r="V79" s="52">
        <v>1186.6799999999998</v>
      </c>
      <c r="W79" s="52">
        <v>2373.3599999999997</v>
      </c>
      <c r="X79" s="52">
        <v>3560.0399999999995</v>
      </c>
      <c r="Y79" s="52">
        <v>19068.719999999998</v>
      </c>
      <c r="Z79" s="52">
        <v>20255.399999999998</v>
      </c>
      <c r="AA79" s="52">
        <v>1186.6799999999998</v>
      </c>
      <c r="AB79" s="52">
        <v>2455.1999999999998</v>
      </c>
      <c r="AC79" s="52">
        <v>18045.719999999998</v>
      </c>
      <c r="AD79" s="52">
        <v>19314.239999999998</v>
      </c>
      <c r="AE79" s="52">
        <v>1268.52</v>
      </c>
      <c r="AF79" s="52">
        <v>2537.04</v>
      </c>
      <c r="AG79" s="52">
        <v>3805.5599999999995</v>
      </c>
      <c r="AH79" s="52">
        <v>19396.079999999998</v>
      </c>
      <c r="AI79" s="52">
        <v>1268.52</v>
      </c>
      <c r="AJ79" s="52">
        <v>2537.04</v>
      </c>
      <c r="AK79" s="52">
        <v>3805.5599999999995</v>
      </c>
      <c r="AL79" s="52">
        <v>19396.079999999998</v>
      </c>
      <c r="AM79" s="52">
        <v>20664.599999999999</v>
      </c>
      <c r="AN79" s="52">
        <v>1268.52</v>
      </c>
      <c r="AO79" s="52">
        <v>2537.04</v>
      </c>
      <c r="AP79" s="52">
        <v>18127.559999999998</v>
      </c>
      <c r="AQ79" s="52">
        <v>19396.079999999998</v>
      </c>
      <c r="AR79" s="52">
        <v>1391.28</v>
      </c>
      <c r="AS79" s="52">
        <v>2782.56</v>
      </c>
      <c r="AT79" s="52">
        <v>19518.839999999997</v>
      </c>
      <c r="AU79" s="52">
        <v>20910.12</v>
      </c>
      <c r="AV79" s="52">
        <v>1391.28</v>
      </c>
      <c r="AW79" s="52">
        <v>2782.56</v>
      </c>
      <c r="AX79" s="52">
        <v>4173.8399999999992</v>
      </c>
      <c r="AY79" s="52">
        <v>19887.12</v>
      </c>
      <c r="AZ79" s="52">
        <v>21278.399999999998</v>
      </c>
      <c r="BA79" s="52">
        <v>1391.28</v>
      </c>
      <c r="BB79" s="52">
        <v>2782.56</v>
      </c>
      <c r="BC79" s="52">
        <v>18495.84</v>
      </c>
      <c r="BD79" s="53">
        <f ca="1">OFFSET($B79,0,Assumptions!$C$8+1,1,1)</f>
        <v>19068.719999999998</v>
      </c>
      <c r="BE79" s="53">
        <f ca="1">OFFSET($B79,0,SUM(Assumptions!$C$8:$C$9)+1,1,1)</f>
        <v>18045.719999999998</v>
      </c>
      <c r="BF79" s="53">
        <f ca="1">OFFSET($B79,0,SUM(Assumptions!$C$8:$C$10)+1,1,1)</f>
        <v>18127.559999999998</v>
      </c>
      <c r="BG79" s="53">
        <f ca="1">OFFSET($B79,0,SUM(Assumptions!$C$8:$C$11)+1,1,1)</f>
        <v>18495.84</v>
      </c>
      <c r="BH79" s="53">
        <f t="shared" ca="1" si="26"/>
        <v>18495.84</v>
      </c>
    </row>
    <row r="80" spans="1:60" ht="16.149999999999999" customHeight="1" x14ac:dyDescent="0.3">
      <c r="A80" s="298" t="s">
        <v>133</v>
      </c>
      <c r="B80" s="12" t="s">
        <v>134</v>
      </c>
      <c r="C80" s="51">
        <f ca="1">-SUMIF(Assumptions!$A$81:$C$104,$A80,Assumptions!$C$81:$C$104)</f>
        <v>55000</v>
      </c>
      <c r="D80" s="127">
        <v>0</v>
      </c>
      <c r="E80" s="52">
        <v>0</v>
      </c>
      <c r="F80" s="52">
        <v>0</v>
      </c>
      <c r="G80" s="52">
        <v>0</v>
      </c>
      <c r="H80" s="52">
        <v>0</v>
      </c>
      <c r="I80" s="52">
        <v>0</v>
      </c>
      <c r="J80" s="52">
        <v>0</v>
      </c>
      <c r="K80" s="52">
        <v>0</v>
      </c>
      <c r="L80" s="52">
        <v>0</v>
      </c>
      <c r="M80" s="52">
        <v>0</v>
      </c>
      <c r="N80" s="52">
        <v>0</v>
      </c>
      <c r="O80" s="52">
        <v>0</v>
      </c>
      <c r="P80" s="52">
        <v>0</v>
      </c>
      <c r="Q80" s="52">
        <v>0</v>
      </c>
      <c r="R80" s="52">
        <v>0</v>
      </c>
      <c r="S80" s="52">
        <v>0</v>
      </c>
      <c r="T80" s="52">
        <v>0</v>
      </c>
      <c r="U80" s="52">
        <v>0</v>
      </c>
      <c r="V80" s="52">
        <v>0</v>
      </c>
      <c r="W80" s="52">
        <v>0</v>
      </c>
      <c r="X80" s="52">
        <v>0</v>
      </c>
      <c r="Y80" s="52">
        <v>0</v>
      </c>
      <c r="Z80" s="52">
        <v>0</v>
      </c>
      <c r="AA80" s="52">
        <v>0</v>
      </c>
      <c r="AB80" s="52">
        <v>0</v>
      </c>
      <c r="AC80" s="52">
        <v>0</v>
      </c>
      <c r="AD80" s="52">
        <v>0</v>
      </c>
      <c r="AE80" s="52">
        <v>0</v>
      </c>
      <c r="AF80" s="52">
        <v>0</v>
      </c>
      <c r="AG80" s="52">
        <v>0</v>
      </c>
      <c r="AH80" s="52">
        <v>0</v>
      </c>
      <c r="AI80" s="52">
        <v>0</v>
      </c>
      <c r="AJ80" s="52">
        <v>0</v>
      </c>
      <c r="AK80" s="52">
        <v>0</v>
      </c>
      <c r="AL80" s="52">
        <v>0</v>
      </c>
      <c r="AM80" s="52">
        <v>0</v>
      </c>
      <c r="AN80" s="52">
        <v>0</v>
      </c>
      <c r="AO80" s="52">
        <v>0</v>
      </c>
      <c r="AP80" s="52">
        <v>0</v>
      </c>
      <c r="AQ80" s="52">
        <v>0</v>
      </c>
      <c r="AR80" s="52">
        <v>0</v>
      </c>
      <c r="AS80" s="52">
        <v>0</v>
      </c>
      <c r="AT80" s="52">
        <v>0</v>
      </c>
      <c r="AU80" s="52">
        <v>0</v>
      </c>
      <c r="AV80" s="52">
        <v>0</v>
      </c>
      <c r="AW80" s="52">
        <v>0</v>
      </c>
      <c r="AX80" s="52">
        <v>0</v>
      </c>
      <c r="AY80" s="52">
        <v>0</v>
      </c>
      <c r="AZ80" s="52">
        <v>0</v>
      </c>
      <c r="BA80" s="52">
        <v>0</v>
      </c>
      <c r="BB80" s="52">
        <v>0</v>
      </c>
      <c r="BC80" s="52">
        <v>50000</v>
      </c>
      <c r="BD80" s="53">
        <f ca="1">OFFSET($B80,0,Assumptions!$C$8+1,1,1)</f>
        <v>0</v>
      </c>
      <c r="BE80" s="53">
        <f ca="1">OFFSET($B80,0,SUM(Assumptions!$C$8:$C$9)+1,1,1)</f>
        <v>0</v>
      </c>
      <c r="BF80" s="53">
        <f ca="1">OFFSET($B80,0,SUM(Assumptions!$C$8:$C$10)+1,1,1)</f>
        <v>0</v>
      </c>
      <c r="BG80" s="53">
        <f ca="1">OFFSET($B80,0,SUM(Assumptions!$C$8:$C$11)+1,1,1)</f>
        <v>50000</v>
      </c>
      <c r="BH80" s="53">
        <f t="shared" ca="1" si="26"/>
        <v>50000</v>
      </c>
    </row>
    <row r="81" spans="1:60" ht="16.149999999999999" customHeight="1" x14ac:dyDescent="0.3">
      <c r="A81" s="298" t="s">
        <v>195</v>
      </c>
      <c r="B81" s="12" t="s">
        <v>196</v>
      </c>
      <c r="C81" s="51">
        <f ca="1">-SUMIF(Assumptions!$A$81:$C$104,$A81,Assumptions!$C$81:$C$104)</f>
        <v>0</v>
      </c>
      <c r="D81" s="127">
        <v>3859.3333333333335</v>
      </c>
      <c r="E81" s="52">
        <v>9495.4589333333333</v>
      </c>
      <c r="F81" s="52">
        <v>20313.1656</v>
      </c>
      <c r="G81" s="52">
        <v>14353.346933333334</v>
      </c>
      <c r="H81" s="52">
        <v>17581.519235891887</v>
      </c>
      <c r="I81" s="52">
        <v>18331.933239369799</v>
      </c>
      <c r="J81" s="52">
        <v>27614.491758062904</v>
      </c>
      <c r="K81" s="52">
        <v>36338.451758062904</v>
      </c>
      <c r="L81" s="52">
        <v>20236.155758062901</v>
      </c>
      <c r="M81" s="52">
        <v>20779.474986855694</v>
      </c>
      <c r="N81" s="52">
        <v>32629.262134552144</v>
      </c>
      <c r="O81" s="52">
        <v>46116.451467885483</v>
      </c>
      <c r="P81" s="52">
        <v>26839.89813455215</v>
      </c>
      <c r="Q81" s="52">
        <v>34775.721120692404</v>
      </c>
      <c r="R81" s="52">
        <v>44216.863732183338</v>
      </c>
      <c r="S81" s="52">
        <v>56370.049065516672</v>
      </c>
      <c r="T81" s="52">
        <v>47096.430865516675</v>
      </c>
      <c r="U81" s="52">
        <v>52723.081345766645</v>
      </c>
      <c r="V81" s="52">
        <v>56443.21739311923</v>
      </c>
      <c r="W81" s="52">
        <v>69311.996258922823</v>
      </c>
      <c r="X81" s="52">
        <v>79034.688258922819</v>
      </c>
      <c r="Y81" s="52">
        <v>66435.035458922823</v>
      </c>
      <c r="Z81" s="52">
        <v>69362.917543164658</v>
      </c>
      <c r="AA81" s="52">
        <v>79833.490677820111</v>
      </c>
      <c r="AB81" s="52">
        <v>91894.12667782011</v>
      </c>
      <c r="AC81" s="52">
        <v>75913.014677820116</v>
      </c>
      <c r="AD81" s="52">
        <v>0</v>
      </c>
      <c r="AE81" s="52">
        <v>11371.809668356891</v>
      </c>
      <c r="AF81" s="52">
        <v>25608.459888595346</v>
      </c>
      <c r="AG81" s="52">
        <v>41651.022088595346</v>
      </c>
      <c r="AH81" s="52">
        <v>28899.993192742906</v>
      </c>
      <c r="AI81" s="52">
        <v>33630.538226537647</v>
      </c>
      <c r="AJ81" s="52">
        <v>47264.052974710277</v>
      </c>
      <c r="AK81" s="52">
        <v>62412.904174710282</v>
      </c>
      <c r="AL81" s="52">
        <v>47057.580974710276</v>
      </c>
      <c r="AM81" s="52">
        <v>55380.422914462659</v>
      </c>
      <c r="AN81" s="52">
        <v>67699.511116269074</v>
      </c>
      <c r="AO81" s="52">
        <v>82793.411756269081</v>
      </c>
      <c r="AP81" s="52">
        <v>64606.161836269079</v>
      </c>
      <c r="AQ81" s="52">
        <v>77672.766141922999</v>
      </c>
      <c r="AR81" s="52">
        <v>81270.076258257061</v>
      </c>
      <c r="AS81" s="52">
        <v>87448.667364639216</v>
      </c>
      <c r="AT81" s="52">
        <v>74549.425764639222</v>
      </c>
      <c r="AU81" s="52">
        <v>73615.764533243841</v>
      </c>
      <c r="AV81" s="52">
        <v>71565.255804455548</v>
      </c>
      <c r="AW81" s="52">
        <v>84171.238385561534</v>
      </c>
      <c r="AX81" s="52">
        <v>102528.52670556154</v>
      </c>
      <c r="AY81" s="52">
        <v>89015.134972228218</v>
      </c>
      <c r="AZ81" s="52">
        <v>98279.464820085908</v>
      </c>
      <c r="BA81" s="52">
        <v>110058.32298490976</v>
      </c>
      <c r="BB81" s="52">
        <v>125034.90698490976</v>
      </c>
      <c r="BC81" s="52">
        <v>107766.01898490975</v>
      </c>
      <c r="BD81" s="53">
        <f ca="1">OFFSET($B81,0,Assumptions!$C$8+1,1,1)</f>
        <v>26839.89813455215</v>
      </c>
      <c r="BE81" s="53">
        <f ca="1">OFFSET($B81,0,SUM(Assumptions!$C$8:$C$9)+1,1,1)</f>
        <v>75913.014677820116</v>
      </c>
      <c r="BF81" s="53">
        <f ca="1">OFFSET($B81,0,SUM(Assumptions!$C$8:$C$10)+1,1,1)</f>
        <v>64606.161836269079</v>
      </c>
      <c r="BG81" s="53">
        <f ca="1">OFFSET($B81,0,SUM(Assumptions!$C$8:$C$11)+1,1,1)</f>
        <v>107766.01898490975</v>
      </c>
      <c r="BH81" s="53">
        <f t="shared" ca="1" si="26"/>
        <v>107766.01898490975</v>
      </c>
    </row>
    <row r="82" spans="1:60" ht="16.149999999999999" customHeight="1" x14ac:dyDescent="0.3">
      <c r="A82" s="298" t="s">
        <v>276</v>
      </c>
      <c r="B82" s="12" t="s">
        <v>278</v>
      </c>
      <c r="C82" s="51">
        <v>0</v>
      </c>
      <c r="D82" s="127">
        <v>0</v>
      </c>
      <c r="E82" s="52">
        <v>0</v>
      </c>
      <c r="F82" s="52">
        <v>0</v>
      </c>
      <c r="G82" s="52">
        <v>0</v>
      </c>
      <c r="H82" s="52">
        <v>0</v>
      </c>
      <c r="I82" s="52">
        <v>0</v>
      </c>
      <c r="J82" s="52">
        <v>0</v>
      </c>
      <c r="K82" s="52">
        <v>0</v>
      </c>
      <c r="L82" s="52">
        <v>0</v>
      </c>
      <c r="M82" s="52">
        <v>0</v>
      </c>
      <c r="N82" s="52">
        <v>0</v>
      </c>
      <c r="O82" s="52">
        <v>0</v>
      </c>
      <c r="P82" s="52">
        <v>0</v>
      </c>
      <c r="Q82" s="52">
        <v>0</v>
      </c>
      <c r="R82" s="52">
        <v>0</v>
      </c>
      <c r="S82" s="52">
        <v>0</v>
      </c>
      <c r="T82" s="52">
        <v>0</v>
      </c>
      <c r="U82" s="52">
        <v>0</v>
      </c>
      <c r="V82" s="52">
        <v>0</v>
      </c>
      <c r="W82" s="52">
        <v>0</v>
      </c>
      <c r="X82" s="52">
        <v>0</v>
      </c>
      <c r="Y82" s="52">
        <v>0</v>
      </c>
      <c r="Z82" s="52">
        <v>0</v>
      </c>
      <c r="AA82" s="52">
        <v>0</v>
      </c>
      <c r="AB82" s="52">
        <v>0</v>
      </c>
      <c r="AC82" s="52">
        <v>0</v>
      </c>
      <c r="AD82" s="52">
        <v>0</v>
      </c>
      <c r="AE82" s="52">
        <v>0</v>
      </c>
      <c r="AF82" s="52">
        <v>0</v>
      </c>
      <c r="AG82" s="52">
        <v>0</v>
      </c>
      <c r="AH82" s="52">
        <v>0</v>
      </c>
      <c r="AI82" s="52">
        <v>0</v>
      </c>
      <c r="AJ82" s="52">
        <v>0</v>
      </c>
      <c r="AK82" s="52">
        <v>0</v>
      </c>
      <c r="AL82" s="52">
        <v>0</v>
      </c>
      <c r="AM82" s="52">
        <v>0</v>
      </c>
      <c r="AN82" s="52">
        <v>0</v>
      </c>
      <c r="AO82" s="52">
        <v>0</v>
      </c>
      <c r="AP82" s="52">
        <v>0</v>
      </c>
      <c r="AQ82" s="52">
        <v>0</v>
      </c>
      <c r="AR82" s="52">
        <v>0</v>
      </c>
      <c r="AS82" s="52">
        <v>0</v>
      </c>
      <c r="AT82" s="52">
        <v>0</v>
      </c>
      <c r="AU82" s="52">
        <v>0</v>
      </c>
      <c r="AV82" s="52">
        <v>0</v>
      </c>
      <c r="AW82" s="52">
        <v>0</v>
      </c>
      <c r="AX82" s="52">
        <v>0</v>
      </c>
      <c r="AY82" s="52">
        <v>0</v>
      </c>
      <c r="AZ82" s="52">
        <v>0</v>
      </c>
      <c r="BA82" s="52">
        <v>0</v>
      </c>
      <c r="BB82" s="52">
        <v>0</v>
      </c>
      <c r="BC82" s="52">
        <v>0</v>
      </c>
      <c r="BD82" s="53">
        <f ca="1">OFFSET($B82,0,Assumptions!$C$8+1,1,1)</f>
        <v>0</v>
      </c>
      <c r="BE82" s="53">
        <f ca="1">OFFSET($B82,0,SUM(Assumptions!$C$8:$C$9)+1,1,1)</f>
        <v>0</v>
      </c>
      <c r="BF82" s="53">
        <f ca="1">OFFSET($B82,0,SUM(Assumptions!$C$8:$C$10)+1,1,1)</f>
        <v>0</v>
      </c>
      <c r="BG82" s="53">
        <f ca="1">OFFSET($B82,0,SUM(Assumptions!$C$8:$C$11)+1,1,1)</f>
        <v>0</v>
      </c>
      <c r="BH82" s="53">
        <f ca="1">BG82</f>
        <v>0</v>
      </c>
    </row>
    <row r="83" spans="1:60" ht="16.149999999999999" customHeight="1" x14ac:dyDescent="0.3">
      <c r="A83" s="298" t="s">
        <v>135</v>
      </c>
      <c r="B83" s="12" t="s">
        <v>136</v>
      </c>
      <c r="C83" s="122">
        <f ca="1">-SUMIF(Assumptions!$A$81:$C$104,$A83,Assumptions!$C$81:$C$104)</f>
        <v>42000</v>
      </c>
      <c r="D83" s="121">
        <v>0</v>
      </c>
      <c r="E83" s="52">
        <v>0</v>
      </c>
      <c r="F83" s="52">
        <v>0</v>
      </c>
      <c r="G83" s="52">
        <v>0</v>
      </c>
      <c r="H83" s="52">
        <v>0</v>
      </c>
      <c r="I83" s="52">
        <v>0</v>
      </c>
      <c r="J83" s="52">
        <v>0</v>
      </c>
      <c r="K83" s="52">
        <v>0</v>
      </c>
      <c r="L83" s="52">
        <v>0</v>
      </c>
      <c r="M83" s="52">
        <v>0</v>
      </c>
      <c r="N83" s="52">
        <v>0</v>
      </c>
      <c r="O83" s="52">
        <v>0</v>
      </c>
      <c r="P83" s="52">
        <v>0</v>
      </c>
      <c r="Q83" s="52">
        <v>0</v>
      </c>
      <c r="R83" s="52">
        <v>0</v>
      </c>
      <c r="S83" s="52">
        <v>0</v>
      </c>
      <c r="T83" s="52">
        <v>0</v>
      </c>
      <c r="U83" s="52">
        <v>0</v>
      </c>
      <c r="V83" s="52">
        <v>0</v>
      </c>
      <c r="W83" s="52">
        <v>0</v>
      </c>
      <c r="X83" s="52">
        <v>0</v>
      </c>
      <c r="Y83" s="52">
        <v>0</v>
      </c>
      <c r="Z83" s="52">
        <v>0</v>
      </c>
      <c r="AA83" s="52">
        <v>0</v>
      </c>
      <c r="AB83" s="52">
        <v>0</v>
      </c>
      <c r="AC83" s="52">
        <v>0</v>
      </c>
      <c r="AD83" s="52">
        <v>0</v>
      </c>
      <c r="AE83" s="52">
        <v>0</v>
      </c>
      <c r="AF83" s="52">
        <v>0</v>
      </c>
      <c r="AG83" s="52">
        <v>0</v>
      </c>
      <c r="AH83" s="52">
        <v>0</v>
      </c>
      <c r="AI83" s="52">
        <v>0</v>
      </c>
      <c r="AJ83" s="52">
        <v>0</v>
      </c>
      <c r="AK83" s="52">
        <v>0</v>
      </c>
      <c r="AL83" s="52">
        <v>0</v>
      </c>
      <c r="AM83" s="52">
        <v>0</v>
      </c>
      <c r="AN83" s="52">
        <v>0</v>
      </c>
      <c r="AO83" s="52">
        <v>0</v>
      </c>
      <c r="AP83" s="52">
        <v>0</v>
      </c>
      <c r="AQ83" s="52">
        <v>0</v>
      </c>
      <c r="AR83" s="52">
        <v>0</v>
      </c>
      <c r="AS83" s="52">
        <v>0</v>
      </c>
      <c r="AT83" s="52">
        <v>0</v>
      </c>
      <c r="AU83" s="52">
        <v>0</v>
      </c>
      <c r="AV83" s="52">
        <v>0</v>
      </c>
      <c r="AW83" s="52">
        <v>0</v>
      </c>
      <c r="AX83" s="52">
        <v>0</v>
      </c>
      <c r="AY83" s="52">
        <v>0</v>
      </c>
      <c r="AZ83" s="52">
        <v>0</v>
      </c>
      <c r="BA83" s="52">
        <v>0</v>
      </c>
      <c r="BB83" s="52">
        <v>0</v>
      </c>
      <c r="BC83" s="52">
        <v>32000</v>
      </c>
      <c r="BD83" s="53">
        <f ca="1">OFFSET($B83,0,Assumptions!$C$8+1,1,1)</f>
        <v>0</v>
      </c>
      <c r="BE83" s="53">
        <f ca="1">OFFSET($B83,0,SUM(Assumptions!$C$8:$C$9)+1,1,1)</f>
        <v>0</v>
      </c>
      <c r="BF83" s="53">
        <f ca="1">OFFSET($B83,0,SUM(Assumptions!$C$8:$C$10)+1,1,1)</f>
        <v>0</v>
      </c>
      <c r="BG83" s="53">
        <f ca="1">OFFSET($B83,0,SUM(Assumptions!$C$8:$C$11)+1,1,1)</f>
        <v>32000</v>
      </c>
      <c r="BH83" s="53">
        <f ca="1">BG83</f>
        <v>32000</v>
      </c>
    </row>
    <row r="84" spans="1:60" s="125" customFormat="1" ht="16.149999999999999" customHeight="1" thickBot="1" x14ac:dyDescent="0.35">
      <c r="A84" s="298"/>
      <c r="B84" s="123"/>
      <c r="C84" s="124">
        <f ca="1">SUM(C76:C83)</f>
        <v>263000</v>
      </c>
      <c r="D84" s="124">
        <f t="shared" ref="D84:BH84" ca="1" si="27">SUM(D76:D83)</f>
        <v>177760.76333333334</v>
      </c>
      <c r="E84" s="124">
        <f t="shared" ca="1" si="27"/>
        <v>153371.36453333331</v>
      </c>
      <c r="F84" s="124">
        <f t="shared" ca="1" si="27"/>
        <v>186697.26548571428</v>
      </c>
      <c r="G84" s="124">
        <f t="shared" ca="1" si="27"/>
        <v>190069.94184761908</v>
      </c>
      <c r="H84" s="124">
        <f t="shared" ca="1" si="27"/>
        <v>231890.71259303472</v>
      </c>
      <c r="I84" s="124">
        <f t="shared" ca="1" si="27"/>
        <v>198435.02390365544</v>
      </c>
      <c r="J84" s="124">
        <f t="shared" ca="1" si="27"/>
        <v>235711.90207234857</v>
      </c>
      <c r="K84" s="124">
        <f t="shared" ca="1" si="27"/>
        <v>226289.04332949148</v>
      </c>
      <c r="L84" s="124">
        <f t="shared" ca="1" si="27"/>
        <v>237478.0484580629</v>
      </c>
      <c r="M84" s="124">
        <f t="shared" ca="1" si="27"/>
        <v>221300.2494868557</v>
      </c>
      <c r="N84" s="124">
        <f t="shared" ca="1" si="27"/>
        <v>228969.15787740925</v>
      </c>
      <c r="O84" s="124">
        <f t="shared" ca="1" si="27"/>
        <v>247997.2714678855</v>
      </c>
      <c r="P84" s="124">
        <f t="shared" ca="1" si="27"/>
        <v>223481.80013455215</v>
      </c>
      <c r="Q84" s="124">
        <f t="shared" ca="1" si="27"/>
        <v>258024.63612069242</v>
      </c>
      <c r="R84" s="124">
        <f t="shared" ca="1" si="27"/>
        <v>236502.4987321833</v>
      </c>
      <c r="S84" s="124">
        <f t="shared" ca="1" si="27"/>
        <v>242196.68306551667</v>
      </c>
      <c r="T84" s="124">
        <f t="shared" ca="1" si="27"/>
        <v>248461.5229726595</v>
      </c>
      <c r="U84" s="124">
        <f t="shared" ca="1" si="27"/>
        <v>274502.92409576662</v>
      </c>
      <c r="V84" s="124">
        <f t="shared" ca="1" si="27"/>
        <v>272737.39639311918</v>
      </c>
      <c r="W84" s="124">
        <f t="shared" ca="1" si="27"/>
        <v>289118.92190177995</v>
      </c>
      <c r="X84" s="124">
        <f t="shared" ca="1" si="27"/>
        <v>298804.9412589228</v>
      </c>
      <c r="Y84" s="124">
        <f t="shared" ca="1" si="27"/>
        <v>268452.82720892283</v>
      </c>
      <c r="Z84" s="124">
        <f t="shared" ca="1" si="27"/>
        <v>282872.78279316466</v>
      </c>
      <c r="AA84" s="124">
        <f t="shared" ca="1" si="27"/>
        <v>290812.90349924867</v>
      </c>
      <c r="AB84" s="124">
        <f t="shared" ca="1" si="27"/>
        <v>286871.98003496299</v>
      </c>
      <c r="AC84" s="124">
        <f t="shared" ca="1" si="27"/>
        <v>336436.24767782015</v>
      </c>
      <c r="AD84" s="124">
        <f t="shared" ca="1" si="27"/>
        <v>233187.37974999999</v>
      </c>
      <c r="AE84" s="124">
        <f t="shared" ca="1" si="27"/>
        <v>243920.77756121405</v>
      </c>
      <c r="AF84" s="124">
        <f t="shared" ca="1" si="27"/>
        <v>237465.73774573818</v>
      </c>
      <c r="AG84" s="124">
        <f t="shared" ca="1" si="27"/>
        <v>274287.30994573818</v>
      </c>
      <c r="AH84" s="124">
        <f t="shared" ca="1" si="27"/>
        <v>248738.88497845715</v>
      </c>
      <c r="AI84" s="124">
        <f t="shared" ca="1" si="27"/>
        <v>239653.22529796619</v>
      </c>
      <c r="AJ84" s="124">
        <f t="shared" ca="1" si="27"/>
        <v>279584.02240328171</v>
      </c>
      <c r="AK84" s="124">
        <f t="shared" ca="1" si="27"/>
        <v>317875.53553185315</v>
      </c>
      <c r="AL84" s="124">
        <f t="shared" ca="1" si="27"/>
        <v>328172.161938996</v>
      </c>
      <c r="AM84" s="124">
        <f t="shared" ca="1" si="27"/>
        <v>341394.92448589124</v>
      </c>
      <c r="AN84" s="124">
        <f t="shared" ca="1" si="27"/>
        <v>324960.00218769768</v>
      </c>
      <c r="AO84" s="124">
        <f t="shared" ca="1" si="27"/>
        <v>313124.20100626908</v>
      </c>
      <c r="AP84" s="124">
        <f t="shared" ca="1" si="27"/>
        <v>310199.9918362691</v>
      </c>
      <c r="AQ84" s="124">
        <f t="shared" ca="1" si="27"/>
        <v>297304.05514192302</v>
      </c>
      <c r="AR84" s="124">
        <f t="shared" ca="1" si="27"/>
        <v>299713.60840111424</v>
      </c>
      <c r="AS84" s="124">
        <f t="shared" ca="1" si="27"/>
        <v>269187.56936463923</v>
      </c>
      <c r="AT84" s="124">
        <f t="shared" ca="1" si="27"/>
        <v>253100.04533606779</v>
      </c>
      <c r="AU84" s="124">
        <f t="shared" ca="1" si="27"/>
        <v>266703.74947610096</v>
      </c>
      <c r="AV84" s="124">
        <f t="shared" ca="1" si="27"/>
        <v>215434.14149016983</v>
      </c>
      <c r="AW84" s="124">
        <f t="shared" ca="1" si="27"/>
        <v>255527.22374984724</v>
      </c>
      <c r="AX84" s="124">
        <f t="shared" ca="1" si="27"/>
        <v>296611.67474127584</v>
      </c>
      <c r="AY84" s="124">
        <f t="shared" ca="1" si="27"/>
        <v>303391.16257222823</v>
      </c>
      <c r="AZ84" s="124">
        <f t="shared" ca="1" si="27"/>
        <v>311926.01027008588</v>
      </c>
      <c r="BA84" s="124">
        <f t="shared" ca="1" si="27"/>
        <v>320668.41391348117</v>
      </c>
      <c r="BB84" s="124">
        <f t="shared" ca="1" si="27"/>
        <v>355496.04609919543</v>
      </c>
      <c r="BC84" s="124">
        <f t="shared" ca="1" si="27"/>
        <v>474175.76129919552</v>
      </c>
      <c r="BD84" s="55">
        <f t="shared" ca="1" si="27"/>
        <v>223481.80013455215</v>
      </c>
      <c r="BE84" s="55">
        <f t="shared" ca="1" si="27"/>
        <v>336436.24767782015</v>
      </c>
      <c r="BF84" s="55">
        <f t="shared" ca="1" si="27"/>
        <v>310199.9918362691</v>
      </c>
      <c r="BG84" s="55">
        <f t="shared" ca="1" si="27"/>
        <v>474175.76129919552</v>
      </c>
      <c r="BH84" s="55">
        <f t="shared" ca="1" si="27"/>
        <v>474175.76129919552</v>
      </c>
    </row>
    <row r="85" spans="1:60" ht="16.149999999999999" customHeight="1" thickBot="1" x14ac:dyDescent="0.35">
      <c r="A85" s="298"/>
      <c r="B85" s="3" t="s">
        <v>115</v>
      </c>
      <c r="C85" s="103">
        <f ca="1">SUM(C68,C74,C84)</f>
        <v>2789000</v>
      </c>
      <c r="D85" s="103">
        <f t="shared" ref="D85:BH85" ca="1" si="28">SUM(D68,D74,D84)</f>
        <v>2710264.3479510979</v>
      </c>
      <c r="E85" s="103">
        <f t="shared" ca="1" si="28"/>
        <v>2687749.3284195326</v>
      </c>
      <c r="F85" s="103">
        <f t="shared" ca="1" si="28"/>
        <v>2748892.1893719137</v>
      </c>
      <c r="G85" s="103">
        <f t="shared" ca="1" si="28"/>
        <v>2736939.6177338185</v>
      </c>
      <c r="H85" s="103">
        <f t="shared" ca="1" si="28"/>
        <v>2784112.4841277734</v>
      </c>
      <c r="I85" s="103">
        <f t="shared" ca="1" si="28"/>
        <v>2747005.7384132189</v>
      </c>
      <c r="J85" s="103">
        <f t="shared" ca="1" si="28"/>
        <v>2800998.5609533517</v>
      </c>
      <c r="K85" s="103">
        <f t="shared" ca="1" si="28"/>
        <v>2814008.7422104944</v>
      </c>
      <c r="L85" s="103">
        <f t="shared" ca="1" si="28"/>
        <v>2784291.843339066</v>
      </c>
      <c r="M85" s="103">
        <f t="shared" ca="1" si="28"/>
        <v>2760401.6417351332</v>
      </c>
      <c r="N85" s="103">
        <f t="shared" ca="1" si="28"/>
        <v>2791322.3658681228</v>
      </c>
      <c r="O85" s="103">
        <f t="shared" ca="1" si="28"/>
        <v>2845031.8234585989</v>
      </c>
      <c r="P85" s="103">
        <f t="shared" ca="1" si="28"/>
        <v>2771448.0721252654</v>
      </c>
      <c r="Q85" s="103">
        <f t="shared" ca="1" si="28"/>
        <v>2822890.6697430303</v>
      </c>
      <c r="R85" s="103">
        <f t="shared" ca="1" si="28"/>
        <v>2812677.0412781318</v>
      </c>
      <c r="S85" s="103">
        <f t="shared" ca="1" si="28"/>
        <v>2849622.2736114655</v>
      </c>
      <c r="T85" s="103">
        <f t="shared" ca="1" si="28"/>
        <v>2832040.6667186082</v>
      </c>
      <c r="U85" s="103">
        <f t="shared" ca="1" si="28"/>
        <v>2869514.7353125634</v>
      </c>
      <c r="V85" s="103">
        <f t="shared" ca="1" si="28"/>
        <v>2871579.6985408664</v>
      </c>
      <c r="W85" s="103">
        <f t="shared" ca="1" si="28"/>
        <v>2913700.348073856</v>
      </c>
      <c r="X85" s="103">
        <f t="shared" ca="1" si="28"/>
        <v>2948387.5754309986</v>
      </c>
      <c r="Y85" s="103">
        <f t="shared" ca="1" si="28"/>
        <v>2886136.3541809986</v>
      </c>
      <c r="Z85" s="103">
        <f t="shared" ca="1" si="28"/>
        <v>2998047.5892006187</v>
      </c>
      <c r="AA85" s="103">
        <f t="shared" ca="1" si="28"/>
        <v>3025492.6256621797</v>
      </c>
      <c r="AB85" s="103">
        <f t="shared" ca="1" si="28"/>
        <v>3052564.7661978938</v>
      </c>
      <c r="AC85" s="103">
        <f t="shared" ca="1" si="28"/>
        <v>3061534.7458407511</v>
      </c>
      <c r="AD85" s="103">
        <f t="shared" ca="1" si="28"/>
        <v>2969500.5270697093</v>
      </c>
      <c r="AE85" s="103">
        <f t="shared" ca="1" si="28"/>
        <v>3003634.513857536</v>
      </c>
      <c r="AF85" s="103">
        <f t="shared" ca="1" si="28"/>
        <v>3026300.5767119541</v>
      </c>
      <c r="AG85" s="103">
        <f t="shared" ca="1" si="28"/>
        <v>3104374.4517119536</v>
      </c>
      <c r="AH85" s="103">
        <f t="shared" ca="1" si="28"/>
        <v>3042217.1371818427</v>
      </c>
      <c r="AI85" s="103">
        <f t="shared" ca="1" si="28"/>
        <v>3039400.9844458592</v>
      </c>
      <c r="AJ85" s="103">
        <f t="shared" ca="1" si="28"/>
        <v>3106833.3296931349</v>
      </c>
      <c r="AK85" s="103">
        <f t="shared" ca="1" si="28"/>
        <v>3184079.0316217067</v>
      </c>
      <c r="AL85" s="103">
        <f t="shared" ca="1" si="28"/>
        <v>3155390.5412288494</v>
      </c>
      <c r="AM85" s="103">
        <f t="shared" ca="1" si="28"/>
        <v>3185658.3633773094</v>
      </c>
      <c r="AN85" s="103">
        <f t="shared" ca="1" si="28"/>
        <v>3187326.9844124112</v>
      </c>
      <c r="AO85" s="103">
        <f t="shared" ca="1" si="28"/>
        <v>3214304.0705909827</v>
      </c>
      <c r="AP85" s="103">
        <f t="shared" ca="1" si="28"/>
        <v>3165112.6473409827</v>
      </c>
      <c r="AQ85" s="103">
        <f t="shared" ca="1" si="28"/>
        <v>3181423.7118823007</v>
      </c>
      <c r="AR85" s="103">
        <f t="shared" ca="1" si="28"/>
        <v>3187080.1736701271</v>
      </c>
      <c r="AS85" s="103">
        <f t="shared" ca="1" si="28"/>
        <v>3164746.716417402</v>
      </c>
      <c r="AT85" s="103">
        <f t="shared" ca="1" si="28"/>
        <v>3115489.7139888308</v>
      </c>
      <c r="AU85" s="103">
        <f t="shared" ca="1" si="28"/>
        <v>3122763.1295682434</v>
      </c>
      <c r="AV85" s="103">
        <f t="shared" ca="1" si="28"/>
        <v>3060162.4369560699</v>
      </c>
      <c r="AW85" s="103">
        <f t="shared" ca="1" si="28"/>
        <v>3124905.1395247742</v>
      </c>
      <c r="AX85" s="103">
        <f t="shared" ca="1" si="28"/>
        <v>3213194.0461962027</v>
      </c>
      <c r="AY85" s="103">
        <f t="shared" ca="1" si="28"/>
        <v>3185724.8124271552</v>
      </c>
      <c r="AZ85" s="103">
        <f t="shared" ca="1" si="28"/>
        <v>3460513.5466414215</v>
      </c>
      <c r="BA85" s="103">
        <f t="shared" ca="1" si="28"/>
        <v>3485593.610321762</v>
      </c>
      <c r="BB85" s="103">
        <f t="shared" ca="1" si="28"/>
        <v>3558932.4585074759</v>
      </c>
      <c r="BC85" s="103">
        <f t="shared" ca="1" si="28"/>
        <v>3633706.4617074765</v>
      </c>
      <c r="BD85" s="103">
        <f t="shared" ca="1" si="28"/>
        <v>2771448.0721252654</v>
      </c>
      <c r="BE85" s="103">
        <f t="shared" ca="1" si="28"/>
        <v>3061534.7458407511</v>
      </c>
      <c r="BF85" s="103">
        <f t="shared" ca="1" si="28"/>
        <v>3165112.6473409827</v>
      </c>
      <c r="BG85" s="103">
        <f t="shared" ca="1" si="28"/>
        <v>3633706.4617074765</v>
      </c>
      <c r="BH85" s="103">
        <f t="shared" ca="1" si="28"/>
        <v>3633706.4617074765</v>
      </c>
    </row>
    <row r="86" spans="1:60" s="113" customFormat="1" ht="16.149999999999999" customHeight="1" thickTop="1" x14ac:dyDescent="0.3">
      <c r="A86" s="296"/>
      <c r="B86" s="19"/>
      <c r="C86" s="111" t="str">
        <f ca="1">IF(ROUND(C62-C85,0)&lt;&gt;0,ROUND(C62-C85,0),"")</f>
        <v/>
      </c>
      <c r="D86" s="111" t="str">
        <f t="shared" ref="D86:BC86" ca="1" si="29">IF(ROUND(D62-D85,0)&lt;&gt;0,ROUND(D62-D85,0),"")</f>
        <v/>
      </c>
      <c r="E86" s="111" t="str">
        <f t="shared" ca="1" si="29"/>
        <v/>
      </c>
      <c r="F86" s="111" t="str">
        <f t="shared" ca="1" si="29"/>
        <v/>
      </c>
      <c r="G86" s="111" t="str">
        <f t="shared" ca="1" si="29"/>
        <v/>
      </c>
      <c r="H86" s="111" t="str">
        <f t="shared" ca="1" si="29"/>
        <v/>
      </c>
      <c r="I86" s="111" t="str">
        <f t="shared" ca="1" si="29"/>
        <v/>
      </c>
      <c r="J86" s="111" t="str">
        <f t="shared" ca="1" si="29"/>
        <v/>
      </c>
      <c r="K86" s="111" t="str">
        <f t="shared" ca="1" si="29"/>
        <v/>
      </c>
      <c r="L86" s="111" t="str">
        <f t="shared" ca="1" si="29"/>
        <v/>
      </c>
      <c r="M86" s="111" t="str">
        <f t="shared" ca="1" si="29"/>
        <v/>
      </c>
      <c r="N86" s="111" t="str">
        <f t="shared" ca="1" si="29"/>
        <v/>
      </c>
      <c r="O86" s="111" t="str">
        <f t="shared" ca="1" si="29"/>
        <v/>
      </c>
      <c r="P86" s="111" t="str">
        <f t="shared" ca="1" si="29"/>
        <v/>
      </c>
      <c r="Q86" s="111" t="str">
        <f t="shared" ca="1" si="29"/>
        <v/>
      </c>
      <c r="R86" s="111" t="str">
        <f t="shared" ca="1" si="29"/>
        <v/>
      </c>
      <c r="S86" s="111" t="str">
        <f t="shared" ca="1" si="29"/>
        <v/>
      </c>
      <c r="T86" s="111" t="str">
        <f t="shared" ca="1" si="29"/>
        <v/>
      </c>
      <c r="U86" s="111" t="str">
        <f t="shared" ca="1" si="29"/>
        <v/>
      </c>
      <c r="V86" s="111" t="str">
        <f t="shared" ca="1" si="29"/>
        <v/>
      </c>
      <c r="W86" s="111" t="str">
        <f t="shared" ca="1" si="29"/>
        <v/>
      </c>
      <c r="X86" s="111" t="str">
        <f t="shared" ca="1" si="29"/>
        <v/>
      </c>
      <c r="Y86" s="111" t="str">
        <f t="shared" ca="1" si="29"/>
        <v/>
      </c>
      <c r="Z86" s="111" t="str">
        <f t="shared" ca="1" si="29"/>
        <v/>
      </c>
      <c r="AA86" s="111" t="str">
        <f t="shared" ca="1" si="29"/>
        <v/>
      </c>
      <c r="AB86" s="111" t="str">
        <f t="shared" ca="1" si="29"/>
        <v/>
      </c>
      <c r="AC86" s="111" t="str">
        <f t="shared" ca="1" si="29"/>
        <v/>
      </c>
      <c r="AD86" s="111" t="str">
        <f t="shared" ca="1" si="29"/>
        <v/>
      </c>
      <c r="AE86" s="111" t="str">
        <f t="shared" ca="1" si="29"/>
        <v/>
      </c>
      <c r="AF86" s="111" t="str">
        <f t="shared" ca="1" si="29"/>
        <v/>
      </c>
      <c r="AG86" s="111" t="str">
        <f t="shared" ca="1" si="29"/>
        <v/>
      </c>
      <c r="AH86" s="111" t="str">
        <f t="shared" ca="1" si="29"/>
        <v/>
      </c>
      <c r="AI86" s="111" t="str">
        <f t="shared" ca="1" si="29"/>
        <v/>
      </c>
      <c r="AJ86" s="111" t="str">
        <f t="shared" ca="1" si="29"/>
        <v/>
      </c>
      <c r="AK86" s="111" t="str">
        <f t="shared" ca="1" si="29"/>
        <v/>
      </c>
      <c r="AL86" s="111" t="str">
        <f t="shared" ca="1" si="29"/>
        <v/>
      </c>
      <c r="AM86" s="111" t="str">
        <f t="shared" ca="1" si="29"/>
        <v/>
      </c>
      <c r="AN86" s="111" t="str">
        <f t="shared" ca="1" si="29"/>
        <v/>
      </c>
      <c r="AO86" s="111" t="str">
        <f t="shared" ca="1" si="29"/>
        <v/>
      </c>
      <c r="AP86" s="111" t="str">
        <f t="shared" ca="1" si="29"/>
        <v/>
      </c>
      <c r="AQ86" s="111" t="str">
        <f t="shared" ca="1" si="29"/>
        <v/>
      </c>
      <c r="AR86" s="111" t="str">
        <f t="shared" ca="1" si="29"/>
        <v/>
      </c>
      <c r="AS86" s="111" t="str">
        <f t="shared" ca="1" si="29"/>
        <v/>
      </c>
      <c r="AT86" s="111" t="str">
        <f t="shared" ca="1" si="29"/>
        <v/>
      </c>
      <c r="AU86" s="111" t="str">
        <f t="shared" ca="1" si="29"/>
        <v/>
      </c>
      <c r="AV86" s="111" t="str">
        <f t="shared" ca="1" si="29"/>
        <v/>
      </c>
      <c r="AW86" s="111" t="str">
        <f t="shared" ca="1" si="29"/>
        <v/>
      </c>
      <c r="AX86" s="111" t="str">
        <f t="shared" ca="1" si="29"/>
        <v/>
      </c>
      <c r="AY86" s="111" t="str">
        <f t="shared" ca="1" si="29"/>
        <v/>
      </c>
      <c r="AZ86" s="111" t="str">
        <f t="shared" ca="1" si="29"/>
        <v/>
      </c>
      <c r="BA86" s="111" t="str">
        <f t="shared" ca="1" si="29"/>
        <v/>
      </c>
      <c r="BB86" s="111" t="str">
        <f t="shared" ca="1" si="29"/>
        <v/>
      </c>
      <c r="BC86" s="111" t="str">
        <f t="shared" ca="1" si="29"/>
        <v/>
      </c>
      <c r="BD86" s="112" t="str">
        <f t="shared" ref="BD86:BH86" ca="1" si="30">IF(ROUND(BD62-BD85,0)&lt;&gt;0,ROUND(BD62-BD85,0),"")</f>
        <v/>
      </c>
      <c r="BE86" s="112" t="str">
        <f t="shared" ca="1" si="30"/>
        <v/>
      </c>
      <c r="BF86" s="112" t="str">
        <f t="shared" ca="1" si="30"/>
        <v/>
      </c>
      <c r="BG86" s="112" t="str">
        <f t="shared" ca="1" si="30"/>
        <v/>
      </c>
      <c r="BH86" s="112" t="str">
        <f t="shared" ca="1" si="30"/>
        <v/>
      </c>
    </row>
    <row r="87" spans="1:60" ht="16.149999999999999" customHeight="1" x14ac:dyDescent="0.3">
      <c r="B87" s="6" t="s">
        <v>95</v>
      </c>
      <c r="C87" s="114"/>
      <c r="D87" s="114">
        <v>7</v>
      </c>
      <c r="E87" s="114">
        <v>7</v>
      </c>
      <c r="F87" s="114">
        <v>7</v>
      </c>
      <c r="G87" s="114">
        <v>7</v>
      </c>
      <c r="H87" s="114">
        <v>7</v>
      </c>
      <c r="I87" s="114">
        <v>7</v>
      </c>
      <c r="J87" s="114">
        <v>7</v>
      </c>
      <c r="K87" s="114">
        <v>7</v>
      </c>
      <c r="L87" s="114">
        <v>7</v>
      </c>
      <c r="M87" s="114">
        <v>7</v>
      </c>
      <c r="N87" s="114">
        <v>7</v>
      </c>
      <c r="O87" s="114">
        <v>7</v>
      </c>
      <c r="P87" s="114">
        <v>7</v>
      </c>
      <c r="Q87" s="114">
        <v>7</v>
      </c>
      <c r="R87" s="114">
        <v>7</v>
      </c>
      <c r="S87" s="114">
        <v>7</v>
      </c>
      <c r="T87" s="114">
        <v>7</v>
      </c>
      <c r="U87" s="114">
        <v>7</v>
      </c>
      <c r="V87" s="114">
        <v>7</v>
      </c>
      <c r="W87" s="114">
        <v>7</v>
      </c>
      <c r="X87" s="114">
        <v>7</v>
      </c>
      <c r="Y87" s="114">
        <v>7</v>
      </c>
      <c r="Z87" s="114">
        <v>7</v>
      </c>
      <c r="AA87" s="114">
        <v>7</v>
      </c>
      <c r="AB87" s="114">
        <v>7</v>
      </c>
      <c r="AC87" s="114">
        <v>7</v>
      </c>
      <c r="AD87" s="114">
        <v>7</v>
      </c>
      <c r="AE87" s="114">
        <v>7</v>
      </c>
      <c r="AF87" s="114">
        <v>7</v>
      </c>
      <c r="AG87" s="114">
        <v>7</v>
      </c>
      <c r="AH87" s="114">
        <v>7</v>
      </c>
      <c r="AI87" s="114">
        <v>7</v>
      </c>
      <c r="AJ87" s="114">
        <v>7</v>
      </c>
      <c r="AK87" s="114">
        <v>7</v>
      </c>
      <c r="AL87" s="114">
        <v>7</v>
      </c>
      <c r="AM87" s="114">
        <v>7</v>
      </c>
      <c r="AN87" s="114">
        <v>7</v>
      </c>
      <c r="AO87" s="114">
        <v>7</v>
      </c>
      <c r="AP87" s="114">
        <v>7</v>
      </c>
      <c r="AQ87" s="114">
        <v>7</v>
      </c>
      <c r="AR87" s="114">
        <v>7</v>
      </c>
      <c r="AS87" s="114">
        <v>7</v>
      </c>
      <c r="AT87" s="114">
        <v>7</v>
      </c>
      <c r="AU87" s="114">
        <v>7</v>
      </c>
      <c r="AV87" s="114">
        <v>7</v>
      </c>
      <c r="AW87" s="114">
        <v>7</v>
      </c>
      <c r="AX87" s="114">
        <v>7</v>
      </c>
      <c r="AY87" s="114">
        <v>7</v>
      </c>
      <c r="AZ87" s="114">
        <v>7</v>
      </c>
      <c r="BA87" s="114">
        <v>7</v>
      </c>
      <c r="BB87" s="114">
        <v>7</v>
      </c>
      <c r="BC87" s="114">
        <v>7</v>
      </c>
      <c r="BD87" s="115">
        <f ca="1">SUM(OFFSET($B87,0,2,1,Assumptions!$C$8))</f>
        <v>91</v>
      </c>
      <c r="BE87" s="115">
        <f ca="1">SUM(OFFSET($B87,0,Assumptions!$C$8+1,1,SUM(Assumptions!$C$9)))</f>
        <v>91</v>
      </c>
      <c r="BF87" s="115">
        <f ca="1">SUM(OFFSET($B87,0,SUM(Assumptions!$C$8:$C$9)+1,1,SUM(Assumptions!$C$10)))</f>
        <v>91</v>
      </c>
      <c r="BG87" s="115">
        <f ca="1">SUM(OFFSET($B87,0,SUM(Assumptions!$C$8:$C$10)+1,1,SUM(Assumptions!$C$11)))</f>
        <v>91</v>
      </c>
      <c r="BH87" s="115">
        <f ca="1">SUM(BD87:BG87)</f>
        <v>364</v>
      </c>
    </row>
    <row r="89" spans="1:60" ht="16.149999999999999" customHeight="1" x14ac:dyDescent="0.3">
      <c r="B89" s="6" t="s">
        <v>260</v>
      </c>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row>
    <row r="90" spans="1:60" ht="16.149999999999999" customHeight="1" x14ac:dyDescent="0.3">
      <c r="B90" s="86" t="s">
        <v>31</v>
      </c>
      <c r="C90" s="132">
        <f>Assumptions!$C$48</f>
        <v>30</v>
      </c>
      <c r="D90" s="132">
        <f>Assumptions!$C$48</f>
        <v>30</v>
      </c>
      <c r="E90" s="132">
        <f>Assumptions!$C$48</f>
        <v>30</v>
      </c>
      <c r="F90" s="132">
        <f>Assumptions!$C$48</f>
        <v>30</v>
      </c>
      <c r="G90" s="132">
        <f>Assumptions!$C$48</f>
        <v>30</v>
      </c>
      <c r="H90" s="132">
        <f>Assumptions!$C$48</f>
        <v>30</v>
      </c>
      <c r="I90" s="132">
        <f>Assumptions!$C$48</f>
        <v>30</v>
      </c>
      <c r="J90" s="132">
        <f>Assumptions!$C$48</f>
        <v>30</v>
      </c>
      <c r="K90" s="132">
        <f>Assumptions!$C$48</f>
        <v>30</v>
      </c>
      <c r="L90" s="132">
        <f>Assumptions!$C$48</f>
        <v>30</v>
      </c>
      <c r="M90" s="132">
        <f>Assumptions!$C$48</f>
        <v>30</v>
      </c>
      <c r="N90" s="132">
        <f>Assumptions!$C$48</f>
        <v>30</v>
      </c>
      <c r="O90" s="132">
        <f>Assumptions!$C$48</f>
        <v>30</v>
      </c>
      <c r="P90" s="132">
        <f>Assumptions!$C$48</f>
        <v>30</v>
      </c>
      <c r="Q90" s="132">
        <f>Assumptions!$C$48</f>
        <v>30</v>
      </c>
      <c r="R90" s="132">
        <f>Assumptions!$C$48</f>
        <v>30</v>
      </c>
      <c r="S90" s="132">
        <f>Assumptions!$C$48</f>
        <v>30</v>
      </c>
      <c r="T90" s="132">
        <f>Assumptions!$C$48</f>
        <v>30</v>
      </c>
      <c r="U90" s="132">
        <f>Assumptions!$C$48</f>
        <v>30</v>
      </c>
      <c r="V90" s="132">
        <f>Assumptions!$C$48</f>
        <v>30</v>
      </c>
      <c r="W90" s="132">
        <f>Assumptions!$C$48</f>
        <v>30</v>
      </c>
      <c r="X90" s="132">
        <f>Assumptions!$C$48</f>
        <v>30</v>
      </c>
      <c r="Y90" s="132">
        <f>Assumptions!$C$48</f>
        <v>30</v>
      </c>
      <c r="Z90" s="132">
        <f>Assumptions!$C$48</f>
        <v>30</v>
      </c>
      <c r="AA90" s="132">
        <f>Assumptions!$C$48</f>
        <v>30</v>
      </c>
      <c r="AB90" s="132">
        <f>Assumptions!$C$48</f>
        <v>30</v>
      </c>
      <c r="AC90" s="132">
        <f>Assumptions!$C$48</f>
        <v>30</v>
      </c>
      <c r="AD90" s="132">
        <f>Assumptions!$C$48</f>
        <v>30</v>
      </c>
      <c r="AE90" s="132">
        <f>Assumptions!$C$48</f>
        <v>30</v>
      </c>
      <c r="AF90" s="132">
        <f>Assumptions!$C$48</f>
        <v>30</v>
      </c>
      <c r="AG90" s="132">
        <f>Assumptions!$C$48</f>
        <v>30</v>
      </c>
      <c r="AH90" s="132">
        <f>Assumptions!$C$48</f>
        <v>30</v>
      </c>
      <c r="AI90" s="132">
        <f>Assumptions!$C$48</f>
        <v>30</v>
      </c>
      <c r="AJ90" s="132">
        <f>Assumptions!$C$48</f>
        <v>30</v>
      </c>
      <c r="AK90" s="132">
        <f>Assumptions!$C$48</f>
        <v>30</v>
      </c>
      <c r="AL90" s="132">
        <f>Assumptions!$C$48</f>
        <v>30</v>
      </c>
      <c r="AM90" s="132">
        <f>Assumptions!$C$48</f>
        <v>30</v>
      </c>
      <c r="AN90" s="132">
        <f>Assumptions!$C$48</f>
        <v>30</v>
      </c>
      <c r="AO90" s="132">
        <f>Assumptions!$C$48</f>
        <v>30</v>
      </c>
      <c r="AP90" s="132">
        <f>Assumptions!$C$48</f>
        <v>30</v>
      </c>
      <c r="AQ90" s="132">
        <f>Assumptions!$C$48</f>
        <v>30</v>
      </c>
      <c r="AR90" s="132">
        <f>Assumptions!$C$48</f>
        <v>30</v>
      </c>
      <c r="AS90" s="132">
        <f>Assumptions!$C$48</f>
        <v>30</v>
      </c>
      <c r="AT90" s="132">
        <f>Assumptions!$C$48</f>
        <v>30</v>
      </c>
      <c r="AU90" s="132">
        <f>Assumptions!$C$48</f>
        <v>30</v>
      </c>
      <c r="AV90" s="132">
        <f>Assumptions!$C$48</f>
        <v>30</v>
      </c>
      <c r="AW90" s="132">
        <f>Assumptions!$C$48</f>
        <v>30</v>
      </c>
      <c r="AX90" s="132">
        <f>Assumptions!$C$48</f>
        <v>30</v>
      </c>
      <c r="AY90" s="132">
        <f>Assumptions!$C$48</f>
        <v>30</v>
      </c>
      <c r="AZ90" s="132">
        <f>Assumptions!$C$48</f>
        <v>30</v>
      </c>
      <c r="BA90" s="132">
        <f>Assumptions!$C$48</f>
        <v>30</v>
      </c>
      <c r="BB90" s="132">
        <f>Assumptions!$C$48</f>
        <v>30</v>
      </c>
      <c r="BC90" s="132">
        <f>Assumptions!$C$48</f>
        <v>30</v>
      </c>
    </row>
    <row r="91" spans="1:60" ht="16.149999999999999" customHeight="1" x14ac:dyDescent="0.3">
      <c r="B91" s="6" t="s">
        <v>261</v>
      </c>
      <c r="C91" s="131"/>
      <c r="D91" s="133">
        <f ca="1">Forecast!C10</f>
        <v>39000</v>
      </c>
      <c r="E91" s="133">
        <f ca="1">Forecast!D10</f>
        <v>32921.600000000006</v>
      </c>
      <c r="F91" s="133">
        <f ca="1">Forecast!E10</f>
        <v>41600</v>
      </c>
      <c r="G91" s="133">
        <f ca="1">Forecast!F10</f>
        <v>42640</v>
      </c>
      <c r="H91" s="133">
        <f ca="1">Forecast!G10</f>
        <v>41088</v>
      </c>
      <c r="I91" s="133">
        <f ca="1">Forecast!H10</f>
        <v>38430</v>
      </c>
      <c r="J91" s="133">
        <f ca="1">Forecast!I10</f>
        <v>34398</v>
      </c>
      <c r="K91" s="133">
        <f ca="1">Forecast!J10</f>
        <v>39690</v>
      </c>
      <c r="L91" s="133">
        <f ca="1">Forecast!K10</f>
        <v>37800</v>
      </c>
      <c r="M91" s="133">
        <f ca="1">Forecast!L10</f>
        <v>40320</v>
      </c>
      <c r="N91" s="133">
        <f ca="1">Forecast!M10</f>
        <v>41580</v>
      </c>
      <c r="O91" s="133">
        <f ca="1">Forecast!N10</f>
        <v>41328</v>
      </c>
      <c r="P91" s="133">
        <f ca="1">Forecast!O10</f>
        <v>39060</v>
      </c>
      <c r="Q91" s="133">
        <f ca="1">Forecast!P10</f>
        <v>44100</v>
      </c>
      <c r="R91" s="133">
        <f ca="1">Forecast!Q10</f>
        <v>40320</v>
      </c>
      <c r="S91" s="133">
        <f ca="1">Forecast!R10</f>
        <v>40698</v>
      </c>
      <c r="T91" s="133">
        <f ca="1">Forecast!S10</f>
        <v>43470</v>
      </c>
      <c r="U91" s="133">
        <f ca="1">Forecast!T10</f>
        <v>44604</v>
      </c>
      <c r="V91" s="133">
        <f ca="1">Forecast!U10</f>
        <v>43722</v>
      </c>
      <c r="W91" s="133">
        <f ca="1">Forecast!V10</f>
        <v>38440</v>
      </c>
      <c r="X91" s="133">
        <f ca="1">Forecast!W10</f>
        <v>39060</v>
      </c>
      <c r="Y91" s="133">
        <f ca="1">Forecast!X10</f>
        <v>43400</v>
      </c>
      <c r="Z91" s="133">
        <f ca="1">Forecast!Y10</f>
        <v>41912</v>
      </c>
      <c r="AA91" s="133">
        <f ca="1">Forecast!Z10</f>
        <v>44888</v>
      </c>
      <c r="AB91" s="133">
        <f ca="1">Forecast!AA10</f>
        <v>44268</v>
      </c>
      <c r="AC91" s="133">
        <f ca="1">Forecast!AB10</f>
        <v>43066</v>
      </c>
      <c r="AD91" s="133">
        <f ca="1">Forecast!AC10</f>
        <v>43440</v>
      </c>
      <c r="AE91" s="133">
        <f ca="1">Forecast!AD10</f>
        <v>44160</v>
      </c>
      <c r="AF91" s="133">
        <f ca="1">Forecast!AE10</f>
        <v>44640</v>
      </c>
      <c r="AG91" s="133">
        <f ca="1">Forecast!AF10</f>
        <v>41880</v>
      </c>
      <c r="AH91" s="133">
        <f ca="1">Forecast!AG10</f>
        <v>44400</v>
      </c>
      <c r="AI91" s="133">
        <f ca="1">Forecast!AH10</f>
        <v>43680</v>
      </c>
      <c r="AJ91" s="133">
        <f ca="1">Forecast!AI10</f>
        <v>45720</v>
      </c>
      <c r="AK91" s="133">
        <f ca="1">Forecast!AJ10</f>
        <v>46680</v>
      </c>
      <c r="AL91" s="133">
        <f ca="1">Forecast!AK10</f>
        <v>44640</v>
      </c>
      <c r="AM91" s="133">
        <f ca="1">Forecast!AL10</f>
        <v>45600</v>
      </c>
      <c r="AN91" s="133">
        <f ca="1">Forecast!AM10</f>
        <v>46200</v>
      </c>
      <c r="AO91" s="133">
        <f ca="1">Forecast!AN10</f>
        <v>44880</v>
      </c>
      <c r="AP91" s="133">
        <f ca="1">Forecast!AO10</f>
        <v>46800</v>
      </c>
      <c r="AQ91" s="133">
        <f ca="1">Forecast!AP10</f>
        <v>42336</v>
      </c>
      <c r="AR91" s="133">
        <f ca="1">Forecast!AQ10</f>
        <v>36144</v>
      </c>
      <c r="AS91" s="133">
        <f ca="1">Forecast!AR10</f>
        <v>38016</v>
      </c>
      <c r="AT91" s="133">
        <f ca="1">Forecast!AS10</f>
        <v>29136</v>
      </c>
      <c r="AU91" s="133">
        <f ca="1">Forecast!AT10</f>
        <v>24489.599999999999</v>
      </c>
      <c r="AV91" s="133">
        <f ca="1">Forecast!AU10</f>
        <v>26553.599999999999</v>
      </c>
      <c r="AW91" s="133">
        <f ca="1">Forecast!AV10</f>
        <v>32760</v>
      </c>
      <c r="AX91" s="133">
        <f ca="1">Forecast!AW10</f>
        <v>45897.599999999999</v>
      </c>
      <c r="AY91" s="133">
        <f ca="1">Forecast!AX10</f>
        <v>45600</v>
      </c>
      <c r="AZ91" s="133">
        <f ca="1">Forecast!AY10</f>
        <v>46560</v>
      </c>
      <c r="BA91" s="133">
        <f ca="1">Forecast!AZ10</f>
        <v>48720</v>
      </c>
      <c r="BB91" s="133">
        <f ca="1">Forecast!BA10</f>
        <v>47328</v>
      </c>
      <c r="BC91" s="133">
        <f ca="1">Forecast!BB10</f>
        <v>46272</v>
      </c>
    </row>
    <row r="92" spans="1:60" ht="16.149999999999999" customHeight="1" x14ac:dyDescent="0.3">
      <c r="B92" s="6" t="s">
        <v>29</v>
      </c>
      <c r="C92" s="131">
        <f>Assumptions!$C$49</f>
        <v>25</v>
      </c>
      <c r="D92" s="131">
        <f>Assumptions!$C$49</f>
        <v>25</v>
      </c>
      <c r="E92" s="131">
        <f>Assumptions!$C$49</f>
        <v>25</v>
      </c>
      <c r="F92" s="131">
        <f>Assumptions!$C$49</f>
        <v>25</v>
      </c>
      <c r="G92" s="131">
        <f>Assumptions!$C$49</f>
        <v>25</v>
      </c>
      <c r="H92" s="131">
        <f>Assumptions!$C$49</f>
        <v>25</v>
      </c>
      <c r="I92" s="131">
        <f>Assumptions!$C$49</f>
        <v>25</v>
      </c>
      <c r="J92" s="131">
        <f>Assumptions!$C$49</f>
        <v>25</v>
      </c>
      <c r="K92" s="131">
        <f>Assumptions!$C$49</f>
        <v>25</v>
      </c>
      <c r="L92" s="131">
        <f>Assumptions!$C$49</f>
        <v>25</v>
      </c>
      <c r="M92" s="131">
        <f>Assumptions!$C$49</f>
        <v>25</v>
      </c>
      <c r="N92" s="131">
        <f>Assumptions!$C$49</f>
        <v>25</v>
      </c>
      <c r="O92" s="131">
        <f>Assumptions!$C$49</f>
        <v>25</v>
      </c>
      <c r="P92" s="131">
        <f>Assumptions!$C$49</f>
        <v>25</v>
      </c>
      <c r="Q92" s="131">
        <f>Assumptions!$C$49</f>
        <v>25</v>
      </c>
      <c r="R92" s="131">
        <f>Assumptions!$C$49</f>
        <v>25</v>
      </c>
      <c r="S92" s="131">
        <f>Assumptions!$C$49</f>
        <v>25</v>
      </c>
      <c r="T92" s="131">
        <f>Assumptions!$C$49</f>
        <v>25</v>
      </c>
      <c r="U92" s="131">
        <f>Assumptions!$C$49</f>
        <v>25</v>
      </c>
      <c r="V92" s="131">
        <f>Assumptions!$C$49</f>
        <v>25</v>
      </c>
      <c r="W92" s="131">
        <f>Assumptions!$C$49</f>
        <v>25</v>
      </c>
      <c r="X92" s="131">
        <f>Assumptions!$C$49</f>
        <v>25</v>
      </c>
      <c r="Y92" s="131">
        <f>Assumptions!$C$49</f>
        <v>25</v>
      </c>
      <c r="Z92" s="131">
        <f>Assumptions!$C$49</f>
        <v>25</v>
      </c>
      <c r="AA92" s="131">
        <f>Assumptions!$C$49</f>
        <v>25</v>
      </c>
      <c r="AB92" s="131">
        <f>Assumptions!$C$49</f>
        <v>25</v>
      </c>
      <c r="AC92" s="131">
        <f>Assumptions!$C$49</f>
        <v>25</v>
      </c>
      <c r="AD92" s="131">
        <f>Assumptions!$C$49</f>
        <v>25</v>
      </c>
      <c r="AE92" s="131">
        <f>Assumptions!$C$49</f>
        <v>25</v>
      </c>
      <c r="AF92" s="131">
        <f>Assumptions!$C$49</f>
        <v>25</v>
      </c>
      <c r="AG92" s="131">
        <f>Assumptions!$C$49</f>
        <v>25</v>
      </c>
      <c r="AH92" s="131">
        <f>Assumptions!$C$49</f>
        <v>25</v>
      </c>
      <c r="AI92" s="131">
        <f>Assumptions!$C$49</f>
        <v>25</v>
      </c>
      <c r="AJ92" s="131">
        <f>Assumptions!$C$49</f>
        <v>25</v>
      </c>
      <c r="AK92" s="131">
        <f>Assumptions!$C$49</f>
        <v>25</v>
      </c>
      <c r="AL92" s="131">
        <f>Assumptions!$C$49</f>
        <v>25</v>
      </c>
      <c r="AM92" s="131">
        <f>Assumptions!$C$49</f>
        <v>25</v>
      </c>
      <c r="AN92" s="131">
        <f>Assumptions!$C$49</f>
        <v>25</v>
      </c>
      <c r="AO92" s="131">
        <f>Assumptions!$C$49</f>
        <v>25</v>
      </c>
      <c r="AP92" s="131">
        <f>Assumptions!$C$49</f>
        <v>25</v>
      </c>
      <c r="AQ92" s="131">
        <f>Assumptions!$C$49</f>
        <v>25</v>
      </c>
      <c r="AR92" s="131">
        <f>Assumptions!$C$49</f>
        <v>25</v>
      </c>
      <c r="AS92" s="131">
        <f>Assumptions!$C$49</f>
        <v>25</v>
      </c>
      <c r="AT92" s="131">
        <f>Assumptions!$C$49</f>
        <v>25</v>
      </c>
      <c r="AU92" s="131">
        <f>Assumptions!$C$49</f>
        <v>25</v>
      </c>
      <c r="AV92" s="131">
        <f>Assumptions!$C$49</f>
        <v>25</v>
      </c>
      <c r="AW92" s="131">
        <f>Assumptions!$C$49</f>
        <v>25</v>
      </c>
      <c r="AX92" s="131">
        <f>Assumptions!$C$49</f>
        <v>25</v>
      </c>
      <c r="AY92" s="131">
        <f>Assumptions!$C$49</f>
        <v>25</v>
      </c>
      <c r="AZ92" s="131">
        <f>Assumptions!$C$49</f>
        <v>25</v>
      </c>
      <c r="BA92" s="131">
        <f>Assumptions!$C$49</f>
        <v>25</v>
      </c>
      <c r="BB92" s="131">
        <f>Assumptions!$C$49</f>
        <v>25</v>
      </c>
      <c r="BC92" s="131">
        <f>Assumptions!$C$49</f>
        <v>25</v>
      </c>
    </row>
    <row r="93" spans="1:60" ht="16.149999999999999" customHeight="1" x14ac:dyDescent="0.3">
      <c r="B93" s="6" t="s">
        <v>262</v>
      </c>
      <c r="C93" s="131"/>
      <c r="D93" s="133">
        <f ca="1">(SUMIF(Forecast!$A$4:$BG$7,"V1C1*",Forecast!C$4:C$7)*(1+Assumptions!$C$59))+(SUMIF(Forecast!$A$4:$BG$7,"V2C1*",Forecast!C$4:C$7)*(1+Assumptions!$C$60))+(SUMIF(Forecast!$A$4:$BG$7,"V3C1*",Forecast!C$4:C$7)*(1+Assumptions!$C$61))+(SUMIF(Forecast!$A$4:$BG$7,"V4C1*",Forecast!C$4:C$7)*(1+Assumptions!$C$62))</f>
        <v>97749.999999999985</v>
      </c>
      <c r="E93" s="133">
        <f ca="1">(SUMIF(Forecast!$A$4:$BG$7,"V1C1*",Forecast!D$4:D$7)*(1+Assumptions!$C$59))+(SUMIF(Forecast!$A$4:$BG$7,"V2C1*",Forecast!D$4:D$7)*(1+Assumptions!$C$60))+(SUMIF(Forecast!$A$4:$BG$7,"V3C1*",Forecast!D$4:D$7)*(1+Assumptions!$C$61))+(SUMIF(Forecast!$A$4:$BG$7,"V4C1*",Forecast!D$4:D$7)*(1+Assumptions!$C$62))</f>
        <v>83311.366666666654</v>
      </c>
      <c r="F93" s="133">
        <f ca="1">(SUMIF(Forecast!$A$4:$BG$7,"V1C1*",Forecast!E$4:E$7)*(1+Assumptions!$C$59))+(SUMIF(Forecast!$A$4:$BG$7,"V2C1*",Forecast!E$4:E$7)*(1+Assumptions!$C$60))+(SUMIF(Forecast!$A$4:$BG$7,"V3C1*",Forecast!E$4:E$7)*(1+Assumptions!$C$61))+(SUMIF(Forecast!$A$4:$BG$7,"V4C1*",Forecast!E$4:E$7)*(1+Assumptions!$C$62))</f>
        <v>102426.66666666667</v>
      </c>
      <c r="G93" s="133">
        <f ca="1">(SUMIF(Forecast!$A$4:$BG$7,"V1C1*",Forecast!F$4:F$7)*(1+Assumptions!$C$59))+(SUMIF(Forecast!$A$4:$BG$7,"V2C1*",Forecast!F$4:F$7)*(1+Assumptions!$C$60))+(SUMIF(Forecast!$A$4:$BG$7,"V3C1*",Forecast!F$4:F$7)*(1+Assumptions!$C$61))+(SUMIF(Forecast!$A$4:$BG$7,"V4C1*",Forecast!F$4:F$7)*(1+Assumptions!$C$62))</f>
        <v>105930.33333333331</v>
      </c>
      <c r="H93" s="133">
        <f ca="1">(SUMIF(Forecast!$A$4:$BG$7,"V1C1*",Forecast!G$4:G$7)*(1+Assumptions!$C$59))+(SUMIF(Forecast!$A$4:$BG$7,"V2C1*",Forecast!G$4:G$7)*(1+Assumptions!$C$60))+(SUMIF(Forecast!$A$4:$BG$7,"V3C1*",Forecast!G$4:G$7)*(1+Assumptions!$C$61))+(SUMIF(Forecast!$A$4:$BG$7,"V4C1*",Forecast!G$4:G$7)*(1+Assumptions!$C$62))</f>
        <v>106438.24999999999</v>
      </c>
      <c r="I93" s="133">
        <f ca="1">(SUMIF(Forecast!$A$4:$BG$7,"V1C1*",Forecast!H$4:H$7)*(1+Assumptions!$C$59))+(SUMIF(Forecast!$A$4:$BG$7,"V2C1*",Forecast!H$4:H$7)*(1+Assumptions!$C$60))+(SUMIF(Forecast!$A$4:$BG$7,"V3C1*",Forecast!H$4:H$7)*(1+Assumptions!$C$61))+(SUMIF(Forecast!$A$4:$BG$7,"V4C1*",Forecast!H$4:H$7)*(1+Assumptions!$C$62))</f>
        <v>102009.79166666667</v>
      </c>
      <c r="J93" s="133">
        <f ca="1">(SUMIF(Forecast!$A$4:$BG$7,"V1C1*",Forecast!I$4:I$7)*(1+Assumptions!$C$59))+(SUMIF(Forecast!$A$4:$BG$7,"V2C1*",Forecast!I$4:I$7)*(1+Assumptions!$C$60))+(SUMIF(Forecast!$A$4:$BG$7,"V3C1*",Forecast!I$4:I$7)*(1+Assumptions!$C$61))+(SUMIF(Forecast!$A$4:$BG$7,"V4C1*",Forecast!I$4:I$7)*(1+Assumptions!$C$62))</f>
        <v>88690.875</v>
      </c>
      <c r="K93" s="133">
        <f ca="1">(SUMIF(Forecast!$A$4:$BG$7,"V1C1*",Forecast!J$4:J$7)*(1+Assumptions!$C$59))+(SUMIF(Forecast!$A$4:$BG$7,"V2C1*",Forecast!J$4:J$7)*(1+Assumptions!$C$60))+(SUMIF(Forecast!$A$4:$BG$7,"V3C1*",Forecast!J$4:J$7)*(1+Assumptions!$C$61))+(SUMIF(Forecast!$A$4:$BG$7,"V4C1*",Forecast!J$4:J$7)*(1+Assumptions!$C$62))</f>
        <v>104448.74999999999</v>
      </c>
      <c r="L93" s="133">
        <f ca="1">(SUMIF(Forecast!$A$4:$BG$7,"V1C1*",Forecast!K$4:K$7)*(1+Assumptions!$C$59))+(SUMIF(Forecast!$A$4:$BG$7,"V2C1*",Forecast!K$4:K$7)*(1+Assumptions!$C$60))+(SUMIF(Forecast!$A$4:$BG$7,"V3C1*",Forecast!K$4:K$7)*(1+Assumptions!$C$61))+(SUMIF(Forecast!$A$4:$BG$7,"V4C1*",Forecast!K$4:K$7)*(1+Assumptions!$C$62))</f>
        <v>96312.499999999985</v>
      </c>
      <c r="M93" s="133">
        <f ca="1">(SUMIF(Forecast!$A$4:$BG$7,"V1C1*",Forecast!L$4:L$7)*(1+Assumptions!$C$59))+(SUMIF(Forecast!$A$4:$BG$7,"V2C1*",Forecast!L$4:L$7)*(1+Assumptions!$C$60))+(SUMIF(Forecast!$A$4:$BG$7,"V3C1*",Forecast!L$4:L$7)*(1+Assumptions!$C$61))+(SUMIF(Forecast!$A$4:$BG$7,"V4C1*",Forecast!L$4:L$7)*(1+Assumptions!$C$62))</f>
        <v>101506.66666666667</v>
      </c>
      <c r="N93" s="133">
        <f ca="1">(SUMIF(Forecast!$A$4:$BG$7,"V1C1*",Forecast!M$4:M$7)*(1+Assumptions!$C$59))+(SUMIF(Forecast!$A$4:$BG$7,"V2C1*",Forecast!M$4:M$7)*(1+Assumptions!$C$60))+(SUMIF(Forecast!$A$4:$BG$7,"V3C1*",Forecast!M$4:M$7)*(1+Assumptions!$C$61))+(SUMIF(Forecast!$A$4:$BG$7,"V4C1*",Forecast!M$4:M$7)*(1+Assumptions!$C$62))</f>
        <v>109738.74999999999</v>
      </c>
      <c r="O93" s="133">
        <f ca="1">(SUMIF(Forecast!$A$4:$BG$7,"V1C1*",Forecast!N$4:N$7)*(1+Assumptions!$C$59))+(SUMIF(Forecast!$A$4:$BG$7,"V2C1*",Forecast!N$4:N$7)*(1+Assumptions!$C$60))+(SUMIF(Forecast!$A$4:$BG$7,"V3C1*",Forecast!N$4:N$7)*(1+Assumptions!$C$61))+(SUMIF(Forecast!$A$4:$BG$7,"V4C1*",Forecast!N$4:N$7)*(1+Assumptions!$C$62))</f>
        <v>109073.66666666666</v>
      </c>
      <c r="P93" s="133">
        <f ca="1">(SUMIF(Forecast!$A$4:$BG$7,"V1C1*",Forecast!O$4:O$7)*(1+Assumptions!$C$59))+(SUMIF(Forecast!$A$4:$BG$7,"V2C1*",Forecast!O$4:O$7)*(1+Assumptions!$C$60))+(SUMIF(Forecast!$A$4:$BG$7,"V3C1*",Forecast!O$4:O$7)*(1+Assumptions!$C$61))+(SUMIF(Forecast!$A$4:$BG$7,"V4C1*",Forecast!O$4:O$7)*(1+Assumptions!$C$62))</f>
        <v>103682.08333333334</v>
      </c>
      <c r="Q93" s="133">
        <f ca="1">(SUMIF(Forecast!$A$4:$BG$7,"V1C1*",Forecast!P$4:P$7)*(1+Assumptions!$C$59))+(SUMIF(Forecast!$A$4:$BG$7,"V2C1*",Forecast!P$4:P$7)*(1+Assumptions!$C$60))+(SUMIF(Forecast!$A$4:$BG$7,"V3C1*",Forecast!P$4:P$7)*(1+Assumptions!$C$61))+(SUMIF(Forecast!$A$4:$BG$7,"V4C1*",Forecast!P$4:P$7)*(1+Assumptions!$C$62))</f>
        <v>117395.83333333333</v>
      </c>
      <c r="R93" s="133">
        <f ca="1">(SUMIF(Forecast!$A$4:$BG$7,"V1C1*",Forecast!Q$4:Q$7)*(1+Assumptions!$C$59))+(SUMIF(Forecast!$A$4:$BG$7,"V2C1*",Forecast!Q$4:Q$7)*(1+Assumptions!$C$60))+(SUMIF(Forecast!$A$4:$BG$7,"V3C1*",Forecast!Q$4:Q$7)*(1+Assumptions!$C$61))+(SUMIF(Forecast!$A$4:$BG$7,"V4C1*",Forecast!Q$4:Q$7)*(1+Assumptions!$C$62))</f>
        <v>105799.99999999999</v>
      </c>
      <c r="S93" s="133">
        <f ca="1">(SUMIF(Forecast!$A$4:$BG$7,"V1C1*",Forecast!R$4:R$7)*(1+Assumptions!$C$59))+(SUMIF(Forecast!$A$4:$BG$7,"V2C1*",Forecast!R$4:R$7)*(1+Assumptions!$C$60))+(SUMIF(Forecast!$A$4:$BG$7,"V3C1*",Forecast!R$4:R$7)*(1+Assumptions!$C$61))+(SUMIF(Forecast!$A$4:$BG$7,"V4C1*",Forecast!R$4:R$7)*(1+Assumptions!$C$62))</f>
        <v>102767.83333333334</v>
      </c>
      <c r="T93" s="133">
        <f ca="1">(SUMIF(Forecast!$A$4:$BG$7,"V1C1*",Forecast!S$4:S$7)*(1+Assumptions!$C$59))+(SUMIF(Forecast!$A$4:$BG$7,"V2C1*",Forecast!S$4:S$7)*(1+Assumptions!$C$60))+(SUMIF(Forecast!$A$4:$BG$7,"V3C1*",Forecast!S$4:S$7)*(1+Assumptions!$C$61))+(SUMIF(Forecast!$A$4:$BG$7,"V4C1*",Forecast!S$4:S$7)*(1+Assumptions!$C$62))</f>
        <v>112081.87499999999</v>
      </c>
      <c r="U93" s="133">
        <f ca="1">(SUMIF(Forecast!$A$4:$BG$7,"V1C1*",Forecast!T$4:T$7)*(1+Assumptions!$C$59))+(SUMIF(Forecast!$A$4:$BG$7,"V2C1*",Forecast!T$4:T$7)*(1+Assumptions!$C$60))+(SUMIF(Forecast!$A$4:$BG$7,"V3C1*",Forecast!T$4:T$7)*(1+Assumptions!$C$61))+(SUMIF(Forecast!$A$4:$BG$7,"V4C1*",Forecast!T$4:T$7)*(1+Assumptions!$C$62))</f>
        <v>115344.99999999999</v>
      </c>
      <c r="V93" s="133">
        <f ca="1">(SUMIF(Forecast!$A$4:$BG$7,"V1C1*",Forecast!U$4:U$7)*(1+Assumptions!$C$59))+(SUMIF(Forecast!$A$4:$BG$7,"V2C1*",Forecast!U$4:U$7)*(1+Assumptions!$C$60))+(SUMIF(Forecast!$A$4:$BG$7,"V3C1*",Forecast!U$4:U$7)*(1+Assumptions!$C$61))+(SUMIF(Forecast!$A$4:$BG$7,"V4C1*",Forecast!U$4:U$7)*(1+Assumptions!$C$62))</f>
        <v>116057.04166666666</v>
      </c>
      <c r="W93" s="133">
        <f ca="1">(SUMIF(Forecast!$A$4:$BG$7,"V1C1*",Forecast!V$4:V$7)*(1+Assumptions!$C$59))+(SUMIF(Forecast!$A$4:$BG$7,"V2C1*",Forecast!V$4:V$7)*(1+Assumptions!$C$60))+(SUMIF(Forecast!$A$4:$BG$7,"V3C1*",Forecast!V$4:V$7)*(1+Assumptions!$C$61))+(SUMIF(Forecast!$A$4:$BG$7,"V4C1*",Forecast!V$4:V$7)*(1+Assumptions!$C$62))</f>
        <v>103682.08333333334</v>
      </c>
      <c r="X93" s="133">
        <f ca="1">(SUMIF(Forecast!$A$4:$BG$7,"V1C1*",Forecast!W$4:W$7)*(1+Assumptions!$C$59))+(SUMIF(Forecast!$A$4:$BG$7,"V2C1*",Forecast!W$4:W$7)*(1+Assumptions!$C$60))+(SUMIF(Forecast!$A$4:$BG$7,"V3C1*",Forecast!W$4:W$7)*(1+Assumptions!$C$61))+(SUMIF(Forecast!$A$4:$BG$7,"V4C1*",Forecast!W$4:W$7)*(1+Assumptions!$C$62))</f>
        <v>104448.74999999999</v>
      </c>
      <c r="Y93" s="133">
        <f ca="1">(SUMIF(Forecast!$A$4:$BG$7,"V1C1*",Forecast!X$4:X$7)*(1+Assumptions!$C$59))+(SUMIF(Forecast!$A$4:$BG$7,"V2C1*",Forecast!X$4:X$7)*(1+Assumptions!$C$60))+(SUMIF(Forecast!$A$4:$BG$7,"V3C1*",Forecast!X$4:X$7)*(1+Assumptions!$C$61))+(SUMIF(Forecast!$A$4:$BG$7,"V4C1*",Forecast!X$4:X$7)*(1+Assumptions!$C$62))</f>
        <v>117060.41666666666</v>
      </c>
      <c r="Z93" s="133">
        <f ca="1">(SUMIF(Forecast!$A$4:$BG$7,"V1C1*",Forecast!Y$4:Y$7)*(1+Assumptions!$C$59))+(SUMIF(Forecast!$A$4:$BG$7,"V2C1*",Forecast!Y$4:Y$7)*(1+Assumptions!$C$60))+(SUMIF(Forecast!$A$4:$BG$7,"V3C1*",Forecast!Y$4:Y$7)*(1+Assumptions!$C$61))+(SUMIF(Forecast!$A$4:$BG$7,"V4C1*",Forecast!Y$4:Y$7)*(1+Assumptions!$C$62))</f>
        <v>112075.16666666666</v>
      </c>
      <c r="AA93" s="133">
        <f ca="1">(SUMIF(Forecast!$A$4:$BG$7,"V1C1*",Forecast!Z$4:Z$7)*(1+Assumptions!$C$59))+(SUMIF(Forecast!$A$4:$BG$7,"V2C1*",Forecast!Z$4:Z$7)*(1+Assumptions!$C$60))+(SUMIF(Forecast!$A$4:$BG$7,"V3C1*",Forecast!Z$4:Z$7)*(1+Assumptions!$C$61))+(SUMIF(Forecast!$A$4:$BG$7,"V4C1*",Forecast!Z$4:Z$7)*(1+Assumptions!$C$62))</f>
        <v>117604.74999999999</v>
      </c>
      <c r="AB93" s="133">
        <f ca="1">(SUMIF(Forecast!$A$4:$BG$7,"V1C1*",Forecast!AA$4:AA$7)*(1+Assumptions!$C$59))+(SUMIF(Forecast!$A$4:$BG$7,"V2C1*",Forecast!AA$4:AA$7)*(1+Assumptions!$C$60))+(SUMIF(Forecast!$A$4:$BG$7,"V3C1*",Forecast!AA$4:AA$7)*(1+Assumptions!$C$61))+(SUMIF(Forecast!$A$4:$BG$7,"V4C1*",Forecast!AA$4:AA$7)*(1+Assumptions!$C$62))</f>
        <v>114269.74999999999</v>
      </c>
      <c r="AC93" s="133">
        <f ca="1">(SUMIF(Forecast!$A$4:$BG$7,"V1C1*",Forecast!AB$4:AB$7)*(1+Assumptions!$C$59))+(SUMIF(Forecast!$A$4:$BG$7,"V2C1*",Forecast!AB$4:AB$7)*(1+Assumptions!$C$60))+(SUMIF(Forecast!$A$4:$BG$7,"V3C1*",Forecast!AB$4:AB$7)*(1+Assumptions!$C$61))+(SUMIF(Forecast!$A$4:$BG$7,"V4C1*",Forecast!AB$4:AB$7)*(1+Assumptions!$C$62))</f>
        <v>113665.99999999999</v>
      </c>
      <c r="AD93" s="133">
        <f ca="1">(SUMIF(Forecast!$A$4:$BG$7,"V1C1*",Forecast!AC$4:AC$7)*(1+Assumptions!$C$59))+(SUMIF(Forecast!$A$4:$BG$7,"V2C1*",Forecast!AC$4:AC$7)*(1+Assumptions!$C$60))+(SUMIF(Forecast!$A$4:$BG$7,"V3C1*",Forecast!AC$4:AC$7)*(1+Assumptions!$C$61))+(SUMIF(Forecast!$A$4:$BG$7,"V4C1*",Forecast!AC$4:AC$7)*(1+Assumptions!$C$62))</f>
        <v>117257.83333333333</v>
      </c>
      <c r="AE93" s="133">
        <f ca="1">(SUMIF(Forecast!$A$4:$BG$7,"V1C1*",Forecast!AD$4:AD$7)*(1+Assumptions!$C$59))+(SUMIF(Forecast!$A$4:$BG$7,"V2C1*",Forecast!AD$4:AD$7)*(1+Assumptions!$C$60))+(SUMIF(Forecast!$A$4:$BG$7,"V3C1*",Forecast!AD$4:AD$7)*(1+Assumptions!$C$61))+(SUMIF(Forecast!$A$4:$BG$7,"V4C1*",Forecast!AD$4:AD$7)*(1+Assumptions!$C$62))</f>
        <v>117437.99999999999</v>
      </c>
      <c r="AF93" s="133">
        <f ca="1">(SUMIF(Forecast!$A$4:$BG$7,"V1C1*",Forecast!AE$4:AE$7)*(1+Assumptions!$C$59))+(SUMIF(Forecast!$A$4:$BG$7,"V2C1*",Forecast!AE$4:AE$7)*(1+Assumptions!$C$60))+(SUMIF(Forecast!$A$4:$BG$7,"V3C1*",Forecast!AE$4:AE$7)*(1+Assumptions!$C$61))+(SUMIF(Forecast!$A$4:$BG$7,"V4C1*",Forecast!AE$4:AE$7)*(1+Assumptions!$C$62))</f>
        <v>119427.49999999999</v>
      </c>
      <c r="AG93" s="133">
        <f ca="1">(SUMIF(Forecast!$A$4:$BG$7,"V1C1*",Forecast!AF$4:AF$7)*(1+Assumptions!$C$59))+(SUMIF(Forecast!$A$4:$BG$7,"V2C1*",Forecast!AF$4:AF$7)*(1+Assumptions!$C$60))+(SUMIF(Forecast!$A$4:$BG$7,"V3C1*",Forecast!AF$4:AF$7)*(1+Assumptions!$C$61))+(SUMIF(Forecast!$A$4:$BG$7,"V4C1*",Forecast!AF$4:AF$7)*(1+Assumptions!$C$62))</f>
        <v>115388.12499999999</v>
      </c>
      <c r="AH93" s="133">
        <f ca="1">(SUMIF(Forecast!$A$4:$BG$7,"V1C1*",Forecast!AG$4:AG$7)*(1+Assumptions!$C$59))+(SUMIF(Forecast!$A$4:$BG$7,"V2C1*",Forecast!AG$4:AG$7)*(1+Assumptions!$C$60))+(SUMIF(Forecast!$A$4:$BG$7,"V3C1*",Forecast!AG$4:AG$7)*(1+Assumptions!$C$61))+(SUMIF(Forecast!$A$4:$BG$7,"V4C1*",Forecast!AG$4:AG$7)*(1+Assumptions!$C$62))</f>
        <v>123040.41666666664</v>
      </c>
      <c r="AI93" s="133">
        <f ca="1">(SUMIF(Forecast!$A$4:$BG$7,"V1C1*",Forecast!AH$4:AH$7)*(1+Assumptions!$C$59))+(SUMIF(Forecast!$A$4:$BG$7,"V2C1*",Forecast!AH$4:AH$7)*(1+Assumptions!$C$60))+(SUMIF(Forecast!$A$4:$BG$7,"V3C1*",Forecast!AH$4:AH$7)*(1+Assumptions!$C$61))+(SUMIF(Forecast!$A$4:$BG$7,"V4C1*",Forecast!AH$4:AH$7)*(1+Assumptions!$C$62))</f>
        <v>122091.66666666666</v>
      </c>
      <c r="AJ93" s="133">
        <f ca="1">(SUMIF(Forecast!$A$4:$BG$7,"V1C1*",Forecast!AI$4:AI$7)*(1+Assumptions!$C$59))+(SUMIF(Forecast!$A$4:$BG$7,"V2C1*",Forecast!AI$4:AI$7)*(1+Assumptions!$C$60))+(SUMIF(Forecast!$A$4:$BG$7,"V3C1*",Forecast!AI$4:AI$7)*(1+Assumptions!$C$61))+(SUMIF(Forecast!$A$4:$BG$7,"V4C1*",Forecast!AI$4:AI$7)*(1+Assumptions!$C$62))</f>
        <v>121951.74999999999</v>
      </c>
      <c r="AK93" s="133">
        <f ca="1">(SUMIF(Forecast!$A$4:$BG$7,"V1C1*",Forecast!AJ$4:AJ$7)*(1+Assumptions!$C$59))+(SUMIF(Forecast!$A$4:$BG$7,"V2C1*",Forecast!AJ$4:AJ$7)*(1+Assumptions!$C$60))+(SUMIF(Forecast!$A$4:$BG$7,"V3C1*",Forecast!AJ$4:AJ$7)*(1+Assumptions!$C$61))+(SUMIF(Forecast!$A$4:$BG$7,"V4C1*",Forecast!AJ$4:AJ$7)*(1+Assumptions!$C$62))</f>
        <v>128240.33333333333</v>
      </c>
      <c r="AL93" s="133">
        <f ca="1">(SUMIF(Forecast!$A$4:$BG$7,"V1C1*",Forecast!AK$4:AK$7)*(1+Assumptions!$C$59))+(SUMIF(Forecast!$A$4:$BG$7,"V2C1*",Forecast!AK$4:AK$7)*(1+Assumptions!$C$60))+(SUMIF(Forecast!$A$4:$BG$7,"V3C1*",Forecast!AK$4:AK$7)*(1+Assumptions!$C$61))+(SUMIF(Forecast!$A$4:$BG$7,"V4C1*",Forecast!AK$4:AK$7)*(1+Assumptions!$C$62))</f>
        <v>121922.99999999999</v>
      </c>
      <c r="AM93" s="133">
        <f ca="1">(SUMIF(Forecast!$A$4:$BG$7,"V1C1*",Forecast!AL$4:AL$7)*(1+Assumptions!$C$59))+(SUMIF(Forecast!$A$4:$BG$7,"V2C1*",Forecast!AL$4:AL$7)*(1+Assumptions!$C$60))+(SUMIF(Forecast!$A$4:$BG$7,"V3C1*",Forecast!AL$4:AL$7)*(1+Assumptions!$C$61))+(SUMIF(Forecast!$A$4:$BG$7,"V4C1*",Forecast!AL$4:AL$7)*(1+Assumptions!$C$62))</f>
        <v>122359.99999999999</v>
      </c>
      <c r="AN93" s="133">
        <f ca="1">(SUMIF(Forecast!$A$4:$BG$7,"V1C1*",Forecast!AM$4:AM$7)*(1+Assumptions!$C$59))+(SUMIF(Forecast!$A$4:$BG$7,"V2C1*",Forecast!AM$4:AM$7)*(1+Assumptions!$C$60))+(SUMIF(Forecast!$A$4:$BG$7,"V3C1*",Forecast!AM$4:AM$7)*(1+Assumptions!$C$61))+(SUMIF(Forecast!$A$4:$BG$7,"V4C1*",Forecast!AM$4:AM$7)*(1+Assumptions!$C$62))</f>
        <v>126183.74999999999</v>
      </c>
      <c r="AO93" s="133">
        <f ca="1">(SUMIF(Forecast!$A$4:$BG$7,"V1C1*",Forecast!AN$4:AN$7)*(1+Assumptions!$C$59))+(SUMIF(Forecast!$A$4:$BG$7,"V2C1*",Forecast!AN$4:AN$7)*(1+Assumptions!$C$60))+(SUMIF(Forecast!$A$4:$BG$7,"V3C1*",Forecast!AN$4:AN$7)*(1+Assumptions!$C$61))+(SUMIF(Forecast!$A$4:$BG$7,"V4C1*",Forecast!AN$4:AN$7)*(1+Assumptions!$C$62))</f>
        <v>119352.74999999999</v>
      </c>
      <c r="AP93" s="133">
        <f ca="1">(SUMIF(Forecast!$A$4:$BG$7,"V1C1*",Forecast!AO$4:AO$7)*(1+Assumptions!$C$59))+(SUMIF(Forecast!$A$4:$BG$7,"V2C1*",Forecast!AO$4:AO$7)*(1+Assumptions!$C$60))+(SUMIF(Forecast!$A$4:$BG$7,"V3C1*",Forecast!AO$4:AO$7)*(1+Assumptions!$C$61))+(SUMIF(Forecast!$A$4:$BG$7,"V4C1*",Forecast!AO$4:AO$7)*(1+Assumptions!$C$62))</f>
        <v>127822.49999999999</v>
      </c>
      <c r="AQ93" s="133">
        <f ca="1">(SUMIF(Forecast!$A$4:$BG$7,"V1C1*",Forecast!AP$4:AP$7)*(1+Assumptions!$C$59))+(SUMIF(Forecast!$A$4:$BG$7,"V2C1*",Forecast!AP$4:AP$7)*(1+Assumptions!$C$60))+(SUMIF(Forecast!$A$4:$BG$7,"V3C1*",Forecast!AP$4:AP$7)*(1+Assumptions!$C$61))+(SUMIF(Forecast!$A$4:$BG$7,"V4C1*",Forecast!AP$4:AP$7)*(1+Assumptions!$C$62))</f>
        <v>111911.09999999999</v>
      </c>
      <c r="AR93" s="133">
        <f ca="1">(SUMIF(Forecast!$A$4:$BG$7,"V1C1*",Forecast!AQ$4:AQ$7)*(1+Assumptions!$C$59))+(SUMIF(Forecast!$A$4:$BG$7,"V2C1*",Forecast!AQ$4:AQ$7)*(1+Assumptions!$C$60))+(SUMIF(Forecast!$A$4:$BG$7,"V3C1*",Forecast!AQ$4:AQ$7)*(1+Assumptions!$C$61))+(SUMIF(Forecast!$A$4:$BG$7,"V4C1*",Forecast!AQ$4:AQ$7)*(1+Assumptions!$C$62))</f>
        <v>100738.84999999999</v>
      </c>
      <c r="AS93" s="133">
        <f ca="1">(SUMIF(Forecast!$A$4:$BG$7,"V1C1*",Forecast!AR$4:AR$7)*(1+Assumptions!$C$59))+(SUMIF(Forecast!$A$4:$BG$7,"V2C1*",Forecast!AR$4:AR$7)*(1+Assumptions!$C$60))+(SUMIF(Forecast!$A$4:$BG$7,"V3C1*",Forecast!AR$4:AR$7)*(1+Assumptions!$C$61))+(SUMIF(Forecast!$A$4:$BG$7,"V4C1*",Forecast!AR$4:AR$7)*(1+Assumptions!$C$62))</f>
        <v>104438.39999999999</v>
      </c>
      <c r="AT93" s="133">
        <f ca="1">(SUMIF(Forecast!$A$4:$BG$7,"V1C1*",Forecast!AS$4:AS$7)*(1+Assumptions!$C$59))+(SUMIF(Forecast!$A$4:$BG$7,"V2C1*",Forecast!AS$4:AS$7)*(1+Assumptions!$C$60))+(SUMIF(Forecast!$A$4:$BG$7,"V3C1*",Forecast!AS$4:AS$7)*(1+Assumptions!$C$61))+(SUMIF(Forecast!$A$4:$BG$7,"V4C1*",Forecast!AS$4:AS$7)*(1+Assumptions!$C$62))</f>
        <v>77250.866666666669</v>
      </c>
      <c r="AU93" s="133">
        <f ca="1">(SUMIF(Forecast!$A$4:$BG$7,"V1C1*",Forecast!AT$4:AT$7)*(1+Assumptions!$C$59))+(SUMIF(Forecast!$A$4:$BG$7,"V2C1*",Forecast!AT$4:AT$7)*(1+Assumptions!$C$60))+(SUMIF(Forecast!$A$4:$BG$7,"V3C1*",Forecast!AT$4:AT$7)*(1+Assumptions!$C$61))+(SUMIF(Forecast!$A$4:$BG$7,"V4C1*",Forecast!AT$4:AT$7)*(1+Assumptions!$C$62))</f>
        <v>64735.876666666663</v>
      </c>
      <c r="AV93" s="133">
        <f ca="1">(SUMIF(Forecast!$A$4:$BG$7,"V1C1*",Forecast!AU$4:AU$7)*(1+Assumptions!$C$59))+(SUMIF(Forecast!$A$4:$BG$7,"V2C1*",Forecast!AU$4:AU$7)*(1+Assumptions!$C$60))+(SUMIF(Forecast!$A$4:$BG$7,"V3C1*",Forecast!AU$4:AU$7)*(1+Assumptions!$C$61))+(SUMIF(Forecast!$A$4:$BG$7,"V4C1*",Forecast!AU$4:AU$7)*(1+Assumptions!$C$62))</f>
        <v>70191.86</v>
      </c>
      <c r="AW93" s="133">
        <f ca="1">(SUMIF(Forecast!$A$4:$BG$7,"V1C1*",Forecast!AV$4:AV$7)*(1+Assumptions!$C$59))+(SUMIF(Forecast!$A$4:$BG$7,"V2C1*",Forecast!AV$4:AV$7)*(1+Assumptions!$C$60))+(SUMIF(Forecast!$A$4:$BG$7,"V3C1*",Forecast!AV$4:AV$7)*(1+Assumptions!$C$61))+(SUMIF(Forecast!$A$4:$BG$7,"V4C1*",Forecast!AV$4:AV$7)*(1+Assumptions!$C$62))</f>
        <v>90783.875</v>
      </c>
      <c r="AX93" s="133">
        <f ca="1">(SUMIF(Forecast!$A$4:$BG$7,"V1C1*",Forecast!AW$4:AW$7)*(1+Assumptions!$C$59))+(SUMIF(Forecast!$A$4:$BG$7,"V2C1*",Forecast!AW$4:AW$7)*(1+Assumptions!$C$60))+(SUMIF(Forecast!$A$4:$BG$7,"V3C1*",Forecast!AW$4:AW$7)*(1+Assumptions!$C$61))+(SUMIF(Forecast!$A$4:$BG$7,"V4C1*",Forecast!AW$4:AW$7)*(1+Assumptions!$C$62))</f>
        <v>126090.90666666665</v>
      </c>
      <c r="AY93" s="133">
        <f ca="1">(SUMIF(Forecast!$A$4:$BG$7,"V1C1*",Forecast!AX$4:AX$7)*(1+Assumptions!$C$59))+(SUMIF(Forecast!$A$4:$BG$7,"V2C1*",Forecast!AX$4:AX$7)*(1+Assumptions!$C$60))+(SUMIF(Forecast!$A$4:$BG$7,"V3C1*",Forecast!AX$4:AX$7)*(1+Assumptions!$C$61))+(SUMIF(Forecast!$A$4:$BG$7,"V4C1*",Forecast!AX$4:AX$7)*(1+Assumptions!$C$62))</f>
        <v>127094.16666666666</v>
      </c>
      <c r="AZ93" s="133">
        <f ca="1">(SUMIF(Forecast!$A$4:$BG$7,"V1C1*",Forecast!AY$4:AY$7)*(1+Assumptions!$C$59))+(SUMIF(Forecast!$A$4:$BG$7,"V2C1*",Forecast!AY$4:AY$7)*(1+Assumptions!$C$60))+(SUMIF(Forecast!$A$4:$BG$7,"V3C1*",Forecast!AY$4:AY$7)*(1+Assumptions!$C$61))+(SUMIF(Forecast!$A$4:$BG$7,"V4C1*",Forecast!AY$4:AY$7)*(1+Assumptions!$C$62))</f>
        <v>128654.33333333333</v>
      </c>
      <c r="BA93" s="133">
        <f ca="1">(SUMIF(Forecast!$A$4:$BG$7,"V1C1*",Forecast!AZ$4:AZ$7)*(1+Assumptions!$C$59))+(SUMIF(Forecast!$A$4:$BG$7,"V2C1*",Forecast!AZ$4:AZ$7)*(1+Assumptions!$C$60))+(SUMIF(Forecast!$A$4:$BG$7,"V3C1*",Forecast!AZ$4:AZ$7)*(1+Assumptions!$C$61))+(SUMIF(Forecast!$A$4:$BG$7,"V4C1*",Forecast!AZ$4:AZ$7)*(1+Assumptions!$C$62))</f>
        <v>129953.83333333331</v>
      </c>
      <c r="BB93" s="133">
        <f ca="1">(SUMIF(Forecast!$A$4:$BG$7,"V1C1*",Forecast!BA$4:BA$7)*(1+Assumptions!$C$59))+(SUMIF(Forecast!$A$4:$BG$7,"V2C1*",Forecast!BA$4:BA$7)*(1+Assumptions!$C$60))+(SUMIF(Forecast!$A$4:$BG$7,"V3C1*",Forecast!BA$4:BA$7)*(1+Assumptions!$C$61))+(SUMIF(Forecast!$A$4:$BG$7,"V4C1*",Forecast!BA$4:BA$7)*(1+Assumptions!$C$62))</f>
        <v>128130.7</v>
      </c>
      <c r="BC93" s="133">
        <f ca="1">(SUMIF(Forecast!$A$4:$BG$7,"V1C1*",Forecast!BB$4:BB$7)*(1+Assumptions!$C$59))+(SUMIF(Forecast!$A$4:$BG$7,"V2C1*",Forecast!BB$4:BB$7)*(1+Assumptions!$C$60))+(SUMIF(Forecast!$A$4:$BG$7,"V3C1*",Forecast!BB$4:BB$7)*(1+Assumptions!$C$61))+(SUMIF(Forecast!$A$4:$BG$7,"V4C1*",Forecast!BB$4:BB$7)*(1+Assumptions!$C$62))</f>
        <v>128597.59999999999</v>
      </c>
    </row>
    <row r="94" spans="1:60" ht="16.149999999999999" customHeight="1" x14ac:dyDescent="0.3">
      <c r="B94" s="6" t="s">
        <v>30</v>
      </c>
      <c r="C94" s="131">
        <f>Assumptions!$C$50</f>
        <v>20</v>
      </c>
      <c r="D94" s="131">
        <f>Assumptions!$C$50</f>
        <v>20</v>
      </c>
      <c r="E94" s="131">
        <f>Assumptions!$C$50</f>
        <v>20</v>
      </c>
      <c r="F94" s="131">
        <f>Assumptions!$C$50</f>
        <v>20</v>
      </c>
      <c r="G94" s="131">
        <f>Assumptions!$C$50</f>
        <v>20</v>
      </c>
      <c r="H94" s="131">
        <f>Assumptions!$C$50</f>
        <v>20</v>
      </c>
      <c r="I94" s="131">
        <f>Assumptions!$C$50</f>
        <v>20</v>
      </c>
      <c r="J94" s="131">
        <f>Assumptions!$C$50</f>
        <v>20</v>
      </c>
      <c r="K94" s="131">
        <f>Assumptions!$C$50</f>
        <v>20</v>
      </c>
      <c r="L94" s="131">
        <f>Assumptions!$C$50</f>
        <v>20</v>
      </c>
      <c r="M94" s="131">
        <f>Assumptions!$C$50</f>
        <v>20</v>
      </c>
      <c r="N94" s="131">
        <f>Assumptions!$C$50</f>
        <v>20</v>
      </c>
      <c r="O94" s="131">
        <f>Assumptions!$C$50</f>
        <v>20</v>
      </c>
      <c r="P94" s="131">
        <f>Assumptions!$C$50</f>
        <v>20</v>
      </c>
      <c r="Q94" s="131">
        <f>Assumptions!$C$50</f>
        <v>20</v>
      </c>
      <c r="R94" s="131">
        <f>Assumptions!$C$50</f>
        <v>20</v>
      </c>
      <c r="S94" s="131">
        <f>Assumptions!$C$50</f>
        <v>20</v>
      </c>
      <c r="T94" s="131">
        <f>Assumptions!$C$50</f>
        <v>20</v>
      </c>
      <c r="U94" s="131">
        <f>Assumptions!$C$50</f>
        <v>20</v>
      </c>
      <c r="V94" s="131">
        <f>Assumptions!$C$50</f>
        <v>20</v>
      </c>
      <c r="W94" s="131">
        <f>Assumptions!$C$50</f>
        <v>20</v>
      </c>
      <c r="X94" s="131">
        <f>Assumptions!$C$50</f>
        <v>20</v>
      </c>
      <c r="Y94" s="131">
        <f>Assumptions!$C$50</f>
        <v>20</v>
      </c>
      <c r="Z94" s="131">
        <f>Assumptions!$C$50</f>
        <v>20</v>
      </c>
      <c r="AA94" s="131">
        <f>Assumptions!$C$50</f>
        <v>20</v>
      </c>
      <c r="AB94" s="131">
        <f>Assumptions!$C$50</f>
        <v>20</v>
      </c>
      <c r="AC94" s="131">
        <f>Assumptions!$C$50</f>
        <v>20</v>
      </c>
      <c r="AD94" s="131">
        <f>Assumptions!$C$50</f>
        <v>20</v>
      </c>
      <c r="AE94" s="131">
        <f>Assumptions!$C$50</f>
        <v>20</v>
      </c>
      <c r="AF94" s="131">
        <f>Assumptions!$C$50</f>
        <v>20</v>
      </c>
      <c r="AG94" s="131">
        <f>Assumptions!$C$50</f>
        <v>20</v>
      </c>
      <c r="AH94" s="131">
        <f>Assumptions!$C$50</f>
        <v>20</v>
      </c>
      <c r="AI94" s="131">
        <f>Assumptions!$C$50</f>
        <v>20</v>
      </c>
      <c r="AJ94" s="131">
        <f>Assumptions!$C$50</f>
        <v>20</v>
      </c>
      <c r="AK94" s="131">
        <f>Assumptions!$C$50</f>
        <v>20</v>
      </c>
      <c r="AL94" s="131">
        <f>Assumptions!$C$50</f>
        <v>20</v>
      </c>
      <c r="AM94" s="131">
        <f>Assumptions!$C$50</f>
        <v>20</v>
      </c>
      <c r="AN94" s="131">
        <f>Assumptions!$C$50</f>
        <v>20</v>
      </c>
      <c r="AO94" s="131">
        <f>Assumptions!$C$50</f>
        <v>20</v>
      </c>
      <c r="AP94" s="131">
        <f>Assumptions!$C$50</f>
        <v>20</v>
      </c>
      <c r="AQ94" s="131">
        <f>Assumptions!$C$50</f>
        <v>20</v>
      </c>
      <c r="AR94" s="131">
        <f>Assumptions!$C$50</f>
        <v>20</v>
      </c>
      <c r="AS94" s="131">
        <f>Assumptions!$C$50</f>
        <v>20</v>
      </c>
      <c r="AT94" s="131">
        <f>Assumptions!$C$50</f>
        <v>20</v>
      </c>
      <c r="AU94" s="131">
        <f>Assumptions!$C$50</f>
        <v>20</v>
      </c>
      <c r="AV94" s="131">
        <f>Assumptions!$C$50</f>
        <v>20</v>
      </c>
      <c r="AW94" s="131">
        <f>Assumptions!$C$50</f>
        <v>20</v>
      </c>
      <c r="AX94" s="131">
        <f>Assumptions!$C$50</f>
        <v>20</v>
      </c>
      <c r="AY94" s="131">
        <f>Assumptions!$C$50</f>
        <v>20</v>
      </c>
      <c r="AZ94" s="131">
        <f>Assumptions!$C$50</f>
        <v>20</v>
      </c>
      <c r="BA94" s="131">
        <f>Assumptions!$C$50</f>
        <v>20</v>
      </c>
      <c r="BB94" s="131">
        <f>Assumptions!$C$50</f>
        <v>20</v>
      </c>
      <c r="BC94" s="131">
        <f>Assumptions!$C$50</f>
        <v>20</v>
      </c>
    </row>
    <row r="95" spans="1:60" ht="16.149999999999999" customHeight="1" x14ac:dyDescent="0.3">
      <c r="B95" s="6" t="s">
        <v>263</v>
      </c>
      <c r="C95" s="131"/>
      <c r="D95" s="133">
        <f ca="1">((SUMIF(Forecast!$A$7:$BG$59,"*V1C1*",Forecast!C$7:C$59)-SUMIF(Forecast!$A$91:$BG$95,"*V1C1*",Forecast!C$91:C$95))*(1+Assumptions!$C$59))+((SUMIF(Forecast!$A$7:$BG$59,"*V2C1*",Forecast!C$7:C$59)-SUMIF(Forecast!$A$91:$BG$95,"*V2C1*",Forecast!C$91:C$95))*(1+Assumptions!$C$60))+((SUMIF(Forecast!$A$7:$BG$59,"*V3C1*",Forecast!C$7:C$59)-SUMIF(Forecast!$A$91:$BG$95,"*V3C1*",Forecast!C$91:C$95))*(1+Assumptions!$C$61))+((SUMIF(Forecast!$A$7:$BG$59,"*V4C1*",Forecast!C$7:C$59)-SUMIF(Forecast!$A$91:$BG$95,"*V4C1*",Forecast!C$91:C$95))*(1+Assumptions!$C$62))</f>
        <v>44850</v>
      </c>
      <c r="E95" s="133">
        <f ca="1">((SUMIF(Forecast!$A$7:$BG$59,"*V1C1*",Forecast!D$7:D$59)-SUMIF(Forecast!$A$91:$BG$95,"*V1C1*",Forecast!D$91:D$95))*(1+Assumptions!$C$59))+((SUMIF(Forecast!$A$7:$BG$59,"*V2C1*",Forecast!D$7:D$59)-SUMIF(Forecast!$A$91:$BG$95,"*V2C1*",Forecast!D$91:D$95))*(1+Assumptions!$C$60))+((SUMIF(Forecast!$A$7:$BG$59,"*V3C1*",Forecast!D$7:D$59)-SUMIF(Forecast!$A$91:$BG$95,"*V3C1*",Forecast!D$91:D$95))*(1+Assumptions!$C$61))+((SUMIF(Forecast!$A$7:$BG$59,"*V4C1*",Forecast!D$7:D$59)-SUMIF(Forecast!$A$91:$BG$95,"*V4C1*",Forecast!D$91:D$95))*(1+Assumptions!$C$62))</f>
        <v>37859.840000000004</v>
      </c>
      <c r="F95" s="133">
        <f ca="1">((SUMIF(Forecast!$A$7:$BG$59,"*V1C1*",Forecast!E$7:E$59)-SUMIF(Forecast!$A$91:$BG$95,"*V1C1*",Forecast!E$91:E$95))*(1+Assumptions!$C$59))+((SUMIF(Forecast!$A$7:$BG$59,"*V2C1*",Forecast!E$7:E$59)-SUMIF(Forecast!$A$91:$BG$95,"*V2C1*",Forecast!E$91:E$95))*(1+Assumptions!$C$60))+((SUMIF(Forecast!$A$7:$BG$59,"*V3C1*",Forecast!E$7:E$59)-SUMIF(Forecast!$A$91:$BG$95,"*V3C1*",Forecast!E$91:E$95))*(1+Assumptions!$C$61))+((SUMIF(Forecast!$A$7:$BG$59,"*V4C1*",Forecast!E$7:E$59)-SUMIF(Forecast!$A$91:$BG$95,"*V4C1*",Forecast!E$91:E$95))*(1+Assumptions!$C$62))</f>
        <v>52439.999999999993</v>
      </c>
      <c r="G95" s="133">
        <f ca="1">((SUMIF(Forecast!$A$7:$BG$59,"*V1C1*",Forecast!F$7:F$59)-SUMIF(Forecast!$A$91:$BG$95,"*V1C1*",Forecast!F$91:F$95))*(1+Assumptions!$C$59))+((SUMIF(Forecast!$A$7:$BG$59,"*V2C1*",Forecast!F$7:F$59)-SUMIF(Forecast!$A$91:$BG$95,"*V2C1*",Forecast!F$91:F$95))*(1+Assumptions!$C$60))+((SUMIF(Forecast!$A$7:$BG$59,"*V3C1*",Forecast!F$7:F$59)-SUMIF(Forecast!$A$91:$BG$95,"*V3C1*",Forecast!F$91:F$95))*(1+Assumptions!$C$61))+((SUMIF(Forecast!$A$7:$BG$59,"*V4C1*",Forecast!F$7:F$59)-SUMIF(Forecast!$A$91:$BG$95,"*V4C1*",Forecast!F$91:F$95))*(1+Assumptions!$C$62))</f>
        <v>49035.999999999993</v>
      </c>
      <c r="H95" s="133">
        <f ca="1">((SUMIF(Forecast!$A$7:$BG$59,"*V1C1*",Forecast!G$7:G$59)-SUMIF(Forecast!$A$91:$BG$95,"*V1C1*",Forecast!G$91:G$95))*(1+Assumptions!$C$59))+((SUMIF(Forecast!$A$7:$BG$59,"*V2C1*",Forecast!G$7:G$59)-SUMIF(Forecast!$A$91:$BG$95,"*V2C1*",Forecast!G$91:G$95))*(1+Assumptions!$C$60))+((SUMIF(Forecast!$A$7:$BG$59,"*V3C1*",Forecast!G$7:G$59)-SUMIF(Forecast!$A$91:$BG$95,"*V3C1*",Forecast!G$91:G$95))*(1+Assumptions!$C$61))+((SUMIF(Forecast!$A$7:$BG$59,"*V4C1*",Forecast!G$7:G$59)-SUMIF(Forecast!$A$91:$BG$95,"*V4C1*",Forecast!G$91:G$95))*(1+Assumptions!$C$62))</f>
        <v>58906.45</v>
      </c>
      <c r="I95" s="133">
        <f ca="1">((SUMIF(Forecast!$A$7:$BG$59,"*V1C1*",Forecast!H$7:H$59)-SUMIF(Forecast!$A$91:$BG$95,"*V1C1*",Forecast!H$91:H$95))*(1+Assumptions!$C$59))+((SUMIF(Forecast!$A$7:$BG$59,"*V2C1*",Forecast!H$7:H$59)-SUMIF(Forecast!$A$91:$BG$95,"*V2C1*",Forecast!H$91:H$95))*(1+Assumptions!$C$60))+((SUMIF(Forecast!$A$7:$BG$59,"*V3C1*",Forecast!H$7:H$59)-SUMIF(Forecast!$A$91:$BG$95,"*V3C1*",Forecast!H$91:H$95))*(1+Assumptions!$C$61))+((SUMIF(Forecast!$A$7:$BG$59,"*V4C1*",Forecast!H$7:H$59)-SUMIF(Forecast!$A$91:$BG$95,"*V4C1*",Forecast!H$91:H$95))*(1+Assumptions!$C$62))</f>
        <v>53394.499999999993</v>
      </c>
      <c r="J95" s="133">
        <f ca="1">((SUMIF(Forecast!$A$7:$BG$59,"*V1C1*",Forecast!I$7:I$59)-SUMIF(Forecast!$A$91:$BG$95,"*V1C1*",Forecast!I$91:I$95))*(1+Assumptions!$C$59))+((SUMIF(Forecast!$A$7:$BG$59,"*V2C1*",Forecast!I$7:I$59)-SUMIF(Forecast!$A$91:$BG$95,"*V2C1*",Forecast!I$91:I$95))*(1+Assumptions!$C$60))+((SUMIF(Forecast!$A$7:$BG$59,"*V3C1*",Forecast!I$7:I$59)-SUMIF(Forecast!$A$91:$BG$95,"*V3C1*",Forecast!I$91:I$95))*(1+Assumptions!$C$61))+((SUMIF(Forecast!$A$7:$BG$59,"*V4C1*",Forecast!I$7:I$59)-SUMIF(Forecast!$A$91:$BG$95,"*V4C1*",Forecast!I$91:I$95))*(1+Assumptions!$C$62))</f>
        <v>53357.7</v>
      </c>
      <c r="K95" s="133">
        <f ca="1">((SUMIF(Forecast!$A$7:$BG$59,"*V1C1*",Forecast!J$7:J$59)-SUMIF(Forecast!$A$91:$BG$95,"*V1C1*",Forecast!J$91:J$95))*(1+Assumptions!$C$59))+((SUMIF(Forecast!$A$7:$BG$59,"*V2C1*",Forecast!J$7:J$59)-SUMIF(Forecast!$A$91:$BG$95,"*V2C1*",Forecast!J$91:J$95))*(1+Assumptions!$C$60))+((SUMIF(Forecast!$A$7:$BG$59,"*V3C1*",Forecast!J$7:J$59)-SUMIF(Forecast!$A$91:$BG$95,"*V3C1*",Forecast!J$91:J$95))*(1+Assumptions!$C$61))+((SUMIF(Forecast!$A$7:$BG$59,"*V4C1*",Forecast!J$7:J$59)-SUMIF(Forecast!$A$91:$BG$95,"*V4C1*",Forecast!J$91:J$95))*(1+Assumptions!$C$62))</f>
        <v>45643.5</v>
      </c>
      <c r="L95" s="133">
        <f ca="1">((SUMIF(Forecast!$A$7:$BG$59,"*V1C1*",Forecast!K$7:K$59)-SUMIF(Forecast!$A$91:$BG$95,"*V1C1*",Forecast!K$91:K$95))*(1+Assumptions!$C$59))+((SUMIF(Forecast!$A$7:$BG$59,"*V2C1*",Forecast!K$7:K$59)-SUMIF(Forecast!$A$91:$BG$95,"*V2C1*",Forecast!K$91:K$95))*(1+Assumptions!$C$60))+((SUMIF(Forecast!$A$7:$BG$59,"*V3C1*",Forecast!K$7:K$59)-SUMIF(Forecast!$A$91:$BG$95,"*V3C1*",Forecast!K$91:K$95))*(1+Assumptions!$C$61))+((SUMIF(Forecast!$A$7:$BG$59,"*V4C1*",Forecast!K$7:K$59)-SUMIF(Forecast!$A$91:$BG$95,"*V4C1*",Forecast!K$91:K$95))*(1+Assumptions!$C$62))</f>
        <v>55125.249999999993</v>
      </c>
      <c r="M95" s="133">
        <f ca="1">((SUMIF(Forecast!$A$7:$BG$59,"*V1C1*",Forecast!L$7:L$59)-SUMIF(Forecast!$A$91:$BG$95,"*V1C1*",Forecast!L$91:L$95))*(1+Assumptions!$C$59))+((SUMIF(Forecast!$A$7:$BG$59,"*V2C1*",Forecast!L$7:L$59)-SUMIF(Forecast!$A$91:$BG$95,"*V2C1*",Forecast!L$91:L$95))*(1+Assumptions!$C$60))+((SUMIF(Forecast!$A$7:$BG$59,"*V3C1*",Forecast!L$7:L$59)-SUMIF(Forecast!$A$91:$BG$95,"*V3C1*",Forecast!L$91:L$95))*(1+Assumptions!$C$61))+((SUMIF(Forecast!$A$7:$BG$59,"*V4C1*",Forecast!L$7:L$59)-SUMIF(Forecast!$A$91:$BG$95,"*V4C1*",Forecast!L$91:L$95))*(1+Assumptions!$C$62))</f>
        <v>46368</v>
      </c>
      <c r="N95" s="133">
        <f ca="1">((SUMIF(Forecast!$A$7:$BG$59,"*V1C1*",Forecast!M$7:M$59)-SUMIF(Forecast!$A$91:$BG$95,"*V1C1*",Forecast!M$91:M$95))*(1+Assumptions!$C$59))+((SUMIF(Forecast!$A$7:$BG$59,"*V2C1*",Forecast!M$7:M$59)-SUMIF(Forecast!$A$91:$BG$95,"*V2C1*",Forecast!M$91:M$95))*(1+Assumptions!$C$60))+((SUMIF(Forecast!$A$7:$BG$59,"*V3C1*",Forecast!M$7:M$59)-SUMIF(Forecast!$A$91:$BG$95,"*V3C1*",Forecast!M$91:M$95))*(1+Assumptions!$C$61))+((SUMIF(Forecast!$A$7:$BG$59,"*V4C1*",Forecast!M$7:M$59)-SUMIF(Forecast!$A$91:$BG$95,"*V4C1*",Forecast!M$91:M$95))*(1+Assumptions!$C$62))</f>
        <v>47816.999999999993</v>
      </c>
      <c r="O95" s="133">
        <f ca="1">((SUMIF(Forecast!$A$7:$BG$59,"*V1C1*",Forecast!N$7:N$59)-SUMIF(Forecast!$A$91:$BG$95,"*V1C1*",Forecast!N$91:N$95))*(1+Assumptions!$C$59))+((SUMIF(Forecast!$A$7:$BG$59,"*V2C1*",Forecast!N$7:N$59)-SUMIF(Forecast!$A$91:$BG$95,"*V2C1*",Forecast!N$91:N$95))*(1+Assumptions!$C$60))+((SUMIF(Forecast!$A$7:$BG$59,"*V3C1*",Forecast!N$7:N$59)-SUMIF(Forecast!$A$91:$BG$95,"*V3C1*",Forecast!N$91:N$95))*(1+Assumptions!$C$61))+((SUMIF(Forecast!$A$7:$BG$59,"*V4C1*",Forecast!N$7:N$59)-SUMIF(Forecast!$A$91:$BG$95,"*V4C1*",Forecast!N$91:N$95))*(1+Assumptions!$C$62))</f>
        <v>47527.199999999997</v>
      </c>
      <c r="P95" s="133">
        <f ca="1">((SUMIF(Forecast!$A$7:$BG$59,"*V1C1*",Forecast!O$7:O$59)-SUMIF(Forecast!$A$91:$BG$95,"*V1C1*",Forecast!O$91:O$95))*(1+Assumptions!$C$59))+((SUMIF(Forecast!$A$7:$BG$59,"*V2C1*",Forecast!O$7:O$59)-SUMIF(Forecast!$A$91:$BG$95,"*V2C1*",Forecast!O$91:O$95))*(1+Assumptions!$C$60))+((SUMIF(Forecast!$A$7:$BG$59,"*V3C1*",Forecast!O$7:O$59)-SUMIF(Forecast!$A$91:$BG$95,"*V3C1*",Forecast!O$91:O$95))*(1+Assumptions!$C$61))+((SUMIF(Forecast!$A$7:$BG$59,"*V4C1*",Forecast!O$7:O$59)-SUMIF(Forecast!$A$91:$BG$95,"*V4C1*",Forecast!O$91:O$95))*(1+Assumptions!$C$62))</f>
        <v>79574.25</v>
      </c>
      <c r="Q95" s="133">
        <f ca="1">((SUMIF(Forecast!$A$7:$BG$59,"*V1C1*",Forecast!P$7:P$59)-SUMIF(Forecast!$A$91:$BG$95,"*V1C1*",Forecast!P$91:P$95))*(1+Assumptions!$C$59))+((SUMIF(Forecast!$A$7:$BG$59,"*V2C1*",Forecast!P$7:P$59)-SUMIF(Forecast!$A$91:$BG$95,"*V2C1*",Forecast!P$91:P$95))*(1+Assumptions!$C$60))+((SUMIF(Forecast!$A$7:$BG$59,"*V3C1*",Forecast!P$7:P$59)-SUMIF(Forecast!$A$91:$BG$95,"*V3C1*",Forecast!P$91:P$95))*(1+Assumptions!$C$61))+((SUMIF(Forecast!$A$7:$BG$59,"*V4C1*",Forecast!P$7:P$59)-SUMIF(Forecast!$A$91:$BG$95,"*V4C1*",Forecast!P$91:P$95))*(1+Assumptions!$C$62))</f>
        <v>50714.999999999993</v>
      </c>
      <c r="R95" s="133">
        <f ca="1">((SUMIF(Forecast!$A$7:$BG$59,"*V1C1*",Forecast!Q$7:Q$59)-SUMIF(Forecast!$A$91:$BG$95,"*V1C1*",Forecast!Q$91:Q$95))*(1+Assumptions!$C$59))+((SUMIF(Forecast!$A$7:$BG$59,"*V2C1*",Forecast!Q$7:Q$59)-SUMIF(Forecast!$A$91:$BG$95,"*V2C1*",Forecast!Q$91:Q$95))*(1+Assumptions!$C$60))+((SUMIF(Forecast!$A$7:$BG$59,"*V3C1*",Forecast!Q$7:Q$59)-SUMIF(Forecast!$A$91:$BG$95,"*V3C1*",Forecast!Q$91:Q$95))*(1+Assumptions!$C$61))+((SUMIF(Forecast!$A$7:$BG$59,"*V4C1*",Forecast!Q$7:Q$59)-SUMIF(Forecast!$A$91:$BG$95,"*V4C1*",Forecast!Q$91:Q$95))*(1+Assumptions!$C$62))</f>
        <v>49242.999999999993</v>
      </c>
      <c r="S95" s="133">
        <f ca="1">((SUMIF(Forecast!$A$7:$BG$59,"*V1C1*",Forecast!R$7:R$59)-SUMIF(Forecast!$A$91:$BG$95,"*V1C1*",Forecast!R$91:R$95))*(1+Assumptions!$C$59))+((SUMIF(Forecast!$A$7:$BG$59,"*V2C1*",Forecast!R$7:R$59)-SUMIF(Forecast!$A$91:$BG$95,"*V2C1*",Forecast!R$91:R$95))*(1+Assumptions!$C$60))+((SUMIF(Forecast!$A$7:$BG$59,"*V3C1*",Forecast!R$7:R$59)-SUMIF(Forecast!$A$91:$BG$95,"*V3C1*",Forecast!R$91:R$95))*(1+Assumptions!$C$61))+((SUMIF(Forecast!$A$7:$BG$59,"*V4C1*",Forecast!R$7:R$59)-SUMIF(Forecast!$A$91:$BG$95,"*V4C1*",Forecast!R$91:R$95))*(1+Assumptions!$C$62))</f>
        <v>46802.7</v>
      </c>
      <c r="T95" s="133">
        <f ca="1">((SUMIF(Forecast!$A$7:$BG$59,"*V1C1*",Forecast!S$7:S$59)-SUMIF(Forecast!$A$91:$BG$95,"*V1C1*",Forecast!S$91:S$95))*(1+Assumptions!$C$59))+((SUMIF(Forecast!$A$7:$BG$59,"*V2C1*",Forecast!S$7:S$59)-SUMIF(Forecast!$A$91:$BG$95,"*V2C1*",Forecast!S$91:S$95))*(1+Assumptions!$C$60))+((SUMIF(Forecast!$A$7:$BG$59,"*V3C1*",Forecast!S$7:S$59)-SUMIF(Forecast!$A$91:$BG$95,"*V3C1*",Forecast!S$91:S$95))*(1+Assumptions!$C$61))+((SUMIF(Forecast!$A$7:$BG$59,"*V4C1*",Forecast!S$7:S$59)-SUMIF(Forecast!$A$91:$BG$95,"*V4C1*",Forecast!S$91:S$95))*(1+Assumptions!$C$62))</f>
        <v>49990.499999999993</v>
      </c>
      <c r="U95" s="133">
        <f ca="1">((SUMIF(Forecast!$A$7:$BG$59,"*V1C1*",Forecast!T$7:T$59)-SUMIF(Forecast!$A$91:$BG$95,"*V1C1*",Forecast!T$91:T$95))*(1+Assumptions!$C$59))+((SUMIF(Forecast!$A$7:$BG$59,"*V2C1*",Forecast!T$7:T$59)-SUMIF(Forecast!$A$91:$BG$95,"*V2C1*",Forecast!T$91:T$95))*(1+Assumptions!$C$60))+((SUMIF(Forecast!$A$7:$BG$59,"*V3C1*",Forecast!T$7:T$59)-SUMIF(Forecast!$A$91:$BG$95,"*V3C1*",Forecast!T$91:T$95))*(1+Assumptions!$C$61))+((SUMIF(Forecast!$A$7:$BG$59,"*V4C1*",Forecast!T$7:T$59)-SUMIF(Forecast!$A$91:$BG$95,"*V4C1*",Forecast!T$91:T$95))*(1+Assumptions!$C$62))</f>
        <v>62949.85</v>
      </c>
      <c r="V95" s="133">
        <f ca="1">((SUMIF(Forecast!$A$7:$BG$59,"*V1C1*",Forecast!U$7:U$59)-SUMIF(Forecast!$A$91:$BG$95,"*V1C1*",Forecast!U$91:U$95))*(1+Assumptions!$C$59))+((SUMIF(Forecast!$A$7:$BG$59,"*V2C1*",Forecast!U$7:U$59)-SUMIF(Forecast!$A$91:$BG$95,"*V2C1*",Forecast!U$91:U$95))*(1+Assumptions!$C$60))+((SUMIF(Forecast!$A$7:$BG$59,"*V3C1*",Forecast!U$7:U$59)-SUMIF(Forecast!$A$91:$BG$95,"*V3C1*",Forecast!U$91:U$95))*(1+Assumptions!$C$61))+((SUMIF(Forecast!$A$7:$BG$59,"*V4C1*",Forecast!U$7:U$59)-SUMIF(Forecast!$A$91:$BG$95,"*V4C1*",Forecast!U$91:U$95))*(1+Assumptions!$C$62))</f>
        <v>50280.299999999996</v>
      </c>
      <c r="W95" s="133">
        <f ca="1">((SUMIF(Forecast!$A$7:$BG$59,"*V1C1*",Forecast!V$7:V$59)-SUMIF(Forecast!$A$91:$BG$95,"*V1C1*",Forecast!V$91:V$95))*(1+Assumptions!$C$59))+((SUMIF(Forecast!$A$7:$BG$59,"*V2C1*",Forecast!V$7:V$59)-SUMIF(Forecast!$A$91:$BG$95,"*V2C1*",Forecast!V$91:V$95))*(1+Assumptions!$C$60))+((SUMIF(Forecast!$A$7:$BG$59,"*V3C1*",Forecast!V$7:V$59)-SUMIF(Forecast!$A$91:$BG$95,"*V3C1*",Forecast!V$91:V$95))*(1+Assumptions!$C$61))+((SUMIF(Forecast!$A$7:$BG$59,"*V4C1*",Forecast!V$7:V$59)-SUMIF(Forecast!$A$91:$BG$95,"*V4C1*",Forecast!V$91:V$95))*(1+Assumptions!$C$62))</f>
        <v>48805.999999999993</v>
      </c>
      <c r="X95" s="133">
        <f ca="1">((SUMIF(Forecast!$A$7:$BG$59,"*V1C1*",Forecast!W$7:W$59)-SUMIF(Forecast!$A$91:$BG$95,"*V1C1*",Forecast!W$91:W$95))*(1+Assumptions!$C$59))+((SUMIF(Forecast!$A$7:$BG$59,"*V2C1*",Forecast!W$7:W$59)-SUMIF(Forecast!$A$91:$BG$95,"*V2C1*",Forecast!W$91:W$95))*(1+Assumptions!$C$60))+((SUMIF(Forecast!$A$7:$BG$59,"*V3C1*",Forecast!W$7:W$59)-SUMIF(Forecast!$A$91:$BG$95,"*V3C1*",Forecast!W$91:W$95))*(1+Assumptions!$C$61))+((SUMIF(Forecast!$A$7:$BG$59,"*V4C1*",Forecast!W$7:W$59)-SUMIF(Forecast!$A$91:$BG$95,"*V4C1*",Forecast!W$91:W$95))*(1+Assumptions!$C$62))</f>
        <v>44919</v>
      </c>
      <c r="Y95" s="133">
        <f ca="1">((SUMIF(Forecast!$A$7:$BG$59,"*V1C1*",Forecast!X$7:X$59)-SUMIF(Forecast!$A$91:$BG$95,"*V1C1*",Forecast!X$91:X$95))*(1+Assumptions!$C$59))+((SUMIF(Forecast!$A$7:$BG$59,"*V2C1*",Forecast!X$7:X$59)-SUMIF(Forecast!$A$91:$BG$95,"*V2C1*",Forecast!X$91:X$95))*(1+Assumptions!$C$60))+((SUMIF(Forecast!$A$7:$BG$59,"*V3C1*",Forecast!X$7:X$59)-SUMIF(Forecast!$A$91:$BG$95,"*V3C1*",Forecast!X$91:X$95))*(1+Assumptions!$C$61))+((SUMIF(Forecast!$A$7:$BG$59,"*V4C1*",Forecast!X$7:X$59)-SUMIF(Forecast!$A$91:$BG$95,"*V4C1*",Forecast!X$91:X$95))*(1+Assumptions!$C$62))</f>
        <v>61565.249999999993</v>
      </c>
      <c r="Z95" s="133">
        <f ca="1">((SUMIF(Forecast!$A$7:$BG$59,"*V1C1*",Forecast!Y$7:Y$59)-SUMIF(Forecast!$A$91:$BG$95,"*V1C1*",Forecast!Y$91:Y$95))*(1+Assumptions!$C$59))+((SUMIF(Forecast!$A$7:$BG$59,"*V2C1*",Forecast!Y$7:Y$59)-SUMIF(Forecast!$A$91:$BG$95,"*V2C1*",Forecast!Y$91:Y$95))*(1+Assumptions!$C$60))+((SUMIF(Forecast!$A$7:$BG$59,"*V3C1*",Forecast!Y$7:Y$59)-SUMIF(Forecast!$A$91:$BG$95,"*V3C1*",Forecast!Y$91:Y$95))*(1+Assumptions!$C$61))+((SUMIF(Forecast!$A$7:$BG$59,"*V4C1*",Forecast!Y$7:Y$59)-SUMIF(Forecast!$A$91:$BG$95,"*V4C1*",Forecast!Y$91:Y$95))*(1+Assumptions!$C$62))</f>
        <v>48198.799999999996</v>
      </c>
      <c r="AA95" s="133">
        <f ca="1">((SUMIF(Forecast!$A$7:$BG$59,"*V1C1*",Forecast!Z$7:Z$59)-SUMIF(Forecast!$A$91:$BG$95,"*V1C1*",Forecast!Z$91:Z$95))*(1+Assumptions!$C$59))+((SUMIF(Forecast!$A$7:$BG$59,"*V2C1*",Forecast!Z$7:Z$59)-SUMIF(Forecast!$A$91:$BG$95,"*V2C1*",Forecast!Z$91:Z$95))*(1+Assumptions!$C$60))+((SUMIF(Forecast!$A$7:$BG$59,"*V3C1*",Forecast!Z$7:Z$59)-SUMIF(Forecast!$A$91:$BG$95,"*V3C1*",Forecast!Z$91:Z$95))*(1+Assumptions!$C$61))+((SUMIF(Forecast!$A$7:$BG$59,"*V4C1*",Forecast!Z$7:Z$59)-SUMIF(Forecast!$A$91:$BG$95,"*V4C1*",Forecast!Z$91:Z$95))*(1+Assumptions!$C$62))</f>
        <v>65812.2</v>
      </c>
      <c r="AB95" s="133">
        <f ca="1">((SUMIF(Forecast!$A$7:$BG$59,"*V1C1*",Forecast!AA$7:AA$59)-SUMIF(Forecast!$A$91:$BG$95,"*V1C1*",Forecast!AA$91:AA$95))*(1+Assumptions!$C$59))+((SUMIF(Forecast!$A$7:$BG$59,"*V2C1*",Forecast!AA$7:AA$59)-SUMIF(Forecast!$A$91:$BG$95,"*V2C1*",Forecast!AA$91:AA$95))*(1+Assumptions!$C$60))+((SUMIF(Forecast!$A$7:$BG$59,"*V3C1*",Forecast!AA$7:AA$59)-SUMIF(Forecast!$A$91:$BG$95,"*V3C1*",Forecast!AA$91:AA$95))*(1+Assumptions!$C$61))+((SUMIF(Forecast!$A$7:$BG$59,"*V4C1*",Forecast!AA$7:AA$59)-SUMIF(Forecast!$A$91:$BG$95,"*V4C1*",Forecast!AA$91:AA$95))*(1+Assumptions!$C$62))</f>
        <v>50908.2</v>
      </c>
      <c r="AC95" s="133">
        <f ca="1">((SUMIF(Forecast!$A$7:$BG$59,"*V1C1*",Forecast!AB$7:AB$59)-SUMIF(Forecast!$A$91:$BG$95,"*V1C1*",Forecast!AB$91:AB$95))*(1+Assumptions!$C$59))+((SUMIF(Forecast!$A$7:$BG$59,"*V2C1*",Forecast!AB$7:AB$59)-SUMIF(Forecast!$A$91:$BG$95,"*V2C1*",Forecast!AB$91:AB$95))*(1+Assumptions!$C$60))+((SUMIF(Forecast!$A$7:$BG$59,"*V3C1*",Forecast!AB$7:AB$59)-SUMIF(Forecast!$A$91:$BG$95,"*V3C1*",Forecast!AB$91:AB$95))*(1+Assumptions!$C$61))+((SUMIF(Forecast!$A$7:$BG$59,"*V4C1*",Forecast!AB$7:AB$59)-SUMIF(Forecast!$A$91:$BG$95,"*V4C1*",Forecast!AB$91:AB$95))*(1+Assumptions!$C$62))</f>
        <v>72681.149999999994</v>
      </c>
      <c r="AD95" s="133">
        <f ca="1">((SUMIF(Forecast!$A$7:$BG$59,"*V1C1*",Forecast!AC$7:AC$59)-SUMIF(Forecast!$A$91:$BG$95,"*V1C1*",Forecast!AC$91:AC$95))*(1+Assumptions!$C$59))+((SUMIF(Forecast!$A$7:$BG$59,"*V2C1*",Forecast!AC$7:AC$59)-SUMIF(Forecast!$A$91:$BG$95,"*V2C1*",Forecast!AC$91:AC$95))*(1+Assumptions!$C$60))+((SUMIF(Forecast!$A$7:$BG$59,"*V3C1*",Forecast!AC$7:AC$59)-SUMIF(Forecast!$A$91:$BG$95,"*V3C1*",Forecast!AC$91:AC$95))*(1+Assumptions!$C$61))+((SUMIF(Forecast!$A$7:$BG$59,"*V4C1*",Forecast!AC$7:AC$59)-SUMIF(Forecast!$A$91:$BG$95,"*V4C1*",Forecast!AC$91:AC$95))*(1+Assumptions!$C$62))</f>
        <v>49955.999999999993</v>
      </c>
      <c r="AE95" s="133">
        <f ca="1">((SUMIF(Forecast!$A$7:$BG$59,"*V1C1*",Forecast!AD$7:AD$59)-SUMIF(Forecast!$A$91:$BG$95,"*V1C1*",Forecast!AD$91:AD$95))*(1+Assumptions!$C$59))+((SUMIF(Forecast!$A$7:$BG$59,"*V2C1*",Forecast!AD$7:AD$59)-SUMIF(Forecast!$A$91:$BG$95,"*V2C1*",Forecast!AD$91:AD$95))*(1+Assumptions!$C$60))+((SUMIF(Forecast!$A$7:$BG$59,"*V3C1*",Forecast!AD$7:AD$59)-SUMIF(Forecast!$A$91:$BG$95,"*V3C1*",Forecast!AD$91:AD$95))*(1+Assumptions!$C$61))+((SUMIF(Forecast!$A$7:$BG$59,"*V4C1*",Forecast!AD$7:AD$59)-SUMIF(Forecast!$A$91:$BG$95,"*V4C1*",Forecast!AD$91:AD$95))*(1+Assumptions!$C$62))</f>
        <v>50783.999999999993</v>
      </c>
      <c r="AF95" s="133">
        <f ca="1">((SUMIF(Forecast!$A$7:$BG$59,"*V1C1*",Forecast!AE$7:AE$59)-SUMIF(Forecast!$A$91:$BG$95,"*V1C1*",Forecast!AE$91:AE$95))*(1+Assumptions!$C$59))+((SUMIF(Forecast!$A$7:$BG$59,"*V2C1*",Forecast!AE$7:AE$59)-SUMIF(Forecast!$A$91:$BG$95,"*V2C1*",Forecast!AE$91:AE$95))*(1+Assumptions!$C$60))+((SUMIF(Forecast!$A$7:$BG$59,"*V3C1*",Forecast!AE$7:AE$59)-SUMIF(Forecast!$A$91:$BG$95,"*V3C1*",Forecast!AE$91:AE$95))*(1+Assumptions!$C$61))+((SUMIF(Forecast!$A$7:$BG$59,"*V4C1*",Forecast!AE$7:AE$59)-SUMIF(Forecast!$A$91:$BG$95,"*V4C1*",Forecast!AE$91:AE$95))*(1+Assumptions!$C$62))</f>
        <v>51335.999999999993</v>
      </c>
      <c r="AG95" s="133">
        <f ca="1">((SUMIF(Forecast!$A$7:$BG$59,"*V1C1*",Forecast!AF$7:AF$59)-SUMIF(Forecast!$A$91:$BG$95,"*V1C1*",Forecast!AF$91:AF$95))*(1+Assumptions!$C$59))+((SUMIF(Forecast!$A$7:$BG$59,"*V2C1*",Forecast!AF$7:AF$59)-SUMIF(Forecast!$A$91:$BG$95,"*V2C1*",Forecast!AF$91:AF$95))*(1+Assumptions!$C$60))+((SUMIF(Forecast!$A$7:$BG$59,"*V3C1*",Forecast!AF$7:AF$59)-SUMIF(Forecast!$A$91:$BG$95,"*V3C1*",Forecast!AF$91:AF$95))*(1+Assumptions!$C$61))+((SUMIF(Forecast!$A$7:$BG$59,"*V4C1*",Forecast!AF$7:AF$59)-SUMIF(Forecast!$A$91:$BG$95,"*V4C1*",Forecast!AF$91:AF$95))*(1+Assumptions!$C$62))</f>
        <v>48161.999999999993</v>
      </c>
      <c r="AH95" s="133">
        <f ca="1">((SUMIF(Forecast!$A$7:$BG$59,"*V1C1*",Forecast!AG$7:AG$59)-SUMIF(Forecast!$A$91:$BG$95,"*V1C1*",Forecast!AG$91:AG$95))*(1+Assumptions!$C$59))+((SUMIF(Forecast!$A$7:$BG$59,"*V2C1*",Forecast!AG$7:AG$59)-SUMIF(Forecast!$A$91:$BG$95,"*V2C1*",Forecast!AG$91:AG$95))*(1+Assumptions!$C$60))+((SUMIF(Forecast!$A$7:$BG$59,"*V3C1*",Forecast!AG$7:AG$59)-SUMIF(Forecast!$A$91:$BG$95,"*V3C1*",Forecast!AG$91:AG$95))*(1+Assumptions!$C$61))+((SUMIF(Forecast!$A$7:$BG$59,"*V4C1*",Forecast!AG$7:AG$59)-SUMIF(Forecast!$A$91:$BG$95,"*V4C1*",Forecast!AG$91:AG$95))*(1+Assumptions!$C$62))</f>
        <v>62715.249999999993</v>
      </c>
      <c r="AI95" s="133">
        <f ca="1">((SUMIF(Forecast!$A$7:$BG$59,"*V1C1*",Forecast!AH$7:AH$59)-SUMIF(Forecast!$A$91:$BG$95,"*V1C1*",Forecast!AH$91:AH$95))*(1+Assumptions!$C$59))+((SUMIF(Forecast!$A$7:$BG$59,"*V2C1*",Forecast!AH$7:AH$59)-SUMIF(Forecast!$A$91:$BG$95,"*V2C1*",Forecast!AH$91:AH$95))*(1+Assumptions!$C$60))+((SUMIF(Forecast!$A$7:$BG$59,"*V3C1*",Forecast!AH$7:AH$59)-SUMIF(Forecast!$A$91:$BG$95,"*V3C1*",Forecast!AH$91:AH$95))*(1+Assumptions!$C$61))+((SUMIF(Forecast!$A$7:$BG$59,"*V4C1*",Forecast!AH$7:AH$59)-SUMIF(Forecast!$A$91:$BG$95,"*V4C1*",Forecast!AH$91:AH$95))*(1+Assumptions!$C$62))</f>
        <v>61731.999999999993</v>
      </c>
      <c r="AJ95" s="133">
        <f ca="1">((SUMIF(Forecast!$A$7:$BG$59,"*V1C1*",Forecast!AI$7:AI$59)-SUMIF(Forecast!$A$91:$BG$95,"*V1C1*",Forecast!AI$91:AI$95))*(1+Assumptions!$C$59))+((SUMIF(Forecast!$A$7:$BG$59,"*V2C1*",Forecast!AI$7:AI$59)-SUMIF(Forecast!$A$91:$BG$95,"*V2C1*",Forecast!AI$91:AI$95))*(1+Assumptions!$C$60))+((SUMIF(Forecast!$A$7:$BG$59,"*V3C1*",Forecast!AI$7:AI$59)-SUMIF(Forecast!$A$91:$BG$95,"*V3C1*",Forecast!AI$91:AI$95))*(1+Assumptions!$C$61))+((SUMIF(Forecast!$A$7:$BG$59,"*V4C1*",Forecast!AI$7:AI$59)-SUMIF(Forecast!$A$91:$BG$95,"*V4C1*",Forecast!AI$91:AI$95))*(1+Assumptions!$C$62))</f>
        <v>52577.999999999993</v>
      </c>
      <c r="AK95" s="133">
        <f ca="1">((SUMIF(Forecast!$A$7:$BG$59,"*V1C1*",Forecast!AJ$7:AJ$59)-SUMIF(Forecast!$A$91:$BG$95,"*V1C1*",Forecast!AJ$91:AJ$95))*(1+Assumptions!$C$59))+((SUMIF(Forecast!$A$7:$BG$59,"*V2C1*",Forecast!AJ$7:AJ$59)-SUMIF(Forecast!$A$91:$BG$95,"*V2C1*",Forecast!AJ$91:AJ$95))*(1+Assumptions!$C$60))+((SUMIF(Forecast!$A$7:$BG$59,"*V3C1*",Forecast!AJ$7:AJ$59)-SUMIF(Forecast!$A$91:$BG$95,"*V3C1*",Forecast!AJ$91:AJ$95))*(1+Assumptions!$C$61))+((SUMIF(Forecast!$A$7:$BG$59,"*V4C1*",Forecast!AJ$7:AJ$59)-SUMIF(Forecast!$A$91:$BG$95,"*V4C1*",Forecast!AJ$91:AJ$95))*(1+Assumptions!$C$62))</f>
        <v>78982</v>
      </c>
      <c r="AL95" s="133">
        <f ca="1">((SUMIF(Forecast!$A$7:$BG$59,"*V1C1*",Forecast!AK$7:AK$59)-SUMIF(Forecast!$A$91:$BG$95,"*V1C1*",Forecast!AK$91:AK$95))*(1+Assumptions!$C$59))+((SUMIF(Forecast!$A$7:$BG$59,"*V2C1*",Forecast!AK$7:AK$59)-SUMIF(Forecast!$A$91:$BG$95,"*V2C1*",Forecast!AK$91:AK$95))*(1+Assumptions!$C$60))+((SUMIF(Forecast!$A$7:$BG$59,"*V3C1*",Forecast!AK$7:AK$59)-SUMIF(Forecast!$A$91:$BG$95,"*V3C1*",Forecast!AK$91:AK$95))*(1+Assumptions!$C$61))+((SUMIF(Forecast!$A$7:$BG$59,"*V4C1*",Forecast!AK$7:AK$59)-SUMIF(Forecast!$A$91:$BG$95,"*V4C1*",Forecast!AK$91:AK$95))*(1+Assumptions!$C$62))</f>
        <v>66441.25</v>
      </c>
      <c r="AM95" s="133">
        <f ca="1">((SUMIF(Forecast!$A$7:$BG$59,"*V1C1*",Forecast!AL$7:AL$59)-SUMIF(Forecast!$A$91:$BG$95,"*V1C1*",Forecast!AL$91:AL$95))*(1+Assumptions!$C$59))+((SUMIF(Forecast!$A$7:$BG$59,"*V2C1*",Forecast!AL$7:AL$59)-SUMIF(Forecast!$A$91:$BG$95,"*V2C1*",Forecast!AL$91:AL$95))*(1+Assumptions!$C$60))+((SUMIF(Forecast!$A$7:$BG$59,"*V3C1*",Forecast!AL$7:AL$59)-SUMIF(Forecast!$A$91:$BG$95,"*V3C1*",Forecast!AL$91:AL$95))*(1+Assumptions!$C$61))+((SUMIF(Forecast!$A$7:$BG$59,"*V4C1*",Forecast!AL$7:AL$59)-SUMIF(Forecast!$A$91:$BG$95,"*V4C1*",Forecast!AL$91:AL$95))*(1+Assumptions!$C$62))</f>
        <v>56924.999999999993</v>
      </c>
      <c r="AN95" s="133">
        <f ca="1">((SUMIF(Forecast!$A$7:$BG$59,"*V1C1*",Forecast!AM$7:AM$59)-SUMIF(Forecast!$A$91:$BG$95,"*V1C1*",Forecast!AM$91:AM$95))*(1+Assumptions!$C$59))+((SUMIF(Forecast!$A$7:$BG$59,"*V2C1*",Forecast!AM$7:AM$59)-SUMIF(Forecast!$A$91:$BG$95,"*V2C1*",Forecast!AM$91:AM$95))*(1+Assumptions!$C$60))+((SUMIF(Forecast!$A$7:$BG$59,"*V3C1*",Forecast!AM$7:AM$59)-SUMIF(Forecast!$A$91:$BG$95,"*V3C1*",Forecast!AM$91:AM$95))*(1+Assumptions!$C$61))+((SUMIF(Forecast!$A$7:$BG$59,"*V4C1*",Forecast!AM$7:AM$59)-SUMIF(Forecast!$A$91:$BG$95,"*V4C1*",Forecast!AM$91:AM$95))*(1+Assumptions!$C$62))</f>
        <v>53129.999999999993</v>
      </c>
      <c r="AO95" s="133">
        <f ca="1">((SUMIF(Forecast!$A$7:$BG$59,"*V1C1*",Forecast!AN$7:AN$59)-SUMIF(Forecast!$A$91:$BG$95,"*V1C1*",Forecast!AN$91:AN$95))*(1+Assumptions!$C$59))+((SUMIF(Forecast!$A$7:$BG$59,"*V2C1*",Forecast!AN$7:AN$59)-SUMIF(Forecast!$A$91:$BG$95,"*V2C1*",Forecast!AN$91:AN$95))*(1+Assumptions!$C$60))+((SUMIF(Forecast!$A$7:$BG$59,"*V3C1*",Forecast!AN$7:AN$59)-SUMIF(Forecast!$A$91:$BG$95,"*V3C1*",Forecast!AN$91:AN$95))*(1+Assumptions!$C$61))+((SUMIF(Forecast!$A$7:$BG$59,"*V4C1*",Forecast!AN$7:AN$59)-SUMIF(Forecast!$A$91:$BG$95,"*V4C1*",Forecast!AN$91:AN$95))*(1+Assumptions!$C$62))</f>
        <v>56211.999999999993</v>
      </c>
      <c r="AP95" s="133">
        <f ca="1">((SUMIF(Forecast!$A$7:$BG$59,"*V1C1*",Forecast!AO$7:AO$59)-SUMIF(Forecast!$A$91:$BG$95,"*V1C1*",Forecast!AO$91:AO$95))*(1+Assumptions!$C$59))+((SUMIF(Forecast!$A$7:$BG$59,"*V2C1*",Forecast!AO$7:AO$59)-SUMIF(Forecast!$A$91:$BG$95,"*V2C1*",Forecast!AO$91:AO$95))*(1+Assumptions!$C$60))+((SUMIF(Forecast!$A$7:$BG$59,"*V3C1*",Forecast!AO$7:AO$59)-SUMIF(Forecast!$A$91:$BG$95,"*V3C1*",Forecast!AO$91:AO$95))*(1+Assumptions!$C$61))+((SUMIF(Forecast!$A$7:$BG$59,"*V4C1*",Forecast!AO$7:AO$59)-SUMIF(Forecast!$A$91:$BG$95,"*V4C1*",Forecast!AO$91:AO$95))*(1+Assumptions!$C$62))</f>
        <v>80425.25</v>
      </c>
      <c r="AQ95" s="133">
        <f ca="1">((SUMIF(Forecast!$A$7:$BG$59,"*V1C1*",Forecast!AP$7:AP$59)-SUMIF(Forecast!$A$91:$BG$95,"*V1C1*",Forecast!AP$91:AP$95))*(1+Assumptions!$C$59))+((SUMIF(Forecast!$A$7:$BG$59,"*V2C1*",Forecast!AP$7:AP$59)-SUMIF(Forecast!$A$91:$BG$95,"*V2C1*",Forecast!AP$91:AP$95))*(1+Assumptions!$C$60))+((SUMIF(Forecast!$A$7:$BG$59,"*V3C1*",Forecast!AP$7:AP$59)-SUMIF(Forecast!$A$91:$BG$95,"*V3C1*",Forecast!AP$91:AP$95))*(1+Assumptions!$C$61))+((SUMIF(Forecast!$A$7:$BG$59,"*V4C1*",Forecast!AP$7:AP$59)-SUMIF(Forecast!$A$91:$BG$95,"*V4C1*",Forecast!AP$91:AP$95))*(1+Assumptions!$C$62))</f>
        <v>48686.399999999994</v>
      </c>
      <c r="AR95" s="133">
        <f ca="1">((SUMIF(Forecast!$A$7:$BG$59,"*V1C1*",Forecast!AQ$7:AQ$59)-SUMIF(Forecast!$A$91:$BG$95,"*V1C1*",Forecast!AQ$91:AQ$95))*(1+Assumptions!$C$59))+((SUMIF(Forecast!$A$7:$BG$59,"*V2C1*",Forecast!AQ$7:AQ$59)-SUMIF(Forecast!$A$91:$BG$95,"*V2C1*",Forecast!AQ$91:AQ$95))*(1+Assumptions!$C$60))+((SUMIF(Forecast!$A$7:$BG$59,"*V3C1*",Forecast!AQ$7:AQ$59)-SUMIF(Forecast!$A$91:$BG$95,"*V3C1*",Forecast!AQ$91:AQ$95))*(1+Assumptions!$C$61))+((SUMIF(Forecast!$A$7:$BG$59,"*V4C1*",Forecast!AQ$7:AQ$59)-SUMIF(Forecast!$A$91:$BG$95,"*V4C1*",Forecast!AQ$91:AQ$95))*(1+Assumptions!$C$62))</f>
        <v>41565.599999999999</v>
      </c>
      <c r="AS95" s="133">
        <f ca="1">((SUMIF(Forecast!$A$7:$BG$59,"*V1C1*",Forecast!AR$7:AR$59)-SUMIF(Forecast!$A$91:$BG$95,"*V1C1*",Forecast!AR$91:AR$95))*(1+Assumptions!$C$59))+((SUMIF(Forecast!$A$7:$BG$59,"*V2C1*",Forecast!AR$7:AR$59)-SUMIF(Forecast!$A$91:$BG$95,"*V2C1*",Forecast!AR$91:AR$95))*(1+Assumptions!$C$60))+((SUMIF(Forecast!$A$7:$BG$59,"*V3C1*",Forecast!AR$7:AR$59)-SUMIF(Forecast!$A$91:$BG$95,"*V3C1*",Forecast!AR$91:AR$95))*(1+Assumptions!$C$61))+((SUMIF(Forecast!$A$7:$BG$59,"*V4C1*",Forecast!AR$7:AR$59)-SUMIF(Forecast!$A$91:$BG$95,"*V4C1*",Forecast!AR$91:AR$95))*(1+Assumptions!$C$62))</f>
        <v>43718.399999999994</v>
      </c>
      <c r="AT95" s="133">
        <f ca="1">((SUMIF(Forecast!$A$7:$BG$59,"*V1C1*",Forecast!AS$7:AS$59)-SUMIF(Forecast!$A$91:$BG$95,"*V1C1*",Forecast!AS$91:AS$95))*(1+Assumptions!$C$59))+((SUMIF(Forecast!$A$7:$BG$59,"*V2C1*",Forecast!AS$7:AS$59)-SUMIF(Forecast!$A$91:$BG$95,"*V2C1*",Forecast!AS$91:AS$95))*(1+Assumptions!$C$60))+((SUMIF(Forecast!$A$7:$BG$59,"*V3C1*",Forecast!AS$7:AS$59)-SUMIF(Forecast!$A$91:$BG$95,"*V3C1*",Forecast!AS$91:AS$95))*(1+Assumptions!$C$61))+((SUMIF(Forecast!$A$7:$BG$59,"*V4C1*",Forecast!AS$7:AS$59)-SUMIF(Forecast!$A$91:$BG$95,"*V4C1*",Forecast!AS$91:AS$95))*(1+Assumptions!$C$62))</f>
        <v>33506.399999999994</v>
      </c>
      <c r="AU95" s="133">
        <f ca="1">((SUMIF(Forecast!$A$7:$BG$59,"*V1C1*",Forecast!AT$7:AT$59)-SUMIF(Forecast!$A$91:$BG$95,"*V1C1*",Forecast!AT$91:AT$95))*(1+Assumptions!$C$59))+((SUMIF(Forecast!$A$7:$BG$59,"*V2C1*",Forecast!AT$7:AT$59)-SUMIF(Forecast!$A$91:$BG$95,"*V2C1*",Forecast!AT$91:AT$95))*(1+Assumptions!$C$60))+((SUMIF(Forecast!$A$7:$BG$59,"*V3C1*",Forecast!AT$7:AT$59)-SUMIF(Forecast!$A$91:$BG$95,"*V3C1*",Forecast!AT$91:AT$95))*(1+Assumptions!$C$61))+((SUMIF(Forecast!$A$7:$BG$59,"*V4C1*",Forecast!AT$7:AT$59)-SUMIF(Forecast!$A$91:$BG$95,"*V4C1*",Forecast!AT$91:AT$95))*(1+Assumptions!$C$62))</f>
        <v>39818.289999999994</v>
      </c>
      <c r="AV95" s="133">
        <f ca="1">((SUMIF(Forecast!$A$7:$BG$59,"*V1C1*",Forecast!AU$7:AU$59)-SUMIF(Forecast!$A$91:$BG$95,"*V1C1*",Forecast!AU$91:AU$95))*(1+Assumptions!$C$59))+((SUMIF(Forecast!$A$7:$BG$59,"*V2C1*",Forecast!AU$7:AU$59)-SUMIF(Forecast!$A$91:$BG$95,"*V2C1*",Forecast!AU$91:AU$95))*(1+Assumptions!$C$60))+((SUMIF(Forecast!$A$7:$BG$59,"*V3C1*",Forecast!AU$7:AU$59)-SUMIF(Forecast!$A$91:$BG$95,"*V3C1*",Forecast!AU$91:AU$95))*(1+Assumptions!$C$61))+((SUMIF(Forecast!$A$7:$BG$59,"*V4C1*",Forecast!AU$7:AU$59)-SUMIF(Forecast!$A$91:$BG$95,"*V4C1*",Forecast!AU$91:AU$95))*(1+Assumptions!$C$62))</f>
        <v>30536.639999999996</v>
      </c>
      <c r="AW95" s="133">
        <f ca="1">((SUMIF(Forecast!$A$7:$BG$59,"*V1C1*",Forecast!AV$7:AV$59)-SUMIF(Forecast!$A$91:$BG$95,"*V1C1*",Forecast!AV$91:AV$95))*(1+Assumptions!$C$59))+((SUMIF(Forecast!$A$7:$BG$59,"*V2C1*",Forecast!AV$7:AV$59)-SUMIF(Forecast!$A$91:$BG$95,"*V2C1*",Forecast!AV$91:AV$95))*(1+Assumptions!$C$60))+((SUMIF(Forecast!$A$7:$BG$59,"*V3C1*",Forecast!AV$7:AV$59)-SUMIF(Forecast!$A$91:$BG$95,"*V3C1*",Forecast!AV$91:AV$95))*(1+Assumptions!$C$61))+((SUMIF(Forecast!$A$7:$BG$59,"*V4C1*",Forecast!AV$7:AV$59)-SUMIF(Forecast!$A$91:$BG$95,"*V4C1*",Forecast!AV$91:AV$95))*(1+Assumptions!$C$62))</f>
        <v>37674</v>
      </c>
      <c r="AX95" s="133">
        <f ca="1">((SUMIF(Forecast!$A$7:$BG$59,"*V1C1*",Forecast!AW$7:AW$59)-SUMIF(Forecast!$A$91:$BG$95,"*V1C1*",Forecast!AW$91:AW$95))*(1+Assumptions!$C$59))+((SUMIF(Forecast!$A$7:$BG$59,"*V2C1*",Forecast!AW$7:AW$59)-SUMIF(Forecast!$A$91:$BG$95,"*V2C1*",Forecast!AW$91:AW$95))*(1+Assumptions!$C$60))+((SUMIF(Forecast!$A$7:$BG$59,"*V3C1*",Forecast!AW$7:AW$59)-SUMIF(Forecast!$A$91:$BG$95,"*V3C1*",Forecast!AW$91:AW$95))*(1+Assumptions!$C$61))+((SUMIF(Forecast!$A$7:$BG$59,"*V4C1*",Forecast!AW$7:AW$59)-SUMIF(Forecast!$A$91:$BG$95,"*V4C1*",Forecast!AW$91:AW$95))*(1+Assumptions!$C$62))</f>
        <v>52782.239999999991</v>
      </c>
      <c r="AY95" s="133">
        <f ca="1">((SUMIF(Forecast!$A$7:$BG$59,"*V1C1*",Forecast!AX$7:AX$59)-SUMIF(Forecast!$A$91:$BG$95,"*V1C1*",Forecast!AX$91:AX$95))*(1+Assumptions!$C$59))+((SUMIF(Forecast!$A$7:$BG$59,"*V2C1*",Forecast!AX$7:AX$59)-SUMIF(Forecast!$A$91:$BG$95,"*V2C1*",Forecast!AX$91:AX$95))*(1+Assumptions!$C$60))+((SUMIF(Forecast!$A$7:$BG$59,"*V3C1*",Forecast!AX$7:AX$59)-SUMIF(Forecast!$A$91:$BG$95,"*V3C1*",Forecast!AX$91:AX$95))*(1+Assumptions!$C$61))+((SUMIF(Forecast!$A$7:$BG$59,"*V4C1*",Forecast!AX$7:AX$59)-SUMIF(Forecast!$A$91:$BG$95,"*V4C1*",Forecast!AX$91:AX$95))*(1+Assumptions!$C$62))</f>
        <v>67545.25</v>
      </c>
      <c r="AZ95" s="133">
        <f ca="1">((SUMIF(Forecast!$A$7:$BG$59,"*V1C1*",Forecast!AY$7:AY$59)-SUMIF(Forecast!$A$91:$BG$95,"*V1C1*",Forecast!AY$91:AY$95))*(1+Assumptions!$C$59))+((SUMIF(Forecast!$A$7:$BG$59,"*V2C1*",Forecast!AY$7:AY$59)-SUMIF(Forecast!$A$91:$BG$95,"*V2C1*",Forecast!AY$91:AY$95))*(1+Assumptions!$C$60))+((SUMIF(Forecast!$A$7:$BG$59,"*V3C1*",Forecast!AY$7:AY$59)-SUMIF(Forecast!$A$91:$BG$95,"*V3C1*",Forecast!AY$91:AY$95))*(1+Assumptions!$C$61))+((SUMIF(Forecast!$A$7:$BG$59,"*V4C1*",Forecast!AY$7:AY$59)-SUMIF(Forecast!$A$91:$BG$95,"*V4C1*",Forecast!AY$91:AY$95))*(1+Assumptions!$C$62))</f>
        <v>53543.999999999993</v>
      </c>
      <c r="BA95" s="133">
        <f ca="1">((SUMIF(Forecast!$A$7:$BG$59,"*V1C1*",Forecast!AZ$7:AZ$59)-SUMIF(Forecast!$A$91:$BG$95,"*V1C1*",Forecast!AZ$91:AZ$95))*(1+Assumptions!$C$59))+((SUMIF(Forecast!$A$7:$BG$59,"*V2C1*",Forecast!AZ$7:AZ$59)-SUMIF(Forecast!$A$91:$BG$95,"*V2C1*",Forecast!AZ$91:AZ$95))*(1+Assumptions!$C$60))+((SUMIF(Forecast!$A$7:$BG$59,"*V3C1*",Forecast!AZ$7:AZ$59)-SUMIF(Forecast!$A$91:$BG$95,"*V3C1*",Forecast!AZ$91:AZ$95))*(1+Assumptions!$C$61))+((SUMIF(Forecast!$A$7:$BG$59,"*V4C1*",Forecast!AZ$7:AZ$59)-SUMIF(Forecast!$A$91:$BG$95,"*V4C1*",Forecast!AZ$91:AZ$95))*(1+Assumptions!$C$62))</f>
        <v>60627.999999999993</v>
      </c>
      <c r="BB95" s="133">
        <f ca="1">((SUMIF(Forecast!$A$7:$BG$59,"*V1C1*",Forecast!BA$7:BA$59)-SUMIF(Forecast!$A$91:$BG$95,"*V1C1*",Forecast!BA$91:BA$95))*(1+Assumptions!$C$59))+((SUMIF(Forecast!$A$7:$BG$59,"*V2C1*",Forecast!BA$7:BA$59)-SUMIF(Forecast!$A$91:$BG$95,"*V2C1*",Forecast!BA$91:BA$95))*(1+Assumptions!$C$60))+((SUMIF(Forecast!$A$7:$BG$59,"*V3C1*",Forecast!BA$7:BA$59)-SUMIF(Forecast!$A$91:$BG$95,"*V3C1*",Forecast!BA$91:BA$95))*(1+Assumptions!$C$61))+((SUMIF(Forecast!$A$7:$BG$59,"*V4C1*",Forecast!BA$7:BA$59)-SUMIF(Forecast!$A$91:$BG$95,"*V4C1*",Forecast!BA$91:BA$95))*(1+Assumptions!$C$62))</f>
        <v>76277.2</v>
      </c>
      <c r="BC95" s="133">
        <f ca="1">((SUMIF(Forecast!$A$7:$BG$59,"*V1C1*",Forecast!BB$7:BB$59)-SUMIF(Forecast!$A$91:$BG$95,"*V1C1*",Forecast!BB$91:BB$95))*(1+Assumptions!$C$59))+((SUMIF(Forecast!$A$7:$BG$59,"*V2C1*",Forecast!BB$7:BB$59)-SUMIF(Forecast!$A$91:$BG$95,"*V2C1*",Forecast!BB$91:BB$95))*(1+Assumptions!$C$60))+((SUMIF(Forecast!$A$7:$BG$59,"*V3C1*",Forecast!BB$7:BB$59)-SUMIF(Forecast!$A$91:$BG$95,"*V3C1*",Forecast!BB$91:BB$95))*(1+Assumptions!$C$61))+((SUMIF(Forecast!$A$7:$BG$59,"*V4C1*",Forecast!BB$7:BB$59)-SUMIF(Forecast!$A$91:$BG$95,"*V4C1*",Forecast!BB$91:BB$95))*(1+Assumptions!$C$62))</f>
        <v>84418.049999999988</v>
      </c>
    </row>
    <row r="96" spans="1:60" ht="16.149999999999999" customHeight="1" x14ac:dyDescent="0.3">
      <c r="B96" s="6" t="s">
        <v>264</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row>
    <row r="97" spans="2:55" ht="16.149999999999999" customHeight="1" x14ac:dyDescent="0.3">
      <c r="B97" s="6" t="s">
        <v>265</v>
      </c>
      <c r="C97" s="135" t="str">
        <f t="shared" ref="C97:AH97" ca="1" si="31">IF(AND(ISTEXT(B97),C101&lt;C$4-6),"No",IF(COUNTIFS(BSMonths,"&gt;="&amp;C$101,BSMonths,"&lt;="&amp;C$4)=1,"Yes","No"))</f>
        <v>No</v>
      </c>
      <c r="D97" s="135" t="str">
        <f t="shared" ca="1" si="31"/>
        <v>No</v>
      </c>
      <c r="E97" s="135" t="str">
        <f t="shared" ca="1" si="31"/>
        <v>No</v>
      </c>
      <c r="F97" s="135" t="str">
        <f t="shared" ca="1" si="31"/>
        <v>No</v>
      </c>
      <c r="G97" s="135" t="str">
        <f t="shared" ca="1" si="31"/>
        <v>Yes</v>
      </c>
      <c r="H97" s="135" t="str">
        <f t="shared" ca="1" si="31"/>
        <v>No</v>
      </c>
      <c r="I97" s="135" t="str">
        <f t="shared" ca="1" si="31"/>
        <v>No</v>
      </c>
      <c r="J97" s="135" t="str">
        <f t="shared" ca="1" si="31"/>
        <v>No</v>
      </c>
      <c r="K97" s="135" t="str">
        <f t="shared" ca="1" si="31"/>
        <v>No</v>
      </c>
      <c r="L97" s="135" t="str">
        <f t="shared" ca="1" si="31"/>
        <v>No</v>
      </c>
      <c r="M97" s="135" t="str">
        <f t="shared" ca="1" si="31"/>
        <v>No</v>
      </c>
      <c r="N97" s="135" t="str">
        <f t="shared" ca="1" si="31"/>
        <v>No</v>
      </c>
      <c r="O97" s="135" t="str">
        <f t="shared" ca="1" si="31"/>
        <v>No</v>
      </c>
      <c r="P97" s="135" t="str">
        <f t="shared" ca="1" si="31"/>
        <v>Yes</v>
      </c>
      <c r="Q97" s="135" t="str">
        <f t="shared" ca="1" si="31"/>
        <v>No</v>
      </c>
      <c r="R97" s="135" t="str">
        <f t="shared" ca="1" si="31"/>
        <v>No</v>
      </c>
      <c r="S97" s="135" t="str">
        <f t="shared" ca="1" si="31"/>
        <v>No</v>
      </c>
      <c r="T97" s="135" t="str">
        <f t="shared" ca="1" si="31"/>
        <v>No</v>
      </c>
      <c r="U97" s="135" t="str">
        <f t="shared" ca="1" si="31"/>
        <v>No</v>
      </c>
      <c r="V97" s="135" t="str">
        <f t="shared" ca="1" si="31"/>
        <v>No</v>
      </c>
      <c r="W97" s="135" t="str">
        <f t="shared" ca="1" si="31"/>
        <v>No</v>
      </c>
      <c r="X97" s="135" t="str">
        <f t="shared" ca="1" si="31"/>
        <v>Yes</v>
      </c>
      <c r="Y97" s="135" t="str">
        <f t="shared" ca="1" si="31"/>
        <v>No</v>
      </c>
      <c r="Z97" s="135" t="str">
        <f t="shared" ca="1" si="31"/>
        <v>No</v>
      </c>
      <c r="AA97" s="135" t="str">
        <f t="shared" ca="1" si="31"/>
        <v>No</v>
      </c>
      <c r="AB97" s="135" t="str">
        <f t="shared" ca="1" si="31"/>
        <v>No</v>
      </c>
      <c r="AC97" s="135" t="str">
        <f t="shared" ca="1" si="31"/>
        <v>No</v>
      </c>
      <c r="AD97" s="135" t="str">
        <f t="shared" ca="1" si="31"/>
        <v>No</v>
      </c>
      <c r="AE97" s="135" t="str">
        <f t="shared" ca="1" si="31"/>
        <v>No</v>
      </c>
      <c r="AF97" s="135" t="str">
        <f t="shared" ca="1" si="31"/>
        <v>No</v>
      </c>
      <c r="AG97" s="135" t="str">
        <f t="shared" ca="1" si="31"/>
        <v>Yes</v>
      </c>
      <c r="AH97" s="135" t="str">
        <f t="shared" ca="1" si="31"/>
        <v>No</v>
      </c>
      <c r="AI97" s="135" t="str">
        <f t="shared" ref="AI97:BC97" ca="1" si="32">IF(AND(ISTEXT(AH97),AI101&lt;AI$4-6),"No",IF(COUNTIFS(BSMonths,"&gt;="&amp;AI$101,BSMonths,"&lt;="&amp;AI$4)=1,"Yes","No"))</f>
        <v>No</v>
      </c>
      <c r="AJ97" s="135" t="str">
        <f t="shared" ca="1" si="32"/>
        <v>No</v>
      </c>
      <c r="AK97" s="135" t="str">
        <f t="shared" ca="1" si="32"/>
        <v>No</v>
      </c>
      <c r="AL97" s="135" t="str">
        <f t="shared" ca="1" si="32"/>
        <v>No</v>
      </c>
      <c r="AM97" s="135" t="str">
        <f t="shared" ca="1" si="32"/>
        <v>No</v>
      </c>
      <c r="AN97" s="135" t="str">
        <f t="shared" ca="1" si="32"/>
        <v>No</v>
      </c>
      <c r="AO97" s="135" t="str">
        <f t="shared" ca="1" si="32"/>
        <v>No</v>
      </c>
      <c r="AP97" s="135" t="str">
        <f t="shared" ca="1" si="32"/>
        <v>Yes</v>
      </c>
      <c r="AQ97" s="135" t="str">
        <f t="shared" ca="1" si="32"/>
        <v>No</v>
      </c>
      <c r="AR97" s="135" t="str">
        <f t="shared" ca="1" si="32"/>
        <v>No</v>
      </c>
      <c r="AS97" s="135" t="str">
        <f t="shared" ca="1" si="32"/>
        <v>No</v>
      </c>
      <c r="AT97" s="135" t="str">
        <f t="shared" ca="1" si="32"/>
        <v>No</v>
      </c>
      <c r="AU97" s="135" t="str">
        <f t="shared" ca="1" si="32"/>
        <v>No</v>
      </c>
      <c r="AV97" s="135" t="str">
        <f t="shared" ca="1" si="32"/>
        <v>No</v>
      </c>
      <c r="AW97" s="135" t="str">
        <f t="shared" ca="1" si="32"/>
        <v>No</v>
      </c>
      <c r="AX97" s="135" t="str">
        <f t="shared" ca="1" si="32"/>
        <v>No</v>
      </c>
      <c r="AY97" s="135" t="str">
        <f t="shared" ca="1" si="32"/>
        <v>Yes</v>
      </c>
      <c r="AZ97" s="135" t="str">
        <f t="shared" ca="1" si="32"/>
        <v>No</v>
      </c>
      <c r="BA97" s="135" t="str">
        <f t="shared" ca="1" si="32"/>
        <v>No</v>
      </c>
      <c r="BB97" s="135" t="str">
        <f t="shared" ca="1" si="32"/>
        <v>No</v>
      </c>
      <c r="BC97" s="135" t="str">
        <f t="shared" ca="1" si="32"/>
        <v>No</v>
      </c>
    </row>
    <row r="98" spans="2:55" ht="16.149999999999999" customHeight="1" x14ac:dyDescent="0.3">
      <c r="B98" s="6" t="s">
        <v>266</v>
      </c>
      <c r="C98" s="136">
        <f ca="1">IF(C97="Yes",1+IF(Assumptions!$C$65="Subsequent",ROUNDDOWN((C101-DATE(YEAR(C101),MONTH(C101),0))/7,0),0),IF(ISTEXT(B98),ROUNDUP((C$4-C101)/7,0)+IF(Assumptions!$C$65="Subsequent",ROUNDDOWN((C101-DATE(YEAR(C101),MONTH(C101),0))/7,0),0),B98+1))</f>
        <v>8</v>
      </c>
      <c r="D98" s="136">
        <f ca="1">IF(D97="Yes",1+IF(Assumptions!$C$65="Subsequent",ROUNDDOWN((D101-DATE(YEAR(D101),MONTH(D101),0))/7,0),0),IF(ISTEXT(C98),ROUNDUP((D$4-D101)/7,0)+IF(Assumptions!$C$65="Subsequent",ROUNDDOWN((D101-DATE(YEAR(D101),MONTH(D101),0))/7,0),0),C98+1))</f>
        <v>9</v>
      </c>
      <c r="E98" s="136">
        <f ca="1">IF(E97="Yes",1+IF(Assumptions!$C$65="Subsequent",ROUNDDOWN((E101-DATE(YEAR(E101),MONTH(E101),0))/7,0),0),IF(ISTEXT(D98),ROUNDUP((E$4-E101)/7,0)+IF(Assumptions!$C$65="Subsequent",ROUNDDOWN((E101-DATE(YEAR(E101),MONTH(E101),0))/7,0),0),D98+1))</f>
        <v>10</v>
      </c>
      <c r="F98" s="136">
        <f ca="1">IF(F97="Yes",1+IF(Assumptions!$C$65="Subsequent",ROUNDDOWN((F101-DATE(YEAR(F101),MONTH(F101),0))/7,0),0),IF(ISTEXT(E98),ROUNDUP((F$4-F101)/7,0)+IF(Assumptions!$C$65="Subsequent",ROUNDDOWN((F101-DATE(YEAR(F101),MONTH(F101),0))/7,0),0),E98+1))</f>
        <v>11</v>
      </c>
      <c r="G98" s="136">
        <f ca="1">IF(G97="Yes",1+IF(Assumptions!$C$65="Subsequent",ROUNDDOWN((G101-DATE(YEAR(G101),MONTH(G101),0))/7,0),0),IF(ISTEXT(F98),ROUNDUP((G$4-G101)/7,0)+IF(Assumptions!$C$65="Subsequent",ROUNDDOWN((G101-DATE(YEAR(G101),MONTH(G101),0))/7,0),0),F98+1))</f>
        <v>4</v>
      </c>
      <c r="H98" s="136">
        <f ca="1">IF(H97="Yes",1+IF(Assumptions!$C$65="Subsequent",ROUNDDOWN((H101-DATE(YEAR(H101),MONTH(H101),0))/7,0),0),IF(ISTEXT(G98),ROUNDUP((H$4-H101)/7,0)+IF(Assumptions!$C$65="Subsequent",ROUNDDOWN((H101-DATE(YEAR(H101),MONTH(H101),0))/7,0),0),G98+1))</f>
        <v>5</v>
      </c>
      <c r="I98" s="136">
        <f ca="1">IF(I97="Yes",1+IF(Assumptions!$C$65="Subsequent",ROUNDDOWN((I101-DATE(YEAR(I101),MONTH(I101),0))/7,0),0),IF(ISTEXT(H98),ROUNDUP((I$4-I101)/7,0)+IF(Assumptions!$C$65="Subsequent",ROUNDDOWN((I101-DATE(YEAR(I101),MONTH(I101),0))/7,0),0),H98+1))</f>
        <v>6</v>
      </c>
      <c r="J98" s="136">
        <f ca="1">IF(J97="Yes",1+IF(Assumptions!$C$65="Subsequent",ROUNDDOWN((J101-DATE(YEAR(J101),MONTH(J101),0))/7,0),0),IF(ISTEXT(I98),ROUNDUP((J$4-J101)/7,0)+IF(Assumptions!$C$65="Subsequent",ROUNDDOWN((J101-DATE(YEAR(J101),MONTH(J101),0))/7,0),0),I98+1))</f>
        <v>7</v>
      </c>
      <c r="K98" s="136">
        <f ca="1">IF(K97="Yes",1+IF(Assumptions!$C$65="Subsequent",ROUNDDOWN((K101-DATE(YEAR(K101),MONTH(K101),0))/7,0),0),IF(ISTEXT(J98),ROUNDUP((K$4-K101)/7,0)+IF(Assumptions!$C$65="Subsequent",ROUNDDOWN((K101-DATE(YEAR(K101),MONTH(K101),0))/7,0),0),J98+1))</f>
        <v>8</v>
      </c>
      <c r="L98" s="136">
        <f ca="1">IF(L97="Yes",1+IF(Assumptions!$C$65="Subsequent",ROUNDDOWN((L101-DATE(YEAR(L101),MONTH(L101),0))/7,0),0),IF(ISTEXT(K98),ROUNDUP((L$4-L101)/7,0)+IF(Assumptions!$C$65="Subsequent",ROUNDDOWN((L101-DATE(YEAR(L101),MONTH(L101),0))/7,0),0),K98+1))</f>
        <v>9</v>
      </c>
      <c r="M98" s="136">
        <f ca="1">IF(M97="Yes",1+IF(Assumptions!$C$65="Subsequent",ROUNDDOWN((M101-DATE(YEAR(M101),MONTH(M101),0))/7,0),0),IF(ISTEXT(L98),ROUNDUP((M$4-M101)/7,0)+IF(Assumptions!$C$65="Subsequent",ROUNDDOWN((M101-DATE(YEAR(M101),MONTH(M101),0))/7,0),0),L98+1))</f>
        <v>10</v>
      </c>
      <c r="N98" s="136">
        <f ca="1">IF(N97="Yes",1+IF(Assumptions!$C$65="Subsequent",ROUNDDOWN((N101-DATE(YEAR(N101),MONTH(N101),0))/7,0),0),IF(ISTEXT(M98),ROUNDUP((N$4-N101)/7,0)+IF(Assumptions!$C$65="Subsequent",ROUNDDOWN((N101-DATE(YEAR(N101),MONTH(N101),0))/7,0),0),M98+1))</f>
        <v>11</v>
      </c>
      <c r="O98" s="136">
        <f ca="1">IF(O97="Yes",1+IF(Assumptions!$C$65="Subsequent",ROUNDDOWN((O101-DATE(YEAR(O101),MONTH(O101),0))/7,0),0),IF(ISTEXT(N98),ROUNDUP((O$4-O101)/7,0)+IF(Assumptions!$C$65="Subsequent",ROUNDDOWN((O101-DATE(YEAR(O101),MONTH(O101),0))/7,0),0),N98+1))</f>
        <v>12</v>
      </c>
      <c r="P98" s="136">
        <f ca="1">IF(P97="Yes",1+IF(Assumptions!$C$65="Subsequent",ROUNDDOWN((P101-DATE(YEAR(P101),MONTH(P101),0))/7,0),0),IF(ISTEXT(O98),ROUNDUP((P$4-P101)/7,0)+IF(Assumptions!$C$65="Subsequent",ROUNDDOWN((P101-DATE(YEAR(P101),MONTH(P101),0))/7,0),0),O98+1))</f>
        <v>4</v>
      </c>
      <c r="Q98" s="136">
        <f ca="1">IF(Q97="Yes",1+IF(Assumptions!$C$65="Subsequent",ROUNDDOWN((Q101-DATE(YEAR(Q101),MONTH(Q101),0))/7,0),0),IF(ISTEXT(P98),ROUNDUP((Q$4-Q101)/7,0)+IF(Assumptions!$C$65="Subsequent",ROUNDDOWN((Q101-DATE(YEAR(Q101),MONTH(Q101),0))/7,0),0),P98+1))</f>
        <v>5</v>
      </c>
      <c r="R98" s="136">
        <f ca="1">IF(R97="Yes",1+IF(Assumptions!$C$65="Subsequent",ROUNDDOWN((R101-DATE(YEAR(R101),MONTH(R101),0))/7,0),0),IF(ISTEXT(Q98),ROUNDUP((R$4-R101)/7,0)+IF(Assumptions!$C$65="Subsequent",ROUNDDOWN((R101-DATE(YEAR(R101),MONTH(R101),0))/7,0),0),Q98+1))</f>
        <v>6</v>
      </c>
      <c r="S98" s="136">
        <f ca="1">IF(S97="Yes",1+IF(Assumptions!$C$65="Subsequent",ROUNDDOWN((S101-DATE(YEAR(S101),MONTH(S101),0))/7,0),0),IF(ISTEXT(R98),ROUNDUP((S$4-S101)/7,0)+IF(Assumptions!$C$65="Subsequent",ROUNDDOWN((S101-DATE(YEAR(S101),MONTH(S101),0))/7,0),0),R98+1))</f>
        <v>7</v>
      </c>
      <c r="T98" s="136">
        <f ca="1">IF(T97="Yes",1+IF(Assumptions!$C$65="Subsequent",ROUNDDOWN((T101-DATE(YEAR(T101),MONTH(T101),0))/7,0),0),IF(ISTEXT(S98),ROUNDUP((T$4-T101)/7,0)+IF(Assumptions!$C$65="Subsequent",ROUNDDOWN((T101-DATE(YEAR(T101),MONTH(T101),0))/7,0),0),S98+1))</f>
        <v>8</v>
      </c>
      <c r="U98" s="136">
        <f ca="1">IF(U97="Yes",1+IF(Assumptions!$C$65="Subsequent",ROUNDDOWN((U101-DATE(YEAR(U101),MONTH(U101),0))/7,0),0),IF(ISTEXT(T98),ROUNDUP((U$4-U101)/7,0)+IF(Assumptions!$C$65="Subsequent",ROUNDDOWN((U101-DATE(YEAR(U101),MONTH(U101),0))/7,0),0),T98+1))</f>
        <v>9</v>
      </c>
      <c r="V98" s="136">
        <f ca="1">IF(V97="Yes",1+IF(Assumptions!$C$65="Subsequent",ROUNDDOWN((V101-DATE(YEAR(V101),MONTH(V101),0))/7,0),0),IF(ISTEXT(U98),ROUNDUP((V$4-V101)/7,0)+IF(Assumptions!$C$65="Subsequent",ROUNDDOWN((V101-DATE(YEAR(V101),MONTH(V101),0))/7,0),0),U98+1))</f>
        <v>10</v>
      </c>
      <c r="W98" s="136">
        <f ca="1">IF(W97="Yes",1+IF(Assumptions!$C$65="Subsequent",ROUNDDOWN((W101-DATE(YEAR(W101),MONTH(W101),0))/7,0),0),IF(ISTEXT(V98),ROUNDUP((W$4-W101)/7,0)+IF(Assumptions!$C$65="Subsequent",ROUNDDOWN((W101-DATE(YEAR(W101),MONTH(W101),0))/7,0),0),V98+1))</f>
        <v>11</v>
      </c>
      <c r="X98" s="136">
        <f ca="1">IF(X97="Yes",1+IF(Assumptions!$C$65="Subsequent",ROUNDDOWN((X101-DATE(YEAR(X101),MONTH(X101),0))/7,0),0),IF(ISTEXT(W98),ROUNDUP((X$4-X101)/7,0)+IF(Assumptions!$C$65="Subsequent",ROUNDDOWN((X101-DATE(YEAR(X101),MONTH(X101),0))/7,0),0),W98+1))</f>
        <v>4</v>
      </c>
      <c r="Y98" s="136">
        <f ca="1">IF(Y97="Yes",1+IF(Assumptions!$C$65="Subsequent",ROUNDDOWN((Y101-DATE(YEAR(Y101),MONTH(Y101),0))/7,0),0),IF(ISTEXT(X98),ROUNDUP((Y$4-Y101)/7,0)+IF(Assumptions!$C$65="Subsequent",ROUNDDOWN((Y101-DATE(YEAR(Y101),MONTH(Y101),0))/7,0),0),X98+1))</f>
        <v>5</v>
      </c>
      <c r="Z98" s="136">
        <f ca="1">IF(Z97="Yes",1+IF(Assumptions!$C$65="Subsequent",ROUNDDOWN((Z101-DATE(YEAR(Z101),MONTH(Z101),0))/7,0),0),IF(ISTEXT(Y98),ROUNDUP((Z$4-Z101)/7,0)+IF(Assumptions!$C$65="Subsequent",ROUNDDOWN((Z101-DATE(YEAR(Z101),MONTH(Z101),0))/7,0),0),Y98+1))</f>
        <v>6</v>
      </c>
      <c r="AA98" s="136">
        <f ca="1">IF(AA97="Yes",1+IF(Assumptions!$C$65="Subsequent",ROUNDDOWN((AA101-DATE(YEAR(AA101),MONTH(AA101),0))/7,0),0),IF(ISTEXT(Z98),ROUNDUP((AA$4-AA101)/7,0)+IF(Assumptions!$C$65="Subsequent",ROUNDDOWN((AA101-DATE(YEAR(AA101),MONTH(AA101),0))/7,0),0),Z98+1))</f>
        <v>7</v>
      </c>
      <c r="AB98" s="136">
        <f ca="1">IF(AB97="Yes",1+IF(Assumptions!$C$65="Subsequent",ROUNDDOWN((AB101-DATE(YEAR(AB101),MONTH(AB101),0))/7,0),0),IF(ISTEXT(AA98),ROUNDUP((AB$4-AB101)/7,0)+IF(Assumptions!$C$65="Subsequent",ROUNDDOWN((AB101-DATE(YEAR(AB101),MONTH(AB101),0))/7,0),0),AA98+1))</f>
        <v>8</v>
      </c>
      <c r="AC98" s="136">
        <f ca="1">IF(AC97="Yes",1+IF(Assumptions!$C$65="Subsequent",ROUNDDOWN((AC101-DATE(YEAR(AC101),MONTH(AC101),0))/7,0),0),IF(ISTEXT(AB98),ROUNDUP((AC$4-AC101)/7,0)+IF(Assumptions!$C$65="Subsequent",ROUNDDOWN((AC101-DATE(YEAR(AC101),MONTH(AC101),0))/7,0),0),AB98+1))</f>
        <v>9</v>
      </c>
      <c r="AD98" s="136">
        <f ca="1">IF(AD97="Yes",1+IF(Assumptions!$C$65="Subsequent",ROUNDDOWN((AD101-DATE(YEAR(AD101),MONTH(AD101),0))/7,0),0),IF(ISTEXT(AC98),ROUNDUP((AD$4-AD101)/7,0)+IF(Assumptions!$C$65="Subsequent",ROUNDDOWN((AD101-DATE(YEAR(AD101),MONTH(AD101),0))/7,0),0),AC98+1))</f>
        <v>10</v>
      </c>
      <c r="AE98" s="136">
        <f ca="1">IF(AE97="Yes",1+IF(Assumptions!$C$65="Subsequent",ROUNDDOWN((AE101-DATE(YEAR(AE101),MONTH(AE101),0))/7,0),0),IF(ISTEXT(AD98),ROUNDUP((AE$4-AE101)/7,0)+IF(Assumptions!$C$65="Subsequent",ROUNDDOWN((AE101-DATE(YEAR(AE101),MONTH(AE101),0))/7,0),0),AD98+1))</f>
        <v>11</v>
      </c>
      <c r="AF98" s="136">
        <f ca="1">IF(AF97="Yes",1+IF(Assumptions!$C$65="Subsequent",ROUNDDOWN((AF101-DATE(YEAR(AF101),MONTH(AF101),0))/7,0),0),IF(ISTEXT(AE98),ROUNDUP((AF$4-AF101)/7,0)+IF(Assumptions!$C$65="Subsequent",ROUNDDOWN((AF101-DATE(YEAR(AF101),MONTH(AF101),0))/7,0),0),AE98+1))</f>
        <v>12</v>
      </c>
      <c r="AG98" s="136">
        <f ca="1">IF(AG97="Yes",1+IF(Assumptions!$C$65="Subsequent",ROUNDDOWN((AG101-DATE(YEAR(AG101),MONTH(AG101),0))/7,0),0),IF(ISTEXT(AF98),ROUNDUP((AG$4-AG101)/7,0)+IF(Assumptions!$C$65="Subsequent",ROUNDDOWN((AG101-DATE(YEAR(AG101),MONTH(AG101),0))/7,0),0),AF98+1))</f>
        <v>4</v>
      </c>
      <c r="AH98" s="136">
        <f ca="1">IF(AH97="Yes",1+IF(Assumptions!$C$65="Subsequent",ROUNDDOWN((AH101-DATE(YEAR(AH101),MONTH(AH101),0))/7,0),0),IF(ISTEXT(AG98),ROUNDUP((AH$4-AH101)/7,0)+IF(Assumptions!$C$65="Subsequent",ROUNDDOWN((AH101-DATE(YEAR(AH101),MONTH(AH101),0))/7,0),0),AG98+1))</f>
        <v>5</v>
      </c>
      <c r="AI98" s="136">
        <f ca="1">IF(AI97="Yes",1+IF(Assumptions!$C$65="Subsequent",ROUNDDOWN((AI101-DATE(YEAR(AI101),MONTH(AI101),0))/7,0),0),IF(ISTEXT(AH98),ROUNDUP((AI$4-AI101)/7,0)+IF(Assumptions!$C$65="Subsequent",ROUNDDOWN((AI101-DATE(YEAR(AI101),MONTH(AI101),0))/7,0),0),AH98+1))</f>
        <v>6</v>
      </c>
      <c r="AJ98" s="136">
        <f ca="1">IF(AJ97="Yes",1+IF(Assumptions!$C$65="Subsequent",ROUNDDOWN((AJ101-DATE(YEAR(AJ101),MONTH(AJ101),0))/7,0),0),IF(ISTEXT(AI98),ROUNDUP((AJ$4-AJ101)/7,0)+IF(Assumptions!$C$65="Subsequent",ROUNDDOWN((AJ101-DATE(YEAR(AJ101),MONTH(AJ101),0))/7,0),0),AI98+1))</f>
        <v>7</v>
      </c>
      <c r="AK98" s="136">
        <f ca="1">IF(AK97="Yes",1+IF(Assumptions!$C$65="Subsequent",ROUNDDOWN((AK101-DATE(YEAR(AK101),MONTH(AK101),0))/7,0),0),IF(ISTEXT(AJ98),ROUNDUP((AK$4-AK101)/7,0)+IF(Assumptions!$C$65="Subsequent",ROUNDDOWN((AK101-DATE(YEAR(AK101),MONTH(AK101),0))/7,0),0),AJ98+1))</f>
        <v>8</v>
      </c>
      <c r="AL98" s="136">
        <f ca="1">IF(AL97="Yes",1+IF(Assumptions!$C$65="Subsequent",ROUNDDOWN((AL101-DATE(YEAR(AL101),MONTH(AL101),0))/7,0),0),IF(ISTEXT(AK98),ROUNDUP((AL$4-AL101)/7,0)+IF(Assumptions!$C$65="Subsequent",ROUNDDOWN((AL101-DATE(YEAR(AL101),MONTH(AL101),0))/7,0),0),AK98+1))</f>
        <v>9</v>
      </c>
      <c r="AM98" s="136">
        <f ca="1">IF(AM97="Yes",1+IF(Assumptions!$C$65="Subsequent",ROUNDDOWN((AM101-DATE(YEAR(AM101),MONTH(AM101),0))/7,0),0),IF(ISTEXT(AL98),ROUNDUP((AM$4-AM101)/7,0)+IF(Assumptions!$C$65="Subsequent",ROUNDDOWN((AM101-DATE(YEAR(AM101),MONTH(AM101),0))/7,0),0),AL98+1))</f>
        <v>10</v>
      </c>
      <c r="AN98" s="136">
        <f ca="1">IF(AN97="Yes",1+IF(Assumptions!$C$65="Subsequent",ROUNDDOWN((AN101-DATE(YEAR(AN101),MONTH(AN101),0))/7,0),0),IF(ISTEXT(AM98),ROUNDUP((AN$4-AN101)/7,0)+IF(Assumptions!$C$65="Subsequent",ROUNDDOWN((AN101-DATE(YEAR(AN101),MONTH(AN101),0))/7,0),0),AM98+1))</f>
        <v>11</v>
      </c>
      <c r="AO98" s="136">
        <f ca="1">IF(AO97="Yes",1+IF(Assumptions!$C$65="Subsequent",ROUNDDOWN((AO101-DATE(YEAR(AO101),MONTH(AO101),0))/7,0),0),IF(ISTEXT(AN98),ROUNDUP((AO$4-AO101)/7,0)+IF(Assumptions!$C$65="Subsequent",ROUNDDOWN((AO101-DATE(YEAR(AO101),MONTH(AO101),0))/7,0),0),AN98+1))</f>
        <v>12</v>
      </c>
      <c r="AP98" s="136">
        <f ca="1">IF(AP97="Yes",1+IF(Assumptions!$C$65="Subsequent",ROUNDDOWN((AP101-DATE(YEAR(AP101),MONTH(AP101),0))/7,0),0),IF(ISTEXT(AO98),ROUNDUP((AP$4-AP101)/7,0)+IF(Assumptions!$C$65="Subsequent",ROUNDDOWN((AP101-DATE(YEAR(AP101),MONTH(AP101),0))/7,0),0),AO98+1))</f>
        <v>4</v>
      </c>
      <c r="AQ98" s="136">
        <f ca="1">IF(AQ97="Yes",1+IF(Assumptions!$C$65="Subsequent",ROUNDDOWN((AQ101-DATE(YEAR(AQ101),MONTH(AQ101),0))/7,0),0),IF(ISTEXT(AP98),ROUNDUP((AQ$4-AQ101)/7,0)+IF(Assumptions!$C$65="Subsequent",ROUNDDOWN((AQ101-DATE(YEAR(AQ101),MONTH(AQ101),0))/7,0),0),AP98+1))</f>
        <v>5</v>
      </c>
      <c r="AR98" s="136">
        <f ca="1">IF(AR97="Yes",1+IF(Assumptions!$C$65="Subsequent",ROUNDDOWN((AR101-DATE(YEAR(AR101),MONTH(AR101),0))/7,0),0),IF(ISTEXT(AQ98),ROUNDUP((AR$4-AR101)/7,0)+IF(Assumptions!$C$65="Subsequent",ROUNDDOWN((AR101-DATE(YEAR(AR101),MONTH(AR101),0))/7,0),0),AQ98+1))</f>
        <v>6</v>
      </c>
      <c r="AS98" s="136">
        <f ca="1">IF(AS97="Yes",1+IF(Assumptions!$C$65="Subsequent",ROUNDDOWN((AS101-DATE(YEAR(AS101),MONTH(AS101),0))/7,0),0),IF(ISTEXT(AR98),ROUNDUP((AS$4-AS101)/7,0)+IF(Assumptions!$C$65="Subsequent",ROUNDDOWN((AS101-DATE(YEAR(AS101),MONTH(AS101),0))/7,0),0),AR98+1))</f>
        <v>7</v>
      </c>
      <c r="AT98" s="136">
        <f ca="1">IF(AT97="Yes",1+IF(Assumptions!$C$65="Subsequent",ROUNDDOWN((AT101-DATE(YEAR(AT101),MONTH(AT101),0))/7,0),0),IF(ISTEXT(AS98),ROUNDUP((AT$4-AT101)/7,0)+IF(Assumptions!$C$65="Subsequent",ROUNDDOWN((AT101-DATE(YEAR(AT101),MONTH(AT101),0))/7,0),0),AS98+1))</f>
        <v>8</v>
      </c>
      <c r="AU98" s="136">
        <f ca="1">IF(AU97="Yes",1+IF(Assumptions!$C$65="Subsequent",ROUNDDOWN((AU101-DATE(YEAR(AU101),MONTH(AU101),0))/7,0),0),IF(ISTEXT(AT98),ROUNDUP((AU$4-AU101)/7,0)+IF(Assumptions!$C$65="Subsequent",ROUNDDOWN((AU101-DATE(YEAR(AU101),MONTH(AU101),0))/7,0),0),AT98+1))</f>
        <v>9</v>
      </c>
      <c r="AV98" s="136">
        <f ca="1">IF(AV97="Yes",1+IF(Assumptions!$C$65="Subsequent",ROUNDDOWN((AV101-DATE(YEAR(AV101),MONTH(AV101),0))/7,0),0),IF(ISTEXT(AU98),ROUNDUP((AV$4-AV101)/7,0)+IF(Assumptions!$C$65="Subsequent",ROUNDDOWN((AV101-DATE(YEAR(AV101),MONTH(AV101),0))/7,0),0),AU98+1))</f>
        <v>10</v>
      </c>
      <c r="AW98" s="136">
        <f ca="1">IF(AW97="Yes",1+IF(Assumptions!$C$65="Subsequent",ROUNDDOWN((AW101-DATE(YEAR(AW101),MONTH(AW101),0))/7,0),0),IF(ISTEXT(AV98),ROUNDUP((AW$4-AW101)/7,0)+IF(Assumptions!$C$65="Subsequent",ROUNDDOWN((AW101-DATE(YEAR(AW101),MONTH(AW101),0))/7,0),0),AV98+1))</f>
        <v>11</v>
      </c>
      <c r="AX98" s="136">
        <f ca="1">IF(AX97="Yes",1+IF(Assumptions!$C$65="Subsequent",ROUNDDOWN((AX101-DATE(YEAR(AX101),MONTH(AX101),0))/7,0),0),IF(ISTEXT(AW98),ROUNDUP((AX$4-AX101)/7,0)+IF(Assumptions!$C$65="Subsequent",ROUNDDOWN((AX101-DATE(YEAR(AX101),MONTH(AX101),0))/7,0),0),AW98+1))</f>
        <v>12</v>
      </c>
      <c r="AY98" s="136">
        <f ca="1">IF(AY97="Yes",1+IF(Assumptions!$C$65="Subsequent",ROUNDDOWN((AY101-DATE(YEAR(AY101),MONTH(AY101),0))/7,0),0),IF(ISTEXT(AX98),ROUNDUP((AY$4-AY101)/7,0)+IF(Assumptions!$C$65="Subsequent",ROUNDDOWN((AY101-DATE(YEAR(AY101),MONTH(AY101),0))/7,0),0),AX98+1))</f>
        <v>4</v>
      </c>
      <c r="AZ98" s="136">
        <f ca="1">IF(AZ97="Yes",1+IF(Assumptions!$C$65="Subsequent",ROUNDDOWN((AZ101-DATE(YEAR(AZ101),MONTH(AZ101),0))/7,0),0),IF(ISTEXT(AY98),ROUNDUP((AZ$4-AZ101)/7,0)+IF(Assumptions!$C$65="Subsequent",ROUNDDOWN((AZ101-DATE(YEAR(AZ101),MONTH(AZ101),0))/7,0),0),AY98+1))</f>
        <v>5</v>
      </c>
      <c r="BA98" s="136">
        <f ca="1">IF(BA97="Yes",1+IF(Assumptions!$C$65="Subsequent",ROUNDDOWN((BA101-DATE(YEAR(BA101),MONTH(BA101),0))/7,0),0),IF(ISTEXT(AZ98),ROUNDUP((BA$4-BA101)/7,0)+IF(Assumptions!$C$65="Subsequent",ROUNDDOWN((BA101-DATE(YEAR(BA101),MONTH(BA101),0))/7,0),0),AZ98+1))</f>
        <v>6</v>
      </c>
      <c r="BB98" s="136">
        <f ca="1">IF(BB97="Yes",1+IF(Assumptions!$C$65="Subsequent",ROUNDDOWN((BB101-DATE(YEAR(BB101),MONTH(BB101),0))/7,0),0),IF(ISTEXT(BA98),ROUNDUP((BB$4-BB101)/7,0)+IF(Assumptions!$C$65="Subsequent",ROUNDDOWN((BB101-DATE(YEAR(BB101),MONTH(BB101),0))/7,0),0),BA98+1))</f>
        <v>7</v>
      </c>
      <c r="BC98" s="136">
        <f ca="1">IF(BC97="Yes",1+IF(Assumptions!$C$65="Subsequent",ROUNDDOWN((BC101-DATE(YEAR(BC101),MONTH(BC101),0))/7,0),0),IF(ISTEXT(BB98),ROUNDUP((BC$4-BC101)/7,0)+IF(Assumptions!$C$65="Subsequent",ROUNDDOWN((BC101-DATE(YEAR(BC101),MONTH(BC101),0))/7,0),0),BB98+1))</f>
        <v>8</v>
      </c>
    </row>
    <row r="99" spans="2:55" ht="16.149999999999999" customHeight="1" x14ac:dyDescent="0.3">
      <c r="B99" s="6" t="s">
        <v>267</v>
      </c>
      <c r="C99" s="133">
        <f ca="1">IF(C$34&gt;0,C$34,0)</f>
        <v>16000</v>
      </c>
      <c r="D99" s="133">
        <f ca="1">(SUMIF(Forecast!$A$4:$BG$7,"V1*",Forecast!C$4:C$7)*Assumptions!$C$59)+(SUMIF(Forecast!$A$4:$BG$7,"V2*",Forecast!C$4:C$7)*Assumptions!$C$60)+(SUMIF(Forecast!$A$4:$BG$7,"V3*",Forecast!C$4:C$7)*Assumptions!$C$61)+(SUMIF(Forecast!$A$4:$BG$7,"V4*",Forecast!C$4:C$7)*Assumptions!$C$62)</f>
        <v>12750</v>
      </c>
      <c r="E99" s="133">
        <f ca="1">(SUMIF(Forecast!$A$4:$BG$7,"V1*",Forecast!D$4:D$7)*Assumptions!$C$59)+(SUMIF(Forecast!$A$4:$BG$7,"V2*",Forecast!D$4:D$7)*Assumptions!$C$60)+(SUMIF(Forecast!$A$4:$BG$7,"V3*",Forecast!D$4:D$7)*Assumptions!$C$61)+(SUMIF(Forecast!$A$4:$BG$7,"V4*",Forecast!D$4:D$7)*Assumptions!$C$62)</f>
        <v>10866.699999999999</v>
      </c>
      <c r="F99" s="133">
        <f ca="1">(SUMIF(Forecast!$A$4:$BG$7,"V1*",Forecast!E$4:E$7)*Assumptions!$C$59)+(SUMIF(Forecast!$A$4:$BG$7,"V2*",Forecast!E$4:E$7)*Assumptions!$C$60)+(SUMIF(Forecast!$A$4:$BG$7,"V3*",Forecast!E$4:E$7)*Assumptions!$C$61)+(SUMIF(Forecast!$A$4:$BG$7,"V4*",Forecast!E$4:E$7)*Assumptions!$C$62)</f>
        <v>13360</v>
      </c>
      <c r="G99" s="133">
        <f ca="1">(SUMIF(Forecast!$A$4:$BG$7,"V1*",Forecast!F$4:F$7)*Assumptions!$C$59)+(SUMIF(Forecast!$A$4:$BG$7,"V2*",Forecast!F$4:F$7)*Assumptions!$C$60)+(SUMIF(Forecast!$A$4:$BG$7,"V3*",Forecast!F$4:F$7)*Assumptions!$C$61)+(SUMIF(Forecast!$A$4:$BG$7,"V4*",Forecast!F$4:F$7)*Assumptions!$C$62)</f>
        <v>13816.999999999998</v>
      </c>
      <c r="H99" s="133">
        <f ca="1">(SUMIF(Forecast!$A$4:$BG$7,"V1*",Forecast!G$4:G$7)*Assumptions!$C$59)+(SUMIF(Forecast!$A$4:$BG$7,"V2*",Forecast!G$4:G$7)*Assumptions!$C$60)+(SUMIF(Forecast!$A$4:$BG$7,"V3*",Forecast!G$4:G$7)*Assumptions!$C$61)+(SUMIF(Forecast!$A$4:$BG$7,"V4*",Forecast!G$4:G$7)*Assumptions!$C$62)</f>
        <v>13883.25</v>
      </c>
      <c r="I99" s="133">
        <f ca="1">(SUMIF(Forecast!$A$4:$BG$7,"V1*",Forecast!H$4:H$7)*Assumptions!$C$59)+(SUMIF(Forecast!$A$4:$BG$7,"V2*",Forecast!H$4:H$7)*Assumptions!$C$60)+(SUMIF(Forecast!$A$4:$BG$7,"V3*",Forecast!H$4:H$7)*Assumptions!$C$61)+(SUMIF(Forecast!$A$4:$BG$7,"V4*",Forecast!H$4:H$7)*Assumptions!$C$62)</f>
        <v>13305.625</v>
      </c>
      <c r="J99" s="133">
        <f ca="1">(SUMIF(Forecast!$A$4:$BG$7,"V1*",Forecast!I$4:I$7)*Assumptions!$C$59)+(SUMIF(Forecast!$A$4:$BG$7,"V2*",Forecast!I$4:I$7)*Assumptions!$C$60)+(SUMIF(Forecast!$A$4:$BG$7,"V3*",Forecast!I$4:I$7)*Assumptions!$C$61)+(SUMIF(Forecast!$A$4:$BG$7,"V4*",Forecast!I$4:I$7)*Assumptions!$C$62)</f>
        <v>11568.375</v>
      </c>
      <c r="K99" s="133">
        <f ca="1">(SUMIF(Forecast!$A$4:$BG$7,"V1*",Forecast!J$4:J$7)*Assumptions!$C$59)+(SUMIF(Forecast!$A$4:$BG$7,"V2*",Forecast!J$4:J$7)*Assumptions!$C$60)+(SUMIF(Forecast!$A$4:$BG$7,"V3*",Forecast!J$4:J$7)*Assumptions!$C$61)+(SUMIF(Forecast!$A$4:$BG$7,"V4*",Forecast!J$4:J$7)*Assumptions!$C$62)</f>
        <v>13623.75</v>
      </c>
      <c r="L99" s="133">
        <f ca="1">(SUMIF(Forecast!$A$4:$BG$7,"V1*",Forecast!K$4:K$7)*Assumptions!$C$59)+(SUMIF(Forecast!$A$4:$BG$7,"V2*",Forecast!K$4:K$7)*Assumptions!$C$60)+(SUMIF(Forecast!$A$4:$BG$7,"V3*",Forecast!K$4:K$7)*Assumptions!$C$61)+(SUMIF(Forecast!$A$4:$BG$7,"V4*",Forecast!K$4:K$7)*Assumptions!$C$62)</f>
        <v>12562.5</v>
      </c>
      <c r="M99" s="133">
        <f ca="1">(SUMIF(Forecast!$A$4:$BG$7,"V1*",Forecast!L$4:L$7)*Assumptions!$C$59)+(SUMIF(Forecast!$A$4:$BG$7,"V2*",Forecast!L$4:L$7)*Assumptions!$C$60)+(SUMIF(Forecast!$A$4:$BG$7,"V3*",Forecast!L$4:L$7)*Assumptions!$C$61)+(SUMIF(Forecast!$A$4:$BG$7,"V4*",Forecast!L$4:L$7)*Assumptions!$C$62)</f>
        <v>13240</v>
      </c>
      <c r="N99" s="133">
        <f ca="1">(SUMIF(Forecast!$A$4:$BG$7,"V1*",Forecast!M$4:M$7)*Assumptions!$C$59)+(SUMIF(Forecast!$A$4:$BG$7,"V2*",Forecast!M$4:M$7)*Assumptions!$C$60)+(SUMIF(Forecast!$A$4:$BG$7,"V3*",Forecast!M$4:M$7)*Assumptions!$C$61)+(SUMIF(Forecast!$A$4:$BG$7,"V4*",Forecast!M$4:M$7)*Assumptions!$C$62)</f>
        <v>14313.75</v>
      </c>
      <c r="O99" s="133">
        <f ca="1">(SUMIF(Forecast!$A$4:$BG$7,"V1*",Forecast!N$4:N$7)*Assumptions!$C$59)+(SUMIF(Forecast!$A$4:$BG$7,"V2*",Forecast!N$4:N$7)*Assumptions!$C$60)+(SUMIF(Forecast!$A$4:$BG$7,"V3*",Forecast!N$4:N$7)*Assumptions!$C$61)+(SUMIF(Forecast!$A$4:$BG$7,"V4*",Forecast!N$4:N$7)*Assumptions!$C$62)</f>
        <v>14227</v>
      </c>
      <c r="P99" s="133">
        <f ca="1">(SUMIF(Forecast!$A$4:$BG$7,"V1*",Forecast!O$4:O$7)*Assumptions!$C$59)+(SUMIF(Forecast!$A$4:$BG$7,"V2*",Forecast!O$4:O$7)*Assumptions!$C$60)+(SUMIF(Forecast!$A$4:$BG$7,"V3*",Forecast!O$4:O$7)*Assumptions!$C$61)+(SUMIF(Forecast!$A$4:$BG$7,"V4*",Forecast!O$4:O$7)*Assumptions!$C$62)</f>
        <v>13523.750000000002</v>
      </c>
      <c r="Q99" s="133">
        <f ca="1">(SUMIF(Forecast!$A$4:$BG$7,"V1*",Forecast!P$4:P$7)*Assumptions!$C$59)+(SUMIF(Forecast!$A$4:$BG$7,"V2*",Forecast!P$4:P$7)*Assumptions!$C$60)+(SUMIF(Forecast!$A$4:$BG$7,"V3*",Forecast!P$4:P$7)*Assumptions!$C$61)+(SUMIF(Forecast!$A$4:$BG$7,"V4*",Forecast!P$4:P$7)*Assumptions!$C$62)</f>
        <v>15312.5</v>
      </c>
      <c r="R99" s="133">
        <f ca="1">(SUMIF(Forecast!$A$4:$BG$7,"V1*",Forecast!Q$4:Q$7)*Assumptions!$C$59)+(SUMIF(Forecast!$A$4:$BG$7,"V2*",Forecast!Q$4:Q$7)*Assumptions!$C$60)+(SUMIF(Forecast!$A$4:$BG$7,"V3*",Forecast!Q$4:Q$7)*Assumptions!$C$61)+(SUMIF(Forecast!$A$4:$BG$7,"V4*",Forecast!Q$4:Q$7)*Assumptions!$C$62)</f>
        <v>13800</v>
      </c>
      <c r="S99" s="133">
        <f ca="1">(SUMIF(Forecast!$A$4:$BG$7,"V1*",Forecast!R$4:R$7)*Assumptions!$C$59)+(SUMIF(Forecast!$A$4:$BG$7,"V2*",Forecast!R$4:R$7)*Assumptions!$C$60)+(SUMIF(Forecast!$A$4:$BG$7,"V3*",Forecast!R$4:R$7)*Assumptions!$C$61)+(SUMIF(Forecast!$A$4:$BG$7,"V4*",Forecast!R$4:R$7)*Assumptions!$C$62)</f>
        <v>13404.500000000002</v>
      </c>
      <c r="T99" s="133">
        <f ca="1">(SUMIF(Forecast!$A$4:$BG$7,"V1*",Forecast!S$4:S$7)*Assumptions!$C$59)+(SUMIF(Forecast!$A$4:$BG$7,"V2*",Forecast!S$4:S$7)*Assumptions!$C$60)+(SUMIF(Forecast!$A$4:$BG$7,"V3*",Forecast!S$4:S$7)*Assumptions!$C$61)+(SUMIF(Forecast!$A$4:$BG$7,"V4*",Forecast!S$4:S$7)*Assumptions!$C$62)</f>
        <v>14619.375</v>
      </c>
      <c r="U99" s="133">
        <f ca="1">(SUMIF(Forecast!$A$4:$BG$7,"V1*",Forecast!T$4:T$7)*Assumptions!$C$59)+(SUMIF(Forecast!$A$4:$BG$7,"V2*",Forecast!T$4:T$7)*Assumptions!$C$60)+(SUMIF(Forecast!$A$4:$BG$7,"V3*",Forecast!T$4:T$7)*Assumptions!$C$61)+(SUMIF(Forecast!$A$4:$BG$7,"V4*",Forecast!T$4:T$7)*Assumptions!$C$62)</f>
        <v>15045</v>
      </c>
      <c r="V99" s="133">
        <f ca="1">(SUMIF(Forecast!$A$4:$BG$7,"V1*",Forecast!U$4:U$7)*Assumptions!$C$59)+(SUMIF(Forecast!$A$4:$BG$7,"V2*",Forecast!U$4:U$7)*Assumptions!$C$60)+(SUMIF(Forecast!$A$4:$BG$7,"V3*",Forecast!U$4:U$7)*Assumptions!$C$61)+(SUMIF(Forecast!$A$4:$BG$7,"V4*",Forecast!U$4:U$7)*Assumptions!$C$62)</f>
        <v>15137.875</v>
      </c>
      <c r="W99" s="133">
        <f ca="1">(SUMIF(Forecast!$A$4:$BG$7,"V1*",Forecast!V$4:V$7)*Assumptions!$C$59)+(SUMIF(Forecast!$A$4:$BG$7,"V2*",Forecast!V$4:V$7)*Assumptions!$C$60)+(SUMIF(Forecast!$A$4:$BG$7,"V3*",Forecast!V$4:V$7)*Assumptions!$C$61)+(SUMIF(Forecast!$A$4:$BG$7,"V4*",Forecast!V$4:V$7)*Assumptions!$C$62)</f>
        <v>13523.750000000002</v>
      </c>
      <c r="X99" s="133">
        <f ca="1">(SUMIF(Forecast!$A$4:$BG$7,"V1*",Forecast!W$4:W$7)*Assumptions!$C$59)+(SUMIF(Forecast!$A$4:$BG$7,"V2*",Forecast!W$4:W$7)*Assumptions!$C$60)+(SUMIF(Forecast!$A$4:$BG$7,"V3*",Forecast!W$4:W$7)*Assumptions!$C$61)+(SUMIF(Forecast!$A$4:$BG$7,"V4*",Forecast!W$4:W$7)*Assumptions!$C$62)</f>
        <v>13623.75</v>
      </c>
      <c r="Y99" s="133">
        <f ca="1">(SUMIF(Forecast!$A$4:$BG$7,"V1*",Forecast!X$4:X$7)*Assumptions!$C$59)+(SUMIF(Forecast!$A$4:$BG$7,"V2*",Forecast!X$4:X$7)*Assumptions!$C$60)+(SUMIF(Forecast!$A$4:$BG$7,"V3*",Forecast!X$4:X$7)*Assumptions!$C$61)+(SUMIF(Forecast!$A$4:$BG$7,"V4*",Forecast!X$4:X$7)*Assumptions!$C$62)</f>
        <v>15268.75</v>
      </c>
      <c r="Z99" s="133">
        <f ca="1">(SUMIF(Forecast!$A$4:$BG$7,"V1*",Forecast!Y$4:Y$7)*Assumptions!$C$59)+(SUMIF(Forecast!$A$4:$BG$7,"V2*",Forecast!Y$4:Y$7)*Assumptions!$C$60)+(SUMIF(Forecast!$A$4:$BG$7,"V3*",Forecast!Y$4:Y$7)*Assumptions!$C$61)+(SUMIF(Forecast!$A$4:$BG$7,"V4*",Forecast!Y$4:Y$7)*Assumptions!$C$62)</f>
        <v>14618.5</v>
      </c>
      <c r="AA99" s="133">
        <f ca="1">(SUMIF(Forecast!$A$4:$BG$7,"V1*",Forecast!Z$4:Z$7)*Assumptions!$C$59)+(SUMIF(Forecast!$A$4:$BG$7,"V2*",Forecast!Z$4:Z$7)*Assumptions!$C$60)+(SUMIF(Forecast!$A$4:$BG$7,"V3*",Forecast!Z$4:Z$7)*Assumptions!$C$61)+(SUMIF(Forecast!$A$4:$BG$7,"V4*",Forecast!Z$4:Z$7)*Assumptions!$C$62)</f>
        <v>15339.75</v>
      </c>
      <c r="AB99" s="133">
        <f ca="1">(SUMIF(Forecast!$A$4:$BG$7,"V1*",Forecast!AA$4:AA$7)*Assumptions!$C$59)+(SUMIF(Forecast!$A$4:$BG$7,"V2*",Forecast!AA$4:AA$7)*Assumptions!$C$60)+(SUMIF(Forecast!$A$4:$BG$7,"V3*",Forecast!AA$4:AA$7)*Assumptions!$C$61)+(SUMIF(Forecast!$A$4:$BG$7,"V4*",Forecast!AA$4:AA$7)*Assumptions!$C$62)</f>
        <v>14904.75</v>
      </c>
      <c r="AC99" s="133">
        <f ca="1">(SUMIF(Forecast!$A$4:$BG$7,"V1*",Forecast!AB$4:AB$7)*Assumptions!$C$59)+(SUMIF(Forecast!$A$4:$BG$7,"V2*",Forecast!AB$4:AB$7)*Assumptions!$C$60)+(SUMIF(Forecast!$A$4:$BG$7,"V3*",Forecast!AB$4:AB$7)*Assumptions!$C$61)+(SUMIF(Forecast!$A$4:$BG$7,"V4*",Forecast!AB$4:AB$7)*Assumptions!$C$62)</f>
        <v>14826</v>
      </c>
      <c r="AD99" s="133">
        <f ca="1">(SUMIF(Forecast!$A$4:$BG$7,"V1*",Forecast!AC$4:AC$7)*Assumptions!$C$59)+(SUMIF(Forecast!$A$4:$BG$7,"V2*",Forecast!AC$4:AC$7)*Assumptions!$C$60)+(SUMIF(Forecast!$A$4:$BG$7,"V3*",Forecast!AC$4:AC$7)*Assumptions!$C$61)+(SUMIF(Forecast!$A$4:$BG$7,"V4*",Forecast!AC$4:AC$7)*Assumptions!$C$62)</f>
        <v>15294.5</v>
      </c>
      <c r="AE99" s="133">
        <f ca="1">(SUMIF(Forecast!$A$4:$BG$7,"V1*",Forecast!AD$4:AD$7)*Assumptions!$C$59)+(SUMIF(Forecast!$A$4:$BG$7,"V2*",Forecast!AD$4:AD$7)*Assumptions!$C$60)+(SUMIF(Forecast!$A$4:$BG$7,"V3*",Forecast!AD$4:AD$7)*Assumptions!$C$61)+(SUMIF(Forecast!$A$4:$BG$7,"V4*",Forecast!AD$4:AD$7)*Assumptions!$C$62)</f>
        <v>15318</v>
      </c>
      <c r="AF99" s="133">
        <f ca="1">(SUMIF(Forecast!$A$4:$BG$7,"V1*",Forecast!AE$4:AE$7)*Assumptions!$C$59)+(SUMIF(Forecast!$A$4:$BG$7,"V2*",Forecast!AE$4:AE$7)*Assumptions!$C$60)+(SUMIF(Forecast!$A$4:$BG$7,"V3*",Forecast!AE$4:AE$7)*Assumptions!$C$61)+(SUMIF(Forecast!$A$4:$BG$7,"V4*",Forecast!AE$4:AE$7)*Assumptions!$C$62)</f>
        <v>15577.5</v>
      </c>
      <c r="AG99" s="133">
        <f ca="1">(SUMIF(Forecast!$A$4:$BG$7,"V1*",Forecast!AF$4:AF$7)*Assumptions!$C$59)+(SUMIF(Forecast!$A$4:$BG$7,"V2*",Forecast!AF$4:AF$7)*Assumptions!$C$60)+(SUMIF(Forecast!$A$4:$BG$7,"V3*",Forecast!AF$4:AF$7)*Assumptions!$C$61)+(SUMIF(Forecast!$A$4:$BG$7,"V4*",Forecast!AF$4:AF$7)*Assumptions!$C$62)</f>
        <v>15050.625</v>
      </c>
      <c r="AH99" s="133">
        <f ca="1">(SUMIF(Forecast!$A$4:$BG$7,"V1*",Forecast!AG$4:AG$7)*Assumptions!$C$59)+(SUMIF(Forecast!$A$4:$BG$7,"V2*",Forecast!AG$4:AG$7)*Assumptions!$C$60)+(SUMIF(Forecast!$A$4:$BG$7,"V3*",Forecast!AG$4:AG$7)*Assumptions!$C$61)+(SUMIF(Forecast!$A$4:$BG$7,"V4*",Forecast!AG$4:AG$7)*Assumptions!$C$62)</f>
        <v>16048.749999999998</v>
      </c>
      <c r="AI99" s="133">
        <f ca="1">(SUMIF(Forecast!$A$4:$BG$7,"V1*",Forecast!AH$4:AH$7)*Assumptions!$C$59)+(SUMIF(Forecast!$A$4:$BG$7,"V2*",Forecast!AH$4:AH$7)*Assumptions!$C$60)+(SUMIF(Forecast!$A$4:$BG$7,"V3*",Forecast!AH$4:AH$7)*Assumptions!$C$61)+(SUMIF(Forecast!$A$4:$BG$7,"V4*",Forecast!AH$4:AH$7)*Assumptions!$C$62)</f>
        <v>15925</v>
      </c>
      <c r="AJ99" s="133">
        <f ca="1">(SUMIF(Forecast!$A$4:$BG$7,"V1*",Forecast!AI$4:AI$7)*Assumptions!$C$59)+(SUMIF(Forecast!$A$4:$BG$7,"V2*",Forecast!AI$4:AI$7)*Assumptions!$C$60)+(SUMIF(Forecast!$A$4:$BG$7,"V3*",Forecast!AI$4:AI$7)*Assumptions!$C$61)+(SUMIF(Forecast!$A$4:$BG$7,"V4*",Forecast!AI$4:AI$7)*Assumptions!$C$62)</f>
        <v>15906.75</v>
      </c>
      <c r="AK99" s="133">
        <f ca="1">(SUMIF(Forecast!$A$4:$BG$7,"V1*",Forecast!AJ$4:AJ$7)*Assumptions!$C$59)+(SUMIF(Forecast!$A$4:$BG$7,"V2*",Forecast!AJ$4:AJ$7)*Assumptions!$C$60)+(SUMIF(Forecast!$A$4:$BG$7,"V3*",Forecast!AJ$4:AJ$7)*Assumptions!$C$61)+(SUMIF(Forecast!$A$4:$BG$7,"V4*",Forecast!AJ$4:AJ$7)*Assumptions!$C$62)</f>
        <v>16727</v>
      </c>
      <c r="AL99" s="133">
        <f ca="1">(SUMIF(Forecast!$A$4:$BG$7,"V1*",Forecast!AK$4:AK$7)*Assumptions!$C$59)+(SUMIF(Forecast!$A$4:$BG$7,"V2*",Forecast!AK$4:AK$7)*Assumptions!$C$60)+(SUMIF(Forecast!$A$4:$BG$7,"V3*",Forecast!AK$4:AK$7)*Assumptions!$C$61)+(SUMIF(Forecast!$A$4:$BG$7,"V4*",Forecast!AK$4:AK$7)*Assumptions!$C$62)</f>
        <v>15903</v>
      </c>
      <c r="AM99" s="133">
        <f ca="1">(SUMIF(Forecast!$A$4:$BG$7,"V1*",Forecast!AL$4:AL$7)*Assumptions!$C$59)+(SUMIF(Forecast!$A$4:$BG$7,"V2*",Forecast!AL$4:AL$7)*Assumptions!$C$60)+(SUMIF(Forecast!$A$4:$BG$7,"V3*",Forecast!AL$4:AL$7)*Assumptions!$C$61)+(SUMIF(Forecast!$A$4:$BG$7,"V4*",Forecast!AL$4:AL$7)*Assumptions!$C$62)</f>
        <v>15960</v>
      </c>
      <c r="AN99" s="133">
        <f ca="1">(SUMIF(Forecast!$A$4:$BG$7,"V1*",Forecast!AM$4:AM$7)*Assumptions!$C$59)+(SUMIF(Forecast!$A$4:$BG$7,"V2*",Forecast!AM$4:AM$7)*Assumptions!$C$60)+(SUMIF(Forecast!$A$4:$BG$7,"V3*",Forecast!AM$4:AM$7)*Assumptions!$C$61)+(SUMIF(Forecast!$A$4:$BG$7,"V4*",Forecast!AM$4:AM$7)*Assumptions!$C$62)</f>
        <v>16458.75</v>
      </c>
      <c r="AO99" s="133">
        <f ca="1">(SUMIF(Forecast!$A$4:$BG$7,"V1*",Forecast!AN$4:AN$7)*Assumptions!$C$59)+(SUMIF(Forecast!$A$4:$BG$7,"V2*",Forecast!AN$4:AN$7)*Assumptions!$C$60)+(SUMIF(Forecast!$A$4:$BG$7,"V3*",Forecast!AN$4:AN$7)*Assumptions!$C$61)+(SUMIF(Forecast!$A$4:$BG$7,"V4*",Forecast!AN$4:AN$7)*Assumptions!$C$62)</f>
        <v>15567.75</v>
      </c>
      <c r="AP99" s="133">
        <f ca="1">(SUMIF(Forecast!$A$4:$BG$7,"V1*",Forecast!AO$4:AO$7)*Assumptions!$C$59)+(SUMIF(Forecast!$A$4:$BG$7,"V2*",Forecast!AO$4:AO$7)*Assumptions!$C$60)+(SUMIF(Forecast!$A$4:$BG$7,"V3*",Forecast!AO$4:AO$7)*Assumptions!$C$61)+(SUMIF(Forecast!$A$4:$BG$7,"V4*",Forecast!AO$4:AO$7)*Assumptions!$C$62)</f>
        <v>16672.5</v>
      </c>
      <c r="AQ99" s="133">
        <f ca="1">(SUMIF(Forecast!$A$4:$BG$7,"V1*",Forecast!AP$4:AP$7)*Assumptions!$C$59)+(SUMIF(Forecast!$A$4:$BG$7,"V2*",Forecast!AP$4:AP$7)*Assumptions!$C$60)+(SUMIF(Forecast!$A$4:$BG$7,"V3*",Forecast!AP$4:AP$7)*Assumptions!$C$61)+(SUMIF(Forecast!$A$4:$BG$7,"V4*",Forecast!AP$4:AP$7)*Assumptions!$C$62)</f>
        <v>14597.1</v>
      </c>
      <c r="AR99" s="133">
        <f ca="1">(SUMIF(Forecast!$A$4:$BG$7,"V1*",Forecast!AQ$4:AQ$7)*Assumptions!$C$59)+(SUMIF(Forecast!$A$4:$BG$7,"V2*",Forecast!AQ$4:AQ$7)*Assumptions!$C$60)+(SUMIF(Forecast!$A$4:$BG$7,"V3*",Forecast!AQ$4:AQ$7)*Assumptions!$C$61)+(SUMIF(Forecast!$A$4:$BG$7,"V4*",Forecast!AQ$4:AQ$7)*Assumptions!$C$62)</f>
        <v>13139.85</v>
      </c>
      <c r="AS99" s="133">
        <f ca="1">(SUMIF(Forecast!$A$4:$BG$7,"V1*",Forecast!AR$4:AR$7)*Assumptions!$C$59)+(SUMIF(Forecast!$A$4:$BG$7,"V2*",Forecast!AR$4:AR$7)*Assumptions!$C$60)+(SUMIF(Forecast!$A$4:$BG$7,"V3*",Forecast!AR$4:AR$7)*Assumptions!$C$61)+(SUMIF(Forecast!$A$4:$BG$7,"V4*",Forecast!AR$4:AR$7)*Assumptions!$C$62)</f>
        <v>13622.4</v>
      </c>
      <c r="AT99" s="133">
        <f ca="1">(SUMIF(Forecast!$A$4:$BG$7,"V1*",Forecast!AS$4:AS$7)*Assumptions!$C$59)+(SUMIF(Forecast!$A$4:$BG$7,"V2*",Forecast!AS$4:AS$7)*Assumptions!$C$60)+(SUMIF(Forecast!$A$4:$BG$7,"V3*",Forecast!AS$4:AS$7)*Assumptions!$C$61)+(SUMIF(Forecast!$A$4:$BG$7,"V4*",Forecast!AS$4:AS$7)*Assumptions!$C$62)</f>
        <v>10076.200000000001</v>
      </c>
      <c r="AU99" s="133">
        <f ca="1">(SUMIF(Forecast!$A$4:$BG$7,"V1*",Forecast!AT$4:AT$7)*Assumptions!$C$59)+(SUMIF(Forecast!$A$4:$BG$7,"V2*",Forecast!AT$4:AT$7)*Assumptions!$C$60)+(SUMIF(Forecast!$A$4:$BG$7,"V3*",Forecast!AT$4:AT$7)*Assumptions!$C$61)+(SUMIF(Forecast!$A$4:$BG$7,"V4*",Forecast!AT$4:AT$7)*Assumptions!$C$62)</f>
        <v>8443.81</v>
      </c>
      <c r="AV99" s="133">
        <f ca="1">(SUMIF(Forecast!$A$4:$BG$7,"V1*",Forecast!AU$4:AU$7)*Assumptions!$C$59)+(SUMIF(Forecast!$A$4:$BG$7,"V2*",Forecast!AU$4:AU$7)*Assumptions!$C$60)+(SUMIF(Forecast!$A$4:$BG$7,"V3*",Forecast!AU$4:AU$7)*Assumptions!$C$61)+(SUMIF(Forecast!$A$4:$BG$7,"V4*",Forecast!AU$4:AU$7)*Assumptions!$C$62)</f>
        <v>9155.4599999999991</v>
      </c>
      <c r="AW99" s="133">
        <f ca="1">(SUMIF(Forecast!$A$4:$BG$7,"V1*",Forecast!AV$4:AV$7)*Assumptions!$C$59)+(SUMIF(Forecast!$A$4:$BG$7,"V2*",Forecast!AV$4:AV$7)*Assumptions!$C$60)+(SUMIF(Forecast!$A$4:$BG$7,"V3*",Forecast!AV$4:AV$7)*Assumptions!$C$61)+(SUMIF(Forecast!$A$4:$BG$7,"V4*",Forecast!AV$4:AV$7)*Assumptions!$C$62)</f>
        <v>11841.375</v>
      </c>
      <c r="AX99" s="133">
        <f ca="1">(SUMIF(Forecast!$A$4:$BG$7,"V1*",Forecast!AW$4:AW$7)*Assumptions!$C$59)+(SUMIF(Forecast!$A$4:$BG$7,"V2*",Forecast!AW$4:AW$7)*Assumptions!$C$60)+(SUMIF(Forecast!$A$4:$BG$7,"V3*",Forecast!AW$4:AW$7)*Assumptions!$C$61)+(SUMIF(Forecast!$A$4:$BG$7,"V4*",Forecast!AW$4:AW$7)*Assumptions!$C$62)</f>
        <v>16446.64</v>
      </c>
      <c r="AY99" s="133">
        <f ca="1">(SUMIF(Forecast!$A$4:$BG$7,"V1*",Forecast!AX$4:AX$7)*Assumptions!$C$59)+(SUMIF(Forecast!$A$4:$BG$7,"V2*",Forecast!AX$4:AX$7)*Assumptions!$C$60)+(SUMIF(Forecast!$A$4:$BG$7,"V3*",Forecast!AX$4:AX$7)*Assumptions!$C$61)+(SUMIF(Forecast!$A$4:$BG$7,"V4*",Forecast!AX$4:AX$7)*Assumptions!$C$62)</f>
        <v>16577.5</v>
      </c>
      <c r="AZ99" s="133">
        <f ca="1">(SUMIF(Forecast!$A$4:$BG$7,"V1*",Forecast!AY$4:AY$7)*Assumptions!$C$59)+(SUMIF(Forecast!$A$4:$BG$7,"V2*",Forecast!AY$4:AY$7)*Assumptions!$C$60)+(SUMIF(Forecast!$A$4:$BG$7,"V3*",Forecast!AY$4:AY$7)*Assumptions!$C$61)+(SUMIF(Forecast!$A$4:$BG$7,"V4*",Forecast!AY$4:AY$7)*Assumptions!$C$62)</f>
        <v>16781</v>
      </c>
      <c r="BA99" s="133">
        <f ca="1">(SUMIF(Forecast!$A$4:$BG$7,"V1*",Forecast!AZ$4:AZ$7)*Assumptions!$C$59)+(SUMIF(Forecast!$A$4:$BG$7,"V2*",Forecast!AZ$4:AZ$7)*Assumptions!$C$60)+(SUMIF(Forecast!$A$4:$BG$7,"V3*",Forecast!AZ$4:AZ$7)*Assumptions!$C$61)+(SUMIF(Forecast!$A$4:$BG$7,"V4*",Forecast!AZ$4:AZ$7)*Assumptions!$C$62)</f>
        <v>16950.5</v>
      </c>
      <c r="BB99" s="133">
        <f ca="1">(SUMIF(Forecast!$A$4:$BG$7,"V1*",Forecast!BA$4:BA$7)*Assumptions!$C$59)+(SUMIF(Forecast!$A$4:$BG$7,"V2*",Forecast!BA$4:BA$7)*Assumptions!$C$60)+(SUMIF(Forecast!$A$4:$BG$7,"V3*",Forecast!BA$4:BA$7)*Assumptions!$C$61)+(SUMIF(Forecast!$A$4:$BG$7,"V4*",Forecast!BA$4:BA$7)*Assumptions!$C$62)</f>
        <v>16712.7</v>
      </c>
      <c r="BC99" s="133">
        <f ca="1">(SUMIF(Forecast!$A$4:$BG$7,"V1*",Forecast!BB$4:BB$7)*Assumptions!$C$59)+(SUMIF(Forecast!$A$4:$BG$7,"V2*",Forecast!BB$4:BB$7)*Assumptions!$C$60)+(SUMIF(Forecast!$A$4:$BG$7,"V3*",Forecast!BB$4:BB$7)*Assumptions!$C$61)+(SUMIF(Forecast!$A$4:$BG$7,"V4*",Forecast!BB$4:BB$7)*Assumptions!$C$62)</f>
        <v>16773.599999999999</v>
      </c>
    </row>
    <row r="100" spans="2:55" ht="16.149999999999999" customHeight="1" x14ac:dyDescent="0.3">
      <c r="B100" s="6" t="s">
        <v>268</v>
      </c>
      <c r="C100" s="114">
        <f ca="1">IF(C$34&lt;0,-C$34,0)</f>
        <v>0</v>
      </c>
      <c r="D100" s="114">
        <f ca="1">((SUMIF(Forecast!$A$7:$BG$59,"*V1*",Forecast!C$7:C$59)-SUMIF(Forecast!$A$91:$BG$95,"*V1*",Forecast!C$91:C$95))*Assumptions!$C$59)+((SUMIF(Forecast!$A$7:$BG$59,"*V2*",Forecast!C$7:C$59)-SUMIF(Forecast!$A$91:$BG$95,"*V2*",Forecast!C$91:C$95))*Assumptions!$C$60)+((SUMIF(Forecast!$A$7:$BG$59,"*V3*",Forecast!C$7:C$59)-SUMIF(Forecast!$A$91:$BG$95,"*V3*",Forecast!C$91:C$95))*Assumptions!$C$61)+((SUMIF(Forecast!$A$7:$BG$59,"*V4*",Forecast!C$7:C$59)-SUMIF(Forecast!$A$91:$BG$95,"*V4*",Forecast!C$91:C$95))*Assumptions!$C$62)</f>
        <v>9337.5</v>
      </c>
      <c r="E100" s="114">
        <f ca="1">((SUMIF(Forecast!$A$7:$BG$59,"*V1*",Forecast!D$7:D$59)-SUMIF(Forecast!$A$91:$BG$95,"*V1*",Forecast!D$91:D$95))*Assumptions!$C$59)+((SUMIF(Forecast!$A$7:$BG$59,"*V2*",Forecast!D$7:D$59)-SUMIF(Forecast!$A$91:$BG$95,"*V2*",Forecast!D$91:D$95))*Assumptions!$C$60)+((SUMIF(Forecast!$A$7:$BG$59,"*V3*",Forecast!D$7:D$59)-SUMIF(Forecast!$A$91:$BG$95,"*V3*",Forecast!D$91:D$95))*Assumptions!$C$61)+((SUMIF(Forecast!$A$7:$BG$59,"*V4*",Forecast!D$7:D$59)-SUMIF(Forecast!$A$91:$BG$95,"*V4*",Forecast!D$91:D$95))*Assumptions!$C$62)</f>
        <v>4938.2400000000007</v>
      </c>
      <c r="F100" s="114">
        <f ca="1">((SUMIF(Forecast!$A$7:$BG$59,"*V1*",Forecast!E$7:E$59)-SUMIF(Forecast!$A$91:$BG$95,"*V1*",Forecast!E$91:E$95))*Assumptions!$C$59)+((SUMIF(Forecast!$A$7:$BG$59,"*V2*",Forecast!E$7:E$59)-SUMIF(Forecast!$A$91:$BG$95,"*V2*",Forecast!E$91:E$95))*Assumptions!$C$60)+((SUMIF(Forecast!$A$7:$BG$59,"*V3*",Forecast!E$7:E$59)-SUMIF(Forecast!$A$91:$BG$95,"*V3*",Forecast!E$91:E$95))*Assumptions!$C$61)+((SUMIF(Forecast!$A$7:$BG$59,"*V4*",Forecast!E$7:E$59)-SUMIF(Forecast!$A$91:$BG$95,"*V4*",Forecast!E$91:E$95))*Assumptions!$C$62)</f>
        <v>6960</v>
      </c>
      <c r="G100" s="114">
        <f ca="1">((SUMIF(Forecast!$A$7:$BG$59,"*V1*",Forecast!F$7:F$59)-SUMIF(Forecast!$A$91:$BG$95,"*V1*",Forecast!F$91:F$95))*Assumptions!$C$59)+((SUMIF(Forecast!$A$7:$BG$59,"*V2*",Forecast!F$7:F$59)-SUMIF(Forecast!$A$91:$BG$95,"*V2*",Forecast!F$91:F$95))*Assumptions!$C$60)+((SUMIF(Forecast!$A$7:$BG$59,"*V3*",Forecast!F$7:F$59)-SUMIF(Forecast!$A$91:$BG$95,"*V3*",Forecast!F$91:F$95))*Assumptions!$C$61)+((SUMIF(Forecast!$A$7:$BG$59,"*V4*",Forecast!F$7:F$59)-SUMIF(Forecast!$A$91:$BG$95,"*V4*",Forecast!F$91:F$95))*Assumptions!$C$62)</f>
        <v>6396</v>
      </c>
      <c r="H100" s="114">
        <f ca="1">((SUMIF(Forecast!$A$7:$BG$59,"*V1*",Forecast!G$7:G$59)-SUMIF(Forecast!$A$91:$BG$95,"*V1*",Forecast!G$91:G$95))*Assumptions!$C$59)+((SUMIF(Forecast!$A$7:$BG$59,"*V2*",Forecast!G$7:G$59)-SUMIF(Forecast!$A$91:$BG$95,"*V2*",Forecast!G$91:G$95))*Assumptions!$C$60)+((SUMIF(Forecast!$A$7:$BG$59,"*V3*",Forecast!G$7:G$59)-SUMIF(Forecast!$A$91:$BG$95,"*V3*",Forecast!G$91:G$95))*Assumptions!$C$61)+((SUMIF(Forecast!$A$7:$BG$59,"*V4*",Forecast!G$7:G$59)-SUMIF(Forecast!$A$91:$BG$95,"*V4*",Forecast!G$91:G$95))*Assumptions!$C$62)</f>
        <v>8455.9499999999989</v>
      </c>
      <c r="I100" s="114">
        <f ca="1">((SUMIF(Forecast!$A$7:$BG$59,"*V1*",Forecast!H$7:H$59)-SUMIF(Forecast!$A$91:$BG$95,"*V1*",Forecast!H$91:H$95))*Assumptions!$C$59)+((SUMIF(Forecast!$A$7:$BG$59,"*V2*",Forecast!H$7:H$59)-SUMIF(Forecast!$A$91:$BG$95,"*V2*",Forecast!H$91:H$95))*Assumptions!$C$60)+((SUMIF(Forecast!$A$7:$BG$59,"*V3*",Forecast!H$7:H$59)-SUMIF(Forecast!$A$91:$BG$95,"*V3*",Forecast!H$91:H$95))*Assumptions!$C$61)+((SUMIF(Forecast!$A$7:$BG$59,"*V4*",Forecast!H$7:H$59)-SUMIF(Forecast!$A$91:$BG$95,"*V4*",Forecast!H$91:H$95))*Assumptions!$C$62)</f>
        <v>10264.5</v>
      </c>
      <c r="J100" s="114">
        <f ca="1">((SUMIF(Forecast!$A$7:$BG$59,"*V1*",Forecast!I$7:I$59)-SUMIF(Forecast!$A$91:$BG$95,"*V1*",Forecast!I$91:I$95))*Assumptions!$C$59)+((SUMIF(Forecast!$A$7:$BG$59,"*V2*",Forecast!I$7:I$59)-SUMIF(Forecast!$A$91:$BG$95,"*V2*",Forecast!I$91:I$95))*Assumptions!$C$60)+((SUMIF(Forecast!$A$7:$BG$59,"*V3*",Forecast!I$7:I$59)-SUMIF(Forecast!$A$91:$BG$95,"*V3*",Forecast!I$91:I$95))*Assumptions!$C$61)+((SUMIF(Forecast!$A$7:$BG$59,"*V4*",Forecast!I$7:I$59)-SUMIF(Forecast!$A$91:$BG$95,"*V4*",Forecast!I$91:I$95))*Assumptions!$C$62)</f>
        <v>7439.7</v>
      </c>
      <c r="K100" s="114">
        <f ca="1">((SUMIF(Forecast!$A$7:$BG$59,"*V1*",Forecast!J$7:J$59)-SUMIF(Forecast!$A$91:$BG$95,"*V1*",Forecast!J$91:J$95))*Assumptions!$C$59)+((SUMIF(Forecast!$A$7:$BG$59,"*V2*",Forecast!J$7:J$59)-SUMIF(Forecast!$A$91:$BG$95,"*V2*",Forecast!J$91:J$95))*Assumptions!$C$60)+((SUMIF(Forecast!$A$7:$BG$59,"*V3*",Forecast!J$7:J$59)-SUMIF(Forecast!$A$91:$BG$95,"*V3*",Forecast!J$91:J$95))*Assumptions!$C$61)+((SUMIF(Forecast!$A$7:$BG$59,"*V4*",Forecast!J$7:J$59)-SUMIF(Forecast!$A$91:$BG$95,"*V4*",Forecast!J$91:J$95))*Assumptions!$C$62)</f>
        <v>6352.5</v>
      </c>
      <c r="L100" s="114">
        <f ca="1">((SUMIF(Forecast!$A$7:$BG$59,"*V1*",Forecast!K$7:K$59)-SUMIF(Forecast!$A$91:$BG$95,"*V1*",Forecast!K$91:K$95))*Assumptions!$C$59)+((SUMIF(Forecast!$A$7:$BG$59,"*V2*",Forecast!K$7:K$59)-SUMIF(Forecast!$A$91:$BG$95,"*V2*",Forecast!K$91:K$95))*Assumptions!$C$60)+((SUMIF(Forecast!$A$7:$BG$59,"*V3*",Forecast!K$7:K$59)-SUMIF(Forecast!$A$91:$BG$95,"*V3*",Forecast!K$91:K$95))*Assumptions!$C$61)+((SUMIF(Forecast!$A$7:$BG$59,"*V4*",Forecast!K$7:K$59)-SUMIF(Forecast!$A$91:$BG$95,"*V4*",Forecast!K$91:K$95))*Assumptions!$C$62)</f>
        <v>7392.75</v>
      </c>
      <c r="M100" s="114">
        <f ca="1">((SUMIF(Forecast!$A$7:$BG$59,"*V1*",Forecast!L$7:L$59)-SUMIF(Forecast!$A$91:$BG$95,"*V1*",Forecast!L$91:L$95))*Assumptions!$C$59)+((SUMIF(Forecast!$A$7:$BG$59,"*V2*",Forecast!L$7:L$59)-SUMIF(Forecast!$A$91:$BG$95,"*V2*",Forecast!L$91:L$95))*Assumptions!$C$60)+((SUMIF(Forecast!$A$7:$BG$59,"*V3*",Forecast!L$7:L$59)-SUMIF(Forecast!$A$91:$BG$95,"*V3*",Forecast!L$91:L$95))*Assumptions!$C$61)+((SUMIF(Forecast!$A$7:$BG$59,"*V4*",Forecast!L$7:L$59)-SUMIF(Forecast!$A$91:$BG$95,"*V4*",Forecast!L$91:L$95))*Assumptions!$C$62)</f>
        <v>9993</v>
      </c>
      <c r="N100" s="114">
        <f ca="1">((SUMIF(Forecast!$A$7:$BG$59,"*V1*",Forecast!M$7:M$59)-SUMIF(Forecast!$A$91:$BG$95,"*V1*",Forecast!M$91:M$95))*Assumptions!$C$59)+((SUMIF(Forecast!$A$7:$BG$59,"*V2*",Forecast!M$7:M$59)-SUMIF(Forecast!$A$91:$BG$95,"*V2*",Forecast!M$91:M$95))*Assumptions!$C$60)+((SUMIF(Forecast!$A$7:$BG$59,"*V3*",Forecast!M$7:M$59)-SUMIF(Forecast!$A$91:$BG$95,"*V3*",Forecast!M$91:M$95))*Assumptions!$C$61)+((SUMIF(Forecast!$A$7:$BG$59,"*V4*",Forecast!M$7:M$59)-SUMIF(Forecast!$A$91:$BG$95,"*V4*",Forecast!M$91:M$95))*Assumptions!$C$62)</f>
        <v>6479.8499999999995</v>
      </c>
      <c r="O100" s="114">
        <f ca="1">((SUMIF(Forecast!$A$7:$BG$59,"*V1*",Forecast!N$7:N$59)-SUMIF(Forecast!$A$91:$BG$95,"*V1*",Forecast!N$91:N$95))*Assumptions!$C$59)+((SUMIF(Forecast!$A$7:$BG$59,"*V2*",Forecast!N$7:N$59)-SUMIF(Forecast!$A$91:$BG$95,"*V2*",Forecast!N$91:N$95))*Assumptions!$C$60)+((SUMIF(Forecast!$A$7:$BG$59,"*V3*",Forecast!N$7:N$59)-SUMIF(Forecast!$A$91:$BG$95,"*V3*",Forecast!N$91:N$95))*Assumptions!$C$61)+((SUMIF(Forecast!$A$7:$BG$59,"*V4*",Forecast!N$7:N$59)-SUMIF(Forecast!$A$91:$BG$95,"*V4*",Forecast!N$91:N$95))*Assumptions!$C$62)</f>
        <v>6199.2</v>
      </c>
      <c r="P100" s="114">
        <f ca="1">((SUMIF(Forecast!$A$7:$BG$59,"*V1*",Forecast!O$7:O$59)-SUMIF(Forecast!$A$91:$BG$95,"*V1*",Forecast!O$91:O$95))*Assumptions!$C$59)+((SUMIF(Forecast!$A$7:$BG$59,"*V2*",Forecast!O$7:O$59)-SUMIF(Forecast!$A$91:$BG$95,"*V2*",Forecast!O$91:O$95))*Assumptions!$C$60)+((SUMIF(Forecast!$A$7:$BG$59,"*V3*",Forecast!O$7:O$59)-SUMIF(Forecast!$A$91:$BG$95,"*V3*",Forecast!O$91:O$95))*Assumptions!$C$61)+((SUMIF(Forecast!$A$7:$BG$59,"*V4*",Forecast!O$7:O$59)-SUMIF(Forecast!$A$91:$BG$95,"*V4*",Forecast!O$91:O$95))*Assumptions!$C$62)</f>
        <v>10581.75</v>
      </c>
      <c r="Q100" s="114">
        <f ca="1">((SUMIF(Forecast!$A$7:$BG$59,"*V1*",Forecast!P$7:P$59)-SUMIF(Forecast!$A$91:$BG$95,"*V1*",Forecast!P$91:P$95))*Assumptions!$C$59)+((SUMIF(Forecast!$A$7:$BG$59,"*V2*",Forecast!P$7:P$59)-SUMIF(Forecast!$A$91:$BG$95,"*V2*",Forecast!P$91:P$95))*Assumptions!$C$60)+((SUMIF(Forecast!$A$7:$BG$59,"*V3*",Forecast!P$7:P$59)-SUMIF(Forecast!$A$91:$BG$95,"*V3*",Forecast!P$91:P$95))*Assumptions!$C$61)+((SUMIF(Forecast!$A$7:$BG$59,"*V4*",Forecast!P$7:P$59)-SUMIF(Forecast!$A$91:$BG$95,"*V4*",Forecast!P$91:P$95))*Assumptions!$C$62)</f>
        <v>9915</v>
      </c>
      <c r="R100" s="114">
        <f ca="1">((SUMIF(Forecast!$A$7:$BG$59,"*V1*",Forecast!Q$7:Q$59)-SUMIF(Forecast!$A$91:$BG$95,"*V1*",Forecast!Q$91:Q$95))*Assumptions!$C$59)+((SUMIF(Forecast!$A$7:$BG$59,"*V2*",Forecast!Q$7:Q$59)-SUMIF(Forecast!$A$91:$BG$95,"*V2*",Forecast!Q$91:Q$95))*Assumptions!$C$60)+((SUMIF(Forecast!$A$7:$BG$59,"*V3*",Forecast!Q$7:Q$59)-SUMIF(Forecast!$A$91:$BG$95,"*V3*",Forecast!Q$91:Q$95))*Assumptions!$C$61)+((SUMIF(Forecast!$A$7:$BG$59,"*V4*",Forecast!Q$7:Q$59)-SUMIF(Forecast!$A$91:$BG$95,"*V4*",Forecast!Q$91:Q$95))*Assumptions!$C$62)</f>
        <v>6423</v>
      </c>
      <c r="S100" s="114">
        <f ca="1">((SUMIF(Forecast!$A$7:$BG$59,"*V1*",Forecast!R$7:R$59)-SUMIF(Forecast!$A$91:$BG$95,"*V1*",Forecast!R$91:R$95))*Assumptions!$C$59)+((SUMIF(Forecast!$A$7:$BG$59,"*V2*",Forecast!R$7:R$59)-SUMIF(Forecast!$A$91:$BG$95,"*V2*",Forecast!R$91:R$95))*Assumptions!$C$60)+((SUMIF(Forecast!$A$7:$BG$59,"*V3*",Forecast!R$7:R$59)-SUMIF(Forecast!$A$91:$BG$95,"*V3*",Forecast!R$91:R$95))*Assumptions!$C$61)+((SUMIF(Forecast!$A$7:$BG$59,"*V4*",Forecast!R$7:R$59)-SUMIF(Forecast!$A$91:$BG$95,"*V4*",Forecast!R$91:R$95))*Assumptions!$C$62)</f>
        <v>6242.7</v>
      </c>
      <c r="T100" s="114">
        <f ca="1">((SUMIF(Forecast!$A$7:$BG$59,"*V1*",Forecast!S$7:S$59)-SUMIF(Forecast!$A$91:$BG$95,"*V1*",Forecast!S$91:S$95))*Assumptions!$C$59)+((SUMIF(Forecast!$A$7:$BG$59,"*V2*",Forecast!S$7:S$59)-SUMIF(Forecast!$A$91:$BG$95,"*V2*",Forecast!S$91:S$95))*Assumptions!$C$60)+((SUMIF(Forecast!$A$7:$BG$59,"*V3*",Forecast!S$7:S$59)-SUMIF(Forecast!$A$91:$BG$95,"*V3*",Forecast!S$91:S$95))*Assumptions!$C$61)+((SUMIF(Forecast!$A$7:$BG$59,"*V4*",Forecast!S$7:S$59)-SUMIF(Forecast!$A$91:$BG$95,"*V4*",Forecast!S$91:S$95))*Assumptions!$C$62)</f>
        <v>8320.5</v>
      </c>
      <c r="U100" s="114">
        <f ca="1">((SUMIF(Forecast!$A$7:$BG$59,"*V1*",Forecast!T$7:T$59)-SUMIF(Forecast!$A$91:$BG$95,"*V1*",Forecast!T$91:T$95))*Assumptions!$C$59)+((SUMIF(Forecast!$A$7:$BG$59,"*V2*",Forecast!T$7:T$59)-SUMIF(Forecast!$A$91:$BG$95,"*V2*",Forecast!T$91:T$95))*Assumptions!$C$60)+((SUMIF(Forecast!$A$7:$BG$59,"*V3*",Forecast!T$7:T$59)-SUMIF(Forecast!$A$91:$BG$95,"*V3*",Forecast!T$91:T$95))*Assumptions!$C$61)+((SUMIF(Forecast!$A$7:$BG$59,"*V4*",Forecast!T$7:T$59)-SUMIF(Forecast!$A$91:$BG$95,"*V4*",Forecast!T$91:T$95))*Assumptions!$C$62)</f>
        <v>8765.85</v>
      </c>
      <c r="V100" s="114">
        <f ca="1">((SUMIF(Forecast!$A$7:$BG$59,"*V1*",Forecast!U$7:U$59)-SUMIF(Forecast!$A$91:$BG$95,"*V1*",Forecast!U$91:U$95))*Assumptions!$C$59)+((SUMIF(Forecast!$A$7:$BG$59,"*V2*",Forecast!U$7:U$59)-SUMIF(Forecast!$A$91:$BG$95,"*V2*",Forecast!U$91:U$95))*Assumptions!$C$60)+((SUMIF(Forecast!$A$7:$BG$59,"*V3*",Forecast!U$7:U$59)-SUMIF(Forecast!$A$91:$BG$95,"*V3*",Forecast!U$91:U$95))*Assumptions!$C$61)+((SUMIF(Forecast!$A$7:$BG$59,"*V4*",Forecast!U$7:U$59)-SUMIF(Forecast!$A$91:$BG$95,"*V4*",Forecast!U$91:U$95))*Assumptions!$C$62)</f>
        <v>9943.35</v>
      </c>
      <c r="W100" s="114">
        <f ca="1">((SUMIF(Forecast!$A$7:$BG$59,"*V1*",Forecast!V$7:V$59)-SUMIF(Forecast!$A$91:$BG$95,"*V1*",Forecast!V$91:V$95))*Assumptions!$C$59)+((SUMIF(Forecast!$A$7:$BG$59,"*V2*",Forecast!V$7:V$59)-SUMIF(Forecast!$A$91:$BG$95,"*V2*",Forecast!V$91:V$95))*Assumptions!$C$60)+((SUMIF(Forecast!$A$7:$BG$59,"*V3*",Forecast!V$7:V$59)-SUMIF(Forecast!$A$91:$BG$95,"*V3*",Forecast!V$91:V$95))*Assumptions!$C$61)+((SUMIF(Forecast!$A$7:$BG$59,"*V4*",Forecast!V$7:V$59)-SUMIF(Forecast!$A$91:$BG$95,"*V4*",Forecast!V$91:V$95))*Assumptions!$C$62)</f>
        <v>6696.75</v>
      </c>
      <c r="X100" s="114">
        <f ca="1">((SUMIF(Forecast!$A$7:$BG$59,"*V1*",Forecast!W$7:W$59)-SUMIF(Forecast!$A$91:$BG$95,"*V1*",Forecast!W$91:W$95))*Assumptions!$C$59)+((SUMIF(Forecast!$A$7:$BG$59,"*V2*",Forecast!W$7:W$59)-SUMIF(Forecast!$A$91:$BG$95,"*V2*",Forecast!W$91:W$95))*Assumptions!$C$60)+((SUMIF(Forecast!$A$7:$BG$59,"*V3*",Forecast!W$7:W$59)-SUMIF(Forecast!$A$91:$BG$95,"*V3*",Forecast!W$91:W$95))*Assumptions!$C$61)+((SUMIF(Forecast!$A$7:$BG$59,"*V4*",Forecast!W$7:W$59)-SUMIF(Forecast!$A$91:$BG$95,"*V4*",Forecast!W$91:W$95))*Assumptions!$C$62)</f>
        <v>7209</v>
      </c>
      <c r="Y100" s="114">
        <f ca="1">((SUMIF(Forecast!$A$7:$BG$59,"*V1*",Forecast!X$7:X$59)-SUMIF(Forecast!$A$91:$BG$95,"*V1*",Forecast!X$91:X$95))*Assumptions!$C$59)+((SUMIF(Forecast!$A$7:$BG$59,"*V2*",Forecast!X$7:X$59)-SUMIF(Forecast!$A$91:$BG$95,"*V2*",Forecast!X$91:X$95))*Assumptions!$C$60)+((SUMIF(Forecast!$A$7:$BG$59,"*V3*",Forecast!X$7:X$59)-SUMIF(Forecast!$A$91:$BG$95,"*V3*",Forecast!X$91:X$95))*Assumptions!$C$61)+((SUMIF(Forecast!$A$7:$BG$59,"*V4*",Forecast!X$7:X$59)-SUMIF(Forecast!$A$91:$BG$95,"*V4*",Forecast!X$91:X$95))*Assumptions!$C$62)</f>
        <v>8270.25</v>
      </c>
      <c r="Z100" s="114">
        <f ca="1">((SUMIF(Forecast!$A$7:$BG$59,"*V1*",Forecast!Y$7:Y$59)-SUMIF(Forecast!$A$91:$BG$95,"*V1*",Forecast!Y$91:Y$95))*Assumptions!$C$59)+((SUMIF(Forecast!$A$7:$BG$59,"*V2*",Forecast!Y$7:Y$59)-SUMIF(Forecast!$A$91:$BG$95,"*V2*",Forecast!Y$91:Y$95))*Assumptions!$C$60)+((SUMIF(Forecast!$A$7:$BG$59,"*V3*",Forecast!Y$7:Y$59)-SUMIF(Forecast!$A$91:$BG$95,"*V3*",Forecast!Y$91:Y$95))*Assumptions!$C$61)+((SUMIF(Forecast!$A$7:$BG$59,"*V4*",Forecast!Y$7:Y$59)-SUMIF(Forecast!$A$91:$BG$95,"*V4*",Forecast!Y$91:Y$95))*Assumptions!$C$62)</f>
        <v>9586.7999999999993</v>
      </c>
      <c r="AA100" s="114">
        <f ca="1">((SUMIF(Forecast!$A$7:$BG$59,"*V1*",Forecast!Z$7:Z$59)-SUMIF(Forecast!$A$91:$BG$95,"*V1*",Forecast!Z$91:Z$95))*Assumptions!$C$59)+((SUMIF(Forecast!$A$7:$BG$59,"*V2*",Forecast!Z$7:Z$59)-SUMIF(Forecast!$A$91:$BG$95,"*V2*",Forecast!Z$91:Z$95))*Assumptions!$C$60)+((SUMIF(Forecast!$A$7:$BG$59,"*V3*",Forecast!Z$7:Z$59)-SUMIF(Forecast!$A$91:$BG$95,"*V3*",Forecast!Z$91:Z$95))*Assumptions!$C$61)+((SUMIF(Forecast!$A$7:$BG$59,"*V4*",Forecast!Z$7:Z$59)-SUMIF(Forecast!$A$91:$BG$95,"*V4*",Forecast!Z$91:Z$95))*Assumptions!$C$62)</f>
        <v>8725.9499999999989</v>
      </c>
      <c r="AB100" s="114">
        <f ca="1">((SUMIF(Forecast!$A$7:$BG$59,"*V1*",Forecast!AA$7:AA$59)-SUMIF(Forecast!$A$91:$BG$95,"*V1*",Forecast!AA$91:AA$95))*Assumptions!$C$59)+((SUMIF(Forecast!$A$7:$BG$59,"*V2*",Forecast!AA$7:AA$59)-SUMIF(Forecast!$A$91:$BG$95,"*V2*",Forecast!AA$91:AA$95))*Assumptions!$C$60)+((SUMIF(Forecast!$A$7:$BG$59,"*V3*",Forecast!AA$7:AA$59)-SUMIF(Forecast!$A$91:$BG$95,"*V3*",Forecast!AA$91:AA$95))*Assumptions!$C$61)+((SUMIF(Forecast!$A$7:$BG$59,"*V4*",Forecast!AA$7:AA$59)-SUMIF(Forecast!$A$91:$BG$95,"*V4*",Forecast!AA$91:AA$95))*Assumptions!$C$62)</f>
        <v>6640.2</v>
      </c>
      <c r="AC100" s="114">
        <f ca="1">((SUMIF(Forecast!$A$7:$BG$59,"*V1*",Forecast!AB$7:AB$59)-SUMIF(Forecast!$A$91:$BG$95,"*V1*",Forecast!AB$91:AB$95))*Assumptions!$C$59)+((SUMIF(Forecast!$A$7:$BG$59,"*V2*",Forecast!AB$7:AB$59)-SUMIF(Forecast!$A$91:$BG$95,"*V2*",Forecast!AB$91:AB$95))*Assumptions!$C$60)+((SUMIF(Forecast!$A$7:$BG$59,"*V3*",Forecast!AB$7:AB$59)-SUMIF(Forecast!$A$91:$BG$95,"*V3*",Forecast!AB$91:AB$95))*Assumptions!$C$61)+((SUMIF(Forecast!$A$7:$BG$59,"*V4*",Forecast!AB$7:AB$59)-SUMIF(Forecast!$A$91:$BG$95,"*V4*",Forecast!AB$91:AB$95))*Assumptions!$C$62)</f>
        <v>9720.15</v>
      </c>
      <c r="AD100" s="114">
        <f ca="1">((SUMIF(Forecast!$A$7:$BG$59,"*V1*",Forecast!AC$7:AC$59)-SUMIF(Forecast!$A$91:$BG$95,"*V1*",Forecast!AC$91:AC$95))*Assumptions!$C$59)+((SUMIF(Forecast!$A$7:$BG$59,"*V2*",Forecast!AC$7:AC$59)-SUMIF(Forecast!$A$91:$BG$95,"*V2*",Forecast!AC$91:AC$95))*Assumptions!$C$60)+((SUMIF(Forecast!$A$7:$BG$59,"*V3*",Forecast!AC$7:AC$59)-SUMIF(Forecast!$A$91:$BG$95,"*V3*",Forecast!AC$91:AC$95))*Assumptions!$C$61)+((SUMIF(Forecast!$A$7:$BG$59,"*V4*",Forecast!AC$7:AC$59)-SUMIF(Forecast!$A$91:$BG$95,"*V4*",Forecast!AC$91:AC$95))*Assumptions!$C$62)</f>
        <v>9816</v>
      </c>
      <c r="AE100" s="114">
        <f ca="1">((SUMIF(Forecast!$A$7:$BG$59,"*V1*",Forecast!AD$7:AD$59)-SUMIF(Forecast!$A$91:$BG$95,"*V1*",Forecast!AD$91:AD$95))*Assumptions!$C$59)+((SUMIF(Forecast!$A$7:$BG$59,"*V2*",Forecast!AD$7:AD$59)-SUMIF(Forecast!$A$91:$BG$95,"*V2*",Forecast!AD$91:AD$95))*Assumptions!$C$60)+((SUMIF(Forecast!$A$7:$BG$59,"*V3*",Forecast!AD$7:AD$59)-SUMIF(Forecast!$A$91:$BG$95,"*V3*",Forecast!AD$91:AD$95))*Assumptions!$C$61)+((SUMIF(Forecast!$A$7:$BG$59,"*V4*",Forecast!AD$7:AD$59)-SUMIF(Forecast!$A$91:$BG$95,"*V4*",Forecast!AD$91:AD$95))*Assumptions!$C$62)</f>
        <v>6909</v>
      </c>
      <c r="AF100" s="114">
        <f ca="1">((SUMIF(Forecast!$A$7:$BG$59,"*V1*",Forecast!AE$7:AE$59)-SUMIF(Forecast!$A$91:$BG$95,"*V1*",Forecast!AE$91:AE$95))*Assumptions!$C$59)+((SUMIF(Forecast!$A$7:$BG$59,"*V2*",Forecast!AE$7:AE$59)-SUMIF(Forecast!$A$91:$BG$95,"*V2*",Forecast!AE$91:AE$95))*Assumptions!$C$60)+((SUMIF(Forecast!$A$7:$BG$59,"*V3*",Forecast!AE$7:AE$59)-SUMIF(Forecast!$A$91:$BG$95,"*V3*",Forecast!AE$91:AE$95))*Assumptions!$C$61)+((SUMIF(Forecast!$A$7:$BG$59,"*V4*",Forecast!AE$7:AE$59)-SUMIF(Forecast!$A$91:$BG$95,"*V4*",Forecast!AE$91:AE$95))*Assumptions!$C$62)</f>
        <v>6838.5</v>
      </c>
      <c r="AG100" s="114">
        <f ca="1">((SUMIF(Forecast!$A$7:$BG$59,"*V1*",Forecast!AF$7:AF$59)-SUMIF(Forecast!$A$91:$BG$95,"*V1*",Forecast!AF$91:AF$95))*Assumptions!$C$59)+((SUMIF(Forecast!$A$7:$BG$59,"*V2*",Forecast!AF$7:AF$59)-SUMIF(Forecast!$A$91:$BG$95,"*V2*",Forecast!AF$91:AF$95))*Assumptions!$C$60)+((SUMIF(Forecast!$A$7:$BG$59,"*V3*",Forecast!AF$7:AF$59)-SUMIF(Forecast!$A$91:$BG$95,"*V3*",Forecast!AF$91:AF$95))*Assumptions!$C$61)+((SUMIF(Forecast!$A$7:$BG$59,"*V4*",Forecast!AF$7:AF$59)-SUMIF(Forecast!$A$91:$BG$95,"*V4*",Forecast!AF$91:AF$95))*Assumptions!$C$62)</f>
        <v>6410.0999999999995</v>
      </c>
      <c r="AH100" s="114">
        <f ca="1">((SUMIF(Forecast!$A$7:$BG$59,"*V1*",Forecast!AG$7:AG$59)-SUMIF(Forecast!$A$91:$BG$95,"*V1*",Forecast!AG$91:AG$95))*Assumptions!$C$59)+((SUMIF(Forecast!$A$7:$BG$59,"*V2*",Forecast!AG$7:AG$59)-SUMIF(Forecast!$A$91:$BG$95,"*V2*",Forecast!AG$91:AG$95))*Assumptions!$C$60)+((SUMIF(Forecast!$A$7:$BG$59,"*V3*",Forecast!AG$7:AG$59)-SUMIF(Forecast!$A$91:$BG$95,"*V3*",Forecast!AG$91:AG$95))*Assumptions!$C$61)+((SUMIF(Forecast!$A$7:$BG$59,"*V4*",Forecast!AG$7:AG$59)-SUMIF(Forecast!$A$91:$BG$95,"*V4*",Forecast!AG$91:AG$95))*Assumptions!$C$62)</f>
        <v>8420.25</v>
      </c>
      <c r="AI100" s="114">
        <f ca="1">((SUMIF(Forecast!$A$7:$BG$59,"*V1*",Forecast!AH$7:AH$59)-SUMIF(Forecast!$A$91:$BG$95,"*V1*",Forecast!AH$91:AH$95))*Assumptions!$C$59)+((SUMIF(Forecast!$A$7:$BG$59,"*V2*",Forecast!AH$7:AH$59)-SUMIF(Forecast!$A$91:$BG$95,"*V2*",Forecast!AH$91:AH$95))*Assumptions!$C$60)+((SUMIF(Forecast!$A$7:$BG$59,"*V3*",Forecast!AH$7:AH$59)-SUMIF(Forecast!$A$91:$BG$95,"*V3*",Forecast!AH$91:AH$95))*Assumptions!$C$61)+((SUMIF(Forecast!$A$7:$BG$59,"*V4*",Forecast!AH$7:AH$59)-SUMIF(Forecast!$A$91:$BG$95,"*V4*",Forecast!AH$91:AH$95))*Assumptions!$C$62)</f>
        <v>11352</v>
      </c>
      <c r="AJ100" s="114">
        <f ca="1">((SUMIF(Forecast!$A$7:$BG$59,"*V1*",Forecast!AI$7:AI$59)-SUMIF(Forecast!$A$91:$BG$95,"*V1*",Forecast!AI$91:AI$95))*Assumptions!$C$59)+((SUMIF(Forecast!$A$7:$BG$59,"*V2*",Forecast!AI$7:AI$59)-SUMIF(Forecast!$A$91:$BG$95,"*V2*",Forecast!AI$91:AI$95))*Assumptions!$C$60)+((SUMIF(Forecast!$A$7:$BG$59,"*V3*",Forecast!AI$7:AI$59)-SUMIF(Forecast!$A$91:$BG$95,"*V3*",Forecast!AI$91:AI$95))*Assumptions!$C$61)+((SUMIF(Forecast!$A$7:$BG$59,"*V4*",Forecast!AI$7:AI$59)-SUMIF(Forecast!$A$91:$BG$95,"*V4*",Forecast!AI$91:AI$95))*Assumptions!$C$62)</f>
        <v>7115.0999999999995</v>
      </c>
      <c r="AK100" s="114">
        <f ca="1">((SUMIF(Forecast!$A$7:$BG$59,"*V1*",Forecast!AJ$7:AJ$59)-SUMIF(Forecast!$A$91:$BG$95,"*V1*",Forecast!AJ$91:AJ$95))*Assumptions!$C$59)+((SUMIF(Forecast!$A$7:$BG$59,"*V2*",Forecast!AJ$7:AJ$59)-SUMIF(Forecast!$A$91:$BG$95,"*V2*",Forecast!AJ$91:AJ$95))*Assumptions!$C$60)+((SUMIF(Forecast!$A$7:$BG$59,"*V3*",Forecast!AJ$7:AJ$59)-SUMIF(Forecast!$A$91:$BG$95,"*V3*",Forecast!AJ$91:AJ$95))*Assumptions!$C$61)+((SUMIF(Forecast!$A$7:$BG$59,"*V4*",Forecast!AJ$7:AJ$59)-SUMIF(Forecast!$A$91:$BG$95,"*V4*",Forecast!AJ$91:AJ$95))*Assumptions!$C$62)</f>
        <v>10302</v>
      </c>
      <c r="AL100" s="114">
        <f ca="1">((SUMIF(Forecast!$A$7:$BG$59,"*V1*",Forecast!AK$7:AK$59)-SUMIF(Forecast!$A$91:$BG$95,"*V1*",Forecast!AK$91:AK$95))*Assumptions!$C$59)+((SUMIF(Forecast!$A$7:$BG$59,"*V2*",Forecast!AK$7:AK$59)-SUMIF(Forecast!$A$91:$BG$95,"*V2*",Forecast!AK$91:AK$95))*Assumptions!$C$60)+((SUMIF(Forecast!$A$7:$BG$59,"*V3*",Forecast!AK$7:AK$59)-SUMIF(Forecast!$A$91:$BG$95,"*V3*",Forecast!AK$91:AK$95))*Assumptions!$C$61)+((SUMIF(Forecast!$A$7:$BG$59,"*V4*",Forecast!AK$7:AK$59)-SUMIF(Forecast!$A$91:$BG$95,"*V4*",Forecast!AK$91:AK$95))*Assumptions!$C$62)</f>
        <v>8906.25</v>
      </c>
      <c r="AM100" s="114">
        <f ca="1">((SUMIF(Forecast!$A$7:$BG$59,"*V1*",Forecast!AL$7:AL$59)-SUMIF(Forecast!$A$91:$BG$95,"*V1*",Forecast!AL$91:AL$95))*Assumptions!$C$59)+((SUMIF(Forecast!$A$7:$BG$59,"*V2*",Forecast!AL$7:AL$59)-SUMIF(Forecast!$A$91:$BG$95,"*V2*",Forecast!AL$91:AL$95))*Assumptions!$C$60)+((SUMIF(Forecast!$A$7:$BG$59,"*V3*",Forecast!AL$7:AL$59)-SUMIF(Forecast!$A$91:$BG$95,"*V3*",Forecast!AL$91:AL$95))*Assumptions!$C$61)+((SUMIF(Forecast!$A$7:$BG$59,"*V4*",Forecast!AL$7:AL$59)-SUMIF(Forecast!$A$91:$BG$95,"*V4*",Forecast!AL$91:AL$95))*Assumptions!$C$62)</f>
        <v>10725</v>
      </c>
      <c r="AN100" s="114">
        <f ca="1">((SUMIF(Forecast!$A$7:$BG$59,"*V1*",Forecast!AM$7:AM$59)-SUMIF(Forecast!$A$91:$BG$95,"*V1*",Forecast!AM$91:AM$95))*Assumptions!$C$59)+((SUMIF(Forecast!$A$7:$BG$59,"*V2*",Forecast!AM$7:AM$59)-SUMIF(Forecast!$A$91:$BG$95,"*V2*",Forecast!AM$91:AM$95))*Assumptions!$C$60)+((SUMIF(Forecast!$A$7:$BG$59,"*V3*",Forecast!AM$7:AM$59)-SUMIF(Forecast!$A$91:$BG$95,"*V3*",Forecast!AM$91:AM$95))*Assumptions!$C$61)+((SUMIF(Forecast!$A$7:$BG$59,"*V4*",Forecast!AM$7:AM$59)-SUMIF(Forecast!$A$91:$BG$95,"*V4*",Forecast!AM$91:AM$95))*Assumptions!$C$62)</f>
        <v>7072.5</v>
      </c>
      <c r="AO100" s="114">
        <f ca="1">((SUMIF(Forecast!$A$7:$BG$59,"*V1*",Forecast!AN$7:AN$59)-SUMIF(Forecast!$A$91:$BG$95,"*V1*",Forecast!AN$91:AN$95))*Assumptions!$C$59)+((SUMIF(Forecast!$A$7:$BG$59,"*V2*",Forecast!AN$7:AN$59)-SUMIF(Forecast!$A$91:$BG$95,"*V2*",Forecast!AN$91:AN$95))*Assumptions!$C$60)+((SUMIF(Forecast!$A$7:$BG$59,"*V3*",Forecast!AN$7:AN$59)-SUMIF(Forecast!$A$91:$BG$95,"*V3*",Forecast!AN$91:AN$95))*Assumptions!$C$61)+((SUMIF(Forecast!$A$7:$BG$59,"*V4*",Forecast!AN$7:AN$59)-SUMIF(Forecast!$A$91:$BG$95,"*V4*",Forecast!AN$91:AN$95))*Assumptions!$C$62)</f>
        <v>7332</v>
      </c>
      <c r="AP100" s="114">
        <f ca="1">((SUMIF(Forecast!$A$7:$BG$59,"*V1*",Forecast!AO$7:AO$59)-SUMIF(Forecast!$A$91:$BG$95,"*V1*",Forecast!AO$91:AO$95))*Assumptions!$C$59)+((SUMIF(Forecast!$A$7:$BG$59,"*V2*",Forecast!AO$7:AO$59)-SUMIF(Forecast!$A$91:$BG$95,"*V2*",Forecast!AO$91:AO$95))*Assumptions!$C$60)+((SUMIF(Forecast!$A$7:$BG$59,"*V3*",Forecast!AO$7:AO$59)-SUMIF(Forecast!$A$91:$BG$95,"*V3*",Forecast!AO$91:AO$95))*Assumptions!$C$61)+((SUMIF(Forecast!$A$7:$BG$59,"*V4*",Forecast!AO$7:AO$59)-SUMIF(Forecast!$A$91:$BG$95,"*V4*",Forecast!AO$91:AO$95))*Assumptions!$C$62)</f>
        <v>10730.25</v>
      </c>
      <c r="AQ100" s="114">
        <f ca="1">((SUMIF(Forecast!$A$7:$BG$59,"*V1*",Forecast!AP$7:AP$59)-SUMIF(Forecast!$A$91:$BG$95,"*V1*",Forecast!AP$91:AP$95))*Assumptions!$C$59)+((SUMIF(Forecast!$A$7:$BG$59,"*V2*",Forecast!AP$7:AP$59)-SUMIF(Forecast!$A$91:$BG$95,"*V2*",Forecast!AP$91:AP$95))*Assumptions!$C$60)+((SUMIF(Forecast!$A$7:$BG$59,"*V3*",Forecast!AP$7:AP$59)-SUMIF(Forecast!$A$91:$BG$95,"*V3*",Forecast!AP$91:AP$95))*Assumptions!$C$61)+((SUMIF(Forecast!$A$7:$BG$59,"*V4*",Forecast!AP$7:AP$59)-SUMIF(Forecast!$A$91:$BG$95,"*V4*",Forecast!AP$91:AP$95))*Assumptions!$C$62)</f>
        <v>6350.4</v>
      </c>
      <c r="AR100" s="114">
        <f ca="1">((SUMIF(Forecast!$A$7:$BG$59,"*V1*",Forecast!AQ$7:AQ$59)-SUMIF(Forecast!$A$91:$BG$95,"*V1*",Forecast!AQ$91:AQ$95))*Assumptions!$C$59)+((SUMIF(Forecast!$A$7:$BG$59,"*V2*",Forecast!AQ$7:AQ$59)-SUMIF(Forecast!$A$91:$BG$95,"*V2*",Forecast!AQ$91:AQ$95))*Assumptions!$C$60)+((SUMIF(Forecast!$A$7:$BG$59,"*V3*",Forecast!AQ$7:AQ$59)-SUMIF(Forecast!$A$91:$BG$95,"*V3*",Forecast!AQ$91:AQ$95))*Assumptions!$C$61)+((SUMIF(Forecast!$A$7:$BG$59,"*V4*",Forecast!AQ$7:AQ$59)-SUMIF(Forecast!$A$91:$BG$95,"*V4*",Forecast!AQ$91:AQ$95))*Assumptions!$C$62)</f>
        <v>8721.6</v>
      </c>
      <c r="AS100" s="114">
        <f ca="1">((SUMIF(Forecast!$A$7:$BG$59,"*V1*",Forecast!AR$7:AR$59)-SUMIF(Forecast!$A$91:$BG$95,"*V1*",Forecast!AR$91:AR$95))*Assumptions!$C$59)+((SUMIF(Forecast!$A$7:$BG$59,"*V2*",Forecast!AR$7:AR$59)-SUMIF(Forecast!$A$91:$BG$95,"*V2*",Forecast!AR$91:AR$95))*Assumptions!$C$60)+((SUMIF(Forecast!$A$7:$BG$59,"*V3*",Forecast!AR$7:AR$59)-SUMIF(Forecast!$A$91:$BG$95,"*V3*",Forecast!AR$91:AR$95))*Assumptions!$C$61)+((SUMIF(Forecast!$A$7:$BG$59,"*V4*",Forecast!AR$7:AR$59)-SUMIF(Forecast!$A$91:$BG$95,"*V4*",Forecast!AR$91:AR$95))*Assumptions!$C$62)</f>
        <v>9144.9</v>
      </c>
      <c r="AT100" s="114">
        <f ca="1">((SUMIF(Forecast!$A$7:$BG$59,"*V1*",Forecast!AS$7:AS$59)-SUMIF(Forecast!$A$91:$BG$95,"*V1*",Forecast!AS$91:AS$95))*Assumptions!$C$59)+((SUMIF(Forecast!$A$7:$BG$59,"*V2*",Forecast!AS$7:AS$59)-SUMIF(Forecast!$A$91:$BG$95,"*V2*",Forecast!AS$91:AS$95))*Assumptions!$C$60)+((SUMIF(Forecast!$A$7:$BG$59,"*V3*",Forecast!AS$7:AS$59)-SUMIF(Forecast!$A$91:$BG$95,"*V3*",Forecast!AS$91:AS$95))*Assumptions!$C$61)+((SUMIF(Forecast!$A$7:$BG$59,"*V4*",Forecast!AS$7:AS$59)-SUMIF(Forecast!$A$91:$BG$95,"*V4*",Forecast!AS$91:AS$95))*Assumptions!$C$62)</f>
        <v>5368.8</v>
      </c>
      <c r="AU100" s="114">
        <f ca="1">((SUMIF(Forecast!$A$7:$BG$59,"*V1*",Forecast!AT$7:AT$59)-SUMIF(Forecast!$A$91:$BG$95,"*V1*",Forecast!AT$91:AT$95))*Assumptions!$C$59)+((SUMIF(Forecast!$A$7:$BG$59,"*V2*",Forecast!AT$7:AT$59)-SUMIF(Forecast!$A$91:$BG$95,"*V2*",Forecast!AT$91:AT$95))*Assumptions!$C$60)+((SUMIF(Forecast!$A$7:$BG$59,"*V3*",Forecast!AT$7:AT$59)-SUMIF(Forecast!$A$91:$BG$95,"*V3*",Forecast!AT$91:AT$95))*Assumptions!$C$61)+((SUMIF(Forecast!$A$7:$BG$59,"*V4*",Forecast!AT$7:AT$59)-SUMIF(Forecast!$A$91:$BG$95,"*V4*",Forecast!AT$91:AT$95))*Assumptions!$C$62)</f>
        <v>5433.69</v>
      </c>
      <c r="AV100" s="114">
        <f ca="1">((SUMIF(Forecast!$A$7:$BG$59,"*V1*",Forecast!AU$7:AU$59)-SUMIF(Forecast!$A$91:$BG$95,"*V1*",Forecast!AU$91:AU$95))*Assumptions!$C$59)+((SUMIF(Forecast!$A$7:$BG$59,"*V2*",Forecast!AU$7:AU$59)-SUMIF(Forecast!$A$91:$BG$95,"*V2*",Forecast!AU$91:AU$95))*Assumptions!$C$60)+((SUMIF(Forecast!$A$7:$BG$59,"*V3*",Forecast!AU$7:AU$59)-SUMIF(Forecast!$A$91:$BG$95,"*V3*",Forecast!AU$91:AU$95))*Assumptions!$C$61)+((SUMIF(Forecast!$A$7:$BG$59,"*V4*",Forecast!AU$7:AU$59)-SUMIF(Forecast!$A$91:$BG$95,"*V4*",Forecast!AU$91:AU$95))*Assumptions!$C$62)</f>
        <v>7283.04</v>
      </c>
      <c r="AW100" s="114">
        <f ca="1">((SUMIF(Forecast!$A$7:$BG$59,"*V1*",Forecast!AV$7:AV$59)-SUMIF(Forecast!$A$91:$BG$95,"*V1*",Forecast!AV$91:AV$95))*Assumptions!$C$59)+((SUMIF(Forecast!$A$7:$BG$59,"*V2*",Forecast!AV$7:AV$59)-SUMIF(Forecast!$A$91:$BG$95,"*V2*",Forecast!AV$91:AV$95))*Assumptions!$C$60)+((SUMIF(Forecast!$A$7:$BG$59,"*V3*",Forecast!AV$7:AV$59)-SUMIF(Forecast!$A$91:$BG$95,"*V3*",Forecast!AV$91:AV$95))*Assumptions!$C$61)+((SUMIF(Forecast!$A$7:$BG$59,"*V4*",Forecast!AV$7:AV$59)-SUMIF(Forecast!$A$91:$BG$95,"*V4*",Forecast!AV$91:AV$95))*Assumptions!$C$62)</f>
        <v>5056.5</v>
      </c>
      <c r="AX100" s="114">
        <f ca="1">((SUMIF(Forecast!$A$7:$BG$59,"*V1*",Forecast!AW$7:AW$59)-SUMIF(Forecast!$A$91:$BG$95,"*V1*",Forecast!AW$91:AW$95))*Assumptions!$C$59)+((SUMIF(Forecast!$A$7:$BG$59,"*V2*",Forecast!AW$7:AW$59)-SUMIF(Forecast!$A$91:$BG$95,"*V2*",Forecast!AW$91:AW$95))*Assumptions!$C$60)+((SUMIF(Forecast!$A$7:$BG$59,"*V3*",Forecast!AW$7:AW$59)-SUMIF(Forecast!$A$91:$BG$95,"*V3*",Forecast!AW$91:AW$95))*Assumptions!$C$61)+((SUMIF(Forecast!$A$7:$BG$59,"*V4*",Forecast!AW$7:AW$59)-SUMIF(Forecast!$A$91:$BG$95,"*V4*",Forecast!AW$91:AW$95))*Assumptions!$C$62)</f>
        <v>7364.6399999999994</v>
      </c>
      <c r="AY100" s="114">
        <f ca="1">((SUMIF(Forecast!$A$7:$BG$59,"*V1*",Forecast!AX$7:AX$59)-SUMIF(Forecast!$A$91:$BG$95,"*V1*",Forecast!AX$91:AX$95))*Assumptions!$C$59)+((SUMIF(Forecast!$A$7:$BG$59,"*V2*",Forecast!AX$7:AX$59)-SUMIF(Forecast!$A$91:$BG$95,"*V2*",Forecast!AX$91:AX$95))*Assumptions!$C$60)+((SUMIF(Forecast!$A$7:$BG$59,"*V3*",Forecast!AX$7:AX$59)-SUMIF(Forecast!$A$91:$BG$95,"*V3*",Forecast!AX$91:AX$95))*Assumptions!$C$61)+((SUMIF(Forecast!$A$7:$BG$59,"*V4*",Forecast!AX$7:AX$59)-SUMIF(Forecast!$A$91:$BG$95,"*V4*",Forecast!AX$91:AX$95))*Assumptions!$C$62)</f>
        <v>9680.25</v>
      </c>
      <c r="AZ100" s="114">
        <f ca="1">((SUMIF(Forecast!$A$7:$BG$59,"*V1*",Forecast!AY$7:AY$59)-SUMIF(Forecast!$A$91:$BG$95,"*V1*",Forecast!AY$91:AY$95))*Assumptions!$C$59)+((SUMIF(Forecast!$A$7:$BG$59,"*V2*",Forecast!AY$7:AY$59)-SUMIF(Forecast!$A$91:$BG$95,"*V2*",Forecast!AY$91:AY$95))*Assumptions!$C$60)+((SUMIF(Forecast!$A$7:$BG$59,"*V3*",Forecast!AY$7:AY$59)-SUMIF(Forecast!$A$91:$BG$95,"*V3*",Forecast!AY$91:AY$95))*Assumptions!$C$61)+((SUMIF(Forecast!$A$7:$BG$59,"*V4*",Forecast!AY$7:AY$59)-SUMIF(Forecast!$A$91:$BG$95,"*V4*",Forecast!AY$91:AY$95))*Assumptions!$C$62)</f>
        <v>10284</v>
      </c>
      <c r="BA100" s="114">
        <f ca="1">((SUMIF(Forecast!$A$7:$BG$59,"*V1*",Forecast!AZ$7:AZ$59)-SUMIF(Forecast!$A$91:$BG$95,"*V1*",Forecast!AZ$91:AZ$95))*Assumptions!$C$59)+((SUMIF(Forecast!$A$7:$BG$59,"*V2*",Forecast!AZ$7:AZ$59)-SUMIF(Forecast!$A$91:$BG$95,"*V2*",Forecast!AZ$91:AZ$95))*Assumptions!$C$60)+((SUMIF(Forecast!$A$7:$BG$59,"*V3*",Forecast!AZ$7:AZ$59)-SUMIF(Forecast!$A$91:$BG$95,"*V3*",Forecast!AZ$91:AZ$95))*Assumptions!$C$61)+((SUMIF(Forecast!$A$7:$BG$59,"*V4*",Forecast!AZ$7:AZ$59)-SUMIF(Forecast!$A$91:$BG$95,"*V4*",Forecast!AZ$91:AZ$95))*Assumptions!$C$62)</f>
        <v>8053.5</v>
      </c>
      <c r="BB100" s="114">
        <f ca="1">((SUMIF(Forecast!$A$7:$BG$59,"*V1*",Forecast!BA$7:BA$59)-SUMIF(Forecast!$A$91:$BG$95,"*V1*",Forecast!BA$91:BA$95))*Assumptions!$C$59)+((SUMIF(Forecast!$A$7:$BG$59,"*V2*",Forecast!BA$7:BA$59)-SUMIF(Forecast!$A$91:$BG$95,"*V2*",Forecast!BA$91:BA$95))*Assumptions!$C$60)+((SUMIF(Forecast!$A$7:$BG$59,"*V3*",Forecast!BA$7:BA$59)-SUMIF(Forecast!$A$91:$BG$95,"*V3*",Forecast!BA$91:BA$95))*Assumptions!$C$61)+((SUMIF(Forecast!$A$7:$BG$59,"*V4*",Forecast!BA$7:BA$59)-SUMIF(Forecast!$A$91:$BG$95,"*V4*",Forecast!BA$91:BA$95))*Assumptions!$C$62)</f>
        <v>9949.1999999999989</v>
      </c>
      <c r="BC100" s="114">
        <f ca="1">((SUMIF(Forecast!$A$7:$BG$59,"*V1*",Forecast!BB$7:BB$59)-SUMIF(Forecast!$A$91:$BG$95,"*V1*",Forecast!BB$91:BB$95))*Assumptions!$C$59)+((SUMIF(Forecast!$A$7:$BG$59,"*V2*",Forecast!BB$7:BB$59)-SUMIF(Forecast!$A$91:$BG$95,"*V2*",Forecast!BB$91:BB$95))*Assumptions!$C$60)+((SUMIF(Forecast!$A$7:$BG$59,"*V3*",Forecast!BB$7:BB$59)-SUMIF(Forecast!$A$91:$BG$95,"*V3*",Forecast!BB$91:BB$95))*Assumptions!$C$61)+((SUMIF(Forecast!$A$7:$BG$59,"*V4*",Forecast!BB$7:BB$59)-SUMIF(Forecast!$A$91:$BG$95,"*V4*",Forecast!BB$91:BB$95))*Assumptions!$C$62)</f>
        <v>11399.1</v>
      </c>
    </row>
    <row r="101" spans="2:55" ht="16.149999999999999" customHeight="1" x14ac:dyDescent="0.3">
      <c r="B101" s="137" t="s">
        <v>269</v>
      </c>
      <c r="C101" s="138">
        <f ca="1">OFFSET(Pay!$D$2,MATCH(C$4,Pay!$D$3:$D$18,1),0,1,1)</f>
        <v>43855</v>
      </c>
      <c r="D101" s="138">
        <f ca="1">OFFSET(Pay!$D$2,MATCH(D$4,Pay!$D$3:$D$18,1),0,1,1)</f>
        <v>43855</v>
      </c>
      <c r="E101" s="138">
        <f ca="1">OFFSET(Pay!$D$2,MATCH(E$4,Pay!$D$3:$D$18,1),0,1,1)</f>
        <v>43855</v>
      </c>
      <c r="F101" s="138">
        <f ca="1">OFFSET(Pay!$D$2,MATCH(F$4,Pay!$D$3:$D$18,1),0,1,1)</f>
        <v>43855</v>
      </c>
      <c r="G101" s="138">
        <f ca="1">OFFSET(Pay!$D$2,MATCH(G$4,Pay!$D$3:$D$18,1),0,1,1)</f>
        <v>43915</v>
      </c>
      <c r="H101" s="138">
        <f ca="1">OFFSET(Pay!$D$2,MATCH(H$4,Pay!$D$3:$D$18,1),0,1,1)</f>
        <v>43915</v>
      </c>
      <c r="I101" s="138">
        <f ca="1">OFFSET(Pay!$D$2,MATCH(I$4,Pay!$D$3:$D$18,1),0,1,1)</f>
        <v>43915</v>
      </c>
      <c r="J101" s="138">
        <f ca="1">OFFSET(Pay!$D$2,MATCH(J$4,Pay!$D$3:$D$18,1),0,1,1)</f>
        <v>43915</v>
      </c>
      <c r="K101" s="138">
        <f ca="1">OFFSET(Pay!$D$2,MATCH(K$4,Pay!$D$3:$D$18,1),0,1,1)</f>
        <v>43915</v>
      </c>
      <c r="L101" s="138">
        <f ca="1">OFFSET(Pay!$D$2,MATCH(L$4,Pay!$D$3:$D$18,1),0,1,1)</f>
        <v>43915</v>
      </c>
      <c r="M101" s="138">
        <f ca="1">OFFSET(Pay!$D$2,MATCH(M$4,Pay!$D$3:$D$18,1),0,1,1)</f>
        <v>43915</v>
      </c>
      <c r="N101" s="138">
        <f ca="1">OFFSET(Pay!$D$2,MATCH(N$4,Pay!$D$3:$D$18,1),0,1,1)</f>
        <v>43915</v>
      </c>
      <c r="O101" s="138">
        <f ca="1">OFFSET(Pay!$D$2,MATCH(O$4,Pay!$D$3:$D$18,1),0,1,1)</f>
        <v>43915</v>
      </c>
      <c r="P101" s="138">
        <f ca="1">OFFSET(Pay!$D$2,MATCH(P$4,Pay!$D$3:$D$18,1),0,1,1)</f>
        <v>43976</v>
      </c>
      <c r="Q101" s="138">
        <f ca="1">OFFSET(Pay!$D$2,MATCH(Q$4,Pay!$D$3:$D$18,1),0,1,1)</f>
        <v>43976</v>
      </c>
      <c r="R101" s="138">
        <f ca="1">OFFSET(Pay!$D$2,MATCH(R$4,Pay!$D$3:$D$18,1),0,1,1)</f>
        <v>43976</v>
      </c>
      <c r="S101" s="138">
        <f ca="1">OFFSET(Pay!$D$2,MATCH(S$4,Pay!$D$3:$D$18,1),0,1,1)</f>
        <v>43976</v>
      </c>
      <c r="T101" s="138">
        <f ca="1">OFFSET(Pay!$D$2,MATCH(T$4,Pay!$D$3:$D$18,1),0,1,1)</f>
        <v>43976</v>
      </c>
      <c r="U101" s="138">
        <f ca="1">OFFSET(Pay!$D$2,MATCH(U$4,Pay!$D$3:$D$18,1),0,1,1)</f>
        <v>43976</v>
      </c>
      <c r="V101" s="138">
        <f ca="1">OFFSET(Pay!$D$2,MATCH(V$4,Pay!$D$3:$D$18,1),0,1,1)</f>
        <v>43976</v>
      </c>
      <c r="W101" s="138">
        <f ca="1">OFFSET(Pay!$D$2,MATCH(W$4,Pay!$D$3:$D$18,1),0,1,1)</f>
        <v>43976</v>
      </c>
      <c r="X101" s="138">
        <f ca="1">OFFSET(Pay!$D$2,MATCH(X$4,Pay!$D$3:$D$18,1),0,1,1)</f>
        <v>44037</v>
      </c>
      <c r="Y101" s="138">
        <f ca="1">OFFSET(Pay!$D$2,MATCH(Y$4,Pay!$D$3:$D$18,1),0,1,1)</f>
        <v>44037</v>
      </c>
      <c r="Z101" s="138">
        <f ca="1">OFFSET(Pay!$D$2,MATCH(Z$4,Pay!$D$3:$D$18,1),0,1,1)</f>
        <v>44037</v>
      </c>
      <c r="AA101" s="138">
        <f ca="1">OFFSET(Pay!$D$2,MATCH(AA$4,Pay!$D$3:$D$18,1),0,1,1)</f>
        <v>44037</v>
      </c>
      <c r="AB101" s="138">
        <f ca="1">OFFSET(Pay!$D$2,MATCH(AB$4,Pay!$D$3:$D$18,1),0,1,1)</f>
        <v>44037</v>
      </c>
      <c r="AC101" s="138">
        <f ca="1">OFFSET(Pay!$D$2,MATCH(AC$4,Pay!$D$3:$D$18,1),0,1,1)</f>
        <v>44037</v>
      </c>
      <c r="AD101" s="138">
        <f ca="1">OFFSET(Pay!$D$2,MATCH(AD$4,Pay!$D$3:$D$18,1),0,1,1)</f>
        <v>44037</v>
      </c>
      <c r="AE101" s="138">
        <f ca="1">OFFSET(Pay!$D$2,MATCH(AE$4,Pay!$D$3:$D$18,1),0,1,1)</f>
        <v>44037</v>
      </c>
      <c r="AF101" s="138">
        <f ca="1">OFFSET(Pay!$D$2,MATCH(AF$4,Pay!$D$3:$D$18,1),0,1,1)</f>
        <v>44037</v>
      </c>
      <c r="AG101" s="138">
        <f ca="1">OFFSET(Pay!$D$2,MATCH(AG$4,Pay!$D$3:$D$18,1),0,1,1)</f>
        <v>44099</v>
      </c>
      <c r="AH101" s="138">
        <f ca="1">OFFSET(Pay!$D$2,MATCH(AH$4,Pay!$D$3:$D$18,1),0,1,1)</f>
        <v>44099</v>
      </c>
      <c r="AI101" s="138">
        <f ca="1">OFFSET(Pay!$D$2,MATCH(AI$4,Pay!$D$3:$D$18,1),0,1,1)</f>
        <v>44099</v>
      </c>
      <c r="AJ101" s="138">
        <f ca="1">OFFSET(Pay!$D$2,MATCH(AJ$4,Pay!$D$3:$D$18,1),0,1,1)</f>
        <v>44099</v>
      </c>
      <c r="AK101" s="138">
        <f ca="1">OFFSET(Pay!$D$2,MATCH(AK$4,Pay!$D$3:$D$18,1),0,1,1)</f>
        <v>44099</v>
      </c>
      <c r="AL101" s="138">
        <f ca="1">OFFSET(Pay!$D$2,MATCH(AL$4,Pay!$D$3:$D$18,1),0,1,1)</f>
        <v>44099</v>
      </c>
      <c r="AM101" s="138">
        <f ca="1">OFFSET(Pay!$D$2,MATCH(AM$4,Pay!$D$3:$D$18,1),0,1,1)</f>
        <v>44099</v>
      </c>
      <c r="AN101" s="138">
        <f ca="1">OFFSET(Pay!$D$2,MATCH(AN$4,Pay!$D$3:$D$18,1),0,1,1)</f>
        <v>44099</v>
      </c>
      <c r="AO101" s="138">
        <f ca="1">OFFSET(Pay!$D$2,MATCH(AO$4,Pay!$D$3:$D$18,1),0,1,1)</f>
        <v>44099</v>
      </c>
      <c r="AP101" s="138">
        <f ca="1">OFFSET(Pay!$D$2,MATCH(AP$4,Pay!$D$3:$D$18,1),0,1,1)</f>
        <v>44160</v>
      </c>
      <c r="AQ101" s="138">
        <f ca="1">OFFSET(Pay!$D$2,MATCH(AQ$4,Pay!$D$3:$D$18,1),0,1,1)</f>
        <v>44160</v>
      </c>
      <c r="AR101" s="138">
        <f ca="1">OFFSET(Pay!$D$2,MATCH(AR$4,Pay!$D$3:$D$18,1),0,1,1)</f>
        <v>44160</v>
      </c>
      <c r="AS101" s="138">
        <f ca="1">OFFSET(Pay!$D$2,MATCH(AS$4,Pay!$D$3:$D$18,1),0,1,1)</f>
        <v>44160</v>
      </c>
      <c r="AT101" s="138">
        <f ca="1">OFFSET(Pay!$D$2,MATCH(AT$4,Pay!$D$3:$D$18,1),0,1,1)</f>
        <v>44160</v>
      </c>
      <c r="AU101" s="138">
        <f ca="1">OFFSET(Pay!$D$2,MATCH(AU$4,Pay!$D$3:$D$18,1),0,1,1)</f>
        <v>44160</v>
      </c>
      <c r="AV101" s="138">
        <f ca="1">OFFSET(Pay!$D$2,MATCH(AV$4,Pay!$D$3:$D$18,1),0,1,1)</f>
        <v>44160</v>
      </c>
      <c r="AW101" s="138">
        <f ca="1">OFFSET(Pay!$D$2,MATCH(AW$4,Pay!$D$3:$D$18,1),0,1,1)</f>
        <v>44160</v>
      </c>
      <c r="AX101" s="138">
        <f ca="1">OFFSET(Pay!$D$2,MATCH(AX$4,Pay!$D$3:$D$18,1),0,1,1)</f>
        <v>44160</v>
      </c>
      <c r="AY101" s="138">
        <f ca="1">OFFSET(Pay!$D$2,MATCH(AY$4,Pay!$D$3:$D$18,1),0,1,1)</f>
        <v>44221</v>
      </c>
      <c r="AZ101" s="138">
        <f ca="1">OFFSET(Pay!$D$2,MATCH(AZ$4,Pay!$D$3:$D$18,1),0,1,1)</f>
        <v>44221</v>
      </c>
      <c r="BA101" s="138">
        <f ca="1">OFFSET(Pay!$D$2,MATCH(BA$4,Pay!$D$3:$D$18,1),0,1,1)</f>
        <v>44221</v>
      </c>
      <c r="BB101" s="138">
        <f ca="1">OFFSET(Pay!$D$2,MATCH(BB$4,Pay!$D$3:$D$18,1),0,1,1)</f>
        <v>44221</v>
      </c>
      <c r="BC101" s="138">
        <f ca="1">OFFSET(Pay!$D$2,MATCH(BC$4,Pay!$D$3:$D$18,1),0,1,1)</f>
        <v>44221</v>
      </c>
    </row>
    <row r="102" spans="2:55" ht="16.149999999999999" customHeight="1" x14ac:dyDescent="0.3">
      <c r="B102" s="6" t="s">
        <v>270</v>
      </c>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6"/>
      <c r="AV102" s="136"/>
      <c r="AW102" s="136"/>
      <c r="AX102" s="136"/>
      <c r="AY102" s="136"/>
      <c r="AZ102" s="136"/>
      <c r="BA102" s="136"/>
      <c r="BB102" s="136"/>
      <c r="BC102" s="136"/>
    </row>
    <row r="103" spans="2:55" ht="16.149999999999999" customHeight="1" x14ac:dyDescent="0.3">
      <c r="B103" s="6" t="s">
        <v>265</v>
      </c>
      <c r="C103" s="135" t="str">
        <f t="shared" ref="C103:AH103" ca="1" si="33">IF(AND(ISTEXT(B103),C106&lt;C$4-6),"No",IF(COUNTIFS(BSMonths,"&gt;="&amp;C$106,BSMonths,"&lt;="&amp;C$4)=1,"Yes","No"))</f>
        <v>Yes</v>
      </c>
      <c r="D103" s="135" t="str">
        <f t="shared" ca="1" si="33"/>
        <v>No</v>
      </c>
      <c r="E103" s="135" t="str">
        <f t="shared" ca="1" si="33"/>
        <v>No</v>
      </c>
      <c r="F103" s="135" t="str">
        <f t="shared" ca="1" si="33"/>
        <v>No</v>
      </c>
      <c r="G103" s="135" t="str">
        <f t="shared" ca="1" si="33"/>
        <v>No</v>
      </c>
      <c r="H103" s="135" t="str">
        <f t="shared" ca="1" si="33"/>
        <v>No</v>
      </c>
      <c r="I103" s="135" t="str">
        <f t="shared" ca="1" si="33"/>
        <v>No</v>
      </c>
      <c r="J103" s="135" t="str">
        <f t="shared" ca="1" si="33"/>
        <v>No</v>
      </c>
      <c r="K103" s="135" t="str">
        <f t="shared" ca="1" si="33"/>
        <v>No</v>
      </c>
      <c r="L103" s="135" t="str">
        <f t="shared" ca="1" si="33"/>
        <v>No</v>
      </c>
      <c r="M103" s="135" t="str">
        <f t="shared" ca="1" si="33"/>
        <v>No</v>
      </c>
      <c r="N103" s="135" t="str">
        <f t="shared" ca="1" si="33"/>
        <v>No</v>
      </c>
      <c r="O103" s="135" t="str">
        <f t="shared" ca="1" si="33"/>
        <v>No</v>
      </c>
      <c r="P103" s="135" t="str">
        <f t="shared" ca="1" si="33"/>
        <v>No</v>
      </c>
      <c r="Q103" s="135" t="str">
        <f t="shared" ca="1" si="33"/>
        <v>No</v>
      </c>
      <c r="R103" s="135" t="str">
        <f t="shared" ca="1" si="33"/>
        <v>No</v>
      </c>
      <c r="S103" s="135" t="str">
        <f t="shared" ca="1" si="33"/>
        <v>No</v>
      </c>
      <c r="T103" s="135" t="str">
        <f t="shared" ca="1" si="33"/>
        <v>No</v>
      </c>
      <c r="U103" s="135" t="str">
        <f t="shared" ca="1" si="33"/>
        <v>No</v>
      </c>
      <c r="V103" s="135" t="str">
        <f t="shared" ca="1" si="33"/>
        <v>No</v>
      </c>
      <c r="W103" s="135" t="str">
        <f t="shared" ca="1" si="33"/>
        <v>No</v>
      </c>
      <c r="X103" s="135" t="str">
        <f t="shared" ca="1" si="33"/>
        <v>No</v>
      </c>
      <c r="Y103" s="135" t="str">
        <f t="shared" ca="1" si="33"/>
        <v>No</v>
      </c>
      <c r="Z103" s="135" t="str">
        <f t="shared" ca="1" si="33"/>
        <v>No</v>
      </c>
      <c r="AA103" s="135" t="str">
        <f t="shared" ca="1" si="33"/>
        <v>No</v>
      </c>
      <c r="AB103" s="135" t="str">
        <f t="shared" ca="1" si="33"/>
        <v>No</v>
      </c>
      <c r="AC103" s="135" t="str">
        <f t="shared" ca="1" si="33"/>
        <v>Yes</v>
      </c>
      <c r="AD103" s="135" t="str">
        <f t="shared" ca="1" si="33"/>
        <v>No</v>
      </c>
      <c r="AE103" s="135" t="str">
        <f t="shared" ca="1" si="33"/>
        <v>No</v>
      </c>
      <c r="AF103" s="135" t="str">
        <f t="shared" ca="1" si="33"/>
        <v>No</v>
      </c>
      <c r="AG103" s="135" t="str">
        <f t="shared" ca="1" si="33"/>
        <v>No</v>
      </c>
      <c r="AH103" s="135" t="str">
        <f t="shared" ca="1" si="33"/>
        <v>No</v>
      </c>
      <c r="AI103" s="135" t="str">
        <f t="shared" ref="AI103:BC103" ca="1" si="34">IF(AND(ISTEXT(AH103),AI106&lt;AI$4-6),"No",IF(COUNTIFS(BSMonths,"&gt;="&amp;AI$106,BSMonths,"&lt;="&amp;AI$4)=1,"Yes","No"))</f>
        <v>No</v>
      </c>
      <c r="AJ103" s="135" t="str">
        <f t="shared" ca="1" si="34"/>
        <v>No</v>
      </c>
      <c r="AK103" s="135" t="str">
        <f t="shared" ca="1" si="34"/>
        <v>No</v>
      </c>
      <c r="AL103" s="135" t="str">
        <f t="shared" ca="1" si="34"/>
        <v>No</v>
      </c>
      <c r="AM103" s="135" t="str">
        <f t="shared" ca="1" si="34"/>
        <v>No</v>
      </c>
      <c r="AN103" s="135" t="str">
        <f t="shared" ca="1" si="34"/>
        <v>No</v>
      </c>
      <c r="AO103" s="135" t="str">
        <f t="shared" ca="1" si="34"/>
        <v>No</v>
      </c>
      <c r="AP103" s="135" t="str">
        <f t="shared" ca="1" si="34"/>
        <v>No</v>
      </c>
      <c r="AQ103" s="135" t="str">
        <f t="shared" ca="1" si="34"/>
        <v>No</v>
      </c>
      <c r="AR103" s="135" t="str">
        <f t="shared" ca="1" si="34"/>
        <v>No</v>
      </c>
      <c r="AS103" s="135" t="str">
        <f t="shared" ca="1" si="34"/>
        <v>No</v>
      </c>
      <c r="AT103" s="135" t="str">
        <f t="shared" ca="1" si="34"/>
        <v>No</v>
      </c>
      <c r="AU103" s="135" t="str">
        <f t="shared" ca="1" si="34"/>
        <v>No</v>
      </c>
      <c r="AV103" s="135" t="str">
        <f t="shared" ca="1" si="34"/>
        <v>No</v>
      </c>
      <c r="AW103" s="135" t="str">
        <f t="shared" ca="1" si="34"/>
        <v>No</v>
      </c>
      <c r="AX103" s="135" t="str">
        <f t="shared" ca="1" si="34"/>
        <v>No</v>
      </c>
      <c r="AY103" s="135" t="str">
        <f t="shared" ca="1" si="34"/>
        <v>No</v>
      </c>
      <c r="AZ103" s="135" t="str">
        <f t="shared" ca="1" si="34"/>
        <v>No</v>
      </c>
      <c r="BA103" s="135" t="str">
        <f t="shared" ca="1" si="34"/>
        <v>No</v>
      </c>
      <c r="BB103" s="135" t="str">
        <f t="shared" ca="1" si="34"/>
        <v>No</v>
      </c>
      <c r="BC103" s="135" t="str">
        <f t="shared" ca="1" si="34"/>
        <v>Yes</v>
      </c>
    </row>
    <row r="104" spans="2:55" ht="16.149999999999999" customHeight="1" x14ac:dyDescent="0.3">
      <c r="B104" s="6" t="s">
        <v>266</v>
      </c>
      <c r="C104" s="136">
        <f ca="1">IF(C103="Yes",1+IF(Assumptions!$C$72="Subsequent",ROUNDDOWN((C106-DATE(YEAR(C106),MONTH(C106),0))/7,0),0),IF(ISTEXT(B104),ROUNDUP((C$4-C106)/7,0)+IF(Assumptions!$C$72="Subsequent",ROUNDDOWN((C106-DATE(YEAR(C106),MONTH(C106),0))/7,0),0),B104+1))</f>
        <v>1</v>
      </c>
      <c r="D104" s="136">
        <f ca="1">IF(D103="Yes",1+IF(Assumptions!$C$72="Subsequent",ROUNDDOWN((D106-DATE(YEAR(D106),MONTH(D106),0))/7,0),0),IF(ISTEXT(C104),ROUNDUP((D$4-D106)/7,0)+IF(Assumptions!$C$72="Subsequent",ROUNDDOWN((D106-DATE(YEAR(D106),MONTH(D106),0))/7,0),0),C104+1))</f>
        <v>2</v>
      </c>
      <c r="E104" s="136">
        <f ca="1">IF(E103="Yes",1+IF(Assumptions!$C$72="Subsequent",ROUNDDOWN((E106-DATE(YEAR(E106),MONTH(E106),0))/7,0),0),IF(ISTEXT(D104),ROUNDUP((E$4-E106)/7,0)+IF(Assumptions!$C$72="Subsequent",ROUNDDOWN((E106-DATE(YEAR(E106),MONTH(E106),0))/7,0),0),D104+1))</f>
        <v>3</v>
      </c>
      <c r="F104" s="136">
        <f ca="1">IF(F103="Yes",1+IF(Assumptions!$C$72="Subsequent",ROUNDDOWN((F106-DATE(YEAR(F106),MONTH(F106),0))/7,0),0),IF(ISTEXT(E104),ROUNDUP((F$4-F106)/7,0)+IF(Assumptions!$C$72="Subsequent",ROUNDDOWN((F106-DATE(YEAR(F106),MONTH(F106),0))/7,0),0),E104+1))</f>
        <v>4</v>
      </c>
      <c r="G104" s="136">
        <f ca="1">IF(G103="Yes",1+IF(Assumptions!$C$72="Subsequent",ROUNDDOWN((G106-DATE(YEAR(G106),MONTH(G106),0))/7,0),0),IF(ISTEXT(F104),ROUNDUP((G$4-G106)/7,0)+IF(Assumptions!$C$72="Subsequent",ROUNDDOWN((G106-DATE(YEAR(G106),MONTH(G106),0))/7,0),0),F104+1))</f>
        <v>5</v>
      </c>
      <c r="H104" s="136">
        <f ca="1">IF(H103="Yes",1+IF(Assumptions!$C$72="Subsequent",ROUNDDOWN((H106-DATE(YEAR(H106),MONTH(H106),0))/7,0),0),IF(ISTEXT(G104),ROUNDUP((H$4-H106)/7,0)+IF(Assumptions!$C$72="Subsequent",ROUNDDOWN((H106-DATE(YEAR(H106),MONTH(H106),0))/7,0),0),G104+1))</f>
        <v>6</v>
      </c>
      <c r="I104" s="136">
        <f ca="1">IF(I103="Yes",1+IF(Assumptions!$C$72="Subsequent",ROUNDDOWN((I106-DATE(YEAR(I106),MONTH(I106),0))/7,0),0),IF(ISTEXT(H104),ROUNDUP((I$4-I106)/7,0)+IF(Assumptions!$C$72="Subsequent",ROUNDDOWN((I106-DATE(YEAR(I106),MONTH(I106),0))/7,0),0),H104+1))</f>
        <v>7</v>
      </c>
      <c r="J104" s="136">
        <f ca="1">IF(J103="Yes",1+IF(Assumptions!$C$72="Subsequent",ROUNDDOWN((J106-DATE(YEAR(J106),MONTH(J106),0))/7,0),0),IF(ISTEXT(I104),ROUNDUP((J$4-J106)/7,0)+IF(Assumptions!$C$72="Subsequent",ROUNDDOWN((J106-DATE(YEAR(J106),MONTH(J106),0))/7,0),0),I104+1))</f>
        <v>8</v>
      </c>
      <c r="K104" s="136">
        <f ca="1">IF(K103="Yes",1+IF(Assumptions!$C$72="Subsequent",ROUNDDOWN((K106-DATE(YEAR(K106),MONTH(K106),0))/7,0),0),IF(ISTEXT(J104),ROUNDUP((K$4-K106)/7,0)+IF(Assumptions!$C$72="Subsequent",ROUNDDOWN((K106-DATE(YEAR(K106),MONTH(K106),0))/7,0),0),J104+1))</f>
        <v>9</v>
      </c>
      <c r="L104" s="136">
        <f ca="1">IF(L103="Yes",1+IF(Assumptions!$C$72="Subsequent",ROUNDDOWN((L106-DATE(YEAR(L106),MONTH(L106),0))/7,0),0),IF(ISTEXT(K104),ROUNDUP((L$4-L106)/7,0)+IF(Assumptions!$C$72="Subsequent",ROUNDDOWN((L106-DATE(YEAR(L106),MONTH(L106),0))/7,0),0),K104+1))</f>
        <v>10</v>
      </c>
      <c r="M104" s="136">
        <f ca="1">IF(M103="Yes",1+IF(Assumptions!$C$72="Subsequent",ROUNDDOWN((M106-DATE(YEAR(M106),MONTH(M106),0))/7,0),0),IF(ISTEXT(L104),ROUNDUP((M$4-M106)/7,0)+IF(Assumptions!$C$72="Subsequent",ROUNDDOWN((M106-DATE(YEAR(M106),MONTH(M106),0))/7,0),0),L104+1))</f>
        <v>11</v>
      </c>
      <c r="N104" s="136">
        <f ca="1">IF(N103="Yes",1+IF(Assumptions!$C$72="Subsequent",ROUNDDOWN((N106-DATE(YEAR(N106),MONTH(N106),0))/7,0),0),IF(ISTEXT(M104),ROUNDUP((N$4-N106)/7,0)+IF(Assumptions!$C$72="Subsequent",ROUNDDOWN((N106-DATE(YEAR(N106),MONTH(N106),0))/7,0),0),M104+1))</f>
        <v>12</v>
      </c>
      <c r="O104" s="136">
        <f ca="1">IF(O103="Yes",1+IF(Assumptions!$C$72="Subsequent",ROUNDDOWN((O106-DATE(YEAR(O106),MONTH(O106),0))/7,0),0),IF(ISTEXT(N104),ROUNDUP((O$4-O106)/7,0)+IF(Assumptions!$C$72="Subsequent",ROUNDDOWN((O106-DATE(YEAR(O106),MONTH(O106),0))/7,0),0),N104+1))</f>
        <v>13</v>
      </c>
      <c r="P104" s="136">
        <f ca="1">IF(P103="Yes",1+IF(Assumptions!$C$72="Subsequent",ROUNDDOWN((P106-DATE(YEAR(P106),MONTH(P106),0))/7,0),0),IF(ISTEXT(O104),ROUNDUP((P$4-P106)/7,0)+IF(Assumptions!$C$72="Subsequent",ROUNDDOWN((P106-DATE(YEAR(P106),MONTH(P106),0))/7,0),0),O104+1))</f>
        <v>14</v>
      </c>
      <c r="Q104" s="136">
        <f ca="1">IF(Q103="Yes",1+IF(Assumptions!$C$72="Subsequent",ROUNDDOWN((Q106-DATE(YEAR(Q106),MONTH(Q106),0))/7,0),0),IF(ISTEXT(P104),ROUNDUP((Q$4-Q106)/7,0)+IF(Assumptions!$C$72="Subsequent",ROUNDDOWN((Q106-DATE(YEAR(Q106),MONTH(Q106),0))/7,0),0),P104+1))</f>
        <v>15</v>
      </c>
      <c r="R104" s="136">
        <f ca="1">IF(R103="Yes",1+IF(Assumptions!$C$72="Subsequent",ROUNDDOWN((R106-DATE(YEAR(R106),MONTH(R106),0))/7,0),0),IF(ISTEXT(Q104),ROUNDUP((R$4-R106)/7,0)+IF(Assumptions!$C$72="Subsequent",ROUNDDOWN((R106-DATE(YEAR(R106),MONTH(R106),0))/7,0),0),Q104+1))</f>
        <v>16</v>
      </c>
      <c r="S104" s="136">
        <f ca="1">IF(S103="Yes",1+IF(Assumptions!$C$72="Subsequent",ROUNDDOWN((S106-DATE(YEAR(S106),MONTH(S106),0))/7,0),0),IF(ISTEXT(R104),ROUNDUP((S$4-S106)/7,0)+IF(Assumptions!$C$72="Subsequent",ROUNDDOWN((S106-DATE(YEAR(S106),MONTH(S106),0))/7,0),0),R104+1))</f>
        <v>17</v>
      </c>
      <c r="T104" s="136">
        <f ca="1">IF(T103="Yes",1+IF(Assumptions!$C$72="Subsequent",ROUNDDOWN((T106-DATE(YEAR(T106),MONTH(T106),0))/7,0),0),IF(ISTEXT(S104),ROUNDUP((T$4-T106)/7,0)+IF(Assumptions!$C$72="Subsequent",ROUNDDOWN((T106-DATE(YEAR(T106),MONTH(T106),0))/7,0),0),S104+1))</f>
        <v>18</v>
      </c>
      <c r="U104" s="136">
        <f ca="1">IF(U103="Yes",1+IF(Assumptions!$C$72="Subsequent",ROUNDDOWN((U106-DATE(YEAR(U106),MONTH(U106),0))/7,0),0),IF(ISTEXT(T104),ROUNDUP((U$4-U106)/7,0)+IF(Assumptions!$C$72="Subsequent",ROUNDDOWN((U106-DATE(YEAR(U106),MONTH(U106),0))/7,0),0),T104+1))</f>
        <v>19</v>
      </c>
      <c r="V104" s="136">
        <f ca="1">IF(V103="Yes",1+IF(Assumptions!$C$72="Subsequent",ROUNDDOWN((V106-DATE(YEAR(V106),MONTH(V106),0))/7,0),0),IF(ISTEXT(U104),ROUNDUP((V$4-V106)/7,0)+IF(Assumptions!$C$72="Subsequent",ROUNDDOWN((V106-DATE(YEAR(V106),MONTH(V106),0))/7,0),0),U104+1))</f>
        <v>20</v>
      </c>
      <c r="W104" s="136">
        <f ca="1">IF(W103="Yes",1+IF(Assumptions!$C$72="Subsequent",ROUNDDOWN((W106-DATE(YEAR(W106),MONTH(W106),0))/7,0),0),IF(ISTEXT(V104),ROUNDUP((W$4-W106)/7,0)+IF(Assumptions!$C$72="Subsequent",ROUNDDOWN((W106-DATE(YEAR(W106),MONTH(W106),0))/7,0),0),V104+1))</f>
        <v>21</v>
      </c>
      <c r="X104" s="136">
        <f ca="1">IF(X103="Yes",1+IF(Assumptions!$C$72="Subsequent",ROUNDDOWN((X106-DATE(YEAR(X106),MONTH(X106),0))/7,0),0),IF(ISTEXT(W104),ROUNDUP((X$4-X106)/7,0)+IF(Assumptions!$C$72="Subsequent",ROUNDDOWN((X106-DATE(YEAR(X106),MONTH(X106),0))/7,0),0),W104+1))</f>
        <v>22</v>
      </c>
      <c r="Y104" s="136">
        <f ca="1">IF(Y103="Yes",1+IF(Assumptions!$C$72="Subsequent",ROUNDDOWN((Y106-DATE(YEAR(Y106),MONTH(Y106),0))/7,0),0),IF(ISTEXT(X104),ROUNDUP((Y$4-Y106)/7,0)+IF(Assumptions!$C$72="Subsequent",ROUNDDOWN((Y106-DATE(YEAR(Y106),MONTH(Y106),0))/7,0),0),X104+1))</f>
        <v>23</v>
      </c>
      <c r="Z104" s="136">
        <f ca="1">IF(Z103="Yes",1+IF(Assumptions!$C$72="Subsequent",ROUNDDOWN((Z106-DATE(YEAR(Z106),MONTH(Z106),0))/7,0),0),IF(ISTEXT(Y104),ROUNDUP((Z$4-Z106)/7,0)+IF(Assumptions!$C$72="Subsequent",ROUNDDOWN((Z106-DATE(YEAR(Z106),MONTH(Z106),0))/7,0),0),Y104+1))</f>
        <v>24</v>
      </c>
      <c r="AA104" s="136">
        <f ca="1">IF(AA103="Yes",1+IF(Assumptions!$C$72="Subsequent",ROUNDDOWN((AA106-DATE(YEAR(AA106),MONTH(AA106),0))/7,0),0),IF(ISTEXT(Z104),ROUNDUP((AA$4-AA106)/7,0)+IF(Assumptions!$C$72="Subsequent",ROUNDDOWN((AA106-DATE(YEAR(AA106),MONTH(AA106),0))/7,0),0),Z104+1))</f>
        <v>25</v>
      </c>
      <c r="AB104" s="136">
        <f ca="1">IF(AB103="Yes",1+IF(Assumptions!$C$72="Subsequent",ROUNDDOWN((AB106-DATE(YEAR(AB106),MONTH(AB106),0))/7,0),0),IF(ISTEXT(AA104),ROUNDUP((AB$4-AB106)/7,0)+IF(Assumptions!$C$72="Subsequent",ROUNDDOWN((AB106-DATE(YEAR(AB106),MONTH(AB106),0))/7,0),0),AA104+1))</f>
        <v>26</v>
      </c>
      <c r="AC104" s="136">
        <f ca="1">IF(AC103="Yes",1+IF(Assumptions!$C$72="Subsequent",ROUNDDOWN((AC106-DATE(YEAR(AC106),MONTH(AC106),0))/7,0),0),IF(ISTEXT(AB104),ROUNDUP((AC$4-AC106)/7,0)+IF(Assumptions!$C$72="Subsequent",ROUNDDOWN((AC106-DATE(YEAR(AC106),MONTH(AC106),0))/7,0),0),AB104+1))</f>
        <v>1</v>
      </c>
      <c r="AD104" s="136">
        <f ca="1">IF(AD103="Yes",1+IF(Assumptions!$C$72="Subsequent",ROUNDDOWN((AD106-DATE(YEAR(AD106),MONTH(AD106),0))/7,0),0),IF(ISTEXT(AC104),ROUNDUP((AD$4-AD106)/7,0)+IF(Assumptions!$C$72="Subsequent",ROUNDDOWN((AD106-DATE(YEAR(AD106),MONTH(AD106),0))/7,0),0),AC104+1))</f>
        <v>2</v>
      </c>
      <c r="AE104" s="136">
        <f ca="1">IF(AE103="Yes",1+IF(Assumptions!$C$72="Subsequent",ROUNDDOWN((AE106-DATE(YEAR(AE106),MONTH(AE106),0))/7,0),0),IF(ISTEXT(AD104),ROUNDUP((AE$4-AE106)/7,0)+IF(Assumptions!$C$72="Subsequent",ROUNDDOWN((AE106-DATE(YEAR(AE106),MONTH(AE106),0))/7,0),0),AD104+1))</f>
        <v>3</v>
      </c>
      <c r="AF104" s="136">
        <f ca="1">IF(AF103="Yes",1+IF(Assumptions!$C$72="Subsequent",ROUNDDOWN((AF106-DATE(YEAR(AF106),MONTH(AF106),0))/7,0),0),IF(ISTEXT(AE104),ROUNDUP((AF$4-AF106)/7,0)+IF(Assumptions!$C$72="Subsequent",ROUNDDOWN((AF106-DATE(YEAR(AF106),MONTH(AF106),0))/7,0),0),AE104+1))</f>
        <v>4</v>
      </c>
      <c r="AG104" s="136">
        <f ca="1">IF(AG103="Yes",1+IF(Assumptions!$C$72="Subsequent",ROUNDDOWN((AG106-DATE(YEAR(AG106),MONTH(AG106),0))/7,0),0),IF(ISTEXT(AF104),ROUNDUP((AG$4-AG106)/7,0)+IF(Assumptions!$C$72="Subsequent",ROUNDDOWN((AG106-DATE(YEAR(AG106),MONTH(AG106),0))/7,0),0),AF104+1))</f>
        <v>5</v>
      </c>
      <c r="AH104" s="136">
        <f ca="1">IF(AH103="Yes",1+IF(Assumptions!$C$72="Subsequent",ROUNDDOWN((AH106-DATE(YEAR(AH106),MONTH(AH106),0))/7,0),0),IF(ISTEXT(AG104),ROUNDUP((AH$4-AH106)/7,0)+IF(Assumptions!$C$72="Subsequent",ROUNDDOWN((AH106-DATE(YEAR(AH106),MONTH(AH106),0))/7,0),0),AG104+1))</f>
        <v>6</v>
      </c>
      <c r="AI104" s="136">
        <f ca="1">IF(AI103="Yes",1+IF(Assumptions!$C$72="Subsequent",ROUNDDOWN((AI106-DATE(YEAR(AI106),MONTH(AI106),0))/7,0),0),IF(ISTEXT(AH104),ROUNDUP((AI$4-AI106)/7,0)+IF(Assumptions!$C$72="Subsequent",ROUNDDOWN((AI106-DATE(YEAR(AI106),MONTH(AI106),0))/7,0),0),AH104+1))</f>
        <v>7</v>
      </c>
      <c r="AJ104" s="136">
        <f ca="1">IF(AJ103="Yes",1+IF(Assumptions!$C$72="Subsequent",ROUNDDOWN((AJ106-DATE(YEAR(AJ106),MONTH(AJ106),0))/7,0),0),IF(ISTEXT(AI104),ROUNDUP((AJ$4-AJ106)/7,0)+IF(Assumptions!$C$72="Subsequent",ROUNDDOWN((AJ106-DATE(YEAR(AJ106),MONTH(AJ106),0))/7,0),0),AI104+1))</f>
        <v>8</v>
      </c>
      <c r="AK104" s="136">
        <f ca="1">IF(AK103="Yes",1+IF(Assumptions!$C$72="Subsequent",ROUNDDOWN((AK106-DATE(YEAR(AK106),MONTH(AK106),0))/7,0),0),IF(ISTEXT(AJ104),ROUNDUP((AK$4-AK106)/7,0)+IF(Assumptions!$C$72="Subsequent",ROUNDDOWN((AK106-DATE(YEAR(AK106),MONTH(AK106),0))/7,0),0),AJ104+1))</f>
        <v>9</v>
      </c>
      <c r="AL104" s="136">
        <f ca="1">IF(AL103="Yes",1+IF(Assumptions!$C$72="Subsequent",ROUNDDOWN((AL106-DATE(YEAR(AL106),MONTH(AL106),0))/7,0),0),IF(ISTEXT(AK104),ROUNDUP((AL$4-AL106)/7,0)+IF(Assumptions!$C$72="Subsequent",ROUNDDOWN((AL106-DATE(YEAR(AL106),MONTH(AL106),0))/7,0),0),AK104+1))</f>
        <v>10</v>
      </c>
      <c r="AM104" s="136">
        <f ca="1">IF(AM103="Yes",1+IF(Assumptions!$C$72="Subsequent",ROUNDDOWN((AM106-DATE(YEAR(AM106),MONTH(AM106),0))/7,0),0),IF(ISTEXT(AL104),ROUNDUP((AM$4-AM106)/7,0)+IF(Assumptions!$C$72="Subsequent",ROUNDDOWN((AM106-DATE(YEAR(AM106),MONTH(AM106),0))/7,0),0),AL104+1))</f>
        <v>11</v>
      </c>
      <c r="AN104" s="136">
        <f ca="1">IF(AN103="Yes",1+IF(Assumptions!$C$72="Subsequent",ROUNDDOWN((AN106-DATE(YEAR(AN106),MONTH(AN106),0))/7,0),0),IF(ISTEXT(AM104),ROUNDUP((AN$4-AN106)/7,0)+IF(Assumptions!$C$72="Subsequent",ROUNDDOWN((AN106-DATE(YEAR(AN106),MONTH(AN106),0))/7,0),0),AM104+1))</f>
        <v>12</v>
      </c>
      <c r="AO104" s="136">
        <f ca="1">IF(AO103="Yes",1+IF(Assumptions!$C$72="Subsequent",ROUNDDOWN((AO106-DATE(YEAR(AO106),MONTH(AO106),0))/7,0),0),IF(ISTEXT(AN104),ROUNDUP((AO$4-AO106)/7,0)+IF(Assumptions!$C$72="Subsequent",ROUNDDOWN((AO106-DATE(YEAR(AO106),MONTH(AO106),0))/7,0),0),AN104+1))</f>
        <v>13</v>
      </c>
      <c r="AP104" s="136">
        <f ca="1">IF(AP103="Yes",1+IF(Assumptions!$C$72="Subsequent",ROUNDDOWN((AP106-DATE(YEAR(AP106),MONTH(AP106),0))/7,0),0),IF(ISTEXT(AO104),ROUNDUP((AP$4-AP106)/7,0)+IF(Assumptions!$C$72="Subsequent",ROUNDDOWN((AP106-DATE(YEAR(AP106),MONTH(AP106),0))/7,0),0),AO104+1))</f>
        <v>14</v>
      </c>
      <c r="AQ104" s="136">
        <f ca="1">IF(AQ103="Yes",1+IF(Assumptions!$C$72="Subsequent",ROUNDDOWN((AQ106-DATE(YEAR(AQ106),MONTH(AQ106),0))/7,0),0),IF(ISTEXT(AP104),ROUNDUP((AQ$4-AQ106)/7,0)+IF(Assumptions!$C$72="Subsequent",ROUNDDOWN((AQ106-DATE(YEAR(AQ106),MONTH(AQ106),0))/7,0),0),AP104+1))</f>
        <v>15</v>
      </c>
      <c r="AR104" s="136">
        <f ca="1">IF(AR103="Yes",1+IF(Assumptions!$C$72="Subsequent",ROUNDDOWN((AR106-DATE(YEAR(AR106),MONTH(AR106),0))/7,0),0),IF(ISTEXT(AQ104),ROUNDUP((AR$4-AR106)/7,0)+IF(Assumptions!$C$72="Subsequent",ROUNDDOWN((AR106-DATE(YEAR(AR106),MONTH(AR106),0))/7,0),0),AQ104+1))</f>
        <v>16</v>
      </c>
      <c r="AS104" s="136">
        <f ca="1">IF(AS103="Yes",1+IF(Assumptions!$C$72="Subsequent",ROUNDDOWN((AS106-DATE(YEAR(AS106),MONTH(AS106),0))/7,0),0),IF(ISTEXT(AR104),ROUNDUP((AS$4-AS106)/7,0)+IF(Assumptions!$C$72="Subsequent",ROUNDDOWN((AS106-DATE(YEAR(AS106),MONTH(AS106),0))/7,0),0),AR104+1))</f>
        <v>17</v>
      </c>
      <c r="AT104" s="136">
        <f ca="1">IF(AT103="Yes",1+IF(Assumptions!$C$72="Subsequent",ROUNDDOWN((AT106-DATE(YEAR(AT106),MONTH(AT106),0))/7,0),0),IF(ISTEXT(AS104),ROUNDUP((AT$4-AT106)/7,0)+IF(Assumptions!$C$72="Subsequent",ROUNDDOWN((AT106-DATE(YEAR(AT106),MONTH(AT106),0))/7,0),0),AS104+1))</f>
        <v>18</v>
      </c>
      <c r="AU104" s="136">
        <f ca="1">IF(AU103="Yes",1+IF(Assumptions!$C$72="Subsequent",ROUNDDOWN((AU106-DATE(YEAR(AU106),MONTH(AU106),0))/7,0),0),IF(ISTEXT(AT104),ROUNDUP((AU$4-AU106)/7,0)+IF(Assumptions!$C$72="Subsequent",ROUNDDOWN((AU106-DATE(YEAR(AU106),MONTH(AU106),0))/7,0),0),AT104+1))</f>
        <v>19</v>
      </c>
      <c r="AV104" s="136">
        <f ca="1">IF(AV103="Yes",1+IF(Assumptions!$C$72="Subsequent",ROUNDDOWN((AV106-DATE(YEAR(AV106),MONTH(AV106),0))/7,0),0),IF(ISTEXT(AU104),ROUNDUP((AV$4-AV106)/7,0)+IF(Assumptions!$C$72="Subsequent",ROUNDDOWN((AV106-DATE(YEAR(AV106),MONTH(AV106),0))/7,0),0),AU104+1))</f>
        <v>20</v>
      </c>
      <c r="AW104" s="136">
        <f ca="1">IF(AW103="Yes",1+IF(Assumptions!$C$72="Subsequent",ROUNDDOWN((AW106-DATE(YEAR(AW106),MONTH(AW106),0))/7,0),0),IF(ISTEXT(AV104),ROUNDUP((AW$4-AW106)/7,0)+IF(Assumptions!$C$72="Subsequent",ROUNDDOWN((AW106-DATE(YEAR(AW106),MONTH(AW106),0))/7,0),0),AV104+1))</f>
        <v>21</v>
      </c>
      <c r="AX104" s="136">
        <f ca="1">IF(AX103="Yes",1+IF(Assumptions!$C$72="Subsequent",ROUNDDOWN((AX106-DATE(YEAR(AX106),MONTH(AX106),0))/7,0),0),IF(ISTEXT(AW104),ROUNDUP((AX$4-AX106)/7,0)+IF(Assumptions!$C$72="Subsequent",ROUNDDOWN((AX106-DATE(YEAR(AX106),MONTH(AX106),0))/7,0),0),AW104+1))</f>
        <v>22</v>
      </c>
      <c r="AY104" s="136">
        <f ca="1">IF(AY103="Yes",1+IF(Assumptions!$C$72="Subsequent",ROUNDDOWN((AY106-DATE(YEAR(AY106),MONTH(AY106),0))/7,0),0),IF(ISTEXT(AX104),ROUNDUP((AY$4-AY106)/7,0)+IF(Assumptions!$C$72="Subsequent",ROUNDDOWN((AY106-DATE(YEAR(AY106),MONTH(AY106),0))/7,0),0),AX104+1))</f>
        <v>23</v>
      </c>
      <c r="AZ104" s="136">
        <f ca="1">IF(AZ103="Yes",1+IF(Assumptions!$C$72="Subsequent",ROUNDDOWN((AZ106-DATE(YEAR(AZ106),MONTH(AZ106),0))/7,0),0),IF(ISTEXT(AY104),ROUNDUP((AZ$4-AZ106)/7,0)+IF(Assumptions!$C$72="Subsequent",ROUNDDOWN((AZ106-DATE(YEAR(AZ106),MONTH(AZ106),0))/7,0),0),AY104+1))</f>
        <v>24</v>
      </c>
      <c r="BA104" s="136">
        <f ca="1">IF(BA103="Yes",1+IF(Assumptions!$C$72="Subsequent",ROUNDDOWN((BA106-DATE(YEAR(BA106),MONTH(BA106),0))/7,0),0),IF(ISTEXT(AZ104),ROUNDUP((BA$4-BA106)/7,0)+IF(Assumptions!$C$72="Subsequent",ROUNDDOWN((BA106-DATE(YEAR(BA106),MONTH(BA106),0))/7,0),0),AZ104+1))</f>
        <v>25</v>
      </c>
      <c r="BB104" s="136">
        <f ca="1">IF(BB103="Yes",1+IF(Assumptions!$C$72="Subsequent",ROUNDDOWN((BB106-DATE(YEAR(BB106),MONTH(BB106),0))/7,0),0),IF(ISTEXT(BA104),ROUNDUP((BB$4-BB106)/7,0)+IF(Assumptions!$C$72="Subsequent",ROUNDDOWN((BB106-DATE(YEAR(BB106),MONTH(BB106),0))/7,0),0),BA104+1))</f>
        <v>26</v>
      </c>
      <c r="BC104" s="136">
        <f ca="1">IF(BC103="Yes",1+IF(Assumptions!$C$72="Subsequent",ROUNDDOWN((BC106-DATE(YEAR(BC106),MONTH(BC106),0))/7,0),0),IF(ISTEXT(BB104),ROUNDUP((BC$4-BC106)/7,0)+IF(Assumptions!$C$72="Subsequent",ROUNDDOWN((BC106-DATE(YEAR(BC106),MONTH(BC106),0))/7,0),0),BB104+1))</f>
        <v>1</v>
      </c>
    </row>
    <row r="105" spans="2:55" ht="16.149999999999999" customHeight="1" x14ac:dyDescent="0.3">
      <c r="B105" s="6" t="s">
        <v>271</v>
      </c>
      <c r="C105" s="114">
        <f ca="1">C37</f>
        <v>0</v>
      </c>
      <c r="D105" s="114">
        <f ca="1">Forecast!C58</f>
        <v>1876.0000000000007</v>
      </c>
      <c r="E105" s="114">
        <f ca="1">Forecast!D58</f>
        <v>8302.0420000000013</v>
      </c>
      <c r="F105" s="114">
        <f ca="1">Forecast!E58</f>
        <v>10322.666666666672</v>
      </c>
      <c r="G105" s="114">
        <f ca="1">Forecast!F58</f>
        <v>-7371.466666666669</v>
      </c>
      <c r="H105" s="114">
        <f ca="1">Forecast!G58</f>
        <v>3087.7933333333349</v>
      </c>
      <c r="I105" s="114">
        <f ca="1">Forecast!H58</f>
        <v>74.98445772280138</v>
      </c>
      <c r="J105" s="114">
        <f ca="1">Forecast!I58</f>
        <v>6082.8600000000042</v>
      </c>
      <c r="K105" s="114">
        <f ca="1">Forecast!J58</f>
        <v>11949.000000000004</v>
      </c>
      <c r="L105" s="114">
        <f ca="1">Forecast!K58</f>
        <v>-16985.334922132435</v>
      </c>
      <c r="M105" s="114">
        <f ca="1">Forecast!L58</f>
        <v>1594.8068569769457</v>
      </c>
      <c r="N105" s="114">
        <f ca="1">Forecast!M58</f>
        <v>11896.690418782044</v>
      </c>
      <c r="O105" s="114">
        <f ca="1">Forecast!N58</f>
        <v>13361.226666666669</v>
      </c>
      <c r="P105" s="114">
        <f ca="1">Forecast!O58</f>
        <v>-21136.111016234074</v>
      </c>
      <c r="Q105" s="114">
        <f ca="1">Forecast!P58</f>
        <v>5623.1215813078088</v>
      </c>
      <c r="R105" s="114">
        <f ca="1">Forecast!Q58</f>
        <v>11062.996275868431</v>
      </c>
      <c r="S105" s="114">
        <f ca="1">Forecast!R58</f>
        <v>11744.693333333336</v>
      </c>
      <c r="T105" s="114">
        <f ca="1">Forecast!S58</f>
        <v>-9466.0999999999985</v>
      </c>
      <c r="U105" s="114">
        <f ca="1">Forecast!T58</f>
        <v>4700.9855044944707</v>
      </c>
      <c r="V105" s="114">
        <f ca="1">Forecast!U58</f>
        <v>4194.3689635497794</v>
      </c>
      <c r="W105" s="114">
        <f ca="1">Forecast!V58</f>
        <v>11119.733333333337</v>
      </c>
      <c r="X105" s="114">
        <f ca="1">Forecast!W58</f>
        <v>10350.199999999997</v>
      </c>
      <c r="Y105" s="114">
        <f ca="1">Forecast!X58</f>
        <v>-13548.41823631859</v>
      </c>
      <c r="Z105" s="114">
        <f ca="1">Forecast!Y58</f>
        <v>4968.7520363944568</v>
      </c>
      <c r="AA105" s="114">
        <f ca="1">Forecast!Z58</f>
        <v>9677.2813454668794</v>
      </c>
      <c r="AB105" s="114">
        <f ca="1">Forecast!AA58</f>
        <v>13691.159999999989</v>
      </c>
      <c r="AC105" s="114">
        <f ca="1">Forecast!AB58</f>
        <v>-16145.080000000002</v>
      </c>
      <c r="AD105" s="114">
        <f ca="1">Forecast!AC58</f>
        <v>4448.94138094355</v>
      </c>
      <c r="AE105" s="114">
        <f ca="1">Forecast!AD58</f>
        <v>12936.064098933974</v>
      </c>
      <c r="AF105" s="114">
        <f ca="1">Forecast!AE58</f>
        <v>14576.800000000003</v>
      </c>
      <c r="AG105" s="114">
        <f ca="1">Forecast!AF58</f>
        <v>14392.979999999996</v>
      </c>
      <c r="AH105" s="114">
        <f ca="1">Forecast!AG58</f>
        <v>-12682.924974843976</v>
      </c>
      <c r="AI105" s="114">
        <f ca="1">Forecast!AH58</f>
        <v>3024.6534306664544</v>
      </c>
      <c r="AJ105" s="114">
        <f ca="1">Forecast!AI58</f>
        <v>14675.080000000002</v>
      </c>
      <c r="AK105" s="114">
        <f ca="1">Forecast!AJ58</f>
        <v>10257.333333333328</v>
      </c>
      <c r="AL105" s="114">
        <f ca="1">Forecast!AK58</f>
        <v>-13852.661941972867</v>
      </c>
      <c r="AM105" s="114">
        <f ca="1">Forecast!AL58</f>
        <v>5279.8490743996517</v>
      </c>
      <c r="AN105" s="114">
        <f ca="1">Forecast!AM58</f>
        <v>14800.319023210366</v>
      </c>
      <c r="AO105" s="114">
        <f ca="1">Forecast!AN58</f>
        <v>13637.399999999965</v>
      </c>
      <c r="AP105" s="114">
        <f ca="1">Forecast!AO58</f>
        <v>-14583.799999999988</v>
      </c>
      <c r="AQ105" s="114">
        <f ca="1">Forecast!AP58</f>
        <v>9688.8138611142931</v>
      </c>
      <c r="AR105" s="114">
        <f ca="1">Forecast!AQ58</f>
        <v>5379.0348377558403</v>
      </c>
      <c r="AS105" s="114">
        <f ca="1">Forecast!AR58</f>
        <v>6454</v>
      </c>
      <c r="AT105" s="114">
        <f ca="1">Forecast!AS58</f>
        <v>-14116.853333333333</v>
      </c>
      <c r="AU105" s="114">
        <f ca="1">Forecast!AT58</f>
        <v>-1843.0909356893389</v>
      </c>
      <c r="AV105" s="114">
        <f ca="1">Forecast!AU58</f>
        <v>-1135.2735071660427</v>
      </c>
      <c r="AW105" s="114">
        <f ca="1">Forecast!AV58</f>
        <v>9817.2453455240466</v>
      </c>
      <c r="AX105" s="114">
        <f ca="1">Forecast!AW58</f>
        <v>15049.06666666668</v>
      </c>
      <c r="AY105" s="114">
        <f ca="1">Forecast!AX58</f>
        <v>-15297.363158766413</v>
      </c>
      <c r="AZ105" s="114">
        <f ca="1">Forecast!AY58</f>
        <v>6812.3130284988729</v>
      </c>
      <c r="BA105" s="114">
        <f ca="1">Forecast!AZ58</f>
        <v>13780.585745658376</v>
      </c>
      <c r="BB105" s="114">
        <f ca="1">Forecast!BA58</f>
        <v>10721.199999999983</v>
      </c>
      <c r="BC105" s="114">
        <f ca="1">Forecast!BB58</f>
        <v>-16931.599999999977</v>
      </c>
    </row>
    <row r="106" spans="2:55" ht="16.149999999999999" customHeight="1" x14ac:dyDescent="0.3">
      <c r="B106" s="137" t="s">
        <v>269</v>
      </c>
      <c r="C106" s="138">
        <f ca="1">OFFSET(Pay!$H$2,MATCH(C$4,Pay!$H$3:$H$18,1),0,1,1)</f>
        <v>43886</v>
      </c>
      <c r="D106" s="138">
        <f ca="1">OFFSET(Pay!$H$2,MATCH(D$4,Pay!$H$3:$H$18,1),0,1,1)</f>
        <v>43886</v>
      </c>
      <c r="E106" s="138">
        <f ca="1">OFFSET(Pay!$H$2,MATCH(E$4,Pay!$H$3:$H$18,1),0,1,1)</f>
        <v>43886</v>
      </c>
      <c r="F106" s="138">
        <f ca="1">OFFSET(Pay!$H$2,MATCH(F$4,Pay!$H$3:$H$18,1),0,1,1)</f>
        <v>43886</v>
      </c>
      <c r="G106" s="138">
        <f ca="1">OFFSET(Pay!$H$2,MATCH(G$4,Pay!$H$3:$H$18,1),0,1,1)</f>
        <v>43886</v>
      </c>
      <c r="H106" s="138">
        <f ca="1">OFFSET(Pay!$H$2,MATCH(H$4,Pay!$H$3:$H$18,1),0,1,1)</f>
        <v>43886</v>
      </c>
      <c r="I106" s="138">
        <f ca="1">OFFSET(Pay!$H$2,MATCH(I$4,Pay!$H$3:$H$18,1),0,1,1)</f>
        <v>43886</v>
      </c>
      <c r="J106" s="138">
        <f ca="1">OFFSET(Pay!$H$2,MATCH(J$4,Pay!$H$3:$H$18,1),0,1,1)</f>
        <v>43886</v>
      </c>
      <c r="K106" s="138">
        <f ca="1">OFFSET(Pay!$H$2,MATCH(K$4,Pay!$H$3:$H$18,1),0,1,1)</f>
        <v>43886</v>
      </c>
      <c r="L106" s="138">
        <f ca="1">OFFSET(Pay!$H$2,MATCH(L$4,Pay!$H$3:$H$18,1),0,1,1)</f>
        <v>43886</v>
      </c>
      <c r="M106" s="138">
        <f ca="1">OFFSET(Pay!$H$2,MATCH(M$4,Pay!$H$3:$H$18,1),0,1,1)</f>
        <v>43886</v>
      </c>
      <c r="N106" s="138">
        <f ca="1">OFFSET(Pay!$H$2,MATCH(N$4,Pay!$H$3:$H$18,1),0,1,1)</f>
        <v>43886</v>
      </c>
      <c r="O106" s="138">
        <f ca="1">OFFSET(Pay!$H$2,MATCH(O$4,Pay!$H$3:$H$18,1),0,1,1)</f>
        <v>43886</v>
      </c>
      <c r="P106" s="138">
        <f ca="1">OFFSET(Pay!$H$2,MATCH(P$4,Pay!$H$3:$H$18,1),0,1,1)</f>
        <v>43886</v>
      </c>
      <c r="Q106" s="138">
        <f ca="1">OFFSET(Pay!$H$2,MATCH(Q$4,Pay!$H$3:$H$18,1),0,1,1)</f>
        <v>43886</v>
      </c>
      <c r="R106" s="138">
        <f ca="1">OFFSET(Pay!$H$2,MATCH(R$4,Pay!$H$3:$H$18,1),0,1,1)</f>
        <v>43886</v>
      </c>
      <c r="S106" s="138">
        <f ca="1">OFFSET(Pay!$H$2,MATCH(S$4,Pay!$H$3:$H$18,1),0,1,1)</f>
        <v>43886</v>
      </c>
      <c r="T106" s="138">
        <f ca="1">OFFSET(Pay!$H$2,MATCH(T$4,Pay!$H$3:$H$18,1),0,1,1)</f>
        <v>43886</v>
      </c>
      <c r="U106" s="138">
        <f ca="1">OFFSET(Pay!$H$2,MATCH(U$4,Pay!$H$3:$H$18,1),0,1,1)</f>
        <v>43886</v>
      </c>
      <c r="V106" s="138">
        <f ca="1">OFFSET(Pay!$H$2,MATCH(V$4,Pay!$H$3:$H$18,1),0,1,1)</f>
        <v>43886</v>
      </c>
      <c r="W106" s="138">
        <f ca="1">OFFSET(Pay!$H$2,MATCH(W$4,Pay!$H$3:$H$18,1),0,1,1)</f>
        <v>43886</v>
      </c>
      <c r="X106" s="138">
        <f ca="1">OFFSET(Pay!$H$2,MATCH(X$4,Pay!$H$3:$H$18,1),0,1,1)</f>
        <v>43886</v>
      </c>
      <c r="Y106" s="138">
        <f ca="1">OFFSET(Pay!$H$2,MATCH(Y$4,Pay!$H$3:$H$18,1),0,1,1)</f>
        <v>43886</v>
      </c>
      <c r="Z106" s="138">
        <f ca="1">OFFSET(Pay!$H$2,MATCH(Z$4,Pay!$H$3:$H$18,1),0,1,1)</f>
        <v>43886</v>
      </c>
      <c r="AA106" s="138">
        <f ca="1">OFFSET(Pay!$H$2,MATCH(AA$4,Pay!$H$3:$H$18,1),0,1,1)</f>
        <v>43886</v>
      </c>
      <c r="AB106" s="138">
        <f ca="1">OFFSET(Pay!$H$2,MATCH(AB$4,Pay!$H$3:$H$18,1),0,1,1)</f>
        <v>43886</v>
      </c>
      <c r="AC106" s="138">
        <f ca="1">OFFSET(Pay!$H$2,MATCH(AC$4,Pay!$H$3:$H$18,1),0,1,1)</f>
        <v>44068</v>
      </c>
      <c r="AD106" s="138">
        <f ca="1">OFFSET(Pay!$H$2,MATCH(AD$4,Pay!$H$3:$H$18,1),0,1,1)</f>
        <v>44068</v>
      </c>
      <c r="AE106" s="138">
        <f ca="1">OFFSET(Pay!$H$2,MATCH(AE$4,Pay!$H$3:$H$18,1),0,1,1)</f>
        <v>44068</v>
      </c>
      <c r="AF106" s="138">
        <f ca="1">OFFSET(Pay!$H$2,MATCH(AF$4,Pay!$H$3:$H$18,1),0,1,1)</f>
        <v>44068</v>
      </c>
      <c r="AG106" s="138">
        <f ca="1">OFFSET(Pay!$H$2,MATCH(AG$4,Pay!$H$3:$H$18,1),0,1,1)</f>
        <v>44068</v>
      </c>
      <c r="AH106" s="138">
        <f ca="1">OFFSET(Pay!$H$2,MATCH(AH$4,Pay!$H$3:$H$18,1),0,1,1)</f>
        <v>44068</v>
      </c>
      <c r="AI106" s="138">
        <f ca="1">OFFSET(Pay!$H$2,MATCH(AI$4,Pay!$H$3:$H$18,1),0,1,1)</f>
        <v>44068</v>
      </c>
      <c r="AJ106" s="138">
        <f ca="1">OFFSET(Pay!$H$2,MATCH(AJ$4,Pay!$H$3:$H$18,1),0,1,1)</f>
        <v>44068</v>
      </c>
      <c r="AK106" s="138">
        <f ca="1">OFFSET(Pay!$H$2,MATCH(AK$4,Pay!$H$3:$H$18,1),0,1,1)</f>
        <v>44068</v>
      </c>
      <c r="AL106" s="138">
        <f ca="1">OFFSET(Pay!$H$2,MATCH(AL$4,Pay!$H$3:$H$18,1),0,1,1)</f>
        <v>44068</v>
      </c>
      <c r="AM106" s="138">
        <f ca="1">OFFSET(Pay!$H$2,MATCH(AM$4,Pay!$H$3:$H$18,1),0,1,1)</f>
        <v>44068</v>
      </c>
      <c r="AN106" s="138">
        <f ca="1">OFFSET(Pay!$H$2,MATCH(AN$4,Pay!$H$3:$H$18,1),0,1,1)</f>
        <v>44068</v>
      </c>
      <c r="AO106" s="138">
        <f ca="1">OFFSET(Pay!$H$2,MATCH(AO$4,Pay!$H$3:$H$18,1),0,1,1)</f>
        <v>44068</v>
      </c>
      <c r="AP106" s="138">
        <f ca="1">OFFSET(Pay!$H$2,MATCH(AP$4,Pay!$H$3:$H$18,1),0,1,1)</f>
        <v>44068</v>
      </c>
      <c r="AQ106" s="138">
        <f ca="1">OFFSET(Pay!$H$2,MATCH(AQ$4,Pay!$H$3:$H$18,1),0,1,1)</f>
        <v>44068</v>
      </c>
      <c r="AR106" s="138">
        <f ca="1">OFFSET(Pay!$H$2,MATCH(AR$4,Pay!$H$3:$H$18,1),0,1,1)</f>
        <v>44068</v>
      </c>
      <c r="AS106" s="138">
        <f ca="1">OFFSET(Pay!$H$2,MATCH(AS$4,Pay!$H$3:$H$18,1),0,1,1)</f>
        <v>44068</v>
      </c>
      <c r="AT106" s="138">
        <f ca="1">OFFSET(Pay!$H$2,MATCH(AT$4,Pay!$H$3:$H$18,1),0,1,1)</f>
        <v>44068</v>
      </c>
      <c r="AU106" s="138">
        <f ca="1">OFFSET(Pay!$H$2,MATCH(AU$4,Pay!$H$3:$H$18,1),0,1,1)</f>
        <v>44068</v>
      </c>
      <c r="AV106" s="138">
        <f ca="1">OFFSET(Pay!$H$2,MATCH(AV$4,Pay!$H$3:$H$18,1),0,1,1)</f>
        <v>44068</v>
      </c>
      <c r="AW106" s="138">
        <f ca="1">OFFSET(Pay!$H$2,MATCH(AW$4,Pay!$H$3:$H$18,1),0,1,1)</f>
        <v>44068</v>
      </c>
      <c r="AX106" s="138">
        <f ca="1">OFFSET(Pay!$H$2,MATCH(AX$4,Pay!$H$3:$H$18,1),0,1,1)</f>
        <v>44068</v>
      </c>
      <c r="AY106" s="138">
        <f ca="1">OFFSET(Pay!$H$2,MATCH(AY$4,Pay!$H$3:$H$18,1),0,1,1)</f>
        <v>44068</v>
      </c>
      <c r="AZ106" s="138">
        <f ca="1">OFFSET(Pay!$H$2,MATCH(AZ$4,Pay!$H$3:$H$18,1),0,1,1)</f>
        <v>44068</v>
      </c>
      <c r="BA106" s="138">
        <f ca="1">OFFSET(Pay!$H$2,MATCH(BA$4,Pay!$H$3:$H$18,1),0,1,1)</f>
        <v>44068</v>
      </c>
      <c r="BB106" s="138">
        <f ca="1">OFFSET(Pay!$H$2,MATCH(BB$4,Pay!$H$3:$H$18,1),0,1,1)</f>
        <v>44068</v>
      </c>
      <c r="BC106" s="138">
        <f ca="1">OFFSET(Pay!$H$2,MATCH(BC$4,Pay!$H$3:$H$18,1),0,1,1)</f>
        <v>44252</v>
      </c>
    </row>
    <row r="107" spans="2:55" ht="16.149999999999999" customHeight="1" x14ac:dyDescent="0.3">
      <c r="B107" s="6" t="s">
        <v>152</v>
      </c>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row>
    <row r="108" spans="2:55" ht="16.149999999999999" customHeight="1" x14ac:dyDescent="0.3">
      <c r="B108" s="6" t="s">
        <v>153</v>
      </c>
      <c r="C108" s="139">
        <f>Assumptions!$C$52</f>
        <v>0.2</v>
      </c>
      <c r="D108" s="139">
        <f>Assumptions!$C$52</f>
        <v>0.2</v>
      </c>
      <c r="E108" s="139">
        <f>Assumptions!$C$52</f>
        <v>0.2</v>
      </c>
      <c r="F108" s="139">
        <f>Assumptions!$C$52</f>
        <v>0.2</v>
      </c>
      <c r="G108" s="139">
        <f>Assumptions!$C$52</f>
        <v>0.2</v>
      </c>
      <c r="H108" s="139">
        <f>Assumptions!$C$52</f>
        <v>0.2</v>
      </c>
      <c r="I108" s="139">
        <f>Assumptions!$C$52</f>
        <v>0.2</v>
      </c>
      <c r="J108" s="139">
        <f>Assumptions!$C$52</f>
        <v>0.2</v>
      </c>
      <c r="K108" s="139">
        <f>Assumptions!$C$52</f>
        <v>0.2</v>
      </c>
      <c r="L108" s="139">
        <f>Assumptions!$C$52</f>
        <v>0.2</v>
      </c>
      <c r="M108" s="139">
        <f>Assumptions!$C$52</f>
        <v>0.2</v>
      </c>
      <c r="N108" s="139">
        <f>Assumptions!$C$52</f>
        <v>0.2</v>
      </c>
      <c r="O108" s="139">
        <f>Assumptions!$C$52</f>
        <v>0.2</v>
      </c>
      <c r="P108" s="139">
        <f>Assumptions!$C$52</f>
        <v>0.2</v>
      </c>
      <c r="Q108" s="139">
        <f>Assumptions!$C$52</f>
        <v>0.2</v>
      </c>
      <c r="R108" s="139">
        <f>Assumptions!$C$52</f>
        <v>0.2</v>
      </c>
      <c r="S108" s="139">
        <f>Assumptions!$C$52</f>
        <v>0.2</v>
      </c>
      <c r="T108" s="139">
        <f>Assumptions!$C$52</f>
        <v>0.2</v>
      </c>
      <c r="U108" s="139">
        <f>Assumptions!$C$52</f>
        <v>0.2</v>
      </c>
      <c r="V108" s="139">
        <f>Assumptions!$C$52</f>
        <v>0.2</v>
      </c>
      <c r="W108" s="139">
        <f>Assumptions!$C$52</f>
        <v>0.2</v>
      </c>
      <c r="X108" s="139">
        <f>Assumptions!$C$52</f>
        <v>0.2</v>
      </c>
      <c r="Y108" s="139">
        <f>Assumptions!$C$52</f>
        <v>0.2</v>
      </c>
      <c r="Z108" s="139">
        <f>Assumptions!$C$52</f>
        <v>0.2</v>
      </c>
      <c r="AA108" s="139">
        <f>Assumptions!$C$52</f>
        <v>0.2</v>
      </c>
      <c r="AB108" s="139">
        <f>Assumptions!$C$52</f>
        <v>0.2</v>
      </c>
      <c r="AC108" s="139">
        <f>Assumptions!$C$52</f>
        <v>0.2</v>
      </c>
      <c r="AD108" s="139">
        <f>Assumptions!$C$52</f>
        <v>0.2</v>
      </c>
      <c r="AE108" s="139">
        <f>Assumptions!$C$52</f>
        <v>0.2</v>
      </c>
      <c r="AF108" s="139">
        <f>Assumptions!$C$52</f>
        <v>0.2</v>
      </c>
      <c r="AG108" s="139">
        <f>Assumptions!$C$52</f>
        <v>0.2</v>
      </c>
      <c r="AH108" s="139">
        <f>Assumptions!$C$52</f>
        <v>0.2</v>
      </c>
      <c r="AI108" s="139">
        <f>Assumptions!$C$52</f>
        <v>0.2</v>
      </c>
      <c r="AJ108" s="139">
        <f>Assumptions!$C$52</f>
        <v>0.2</v>
      </c>
      <c r="AK108" s="139">
        <f>Assumptions!$C$52</f>
        <v>0.2</v>
      </c>
      <c r="AL108" s="139">
        <f>Assumptions!$C$52</f>
        <v>0.2</v>
      </c>
      <c r="AM108" s="139">
        <f>Assumptions!$C$52</f>
        <v>0.2</v>
      </c>
      <c r="AN108" s="139">
        <f>Assumptions!$C$52</f>
        <v>0.2</v>
      </c>
      <c r="AO108" s="139">
        <f>Assumptions!$C$52</f>
        <v>0.2</v>
      </c>
      <c r="AP108" s="139">
        <f>Assumptions!$C$52</f>
        <v>0.2</v>
      </c>
      <c r="AQ108" s="139">
        <f>Assumptions!$C$52</f>
        <v>0.2</v>
      </c>
      <c r="AR108" s="139">
        <f>Assumptions!$C$52</f>
        <v>0.2</v>
      </c>
      <c r="AS108" s="139">
        <f>Assumptions!$C$52</f>
        <v>0.2</v>
      </c>
      <c r="AT108" s="139">
        <f>Assumptions!$C$52</f>
        <v>0.2</v>
      </c>
      <c r="AU108" s="139">
        <f>Assumptions!$C$52</f>
        <v>0.2</v>
      </c>
      <c r="AV108" s="139">
        <f>Assumptions!$C$52</f>
        <v>0.2</v>
      </c>
      <c r="AW108" s="139">
        <f>Assumptions!$C$52</f>
        <v>0.2</v>
      </c>
      <c r="AX108" s="139">
        <f>Assumptions!$C$52</f>
        <v>0.2</v>
      </c>
      <c r="AY108" s="139">
        <f>Assumptions!$C$52</f>
        <v>0.2</v>
      </c>
      <c r="AZ108" s="139">
        <f>Assumptions!$C$52</f>
        <v>0.2</v>
      </c>
      <c r="BA108" s="139">
        <f>Assumptions!$C$52</f>
        <v>0.2</v>
      </c>
      <c r="BB108" s="139">
        <f>Assumptions!$C$52</f>
        <v>0.2</v>
      </c>
      <c r="BC108" s="139">
        <f>Assumptions!$C$52</f>
        <v>0.2</v>
      </c>
    </row>
    <row r="109" spans="2:55" ht="16.149999999999999" customHeight="1" x14ac:dyDescent="0.3">
      <c r="B109" s="6" t="s">
        <v>265</v>
      </c>
      <c r="C109" s="135" t="str">
        <f t="shared" ref="C109:AH109" ca="1" si="35">IF(AND(ISTEXT(B109),C112&lt;C$4-6),"No",IF(COUNTIFS(BSMonths,"&gt;="&amp;C$112,BSMonths,"&lt;="&amp;C$4)=1,"Yes","No"))</f>
        <v>No</v>
      </c>
      <c r="D109" s="135" t="str">
        <f t="shared" ca="1" si="35"/>
        <v>Yes</v>
      </c>
      <c r="E109" s="135" t="str">
        <f t="shared" ca="1" si="35"/>
        <v>No</v>
      </c>
      <c r="F109" s="135" t="str">
        <f t="shared" ca="1" si="35"/>
        <v>No</v>
      </c>
      <c r="G109" s="135" t="str">
        <f t="shared" ca="1" si="35"/>
        <v>No</v>
      </c>
      <c r="H109" s="135" t="str">
        <f t="shared" ca="1" si="35"/>
        <v>No</v>
      </c>
      <c r="I109" s="135" t="str">
        <f t="shared" ca="1" si="35"/>
        <v>Yes</v>
      </c>
      <c r="J109" s="135" t="str">
        <f t="shared" ca="1" si="35"/>
        <v>No</v>
      </c>
      <c r="K109" s="135" t="str">
        <f t="shared" ca="1" si="35"/>
        <v>No</v>
      </c>
      <c r="L109" s="135" t="str">
        <f t="shared" ca="1" si="35"/>
        <v>No</v>
      </c>
      <c r="M109" s="135" t="str">
        <f t="shared" ca="1" si="35"/>
        <v>Yes</v>
      </c>
      <c r="N109" s="135" t="str">
        <f t="shared" ca="1" si="35"/>
        <v>No</v>
      </c>
      <c r="O109" s="135" t="str">
        <f t="shared" ca="1" si="35"/>
        <v>No</v>
      </c>
      <c r="P109" s="135" t="str">
        <f t="shared" ca="1" si="35"/>
        <v>No</v>
      </c>
      <c r="Q109" s="135" t="str">
        <f t="shared" ca="1" si="35"/>
        <v>Yes</v>
      </c>
      <c r="R109" s="135" t="str">
        <f t="shared" ca="1" si="35"/>
        <v>No</v>
      </c>
      <c r="S109" s="135" t="str">
        <f t="shared" ca="1" si="35"/>
        <v>No</v>
      </c>
      <c r="T109" s="135" t="str">
        <f t="shared" ca="1" si="35"/>
        <v>No</v>
      </c>
      <c r="U109" s="135" t="str">
        <f t="shared" ca="1" si="35"/>
        <v>No</v>
      </c>
      <c r="V109" s="135" t="str">
        <f t="shared" ca="1" si="35"/>
        <v>Yes</v>
      </c>
      <c r="W109" s="135" t="str">
        <f t="shared" ca="1" si="35"/>
        <v>No</v>
      </c>
      <c r="X109" s="135" t="str">
        <f t="shared" ca="1" si="35"/>
        <v>No</v>
      </c>
      <c r="Y109" s="135" t="str">
        <f t="shared" ca="1" si="35"/>
        <v>No</v>
      </c>
      <c r="Z109" s="135" t="str">
        <f t="shared" ca="1" si="35"/>
        <v>Yes</v>
      </c>
      <c r="AA109" s="135" t="str">
        <f t="shared" ca="1" si="35"/>
        <v>No</v>
      </c>
      <c r="AB109" s="135" t="str">
        <f t="shared" ca="1" si="35"/>
        <v>No</v>
      </c>
      <c r="AC109" s="135" t="str">
        <f t="shared" ca="1" si="35"/>
        <v>No</v>
      </c>
      <c r="AD109" s="135" t="str">
        <f t="shared" ca="1" si="35"/>
        <v>No</v>
      </c>
      <c r="AE109" s="135" t="str">
        <f t="shared" ca="1" si="35"/>
        <v>Yes</v>
      </c>
      <c r="AF109" s="135" t="str">
        <f t="shared" ca="1" si="35"/>
        <v>No</v>
      </c>
      <c r="AG109" s="135" t="str">
        <f t="shared" ca="1" si="35"/>
        <v>No</v>
      </c>
      <c r="AH109" s="135" t="str">
        <f t="shared" ca="1" si="35"/>
        <v>No</v>
      </c>
      <c r="AI109" s="135" t="str">
        <f t="shared" ref="AI109:BC109" ca="1" si="36">IF(AND(ISTEXT(AH109),AI112&lt;AI$4-6),"No",IF(COUNTIFS(BSMonths,"&gt;="&amp;AI$112,BSMonths,"&lt;="&amp;AI$4)=1,"Yes","No"))</f>
        <v>Yes</v>
      </c>
      <c r="AJ109" s="135" t="str">
        <f t="shared" ca="1" si="36"/>
        <v>No</v>
      </c>
      <c r="AK109" s="135" t="str">
        <f t="shared" ca="1" si="36"/>
        <v>No</v>
      </c>
      <c r="AL109" s="135" t="str">
        <f t="shared" ca="1" si="36"/>
        <v>No</v>
      </c>
      <c r="AM109" s="135" t="str">
        <f t="shared" ca="1" si="36"/>
        <v>Yes</v>
      </c>
      <c r="AN109" s="135" t="str">
        <f t="shared" ca="1" si="36"/>
        <v>No</v>
      </c>
      <c r="AO109" s="135" t="str">
        <f t="shared" ca="1" si="36"/>
        <v>No</v>
      </c>
      <c r="AP109" s="135" t="str">
        <f t="shared" ca="1" si="36"/>
        <v>No</v>
      </c>
      <c r="AQ109" s="135" t="str">
        <f t="shared" ca="1" si="36"/>
        <v>No</v>
      </c>
      <c r="AR109" s="135" t="str">
        <f t="shared" ca="1" si="36"/>
        <v>Yes</v>
      </c>
      <c r="AS109" s="135" t="str">
        <f t="shared" ca="1" si="36"/>
        <v>No</v>
      </c>
      <c r="AT109" s="135" t="str">
        <f t="shared" ca="1" si="36"/>
        <v>No</v>
      </c>
      <c r="AU109" s="135" t="str">
        <f t="shared" ca="1" si="36"/>
        <v>No</v>
      </c>
      <c r="AV109" s="135" t="str">
        <f t="shared" ca="1" si="36"/>
        <v>Yes</v>
      </c>
      <c r="AW109" s="135" t="str">
        <f t="shared" ca="1" si="36"/>
        <v>No</v>
      </c>
      <c r="AX109" s="135" t="str">
        <f t="shared" ca="1" si="36"/>
        <v>No</v>
      </c>
      <c r="AY109" s="135" t="str">
        <f t="shared" ca="1" si="36"/>
        <v>No</v>
      </c>
      <c r="AZ109" s="135" t="str">
        <f t="shared" ca="1" si="36"/>
        <v>Yes</v>
      </c>
      <c r="BA109" s="135" t="str">
        <f t="shared" ca="1" si="36"/>
        <v>No</v>
      </c>
      <c r="BB109" s="135" t="str">
        <f t="shared" ca="1" si="36"/>
        <v>No</v>
      </c>
      <c r="BC109" s="135" t="str">
        <f t="shared" ca="1" si="36"/>
        <v>No</v>
      </c>
    </row>
    <row r="110" spans="2:55" ht="16.149999999999999" customHeight="1" x14ac:dyDescent="0.3">
      <c r="B110" s="6" t="s">
        <v>266</v>
      </c>
      <c r="C110" s="136">
        <f ca="1">IF(C109="Yes",1+IF(Assumptions!$C$55="Subsequent",ROUNDDOWN((C112-DATE(YEAR(C112),MONTH(C112),0))/7,0),0),IF(ISTEXT(B110),ROUNDUP((C$4-C112)/7,0)+IF(Assumptions!$C$55="Subsequent",ROUNDDOWN((C112-DATE(YEAR(C112),MONTH(C112),0))/7,0),0),B110+1))</f>
        <v>4</v>
      </c>
      <c r="D110" s="136">
        <f ca="1">IF(D109="Yes",1+IF(Assumptions!$C$55="Subsequent",ROUNDDOWN((D112-DATE(YEAR(D112),MONTH(D112),0))/7,0),0),IF(ISTEXT(C110),ROUNDUP((D$4-D112)/7,0)+IF(Assumptions!$C$55="Subsequent",ROUNDDOWN((D112-DATE(YEAR(D112),MONTH(D112),0))/7,0),0),C110+1))</f>
        <v>1</v>
      </c>
      <c r="E110" s="136">
        <f ca="1">IF(E109="Yes",1+IF(Assumptions!$C$55="Subsequent",ROUNDDOWN((E112-DATE(YEAR(E112),MONTH(E112),0))/7,0),0),IF(ISTEXT(D110),ROUNDUP((E$4-E112)/7,0)+IF(Assumptions!$C$55="Subsequent",ROUNDDOWN((E112-DATE(YEAR(E112),MONTH(E112),0))/7,0),0),D110+1))</f>
        <v>2</v>
      </c>
      <c r="F110" s="136">
        <f ca="1">IF(F109="Yes",1+IF(Assumptions!$C$55="Subsequent",ROUNDDOWN((F112-DATE(YEAR(F112),MONTH(F112),0))/7,0),0),IF(ISTEXT(E110),ROUNDUP((F$4-F112)/7,0)+IF(Assumptions!$C$55="Subsequent",ROUNDDOWN((F112-DATE(YEAR(F112),MONTH(F112),0))/7,0),0),E110+1))</f>
        <v>3</v>
      </c>
      <c r="G110" s="136">
        <f ca="1">IF(G109="Yes",1+IF(Assumptions!$C$55="Subsequent",ROUNDDOWN((G112-DATE(YEAR(G112),MONTH(G112),0))/7,0),0),IF(ISTEXT(F110),ROUNDUP((G$4-G112)/7,0)+IF(Assumptions!$C$55="Subsequent",ROUNDDOWN((G112-DATE(YEAR(G112),MONTH(G112),0))/7,0),0),F110+1))</f>
        <v>4</v>
      </c>
      <c r="H110" s="136">
        <f ca="1">IF(H109="Yes",1+IF(Assumptions!$C$55="Subsequent",ROUNDDOWN((H112-DATE(YEAR(H112),MONTH(H112),0))/7,0),0),IF(ISTEXT(G110),ROUNDUP((H$4-H112)/7,0)+IF(Assumptions!$C$55="Subsequent",ROUNDDOWN((H112-DATE(YEAR(H112),MONTH(H112),0))/7,0),0),G110+1))</f>
        <v>5</v>
      </c>
      <c r="I110" s="136">
        <f ca="1">IF(I109="Yes",1+IF(Assumptions!$C$55="Subsequent",ROUNDDOWN((I112-DATE(YEAR(I112),MONTH(I112),0))/7,0),0),IF(ISTEXT(H110),ROUNDUP((I$4-I112)/7,0)+IF(Assumptions!$C$55="Subsequent",ROUNDDOWN((I112-DATE(YEAR(I112),MONTH(I112),0))/7,0),0),H110+1))</f>
        <v>1</v>
      </c>
      <c r="J110" s="136">
        <f ca="1">IF(J109="Yes",1+IF(Assumptions!$C$55="Subsequent",ROUNDDOWN((J112-DATE(YEAR(J112),MONTH(J112),0))/7,0),0),IF(ISTEXT(I110),ROUNDUP((J$4-J112)/7,0)+IF(Assumptions!$C$55="Subsequent",ROUNDDOWN((J112-DATE(YEAR(J112),MONTH(J112),0))/7,0),0),I110+1))</f>
        <v>2</v>
      </c>
      <c r="K110" s="136">
        <f ca="1">IF(K109="Yes",1+IF(Assumptions!$C$55="Subsequent",ROUNDDOWN((K112-DATE(YEAR(K112),MONTH(K112),0))/7,0),0),IF(ISTEXT(J110),ROUNDUP((K$4-K112)/7,0)+IF(Assumptions!$C$55="Subsequent",ROUNDDOWN((K112-DATE(YEAR(K112),MONTH(K112),0))/7,0),0),J110+1))</f>
        <v>3</v>
      </c>
      <c r="L110" s="136">
        <f ca="1">IF(L109="Yes",1+IF(Assumptions!$C$55="Subsequent",ROUNDDOWN((L112-DATE(YEAR(L112),MONTH(L112),0))/7,0),0),IF(ISTEXT(K110),ROUNDUP((L$4-L112)/7,0)+IF(Assumptions!$C$55="Subsequent",ROUNDDOWN((L112-DATE(YEAR(L112),MONTH(L112),0))/7,0),0),K110+1))</f>
        <v>4</v>
      </c>
      <c r="M110" s="136">
        <f ca="1">IF(M109="Yes",1+IF(Assumptions!$C$55="Subsequent",ROUNDDOWN((M112-DATE(YEAR(M112),MONTH(M112),0))/7,0),0),IF(ISTEXT(L110),ROUNDUP((M$4-M112)/7,0)+IF(Assumptions!$C$55="Subsequent",ROUNDDOWN((M112-DATE(YEAR(M112),MONTH(M112),0))/7,0),0),L110+1))</f>
        <v>1</v>
      </c>
      <c r="N110" s="136">
        <f ca="1">IF(N109="Yes",1+IF(Assumptions!$C$55="Subsequent",ROUNDDOWN((N112-DATE(YEAR(N112),MONTH(N112),0))/7,0),0),IF(ISTEXT(M110),ROUNDUP((N$4-N112)/7,0)+IF(Assumptions!$C$55="Subsequent",ROUNDDOWN((N112-DATE(YEAR(N112),MONTH(N112),0))/7,0),0),M110+1))</f>
        <v>2</v>
      </c>
      <c r="O110" s="136">
        <f ca="1">IF(O109="Yes",1+IF(Assumptions!$C$55="Subsequent",ROUNDDOWN((O112-DATE(YEAR(O112),MONTH(O112),0))/7,0),0),IF(ISTEXT(N110),ROUNDUP((O$4-O112)/7,0)+IF(Assumptions!$C$55="Subsequent",ROUNDDOWN((O112-DATE(YEAR(O112),MONTH(O112),0))/7,0),0),N110+1))</f>
        <v>3</v>
      </c>
      <c r="P110" s="136">
        <f ca="1">IF(P109="Yes",1+IF(Assumptions!$C$55="Subsequent",ROUNDDOWN((P112-DATE(YEAR(P112),MONTH(P112),0))/7,0),0),IF(ISTEXT(O110),ROUNDUP((P$4-P112)/7,0)+IF(Assumptions!$C$55="Subsequent",ROUNDDOWN((P112-DATE(YEAR(P112),MONTH(P112),0))/7,0),0),O110+1))</f>
        <v>4</v>
      </c>
      <c r="Q110" s="136">
        <f ca="1">IF(Q109="Yes",1+IF(Assumptions!$C$55="Subsequent",ROUNDDOWN((Q112-DATE(YEAR(Q112),MONTH(Q112),0))/7,0),0),IF(ISTEXT(P110),ROUNDUP((Q$4-Q112)/7,0)+IF(Assumptions!$C$55="Subsequent",ROUNDDOWN((Q112-DATE(YEAR(Q112),MONTH(Q112),0))/7,0),0),P110+1))</f>
        <v>1</v>
      </c>
      <c r="R110" s="136">
        <f ca="1">IF(R109="Yes",1+IF(Assumptions!$C$55="Subsequent",ROUNDDOWN((R112-DATE(YEAR(R112),MONTH(R112),0))/7,0),0),IF(ISTEXT(Q110),ROUNDUP((R$4-R112)/7,0)+IF(Assumptions!$C$55="Subsequent",ROUNDDOWN((R112-DATE(YEAR(R112),MONTH(R112),0))/7,0),0),Q110+1))</f>
        <v>2</v>
      </c>
      <c r="S110" s="136">
        <f ca="1">IF(S109="Yes",1+IF(Assumptions!$C$55="Subsequent",ROUNDDOWN((S112-DATE(YEAR(S112),MONTH(S112),0))/7,0),0),IF(ISTEXT(R110),ROUNDUP((S$4-S112)/7,0)+IF(Assumptions!$C$55="Subsequent",ROUNDDOWN((S112-DATE(YEAR(S112),MONTH(S112),0))/7,0),0),R110+1))</f>
        <v>3</v>
      </c>
      <c r="T110" s="136">
        <f ca="1">IF(T109="Yes",1+IF(Assumptions!$C$55="Subsequent",ROUNDDOWN((T112-DATE(YEAR(T112),MONTH(T112),0))/7,0),0),IF(ISTEXT(S110),ROUNDUP((T$4-T112)/7,0)+IF(Assumptions!$C$55="Subsequent",ROUNDDOWN((T112-DATE(YEAR(T112),MONTH(T112),0))/7,0),0),S110+1))</f>
        <v>4</v>
      </c>
      <c r="U110" s="136">
        <f ca="1">IF(U109="Yes",1+IF(Assumptions!$C$55="Subsequent",ROUNDDOWN((U112-DATE(YEAR(U112),MONTH(U112),0))/7,0),0),IF(ISTEXT(T110),ROUNDUP((U$4-U112)/7,0)+IF(Assumptions!$C$55="Subsequent",ROUNDDOWN((U112-DATE(YEAR(U112),MONTH(U112),0))/7,0),0),T110+1))</f>
        <v>5</v>
      </c>
      <c r="V110" s="136">
        <f ca="1">IF(V109="Yes",1+IF(Assumptions!$C$55="Subsequent",ROUNDDOWN((V112-DATE(YEAR(V112),MONTH(V112),0))/7,0),0),IF(ISTEXT(U110),ROUNDUP((V$4-V112)/7,0)+IF(Assumptions!$C$55="Subsequent",ROUNDDOWN((V112-DATE(YEAR(V112),MONTH(V112),0))/7,0),0),U110+1))</f>
        <v>1</v>
      </c>
      <c r="W110" s="136">
        <f ca="1">IF(W109="Yes",1+IF(Assumptions!$C$55="Subsequent",ROUNDDOWN((W112-DATE(YEAR(W112),MONTH(W112),0))/7,0),0),IF(ISTEXT(V110),ROUNDUP((W$4-W112)/7,0)+IF(Assumptions!$C$55="Subsequent",ROUNDDOWN((W112-DATE(YEAR(W112),MONTH(W112),0))/7,0),0),V110+1))</f>
        <v>2</v>
      </c>
      <c r="X110" s="136">
        <f ca="1">IF(X109="Yes",1+IF(Assumptions!$C$55="Subsequent",ROUNDDOWN((X112-DATE(YEAR(X112),MONTH(X112),0))/7,0),0),IF(ISTEXT(W110),ROUNDUP((X$4-X112)/7,0)+IF(Assumptions!$C$55="Subsequent",ROUNDDOWN((X112-DATE(YEAR(X112),MONTH(X112),0))/7,0),0),W110+1))</f>
        <v>3</v>
      </c>
      <c r="Y110" s="136">
        <f ca="1">IF(Y109="Yes",1+IF(Assumptions!$C$55="Subsequent",ROUNDDOWN((Y112-DATE(YEAR(Y112),MONTH(Y112),0))/7,0),0),IF(ISTEXT(X110),ROUNDUP((Y$4-Y112)/7,0)+IF(Assumptions!$C$55="Subsequent",ROUNDDOWN((Y112-DATE(YEAR(Y112),MONTH(Y112),0))/7,0),0),X110+1))</f>
        <v>4</v>
      </c>
      <c r="Z110" s="136">
        <f ca="1">IF(Z109="Yes",1+IF(Assumptions!$C$55="Subsequent",ROUNDDOWN((Z112-DATE(YEAR(Z112),MONTH(Z112),0))/7,0),0),IF(ISTEXT(Y110),ROUNDUP((Z$4-Z112)/7,0)+IF(Assumptions!$C$55="Subsequent",ROUNDDOWN((Z112-DATE(YEAR(Z112),MONTH(Z112),0))/7,0),0),Y110+1))</f>
        <v>1</v>
      </c>
      <c r="AA110" s="136">
        <f ca="1">IF(AA109="Yes",1+IF(Assumptions!$C$55="Subsequent",ROUNDDOWN((AA112-DATE(YEAR(AA112),MONTH(AA112),0))/7,0),0),IF(ISTEXT(Z110),ROUNDUP((AA$4-AA112)/7,0)+IF(Assumptions!$C$55="Subsequent",ROUNDDOWN((AA112-DATE(YEAR(AA112),MONTH(AA112),0))/7,0),0),Z110+1))</f>
        <v>2</v>
      </c>
      <c r="AB110" s="136">
        <f ca="1">IF(AB109="Yes",1+IF(Assumptions!$C$55="Subsequent",ROUNDDOWN((AB112-DATE(YEAR(AB112),MONTH(AB112),0))/7,0),0),IF(ISTEXT(AA110),ROUNDUP((AB$4-AB112)/7,0)+IF(Assumptions!$C$55="Subsequent",ROUNDDOWN((AB112-DATE(YEAR(AB112),MONTH(AB112),0))/7,0),0),AA110+1))</f>
        <v>3</v>
      </c>
      <c r="AC110" s="136">
        <f ca="1">IF(AC109="Yes",1+IF(Assumptions!$C$55="Subsequent",ROUNDDOWN((AC112-DATE(YEAR(AC112),MONTH(AC112),0))/7,0),0),IF(ISTEXT(AB110),ROUNDUP((AC$4-AC112)/7,0)+IF(Assumptions!$C$55="Subsequent",ROUNDDOWN((AC112-DATE(YEAR(AC112),MONTH(AC112),0))/7,0),0),AB110+1))</f>
        <v>4</v>
      </c>
      <c r="AD110" s="136">
        <f ca="1">IF(AD109="Yes",1+IF(Assumptions!$C$55="Subsequent",ROUNDDOWN((AD112-DATE(YEAR(AD112),MONTH(AD112),0))/7,0),0),IF(ISTEXT(AC110),ROUNDUP((AD$4-AD112)/7,0)+IF(Assumptions!$C$55="Subsequent",ROUNDDOWN((AD112-DATE(YEAR(AD112),MONTH(AD112),0))/7,0),0),AC110+1))</f>
        <v>5</v>
      </c>
      <c r="AE110" s="136">
        <f ca="1">IF(AE109="Yes",1+IF(Assumptions!$C$55="Subsequent",ROUNDDOWN((AE112-DATE(YEAR(AE112),MONTH(AE112),0))/7,0),0),IF(ISTEXT(AD110),ROUNDUP((AE$4-AE112)/7,0)+IF(Assumptions!$C$55="Subsequent",ROUNDDOWN((AE112-DATE(YEAR(AE112),MONTH(AE112),0))/7,0),0),AD110+1))</f>
        <v>1</v>
      </c>
      <c r="AF110" s="136">
        <f ca="1">IF(AF109="Yes",1+IF(Assumptions!$C$55="Subsequent",ROUNDDOWN((AF112-DATE(YEAR(AF112),MONTH(AF112),0))/7,0),0),IF(ISTEXT(AE110),ROUNDUP((AF$4-AF112)/7,0)+IF(Assumptions!$C$55="Subsequent",ROUNDDOWN((AF112-DATE(YEAR(AF112),MONTH(AF112),0))/7,0),0),AE110+1))</f>
        <v>2</v>
      </c>
      <c r="AG110" s="136">
        <f ca="1">IF(AG109="Yes",1+IF(Assumptions!$C$55="Subsequent",ROUNDDOWN((AG112-DATE(YEAR(AG112),MONTH(AG112),0))/7,0),0),IF(ISTEXT(AF110),ROUNDUP((AG$4-AG112)/7,0)+IF(Assumptions!$C$55="Subsequent",ROUNDDOWN((AG112-DATE(YEAR(AG112),MONTH(AG112),0))/7,0),0),AF110+1))</f>
        <v>3</v>
      </c>
      <c r="AH110" s="136">
        <f ca="1">IF(AH109="Yes",1+IF(Assumptions!$C$55="Subsequent",ROUNDDOWN((AH112-DATE(YEAR(AH112),MONTH(AH112),0))/7,0),0),IF(ISTEXT(AG110),ROUNDUP((AH$4-AH112)/7,0)+IF(Assumptions!$C$55="Subsequent",ROUNDDOWN((AH112-DATE(YEAR(AH112),MONTH(AH112),0))/7,0),0),AG110+1))</f>
        <v>4</v>
      </c>
      <c r="AI110" s="136">
        <f ca="1">IF(AI109="Yes",1+IF(Assumptions!$C$55="Subsequent",ROUNDDOWN((AI112-DATE(YEAR(AI112),MONTH(AI112),0))/7,0),0),IF(ISTEXT(AH110),ROUNDUP((AI$4-AI112)/7,0)+IF(Assumptions!$C$55="Subsequent",ROUNDDOWN((AI112-DATE(YEAR(AI112),MONTH(AI112),0))/7,0),0),AH110+1))</f>
        <v>1</v>
      </c>
      <c r="AJ110" s="136">
        <f ca="1">IF(AJ109="Yes",1+IF(Assumptions!$C$55="Subsequent",ROUNDDOWN((AJ112-DATE(YEAR(AJ112),MONTH(AJ112),0))/7,0),0),IF(ISTEXT(AI110),ROUNDUP((AJ$4-AJ112)/7,0)+IF(Assumptions!$C$55="Subsequent",ROUNDDOWN((AJ112-DATE(YEAR(AJ112),MONTH(AJ112),0))/7,0),0),AI110+1))</f>
        <v>2</v>
      </c>
      <c r="AK110" s="136">
        <f ca="1">IF(AK109="Yes",1+IF(Assumptions!$C$55="Subsequent",ROUNDDOWN((AK112-DATE(YEAR(AK112),MONTH(AK112),0))/7,0),0),IF(ISTEXT(AJ110),ROUNDUP((AK$4-AK112)/7,0)+IF(Assumptions!$C$55="Subsequent",ROUNDDOWN((AK112-DATE(YEAR(AK112),MONTH(AK112),0))/7,0),0),AJ110+1))</f>
        <v>3</v>
      </c>
      <c r="AL110" s="136">
        <f ca="1">IF(AL109="Yes",1+IF(Assumptions!$C$55="Subsequent",ROUNDDOWN((AL112-DATE(YEAR(AL112),MONTH(AL112),0))/7,0),0),IF(ISTEXT(AK110),ROUNDUP((AL$4-AL112)/7,0)+IF(Assumptions!$C$55="Subsequent",ROUNDDOWN((AL112-DATE(YEAR(AL112),MONTH(AL112),0))/7,0),0),AK110+1))</f>
        <v>4</v>
      </c>
      <c r="AM110" s="136">
        <f ca="1">IF(AM109="Yes",1+IF(Assumptions!$C$55="Subsequent",ROUNDDOWN((AM112-DATE(YEAR(AM112),MONTH(AM112),0))/7,0),0),IF(ISTEXT(AL110),ROUNDUP((AM$4-AM112)/7,0)+IF(Assumptions!$C$55="Subsequent",ROUNDDOWN((AM112-DATE(YEAR(AM112),MONTH(AM112),0))/7,0),0),AL110+1))</f>
        <v>1</v>
      </c>
      <c r="AN110" s="136">
        <f ca="1">IF(AN109="Yes",1+IF(Assumptions!$C$55="Subsequent",ROUNDDOWN((AN112-DATE(YEAR(AN112),MONTH(AN112),0))/7,0),0),IF(ISTEXT(AM110),ROUNDUP((AN$4-AN112)/7,0)+IF(Assumptions!$C$55="Subsequent",ROUNDDOWN((AN112-DATE(YEAR(AN112),MONTH(AN112),0))/7,0),0),AM110+1))</f>
        <v>2</v>
      </c>
      <c r="AO110" s="136">
        <f ca="1">IF(AO109="Yes",1+IF(Assumptions!$C$55="Subsequent",ROUNDDOWN((AO112-DATE(YEAR(AO112),MONTH(AO112),0))/7,0),0),IF(ISTEXT(AN110),ROUNDUP((AO$4-AO112)/7,0)+IF(Assumptions!$C$55="Subsequent",ROUNDDOWN((AO112-DATE(YEAR(AO112),MONTH(AO112),0))/7,0),0),AN110+1))</f>
        <v>3</v>
      </c>
      <c r="AP110" s="136">
        <f ca="1">IF(AP109="Yes",1+IF(Assumptions!$C$55="Subsequent",ROUNDDOWN((AP112-DATE(YEAR(AP112),MONTH(AP112),0))/7,0),0),IF(ISTEXT(AO110),ROUNDUP((AP$4-AP112)/7,0)+IF(Assumptions!$C$55="Subsequent",ROUNDDOWN((AP112-DATE(YEAR(AP112),MONTH(AP112),0))/7,0),0),AO110+1))</f>
        <v>4</v>
      </c>
      <c r="AQ110" s="136">
        <f ca="1">IF(AQ109="Yes",1+IF(Assumptions!$C$55="Subsequent",ROUNDDOWN((AQ112-DATE(YEAR(AQ112),MONTH(AQ112),0))/7,0),0),IF(ISTEXT(AP110),ROUNDUP((AQ$4-AQ112)/7,0)+IF(Assumptions!$C$55="Subsequent",ROUNDDOWN((AQ112-DATE(YEAR(AQ112),MONTH(AQ112),0))/7,0),0),AP110+1))</f>
        <v>5</v>
      </c>
      <c r="AR110" s="136">
        <f ca="1">IF(AR109="Yes",1+IF(Assumptions!$C$55="Subsequent",ROUNDDOWN((AR112-DATE(YEAR(AR112),MONTH(AR112),0))/7,0),0),IF(ISTEXT(AQ110),ROUNDUP((AR$4-AR112)/7,0)+IF(Assumptions!$C$55="Subsequent",ROUNDDOWN((AR112-DATE(YEAR(AR112),MONTH(AR112),0))/7,0),0),AQ110+1))</f>
        <v>1</v>
      </c>
      <c r="AS110" s="136">
        <f ca="1">IF(AS109="Yes",1+IF(Assumptions!$C$55="Subsequent",ROUNDDOWN((AS112-DATE(YEAR(AS112),MONTH(AS112),0))/7,0),0),IF(ISTEXT(AR110),ROUNDUP((AS$4-AS112)/7,0)+IF(Assumptions!$C$55="Subsequent",ROUNDDOWN((AS112-DATE(YEAR(AS112),MONTH(AS112),0))/7,0),0),AR110+1))</f>
        <v>2</v>
      </c>
      <c r="AT110" s="136">
        <f ca="1">IF(AT109="Yes",1+IF(Assumptions!$C$55="Subsequent",ROUNDDOWN((AT112-DATE(YEAR(AT112),MONTH(AT112),0))/7,0),0),IF(ISTEXT(AS110),ROUNDUP((AT$4-AT112)/7,0)+IF(Assumptions!$C$55="Subsequent",ROUNDDOWN((AT112-DATE(YEAR(AT112),MONTH(AT112),0))/7,0),0),AS110+1))</f>
        <v>3</v>
      </c>
      <c r="AU110" s="136">
        <f ca="1">IF(AU109="Yes",1+IF(Assumptions!$C$55="Subsequent",ROUNDDOWN((AU112-DATE(YEAR(AU112),MONTH(AU112),0))/7,0),0),IF(ISTEXT(AT110),ROUNDUP((AU$4-AU112)/7,0)+IF(Assumptions!$C$55="Subsequent",ROUNDDOWN((AU112-DATE(YEAR(AU112),MONTH(AU112),0))/7,0),0),AT110+1))</f>
        <v>4</v>
      </c>
      <c r="AV110" s="136">
        <f ca="1">IF(AV109="Yes",1+IF(Assumptions!$C$55="Subsequent",ROUNDDOWN((AV112-DATE(YEAR(AV112),MONTH(AV112),0))/7,0),0),IF(ISTEXT(AU110),ROUNDUP((AV$4-AV112)/7,0)+IF(Assumptions!$C$55="Subsequent",ROUNDDOWN((AV112-DATE(YEAR(AV112),MONTH(AV112),0))/7,0),0),AU110+1))</f>
        <v>1</v>
      </c>
      <c r="AW110" s="136">
        <f ca="1">IF(AW109="Yes",1+IF(Assumptions!$C$55="Subsequent",ROUNDDOWN((AW112-DATE(YEAR(AW112),MONTH(AW112),0))/7,0),0),IF(ISTEXT(AV110),ROUNDUP((AW$4-AW112)/7,0)+IF(Assumptions!$C$55="Subsequent",ROUNDDOWN((AW112-DATE(YEAR(AW112),MONTH(AW112),0))/7,0),0),AV110+1))</f>
        <v>2</v>
      </c>
      <c r="AX110" s="136">
        <f ca="1">IF(AX109="Yes",1+IF(Assumptions!$C$55="Subsequent",ROUNDDOWN((AX112-DATE(YEAR(AX112),MONTH(AX112),0))/7,0),0),IF(ISTEXT(AW110),ROUNDUP((AX$4-AX112)/7,0)+IF(Assumptions!$C$55="Subsequent",ROUNDDOWN((AX112-DATE(YEAR(AX112),MONTH(AX112),0))/7,0),0),AW110+1))</f>
        <v>3</v>
      </c>
      <c r="AY110" s="136">
        <f ca="1">IF(AY109="Yes",1+IF(Assumptions!$C$55="Subsequent",ROUNDDOWN((AY112-DATE(YEAR(AY112),MONTH(AY112),0))/7,0),0),IF(ISTEXT(AX110),ROUNDUP((AY$4-AY112)/7,0)+IF(Assumptions!$C$55="Subsequent",ROUNDDOWN((AY112-DATE(YEAR(AY112),MONTH(AY112),0))/7,0),0),AX110+1))</f>
        <v>4</v>
      </c>
      <c r="AZ110" s="136">
        <f ca="1">IF(AZ109="Yes",1+IF(Assumptions!$C$55="Subsequent",ROUNDDOWN((AZ112-DATE(YEAR(AZ112),MONTH(AZ112),0))/7,0),0),IF(ISTEXT(AY110),ROUNDUP((AZ$4-AZ112)/7,0)+IF(Assumptions!$C$55="Subsequent",ROUNDDOWN((AZ112-DATE(YEAR(AZ112),MONTH(AZ112),0))/7,0),0),AY110+1))</f>
        <v>1</v>
      </c>
      <c r="BA110" s="136">
        <f ca="1">IF(BA109="Yes",1+IF(Assumptions!$C$55="Subsequent",ROUNDDOWN((BA112-DATE(YEAR(BA112),MONTH(BA112),0))/7,0),0),IF(ISTEXT(AZ110),ROUNDUP((BA$4-BA112)/7,0)+IF(Assumptions!$C$55="Subsequent",ROUNDDOWN((BA112-DATE(YEAR(BA112),MONTH(BA112),0))/7,0),0),AZ110+1))</f>
        <v>2</v>
      </c>
      <c r="BB110" s="136">
        <f ca="1">IF(BB109="Yes",1+IF(Assumptions!$C$55="Subsequent",ROUNDDOWN((BB112-DATE(YEAR(BB112),MONTH(BB112),0))/7,0),0),IF(ISTEXT(BA110),ROUNDUP((BB$4-BB112)/7,0)+IF(Assumptions!$C$55="Subsequent",ROUNDDOWN((BB112-DATE(YEAR(BB112),MONTH(BB112),0))/7,0),0),BA110+1))</f>
        <v>3</v>
      </c>
      <c r="BC110" s="136">
        <f ca="1">IF(BC109="Yes",1+IF(Assumptions!$C$55="Subsequent",ROUNDDOWN((BC112-DATE(YEAR(BC112),MONTH(BC112),0))/7,0),0),IF(ISTEXT(BB110),ROUNDUP((BC$4-BC112)/7,0)+IF(Assumptions!$C$55="Subsequent",ROUNDDOWN((BC112-DATE(YEAR(BC112),MONTH(BC112),0))/7,0),0),BB110+1))</f>
        <v>4</v>
      </c>
    </row>
    <row r="111" spans="2:55" ht="16.149999999999999" customHeight="1" x14ac:dyDescent="0.3">
      <c r="B111" s="6" t="s">
        <v>271</v>
      </c>
      <c r="C111" s="114">
        <f ca="1">C35</f>
        <v>20000</v>
      </c>
      <c r="D111" s="114">
        <f ca="1">SUMIF(Forecast!$A$4:$BG$59,"PAY",Forecast!C$4:C$59)*D108</f>
        <v>1160</v>
      </c>
      <c r="E111" s="114">
        <f ca="1">SUMIF(Forecast!$A$4:$BG$59,"PAY",Forecast!D$4:D$59)*E108</f>
        <v>1160</v>
      </c>
      <c r="F111" s="114">
        <f ca="1">SUMIF(Forecast!$A$4:$BG$59,"PAY",Forecast!E$4:E$59)*F108</f>
        <v>1160</v>
      </c>
      <c r="G111" s="114">
        <f ca="1">SUMIF(Forecast!$A$4:$BG$59,"PAY",Forecast!F$4:F$59)*G108</f>
        <v>15160</v>
      </c>
      <c r="H111" s="114">
        <f ca="1">SUMIF(Forecast!$A$4:$BG$59,"PAY",Forecast!G$4:G$59)*H108</f>
        <v>1160</v>
      </c>
      <c r="I111" s="114">
        <f ca="1">SUMIF(Forecast!$A$4:$BG$59,"PAY",Forecast!H$4:H$59)*I108</f>
        <v>1160</v>
      </c>
      <c r="J111" s="114">
        <f ca="1">SUMIF(Forecast!$A$4:$BG$59,"PAY",Forecast!I$4:I$59)*J108</f>
        <v>1160</v>
      </c>
      <c r="K111" s="114">
        <f ca="1">SUMIF(Forecast!$A$4:$BG$59,"PAY",Forecast!J$4:J$59)*K108</f>
        <v>1160</v>
      </c>
      <c r="L111" s="114">
        <f ca="1">SUMIF(Forecast!$A$4:$BG$59,"PAY",Forecast!K$4:K$59)*L108</f>
        <v>15160</v>
      </c>
      <c r="M111" s="114">
        <f ca="1">SUMIF(Forecast!$A$4:$BG$59,"PAY",Forecast!L$4:L$59)*M108</f>
        <v>1160</v>
      </c>
      <c r="N111" s="114">
        <f ca="1">SUMIF(Forecast!$A$4:$BG$59,"PAY",Forecast!M$4:M$59)*N108</f>
        <v>1160</v>
      </c>
      <c r="O111" s="114">
        <f ca="1">SUMIF(Forecast!$A$4:$BG$59,"PAY",Forecast!N$4:N$59)*O108</f>
        <v>1160</v>
      </c>
      <c r="P111" s="114">
        <f ca="1">SUMIF(Forecast!$A$4:$BG$59,"PAY",Forecast!O$4:O$59)*P108</f>
        <v>15160</v>
      </c>
      <c r="Q111" s="114">
        <f ca="1">SUMIF(Forecast!$A$4:$BG$59,"PAY",Forecast!P$4:P$59)*Q108</f>
        <v>1160</v>
      </c>
      <c r="R111" s="114">
        <f ca="1">SUMIF(Forecast!$A$4:$BG$59,"PAY",Forecast!Q$4:Q$59)*R108</f>
        <v>1160</v>
      </c>
      <c r="S111" s="114">
        <f ca="1">SUMIF(Forecast!$A$4:$BG$59,"PAY",Forecast!R$4:R$59)*S108</f>
        <v>1160</v>
      </c>
      <c r="T111" s="114">
        <f ca="1">SUMIF(Forecast!$A$4:$BG$59,"PAY",Forecast!S$4:S$59)*T108</f>
        <v>15160</v>
      </c>
      <c r="U111" s="114">
        <f ca="1">SUMIF(Forecast!$A$4:$BG$59,"PAY",Forecast!T$4:T$59)*U108</f>
        <v>1160</v>
      </c>
      <c r="V111" s="114">
        <f ca="1">SUMIF(Forecast!$A$4:$BG$59,"PAY",Forecast!U$4:U$59)*V108</f>
        <v>1160</v>
      </c>
      <c r="W111" s="114">
        <f ca="1">SUMIF(Forecast!$A$4:$BG$59,"PAY",Forecast!V$4:V$59)*W108</f>
        <v>1160</v>
      </c>
      <c r="X111" s="114">
        <f ca="1">SUMIF(Forecast!$A$4:$BG$59,"PAY",Forecast!W$4:W$59)*X108</f>
        <v>1160</v>
      </c>
      <c r="Y111" s="114">
        <f ca="1">SUMIF(Forecast!$A$4:$BG$59,"PAY",Forecast!X$4:X$59)*Y108</f>
        <v>15160</v>
      </c>
      <c r="Z111" s="114">
        <f ca="1">SUMIF(Forecast!$A$4:$BG$59,"PAY",Forecast!Y$4:Y$59)*Z108</f>
        <v>1160</v>
      </c>
      <c r="AA111" s="114">
        <f ca="1">SUMIF(Forecast!$A$4:$BG$59,"PAY",Forecast!Z$4:Z$59)*AA108</f>
        <v>1160</v>
      </c>
      <c r="AB111" s="114">
        <f ca="1">SUMIF(Forecast!$A$4:$BG$59,"PAY",Forecast!AA$4:AA$59)*AB108</f>
        <v>1240</v>
      </c>
      <c r="AC111" s="114">
        <f ca="1">SUMIF(Forecast!$A$4:$BG$59,"PAY",Forecast!AB$4:AB$59)*AC108</f>
        <v>15240</v>
      </c>
      <c r="AD111" s="114">
        <f ca="1">SUMIF(Forecast!$A$4:$BG$59,"PAY",Forecast!AC$4:AC$59)*AD108</f>
        <v>1240</v>
      </c>
      <c r="AE111" s="114">
        <f ca="1">SUMIF(Forecast!$A$4:$BG$59,"PAY",Forecast!AD$4:AD$59)*AE108</f>
        <v>1240</v>
      </c>
      <c r="AF111" s="114">
        <f ca="1">SUMIF(Forecast!$A$4:$BG$59,"PAY",Forecast!AE$4:AE$59)*AF108</f>
        <v>1240</v>
      </c>
      <c r="AG111" s="114">
        <f ca="1">SUMIF(Forecast!$A$4:$BG$59,"PAY",Forecast!AF$4:AF$59)*AG108</f>
        <v>1240</v>
      </c>
      <c r="AH111" s="114">
        <f ca="1">SUMIF(Forecast!$A$4:$BG$59,"PAY",Forecast!AG$4:AG$59)*AH108</f>
        <v>15240</v>
      </c>
      <c r="AI111" s="114">
        <f ca="1">SUMIF(Forecast!$A$4:$BG$59,"PAY",Forecast!AH$4:AH$59)*AI108</f>
        <v>1240</v>
      </c>
      <c r="AJ111" s="114">
        <f ca="1">SUMIF(Forecast!$A$4:$BG$59,"PAY",Forecast!AI$4:AI$59)*AJ108</f>
        <v>1240</v>
      </c>
      <c r="AK111" s="114">
        <f ca="1">SUMIF(Forecast!$A$4:$BG$59,"PAY",Forecast!AJ$4:AJ$59)*AK108</f>
        <v>1240</v>
      </c>
      <c r="AL111" s="114">
        <f ca="1">SUMIF(Forecast!$A$4:$BG$59,"PAY",Forecast!AK$4:AK$59)*AL108</f>
        <v>15240</v>
      </c>
      <c r="AM111" s="114">
        <f ca="1">SUMIF(Forecast!$A$4:$BG$59,"PAY",Forecast!AL$4:AL$59)*AM108</f>
        <v>1240</v>
      </c>
      <c r="AN111" s="114">
        <f ca="1">SUMIF(Forecast!$A$4:$BG$59,"PAY",Forecast!AM$4:AM$59)*AN108</f>
        <v>1240</v>
      </c>
      <c r="AO111" s="114">
        <f ca="1">SUMIF(Forecast!$A$4:$BG$59,"PAY",Forecast!AN$4:AN$59)*AO108</f>
        <v>1240</v>
      </c>
      <c r="AP111" s="114">
        <f ca="1">SUMIF(Forecast!$A$4:$BG$59,"PAY",Forecast!AO$4:AO$59)*AP108</f>
        <v>15240</v>
      </c>
      <c r="AQ111" s="114">
        <f ca="1">SUMIF(Forecast!$A$4:$BG$59,"PAY",Forecast!AP$4:AP$59)*AQ108</f>
        <v>1240</v>
      </c>
      <c r="AR111" s="114">
        <f ca="1">SUMIF(Forecast!$A$4:$BG$59,"PAY",Forecast!AQ$4:AQ$59)*AR108</f>
        <v>1360</v>
      </c>
      <c r="AS111" s="114">
        <f ca="1">SUMIF(Forecast!$A$4:$BG$59,"PAY",Forecast!AR$4:AR$59)*AS108</f>
        <v>1360</v>
      </c>
      <c r="AT111" s="114">
        <f ca="1">SUMIF(Forecast!$A$4:$BG$59,"PAY",Forecast!AS$4:AS$59)*AT108</f>
        <v>16360</v>
      </c>
      <c r="AU111" s="114">
        <f ca="1">SUMIF(Forecast!$A$4:$BG$59,"PAY",Forecast!AT$4:AT$59)*AU108</f>
        <v>1360</v>
      </c>
      <c r="AV111" s="114">
        <f ca="1">SUMIF(Forecast!$A$4:$BG$59,"PAY",Forecast!AU$4:AU$59)*AV108</f>
        <v>1360</v>
      </c>
      <c r="AW111" s="114">
        <f ca="1">SUMIF(Forecast!$A$4:$BG$59,"PAY",Forecast!AV$4:AV$59)*AW108</f>
        <v>1360</v>
      </c>
      <c r="AX111" s="114">
        <f ca="1">SUMIF(Forecast!$A$4:$BG$59,"PAY",Forecast!AW$4:AW$59)*AX108</f>
        <v>1360</v>
      </c>
      <c r="AY111" s="114">
        <f ca="1">SUMIF(Forecast!$A$4:$BG$59,"PAY",Forecast!AX$4:AX$59)*AY108</f>
        <v>15360</v>
      </c>
      <c r="AZ111" s="114">
        <f ca="1">SUMIF(Forecast!$A$4:$BG$59,"PAY",Forecast!AY$4:AY$59)*AZ108</f>
        <v>1360</v>
      </c>
      <c r="BA111" s="114">
        <f ca="1">SUMIF(Forecast!$A$4:$BG$59,"PAY",Forecast!AZ$4:AZ$59)*BA108</f>
        <v>1360</v>
      </c>
      <c r="BB111" s="114">
        <f ca="1">SUMIF(Forecast!$A$4:$BG$59,"PAY",Forecast!BA$4:BA$59)*BB108</f>
        <v>1360</v>
      </c>
      <c r="BC111" s="114">
        <f ca="1">SUMIF(Forecast!$A$4:$BG$59,"PAY",Forecast!BB$4:BB$59)*BC108</f>
        <v>15360</v>
      </c>
    </row>
    <row r="112" spans="2:55" ht="16.149999999999999" customHeight="1" x14ac:dyDescent="0.3">
      <c r="B112" s="137" t="s">
        <v>269</v>
      </c>
      <c r="C112" s="138">
        <f ca="1">OFFSET(Pay!$L$2,MATCH(C$4,Pay!$L$3:$L$18,1),0,1,1)</f>
        <v>43867</v>
      </c>
      <c r="D112" s="138">
        <f ca="1">OFFSET(Pay!$L$2,MATCH(D$4,Pay!$L$3:$L$18,1),0,1,1)</f>
        <v>43896</v>
      </c>
      <c r="E112" s="138">
        <f ca="1">OFFSET(Pay!$L$2,MATCH(E$4,Pay!$L$3:$L$18,1),0,1,1)</f>
        <v>43896</v>
      </c>
      <c r="F112" s="138">
        <f ca="1">OFFSET(Pay!$L$2,MATCH(F$4,Pay!$L$3:$L$18,1),0,1,1)</f>
        <v>43896</v>
      </c>
      <c r="G112" s="138">
        <f ca="1">OFFSET(Pay!$L$2,MATCH(G$4,Pay!$L$3:$L$18,1),0,1,1)</f>
        <v>43896</v>
      </c>
      <c r="H112" s="138">
        <f ca="1">OFFSET(Pay!$L$2,MATCH(H$4,Pay!$L$3:$L$18,1),0,1,1)</f>
        <v>43896</v>
      </c>
      <c r="I112" s="138">
        <f ca="1">OFFSET(Pay!$L$2,MATCH(I$4,Pay!$L$3:$L$18,1),0,1,1)</f>
        <v>43927</v>
      </c>
      <c r="J112" s="138">
        <f ca="1">OFFSET(Pay!$L$2,MATCH(J$4,Pay!$L$3:$L$18,1),0,1,1)</f>
        <v>43927</v>
      </c>
      <c r="K112" s="138">
        <f ca="1">OFFSET(Pay!$L$2,MATCH(K$4,Pay!$L$3:$L$18,1),0,1,1)</f>
        <v>43927</v>
      </c>
      <c r="L112" s="138">
        <f ca="1">OFFSET(Pay!$L$2,MATCH(L$4,Pay!$L$3:$L$18,1),0,1,1)</f>
        <v>43927</v>
      </c>
      <c r="M112" s="138">
        <f ca="1">OFFSET(Pay!$L$2,MATCH(M$4,Pay!$L$3:$L$18,1),0,1,1)</f>
        <v>43957</v>
      </c>
      <c r="N112" s="138">
        <f ca="1">OFFSET(Pay!$L$2,MATCH(N$4,Pay!$L$3:$L$18,1),0,1,1)</f>
        <v>43957</v>
      </c>
      <c r="O112" s="138">
        <f ca="1">OFFSET(Pay!$L$2,MATCH(O$4,Pay!$L$3:$L$18,1),0,1,1)</f>
        <v>43957</v>
      </c>
      <c r="P112" s="138">
        <f ca="1">OFFSET(Pay!$L$2,MATCH(P$4,Pay!$L$3:$L$18,1),0,1,1)</f>
        <v>43957</v>
      </c>
      <c r="Q112" s="138">
        <f ca="1">OFFSET(Pay!$L$2,MATCH(Q$4,Pay!$L$3:$L$18,1),0,1,1)</f>
        <v>43988</v>
      </c>
      <c r="R112" s="138">
        <f ca="1">OFFSET(Pay!$L$2,MATCH(R$4,Pay!$L$3:$L$18,1),0,1,1)</f>
        <v>43988</v>
      </c>
      <c r="S112" s="138">
        <f ca="1">OFFSET(Pay!$L$2,MATCH(S$4,Pay!$L$3:$L$18,1),0,1,1)</f>
        <v>43988</v>
      </c>
      <c r="T112" s="138">
        <f ca="1">OFFSET(Pay!$L$2,MATCH(T$4,Pay!$L$3:$L$18,1),0,1,1)</f>
        <v>43988</v>
      </c>
      <c r="U112" s="138">
        <f ca="1">OFFSET(Pay!$L$2,MATCH(U$4,Pay!$L$3:$L$18,1),0,1,1)</f>
        <v>43988</v>
      </c>
      <c r="V112" s="138">
        <f ca="1">OFFSET(Pay!$L$2,MATCH(V$4,Pay!$L$3:$L$18,1),0,1,1)</f>
        <v>44018</v>
      </c>
      <c r="W112" s="138">
        <f ca="1">OFFSET(Pay!$L$2,MATCH(W$4,Pay!$L$3:$L$18,1),0,1,1)</f>
        <v>44018</v>
      </c>
      <c r="X112" s="138">
        <f ca="1">OFFSET(Pay!$L$2,MATCH(X$4,Pay!$L$3:$L$18,1),0,1,1)</f>
        <v>44018</v>
      </c>
      <c r="Y112" s="138">
        <f ca="1">OFFSET(Pay!$L$2,MATCH(Y$4,Pay!$L$3:$L$18,1),0,1,1)</f>
        <v>44018</v>
      </c>
      <c r="Z112" s="138">
        <f ca="1">OFFSET(Pay!$L$2,MATCH(Z$4,Pay!$L$3:$L$18,1),0,1,1)</f>
        <v>44049</v>
      </c>
      <c r="AA112" s="138">
        <f ca="1">OFFSET(Pay!$L$2,MATCH(AA$4,Pay!$L$3:$L$18,1),0,1,1)</f>
        <v>44049</v>
      </c>
      <c r="AB112" s="138">
        <f ca="1">OFFSET(Pay!$L$2,MATCH(AB$4,Pay!$L$3:$L$18,1),0,1,1)</f>
        <v>44049</v>
      </c>
      <c r="AC112" s="138">
        <f ca="1">OFFSET(Pay!$L$2,MATCH(AC$4,Pay!$L$3:$L$18,1),0,1,1)</f>
        <v>44049</v>
      </c>
      <c r="AD112" s="138">
        <f ca="1">OFFSET(Pay!$L$2,MATCH(AD$4,Pay!$L$3:$L$18,1),0,1,1)</f>
        <v>44049</v>
      </c>
      <c r="AE112" s="138">
        <f ca="1">OFFSET(Pay!$L$2,MATCH(AE$4,Pay!$L$3:$L$18,1),0,1,1)</f>
        <v>44080</v>
      </c>
      <c r="AF112" s="138">
        <f ca="1">OFFSET(Pay!$L$2,MATCH(AF$4,Pay!$L$3:$L$18,1),0,1,1)</f>
        <v>44080</v>
      </c>
      <c r="AG112" s="138">
        <f ca="1">OFFSET(Pay!$L$2,MATCH(AG$4,Pay!$L$3:$L$18,1),0,1,1)</f>
        <v>44080</v>
      </c>
      <c r="AH112" s="138">
        <f ca="1">OFFSET(Pay!$L$2,MATCH(AH$4,Pay!$L$3:$L$18,1),0,1,1)</f>
        <v>44080</v>
      </c>
      <c r="AI112" s="138">
        <f ca="1">OFFSET(Pay!$L$2,MATCH(AI$4,Pay!$L$3:$L$18,1),0,1,1)</f>
        <v>44110</v>
      </c>
      <c r="AJ112" s="138">
        <f ca="1">OFFSET(Pay!$L$2,MATCH(AJ$4,Pay!$L$3:$L$18,1),0,1,1)</f>
        <v>44110</v>
      </c>
      <c r="AK112" s="138">
        <f ca="1">OFFSET(Pay!$L$2,MATCH(AK$4,Pay!$L$3:$L$18,1),0,1,1)</f>
        <v>44110</v>
      </c>
      <c r="AL112" s="138">
        <f ca="1">OFFSET(Pay!$L$2,MATCH(AL$4,Pay!$L$3:$L$18,1),0,1,1)</f>
        <v>44110</v>
      </c>
      <c r="AM112" s="138">
        <f ca="1">OFFSET(Pay!$L$2,MATCH(AM$4,Pay!$L$3:$L$18,1),0,1,1)</f>
        <v>44141</v>
      </c>
      <c r="AN112" s="138">
        <f ca="1">OFFSET(Pay!$L$2,MATCH(AN$4,Pay!$L$3:$L$18,1),0,1,1)</f>
        <v>44141</v>
      </c>
      <c r="AO112" s="138">
        <f ca="1">OFFSET(Pay!$L$2,MATCH(AO$4,Pay!$L$3:$L$18,1),0,1,1)</f>
        <v>44141</v>
      </c>
      <c r="AP112" s="138">
        <f ca="1">OFFSET(Pay!$L$2,MATCH(AP$4,Pay!$L$3:$L$18,1),0,1,1)</f>
        <v>44141</v>
      </c>
      <c r="AQ112" s="138">
        <f ca="1">OFFSET(Pay!$L$2,MATCH(AQ$4,Pay!$L$3:$L$18,1),0,1,1)</f>
        <v>44141</v>
      </c>
      <c r="AR112" s="138">
        <f ca="1">OFFSET(Pay!$L$2,MATCH(AR$4,Pay!$L$3:$L$18,1),0,1,1)</f>
        <v>44171</v>
      </c>
      <c r="AS112" s="138">
        <f ca="1">OFFSET(Pay!$L$2,MATCH(AS$4,Pay!$L$3:$L$18,1),0,1,1)</f>
        <v>44171</v>
      </c>
      <c r="AT112" s="138">
        <f ca="1">OFFSET(Pay!$L$2,MATCH(AT$4,Pay!$L$3:$L$18,1),0,1,1)</f>
        <v>44171</v>
      </c>
      <c r="AU112" s="138">
        <f ca="1">OFFSET(Pay!$L$2,MATCH(AU$4,Pay!$L$3:$L$18,1),0,1,1)</f>
        <v>44171</v>
      </c>
      <c r="AV112" s="138">
        <f ca="1">OFFSET(Pay!$L$2,MATCH(AV$4,Pay!$L$3:$L$18,1),0,1,1)</f>
        <v>44202</v>
      </c>
      <c r="AW112" s="138">
        <f ca="1">OFFSET(Pay!$L$2,MATCH(AW$4,Pay!$L$3:$L$18,1),0,1,1)</f>
        <v>44202</v>
      </c>
      <c r="AX112" s="138">
        <f ca="1">OFFSET(Pay!$L$2,MATCH(AX$4,Pay!$L$3:$L$18,1),0,1,1)</f>
        <v>44202</v>
      </c>
      <c r="AY112" s="138">
        <f ca="1">OFFSET(Pay!$L$2,MATCH(AY$4,Pay!$L$3:$L$18,1),0,1,1)</f>
        <v>44202</v>
      </c>
      <c r="AZ112" s="138">
        <f ca="1">OFFSET(Pay!$L$2,MATCH(AZ$4,Pay!$L$3:$L$18,1),0,1,1)</f>
        <v>44233</v>
      </c>
      <c r="BA112" s="138">
        <f ca="1">OFFSET(Pay!$L$2,MATCH(BA$4,Pay!$L$3:$L$18,1),0,1,1)</f>
        <v>44233</v>
      </c>
      <c r="BB112" s="138">
        <f ca="1">OFFSET(Pay!$L$2,MATCH(BB$4,Pay!$L$3:$L$18,1),0,1,1)</f>
        <v>44233</v>
      </c>
      <c r="BC112" s="138">
        <f ca="1">OFFSET(Pay!$L$2,MATCH(BC$4,Pay!$L$3:$L$18,1),0,1,1)</f>
        <v>44233</v>
      </c>
    </row>
    <row r="113" spans="1:60" s="20" customFormat="1" ht="16.149999999999999" customHeight="1" x14ac:dyDescent="0.25">
      <c r="A113" s="292"/>
      <c r="B113" s="6" t="s">
        <v>280</v>
      </c>
      <c r="C113" s="114"/>
      <c r="D113" s="114"/>
      <c r="E113" s="114"/>
      <c r="F113" s="114"/>
      <c r="G113" s="114"/>
      <c r="H113" s="114"/>
      <c r="I113" s="114"/>
      <c r="BD113" s="140"/>
      <c r="BE113" s="140"/>
      <c r="BF113" s="140"/>
      <c r="BG113" s="140"/>
      <c r="BH113" s="140"/>
    </row>
    <row r="114" spans="1:60" ht="16.149999999999999" customHeight="1" x14ac:dyDescent="0.3">
      <c r="B114" s="6" t="s">
        <v>281</v>
      </c>
      <c r="C114" s="139"/>
      <c r="D114" s="139">
        <f>Assumptions!$C$106</f>
        <v>0</v>
      </c>
      <c r="E114" s="139">
        <f>Assumptions!$C$106</f>
        <v>0</v>
      </c>
      <c r="F114" s="139">
        <f>Assumptions!$C$106</f>
        <v>0</v>
      </c>
      <c r="G114" s="139">
        <f>Assumptions!$C$106</f>
        <v>0</v>
      </c>
      <c r="H114" s="139">
        <f>Assumptions!$C$106</f>
        <v>0</v>
      </c>
      <c r="I114" s="139">
        <f>Assumptions!$C$106</f>
        <v>0</v>
      </c>
      <c r="J114" s="139">
        <f>Assumptions!$C$106</f>
        <v>0</v>
      </c>
      <c r="K114" s="139">
        <f>Assumptions!$C$106</f>
        <v>0</v>
      </c>
      <c r="L114" s="139">
        <f>Assumptions!$C$106</f>
        <v>0</v>
      </c>
      <c r="M114" s="139">
        <f>Assumptions!$C$106</f>
        <v>0</v>
      </c>
      <c r="N114" s="139">
        <f>Assumptions!$C$106</f>
        <v>0</v>
      </c>
      <c r="O114" s="139">
        <f>Assumptions!$C$106</f>
        <v>0</v>
      </c>
      <c r="P114" s="139">
        <f>Assumptions!$C$106</f>
        <v>0</v>
      </c>
      <c r="Q114" s="139">
        <f>Assumptions!$C$106</f>
        <v>0</v>
      </c>
      <c r="R114" s="139">
        <f>Assumptions!$C$106</f>
        <v>0</v>
      </c>
      <c r="S114" s="139">
        <f>Assumptions!$C$106</f>
        <v>0</v>
      </c>
      <c r="T114" s="139">
        <f>Assumptions!$C$106</f>
        <v>0</v>
      </c>
      <c r="U114" s="139">
        <f>Assumptions!$C$106</f>
        <v>0</v>
      </c>
      <c r="V114" s="139">
        <f>Assumptions!$C$106</f>
        <v>0</v>
      </c>
      <c r="W114" s="139">
        <f>Assumptions!$C$106</f>
        <v>0</v>
      </c>
      <c r="X114" s="139">
        <f>Assumptions!$C$106</f>
        <v>0</v>
      </c>
      <c r="Y114" s="139">
        <f>Assumptions!$C$106</f>
        <v>0</v>
      </c>
      <c r="Z114" s="139">
        <f>Assumptions!$C$106</f>
        <v>0</v>
      </c>
      <c r="AA114" s="139">
        <f>Assumptions!$C$106</f>
        <v>0</v>
      </c>
      <c r="AB114" s="139">
        <f>Assumptions!$C$106</f>
        <v>0</v>
      </c>
      <c r="AC114" s="139">
        <f>Assumptions!$C$106</f>
        <v>0</v>
      </c>
      <c r="AD114" s="139">
        <f>Assumptions!$C$106</f>
        <v>0</v>
      </c>
      <c r="AE114" s="139">
        <f>Assumptions!$C$106</f>
        <v>0</v>
      </c>
      <c r="AF114" s="139">
        <f>Assumptions!$C$106</f>
        <v>0</v>
      </c>
      <c r="AG114" s="139">
        <f>Assumptions!$C$106</f>
        <v>0</v>
      </c>
      <c r="AH114" s="139">
        <f>Assumptions!$C$106</f>
        <v>0</v>
      </c>
      <c r="AI114" s="139">
        <f>Assumptions!$C$106</f>
        <v>0</v>
      </c>
      <c r="AJ114" s="139">
        <f>Assumptions!$C$106</f>
        <v>0</v>
      </c>
      <c r="AK114" s="139">
        <f>Assumptions!$C$106</f>
        <v>0</v>
      </c>
      <c r="AL114" s="139">
        <f>Assumptions!$C$106</f>
        <v>0</v>
      </c>
      <c r="AM114" s="139">
        <f>Assumptions!$C$106</f>
        <v>0</v>
      </c>
      <c r="AN114" s="139">
        <f>Assumptions!$C$106</f>
        <v>0</v>
      </c>
      <c r="AO114" s="139">
        <f>Assumptions!$C$106</f>
        <v>0</v>
      </c>
      <c r="AP114" s="139">
        <f>Assumptions!$C$106</f>
        <v>0</v>
      </c>
      <c r="AQ114" s="139">
        <f>Assumptions!$C$106</f>
        <v>0</v>
      </c>
      <c r="AR114" s="139">
        <f>Assumptions!$C$106</f>
        <v>0</v>
      </c>
      <c r="AS114" s="139">
        <f>Assumptions!$C$106</f>
        <v>0</v>
      </c>
      <c r="AT114" s="139">
        <f>Assumptions!$C$106</f>
        <v>0</v>
      </c>
      <c r="AU114" s="139">
        <f>Assumptions!$C$106</f>
        <v>0</v>
      </c>
      <c r="AV114" s="139">
        <f>Assumptions!$C$106</f>
        <v>0</v>
      </c>
      <c r="AW114" s="139">
        <f>Assumptions!$C$106</f>
        <v>0</v>
      </c>
      <c r="AX114" s="139">
        <f>Assumptions!$C$106</f>
        <v>0</v>
      </c>
      <c r="AY114" s="139">
        <f>Assumptions!$C$106</f>
        <v>0</v>
      </c>
      <c r="AZ114" s="139">
        <f>Assumptions!$C$106</f>
        <v>0</v>
      </c>
      <c r="BA114" s="139">
        <f>Assumptions!$C$106</f>
        <v>0</v>
      </c>
      <c r="BB114" s="139">
        <f>Assumptions!$C$106</f>
        <v>0</v>
      </c>
      <c r="BC114" s="139">
        <f>Assumptions!$C$106</f>
        <v>0</v>
      </c>
    </row>
    <row r="115" spans="1:60" s="20" customFormat="1" ht="16.149999999999999" customHeight="1" x14ac:dyDescent="0.25">
      <c r="A115" s="292"/>
      <c r="B115" s="6" t="s">
        <v>282</v>
      </c>
      <c r="C115" s="25" t="str">
        <f t="shared" ref="C115:AH115" ca="1" si="37">IF(AND(ISTEXT(B115),C121&lt;C$4-6),"No",IF(COUNTIFS(BSMonths,"&gt;="&amp;C$121,BSMonths,"&lt;="&amp;C$4)=1,"Yes","No"))</f>
        <v>No</v>
      </c>
      <c r="D115" s="25" t="str">
        <f t="shared" ca="1" si="37"/>
        <v>No</v>
      </c>
      <c r="E115" s="25" t="str">
        <f t="shared" ca="1" si="37"/>
        <v>No</v>
      </c>
      <c r="F115" s="25" t="str">
        <f t="shared" ca="1" si="37"/>
        <v>No</v>
      </c>
      <c r="G115" s="25" t="str">
        <f t="shared" ca="1" si="37"/>
        <v>No</v>
      </c>
      <c r="H115" s="25" t="str">
        <f t="shared" ca="1" si="37"/>
        <v>No</v>
      </c>
      <c r="I115" s="25" t="str">
        <f t="shared" ca="1" si="37"/>
        <v>No</v>
      </c>
      <c r="J115" s="25" t="str">
        <f t="shared" ca="1" si="37"/>
        <v>No</v>
      </c>
      <c r="K115" s="25" t="str">
        <f t="shared" ca="1" si="37"/>
        <v>No</v>
      </c>
      <c r="L115" s="25" t="str">
        <f t="shared" ca="1" si="37"/>
        <v>No</v>
      </c>
      <c r="M115" s="25" t="str">
        <f t="shared" ca="1" si="37"/>
        <v>No</v>
      </c>
      <c r="N115" s="25" t="str">
        <f t="shared" ca="1" si="37"/>
        <v>No</v>
      </c>
      <c r="O115" s="25" t="str">
        <f t="shared" ca="1" si="37"/>
        <v>No</v>
      </c>
      <c r="P115" s="25" t="str">
        <f t="shared" ca="1" si="37"/>
        <v>No</v>
      </c>
      <c r="Q115" s="25" t="str">
        <f t="shared" ca="1" si="37"/>
        <v>No</v>
      </c>
      <c r="R115" s="25" t="str">
        <f t="shared" ca="1" si="37"/>
        <v>No</v>
      </c>
      <c r="S115" s="25" t="str">
        <f t="shared" ca="1" si="37"/>
        <v>No</v>
      </c>
      <c r="T115" s="25" t="str">
        <f t="shared" ca="1" si="37"/>
        <v>No</v>
      </c>
      <c r="U115" s="25" t="str">
        <f t="shared" ca="1" si="37"/>
        <v>No</v>
      </c>
      <c r="V115" s="25" t="str">
        <f t="shared" ca="1" si="37"/>
        <v>No</v>
      </c>
      <c r="W115" s="25" t="str">
        <f t="shared" ca="1" si="37"/>
        <v>No</v>
      </c>
      <c r="X115" s="25" t="str">
        <f t="shared" ca="1" si="37"/>
        <v>No</v>
      </c>
      <c r="Y115" s="25" t="str">
        <f t="shared" ca="1" si="37"/>
        <v>No</v>
      </c>
      <c r="Z115" s="25" t="str">
        <f t="shared" ca="1" si="37"/>
        <v>No</v>
      </c>
      <c r="AA115" s="25" t="str">
        <f t="shared" ca="1" si="37"/>
        <v>No</v>
      </c>
      <c r="AB115" s="25" t="str">
        <f t="shared" ca="1" si="37"/>
        <v>No</v>
      </c>
      <c r="AC115" s="25" t="str">
        <f t="shared" ca="1" si="37"/>
        <v>No</v>
      </c>
      <c r="AD115" s="25" t="str">
        <f t="shared" ca="1" si="37"/>
        <v>No</v>
      </c>
      <c r="AE115" s="25" t="str">
        <f t="shared" ca="1" si="37"/>
        <v>No</v>
      </c>
      <c r="AF115" s="25" t="str">
        <f t="shared" ca="1" si="37"/>
        <v>No</v>
      </c>
      <c r="AG115" s="25" t="str">
        <f t="shared" ca="1" si="37"/>
        <v>No</v>
      </c>
      <c r="AH115" s="25" t="str">
        <f t="shared" ca="1" si="37"/>
        <v>No</v>
      </c>
      <c r="AI115" s="25" t="str">
        <f t="shared" ref="AI115:BC115" ca="1" si="38">IF(AND(ISTEXT(AH115),AI121&lt;AI$4-6),"No",IF(COUNTIFS(BSMonths,"&gt;="&amp;AI$121,BSMonths,"&lt;="&amp;AI$4)=1,"Yes","No"))</f>
        <v>No</v>
      </c>
      <c r="AJ115" s="25" t="str">
        <f t="shared" ca="1" si="38"/>
        <v>No</v>
      </c>
      <c r="AK115" s="25" t="str">
        <f t="shared" ca="1" si="38"/>
        <v>No</v>
      </c>
      <c r="AL115" s="25" t="str">
        <f t="shared" ca="1" si="38"/>
        <v>No</v>
      </c>
      <c r="AM115" s="25" t="str">
        <f t="shared" ca="1" si="38"/>
        <v>No</v>
      </c>
      <c r="AN115" s="25" t="str">
        <f t="shared" ca="1" si="38"/>
        <v>No</v>
      </c>
      <c r="AO115" s="25" t="str">
        <f t="shared" ca="1" si="38"/>
        <v>No</v>
      </c>
      <c r="AP115" s="25" t="str">
        <f t="shared" ca="1" si="38"/>
        <v>No</v>
      </c>
      <c r="AQ115" s="25" t="str">
        <f t="shared" ca="1" si="38"/>
        <v>No</v>
      </c>
      <c r="AR115" s="25" t="str">
        <f t="shared" ca="1" si="38"/>
        <v>No</v>
      </c>
      <c r="AS115" s="25" t="str">
        <f t="shared" ca="1" si="38"/>
        <v>No</v>
      </c>
      <c r="AT115" s="25" t="str">
        <f t="shared" ca="1" si="38"/>
        <v>No</v>
      </c>
      <c r="AU115" s="25" t="str">
        <f t="shared" ca="1" si="38"/>
        <v>No</v>
      </c>
      <c r="AV115" s="25" t="str">
        <f t="shared" ca="1" si="38"/>
        <v>No</v>
      </c>
      <c r="AW115" s="25" t="str">
        <f t="shared" ca="1" si="38"/>
        <v>No</v>
      </c>
      <c r="AX115" s="25" t="str">
        <f t="shared" ca="1" si="38"/>
        <v>No</v>
      </c>
      <c r="AY115" s="25" t="str">
        <f t="shared" ca="1" si="38"/>
        <v>No</v>
      </c>
      <c r="AZ115" s="25" t="str">
        <f t="shared" ca="1" si="38"/>
        <v>No</v>
      </c>
      <c r="BA115" s="25" t="str">
        <f t="shared" ca="1" si="38"/>
        <v>No</v>
      </c>
      <c r="BB115" s="25" t="str">
        <f t="shared" ca="1" si="38"/>
        <v>Yes</v>
      </c>
      <c r="BC115" s="25" t="str">
        <f t="shared" ca="1" si="38"/>
        <v>No</v>
      </c>
      <c r="BD115" s="140"/>
      <c r="BE115" s="140"/>
      <c r="BF115" s="140"/>
      <c r="BG115" s="140"/>
      <c r="BH115" s="140"/>
    </row>
    <row r="116" spans="1:60" s="20" customFormat="1" ht="16.149999999999999" customHeight="1" x14ac:dyDescent="0.25">
      <c r="A116" s="292"/>
      <c r="B116" s="6" t="s">
        <v>265</v>
      </c>
      <c r="C116" s="25" t="str">
        <f t="shared" ref="C116:AH116" ca="1" si="39">IF(AND(ISTEXT(B116),C122&lt;C$4-6),"No",IF(COUNTIFS(BSMonths,"&gt;="&amp;C$122,BSMonths,"&lt;="&amp;C$4)=1,"Yes","No"))</f>
        <v>No</v>
      </c>
      <c r="D116" s="25" t="str">
        <f t="shared" ca="1" si="39"/>
        <v>No</v>
      </c>
      <c r="E116" s="25" t="str">
        <f t="shared" ca="1" si="39"/>
        <v>No</v>
      </c>
      <c r="F116" s="25" t="str">
        <f t="shared" ca="1" si="39"/>
        <v>Yes</v>
      </c>
      <c r="G116" s="25" t="str">
        <f t="shared" ca="1" si="39"/>
        <v>No</v>
      </c>
      <c r="H116" s="25" t="str">
        <f t="shared" ca="1" si="39"/>
        <v>No</v>
      </c>
      <c r="I116" s="25" t="str">
        <f t="shared" ca="1" si="39"/>
        <v>No</v>
      </c>
      <c r="J116" s="25" t="str">
        <f t="shared" ca="1" si="39"/>
        <v>No</v>
      </c>
      <c r="K116" s="25" t="str">
        <f t="shared" ca="1" si="39"/>
        <v>No</v>
      </c>
      <c r="L116" s="25" t="str">
        <f t="shared" ca="1" si="39"/>
        <v>No</v>
      </c>
      <c r="M116" s="25" t="str">
        <f t="shared" ca="1" si="39"/>
        <v>No</v>
      </c>
      <c r="N116" s="25" t="str">
        <f t="shared" ca="1" si="39"/>
        <v>No</v>
      </c>
      <c r="O116" s="25" t="str">
        <f t="shared" ca="1" si="39"/>
        <v>No</v>
      </c>
      <c r="P116" s="25" t="str">
        <f t="shared" ca="1" si="39"/>
        <v>No</v>
      </c>
      <c r="Q116" s="25" t="str">
        <f t="shared" ca="1" si="39"/>
        <v>No</v>
      </c>
      <c r="R116" s="25" t="str">
        <f t="shared" ca="1" si="39"/>
        <v>No</v>
      </c>
      <c r="S116" s="25" t="str">
        <f t="shared" ca="1" si="39"/>
        <v>No</v>
      </c>
      <c r="T116" s="25" t="str">
        <f t="shared" ca="1" si="39"/>
        <v>No</v>
      </c>
      <c r="U116" s="25" t="str">
        <f t="shared" ca="1" si="39"/>
        <v>No</v>
      </c>
      <c r="V116" s="25" t="str">
        <f t="shared" ca="1" si="39"/>
        <v>No</v>
      </c>
      <c r="W116" s="25" t="str">
        <f t="shared" ca="1" si="39"/>
        <v>No</v>
      </c>
      <c r="X116" s="25" t="str">
        <f t="shared" ca="1" si="39"/>
        <v>No</v>
      </c>
      <c r="Y116" s="25" t="str">
        <f t="shared" ca="1" si="39"/>
        <v>No</v>
      </c>
      <c r="Z116" s="25" t="str">
        <f t="shared" ca="1" si="39"/>
        <v>No</v>
      </c>
      <c r="AA116" s="25" t="str">
        <f t="shared" ca="1" si="39"/>
        <v>No</v>
      </c>
      <c r="AB116" s="25" t="str">
        <f t="shared" ca="1" si="39"/>
        <v>No</v>
      </c>
      <c r="AC116" s="25" t="str">
        <f t="shared" ca="1" si="39"/>
        <v>No</v>
      </c>
      <c r="AD116" s="25" t="str">
        <f t="shared" ca="1" si="39"/>
        <v>No</v>
      </c>
      <c r="AE116" s="25" t="str">
        <f t="shared" ca="1" si="39"/>
        <v>No</v>
      </c>
      <c r="AF116" s="25" t="str">
        <f t="shared" ca="1" si="39"/>
        <v>No</v>
      </c>
      <c r="AG116" s="25" t="str">
        <f t="shared" ca="1" si="39"/>
        <v>No</v>
      </c>
      <c r="AH116" s="25" t="str">
        <f t="shared" ca="1" si="39"/>
        <v>No</v>
      </c>
      <c r="AI116" s="25" t="str">
        <f t="shared" ref="AI116:BC116" ca="1" si="40">IF(AND(ISTEXT(AH116),AI122&lt;AI$4-6),"No",IF(COUNTIFS(BSMonths,"&gt;="&amp;AI$122,BSMonths,"&lt;="&amp;AI$4)=1,"Yes","No"))</f>
        <v>No</v>
      </c>
      <c r="AJ116" s="25" t="str">
        <f t="shared" ca="1" si="40"/>
        <v>No</v>
      </c>
      <c r="AK116" s="25" t="str">
        <f t="shared" ca="1" si="40"/>
        <v>No</v>
      </c>
      <c r="AL116" s="25" t="str">
        <f t="shared" ca="1" si="40"/>
        <v>No</v>
      </c>
      <c r="AM116" s="25" t="str">
        <f t="shared" ca="1" si="40"/>
        <v>No</v>
      </c>
      <c r="AN116" s="25" t="str">
        <f t="shared" ca="1" si="40"/>
        <v>No</v>
      </c>
      <c r="AO116" s="25" t="str">
        <f t="shared" ca="1" si="40"/>
        <v>No</v>
      </c>
      <c r="AP116" s="25" t="str">
        <f t="shared" ca="1" si="40"/>
        <v>No</v>
      </c>
      <c r="AQ116" s="25" t="str">
        <f t="shared" ca="1" si="40"/>
        <v>No</v>
      </c>
      <c r="AR116" s="25" t="str">
        <f t="shared" ca="1" si="40"/>
        <v>No</v>
      </c>
      <c r="AS116" s="25" t="str">
        <f t="shared" ca="1" si="40"/>
        <v>No</v>
      </c>
      <c r="AT116" s="25" t="str">
        <f t="shared" ca="1" si="40"/>
        <v>No</v>
      </c>
      <c r="AU116" s="25" t="str">
        <f t="shared" ca="1" si="40"/>
        <v>No</v>
      </c>
      <c r="AV116" s="25" t="str">
        <f t="shared" ca="1" si="40"/>
        <v>No</v>
      </c>
      <c r="AW116" s="25" t="str">
        <f t="shared" ca="1" si="40"/>
        <v>No</v>
      </c>
      <c r="AX116" s="25" t="str">
        <f t="shared" ca="1" si="40"/>
        <v>No</v>
      </c>
      <c r="AY116" s="25" t="str">
        <f t="shared" ca="1" si="40"/>
        <v>No</v>
      </c>
      <c r="AZ116" s="25" t="str">
        <f t="shared" ca="1" si="40"/>
        <v>No</v>
      </c>
      <c r="BA116" s="25" t="str">
        <f t="shared" ca="1" si="40"/>
        <v>No</v>
      </c>
      <c r="BB116" s="25" t="str">
        <f t="shared" ca="1" si="40"/>
        <v>No</v>
      </c>
      <c r="BC116" s="25" t="str">
        <f t="shared" ca="1" si="40"/>
        <v>No</v>
      </c>
      <c r="BD116" s="140"/>
      <c r="BE116" s="140"/>
      <c r="BF116" s="140"/>
      <c r="BG116" s="140"/>
      <c r="BH116" s="140"/>
    </row>
    <row r="117" spans="1:60" s="20" customFormat="1" ht="16.149999999999999" customHeight="1" x14ac:dyDescent="0.25">
      <c r="A117" s="292"/>
      <c r="B117" s="6" t="s">
        <v>55</v>
      </c>
      <c r="C117" s="114"/>
      <c r="D117" s="114">
        <f ca="1">Forecast!C59</f>
        <v>4824.0000000000009</v>
      </c>
      <c r="E117" s="114">
        <f ca="1">Forecast!D59</f>
        <v>21348.107999999997</v>
      </c>
      <c r="F117" s="114">
        <f ca="1">Forecast!E59</f>
        <v>26544</v>
      </c>
      <c r="G117" s="114">
        <f ca="1">Forecast!F59</f>
        <v>-18955.200000000004</v>
      </c>
      <c r="H117" s="114">
        <f ca="1">Forecast!G59</f>
        <v>7940.0399999999991</v>
      </c>
      <c r="I117" s="114">
        <f ca="1">Forecast!H59</f>
        <v>192.8171770014942</v>
      </c>
      <c r="J117" s="114">
        <f ca="1">Forecast!I59</f>
        <v>15641.639999999996</v>
      </c>
      <c r="K117" s="114">
        <f ca="1">Forecast!J59</f>
        <v>30725.999999999996</v>
      </c>
      <c r="L117" s="114">
        <f ca="1">Forecast!K59</f>
        <v>-43676.575514054814</v>
      </c>
      <c r="M117" s="114">
        <f ca="1">Forecast!L59</f>
        <v>4100.9319179407048</v>
      </c>
      <c r="N117" s="114">
        <f ca="1">Forecast!M59</f>
        <v>30591.489648296676</v>
      </c>
      <c r="O117" s="114">
        <f ca="1">Forecast!N59</f>
        <v>34357.440000000002</v>
      </c>
      <c r="P117" s="114">
        <f ca="1">Forecast!O59</f>
        <v>-54349.999756030462</v>
      </c>
      <c r="Q117" s="114">
        <f ca="1">Forecast!P59</f>
        <v>14459.455494791509</v>
      </c>
      <c r="R117" s="114">
        <f ca="1">Forecast!Q59</f>
        <v>28447.704709375943</v>
      </c>
      <c r="S117" s="114">
        <f ca="1">Forecast!R59</f>
        <v>30200.639999999999</v>
      </c>
      <c r="T117" s="114">
        <f ca="1">Forecast!S59</f>
        <v>-24341.4</v>
      </c>
      <c r="U117" s="114">
        <f ca="1">Forecast!T59</f>
        <v>12088.248440128649</v>
      </c>
      <c r="V117" s="114">
        <f ca="1">Forecast!U59</f>
        <v>10785.520191985144</v>
      </c>
      <c r="W117" s="114">
        <f ca="1">Forecast!V59</f>
        <v>28593.599999999999</v>
      </c>
      <c r="X117" s="114">
        <f ca="1">Forecast!W59</f>
        <v>26614.800000000003</v>
      </c>
      <c r="Y117" s="114">
        <f ca="1">Forecast!X59</f>
        <v>-34838.789750533506</v>
      </c>
      <c r="Z117" s="114">
        <f ca="1">Forecast!Y59</f>
        <v>12776.790950728595</v>
      </c>
      <c r="AA117" s="114">
        <f ca="1">Forecast!Z59</f>
        <v>24884.437745486219</v>
      </c>
      <c r="AB117" s="114">
        <f ca="1">Forecast!AA59</f>
        <v>35205.840000000011</v>
      </c>
      <c r="AC117" s="114">
        <f ca="1">Forecast!AB59</f>
        <v>-41515.919999999998</v>
      </c>
      <c r="AD117" s="114">
        <f ca="1">Forecast!AC59</f>
        <v>11440.134979569099</v>
      </c>
      <c r="AE117" s="114">
        <f ca="1">Forecast!AD59</f>
        <v>33264.164825830238</v>
      </c>
      <c r="AF117" s="114">
        <f ca="1">Forecast!AE59</f>
        <v>37483.199999999997</v>
      </c>
      <c r="AG117" s="114">
        <f ca="1">Forecast!AF59</f>
        <v>37010.520000000004</v>
      </c>
      <c r="AH117" s="114">
        <f ca="1">Forecast!AG59</f>
        <v>-32613.235649598828</v>
      </c>
      <c r="AI117" s="114">
        <f ca="1">Forecast!AH59</f>
        <v>7777.6802502851551</v>
      </c>
      <c r="AJ117" s="114">
        <f ca="1">Forecast!AI59</f>
        <v>37735.919999999998</v>
      </c>
      <c r="AK117" s="114">
        <f ca="1">Forecast!AJ59</f>
        <v>26376.000000000007</v>
      </c>
      <c r="AL117" s="114">
        <f ca="1">Forecast!AK59</f>
        <v>-35621.130707930264</v>
      </c>
      <c r="AM117" s="114">
        <f ca="1">Forecast!AL59</f>
        <v>13576.75476274197</v>
      </c>
      <c r="AN117" s="114">
        <f ca="1">Forecast!AM59</f>
        <v>38057.963202540872</v>
      </c>
      <c r="AO117" s="114">
        <f ca="1">Forecast!AN59</f>
        <v>35067.600000000035</v>
      </c>
      <c r="AP117" s="114">
        <f ca="1">Forecast!AO59</f>
        <v>-37501.200000000012</v>
      </c>
      <c r="AQ117" s="114">
        <f ca="1">Forecast!AP59</f>
        <v>24914.092785722445</v>
      </c>
      <c r="AR117" s="114">
        <f ca="1">Forecast!AQ59</f>
        <v>13831.803868514995</v>
      </c>
      <c r="AS117" s="114">
        <f ca="1">Forecast!AR59</f>
        <v>16596</v>
      </c>
      <c r="AT117" s="114">
        <f ca="1">Forecast!AS59</f>
        <v>-36300.479999999996</v>
      </c>
      <c r="AU117" s="114">
        <f ca="1">Forecast!AT59</f>
        <v>-4739.3766917725325</v>
      </c>
      <c r="AV117" s="114">
        <f ca="1">Forecast!AU59</f>
        <v>-2919.2747327126599</v>
      </c>
      <c r="AW117" s="114">
        <f ca="1">Forecast!AV59</f>
        <v>25244.345174204696</v>
      </c>
      <c r="AX117" s="114">
        <f ca="1">Forecast!AW59</f>
        <v>38697.599999999991</v>
      </c>
      <c r="AY117" s="114">
        <f ca="1">Forecast!AX59</f>
        <v>-39336.076693970725</v>
      </c>
      <c r="AZ117" s="114">
        <f ca="1">Forecast!AY59</f>
        <v>17517.376358997157</v>
      </c>
      <c r="BA117" s="114">
        <f ca="1">Forecast!AZ59</f>
        <v>35435.791917407245</v>
      </c>
      <c r="BB117" s="114">
        <f ca="1">Forecast!BA59</f>
        <v>27568.800000000017</v>
      </c>
      <c r="BC117" s="114">
        <f ca="1">Forecast!BB59</f>
        <v>-43538.400000000023</v>
      </c>
      <c r="BD117" s="140"/>
      <c r="BE117" s="140"/>
      <c r="BF117" s="140"/>
      <c r="BG117" s="140"/>
      <c r="BH117" s="140"/>
    </row>
    <row r="118" spans="1:60" s="20" customFormat="1" ht="16.149999999999999" customHeight="1" x14ac:dyDescent="0.25">
      <c r="A118" s="292"/>
      <c r="B118" s="6" t="s">
        <v>283</v>
      </c>
      <c r="C118" s="114"/>
      <c r="D118" s="114">
        <f ca="1">IF(SUM($D117:D117)&lt;=0,0,(SUM($D117:D117)*D114))-SUM($C118:C118)</f>
        <v>0</v>
      </c>
      <c r="E118" s="114">
        <f ca="1">IF(SUM($D117:E117)&lt;=0,0,(SUM($D117:E117)*E114))-SUM($C118:D118)</f>
        <v>0</v>
      </c>
      <c r="F118" s="114">
        <f ca="1">IF(SUM($D117:F117)&lt;=0,0,(SUM($D117:F117)*F114))-SUM($C118:E118)</f>
        <v>0</v>
      </c>
      <c r="G118" s="114">
        <f ca="1">IF(SUM($D117:G117)&lt;=0,0,(SUM($D117:G117)*G114))-SUM($C118:F118)</f>
        <v>0</v>
      </c>
      <c r="H118" s="114">
        <f ca="1">IF(SUM($D117:H117)&lt;=0,0,(SUM($D117:H117)*H114))-SUM($C118:G118)</f>
        <v>0</v>
      </c>
      <c r="I118" s="114">
        <f ca="1">IF(SUM($D117:I117)&lt;=0,0,(SUM($D117:I117)*I114))-SUM($C118:H118)</f>
        <v>0</v>
      </c>
      <c r="J118" s="114">
        <f ca="1">IF(SUM($D117:J117)&lt;=0,0,(SUM($D117:J117)*J114))-SUM($C118:I118)</f>
        <v>0</v>
      </c>
      <c r="K118" s="114">
        <f ca="1">IF(SUM($D117:K117)&lt;=0,0,(SUM($D117:K117)*K114))-SUM($C118:J118)</f>
        <v>0</v>
      </c>
      <c r="L118" s="114">
        <f ca="1">IF(SUM($D117:L117)&lt;=0,0,(SUM($D117:L117)*L114))-SUM($C118:K118)</f>
        <v>0</v>
      </c>
      <c r="M118" s="114">
        <f ca="1">IF(SUM($D117:M117)&lt;=0,0,(SUM($D117:M117)*M114))-SUM($C118:L118)</f>
        <v>0</v>
      </c>
      <c r="N118" s="114">
        <f ca="1">IF(SUM($D117:N117)&lt;=0,0,(SUM($D117:N117)*N114))-SUM($C118:M118)</f>
        <v>0</v>
      </c>
      <c r="O118" s="114">
        <f ca="1">IF(SUM($D117:O117)&lt;=0,0,(SUM($D117:O117)*O114))-SUM($C118:N118)</f>
        <v>0</v>
      </c>
      <c r="P118" s="114">
        <f ca="1">IF(SUM($D117:P117)&lt;=0,0,(SUM($D117:P117)*P114))-SUM($C118:O118)</f>
        <v>0</v>
      </c>
      <c r="Q118" s="114">
        <f ca="1">IF(SUM($D117:Q117)&lt;=0,0,(SUM($D117:Q117)*Q114))-SUM($C118:P118)</f>
        <v>0</v>
      </c>
      <c r="R118" s="114">
        <f ca="1">IF(SUM($D117:R117)&lt;=0,0,(SUM($D117:R117)*R114))-SUM($C118:Q118)</f>
        <v>0</v>
      </c>
      <c r="S118" s="114">
        <f ca="1">IF(SUM($D117:S117)&lt;=0,0,(SUM($D117:S117)*S114))-SUM($C118:R118)</f>
        <v>0</v>
      </c>
      <c r="T118" s="114">
        <f ca="1">IF(SUM($D117:T117)&lt;=0,0,(SUM($D117:T117)*T114))-SUM($C118:S118)</f>
        <v>0</v>
      </c>
      <c r="U118" s="114">
        <f ca="1">IF(SUM($D117:U117)&lt;=0,0,(SUM($D117:U117)*U114))-SUM($C118:T118)</f>
        <v>0</v>
      </c>
      <c r="V118" s="114">
        <f ca="1">IF(SUM($D117:V117)&lt;=0,0,(SUM($D117:V117)*V114))-SUM($C118:U118)</f>
        <v>0</v>
      </c>
      <c r="W118" s="114">
        <f ca="1">IF(SUM($D117:W117)&lt;=0,0,(SUM($D117:W117)*W114))-SUM($C118:V118)</f>
        <v>0</v>
      </c>
      <c r="X118" s="114">
        <f ca="1">IF(SUM($D117:X117)&lt;=0,0,(SUM($D117:X117)*X114))-SUM($C118:W118)</f>
        <v>0</v>
      </c>
      <c r="Y118" s="114">
        <f ca="1">IF(SUM($D117:Y117)&lt;=0,0,(SUM($D117:Y117)*Y114))-SUM($C118:X118)</f>
        <v>0</v>
      </c>
      <c r="Z118" s="114">
        <f ca="1">IF(SUM($D117:Z117)&lt;=0,0,(SUM($D117:Z117)*Z114))-SUM($C118:Y118)</f>
        <v>0</v>
      </c>
      <c r="AA118" s="114">
        <f ca="1">IF(SUM($D117:AA117)&lt;=0,0,(SUM($D117:AA117)*AA114))-SUM($C118:Z118)</f>
        <v>0</v>
      </c>
      <c r="AB118" s="114">
        <f ca="1">IF(SUM($D117:AB117)&lt;=0,0,(SUM($D117:AB117)*AB114))-SUM($C118:AA118)</f>
        <v>0</v>
      </c>
      <c r="AC118" s="114">
        <f ca="1">IF(SUM($D117:AC117)&lt;=0,0,(SUM($D117:AC117)*AC114))-SUM($C118:AB118)</f>
        <v>0</v>
      </c>
      <c r="AD118" s="114">
        <f ca="1">IF(SUM($D117:AD117)&lt;=0,0,(SUM($D117:AD117)*AD114))-SUM($C118:AC118)</f>
        <v>0</v>
      </c>
      <c r="AE118" s="114">
        <f ca="1">IF(SUM($D117:AE117)&lt;=0,0,(SUM($D117:AE117)*AE114))-SUM($C118:AD118)</f>
        <v>0</v>
      </c>
      <c r="AF118" s="114">
        <f ca="1">IF(SUM($D117:AF117)&lt;=0,0,(SUM($D117:AF117)*AF114))-SUM($C118:AE118)</f>
        <v>0</v>
      </c>
      <c r="AG118" s="114">
        <f ca="1">IF(SUM($D117:AG117)&lt;=0,0,(SUM($D117:AG117)*AG114))-SUM($C118:AF118)</f>
        <v>0</v>
      </c>
      <c r="AH118" s="114">
        <f ca="1">IF(SUM($D117:AH117)&lt;=0,0,(SUM($D117:AH117)*AH114))-SUM($C118:AG118)</f>
        <v>0</v>
      </c>
      <c r="AI118" s="114">
        <f ca="1">IF(SUM($D117:AI117)&lt;=0,0,(SUM($D117:AI117)*AI114))-SUM($C118:AH118)</f>
        <v>0</v>
      </c>
      <c r="AJ118" s="114">
        <f ca="1">IF(SUM($D117:AJ117)&lt;=0,0,(SUM($D117:AJ117)*AJ114))-SUM($C118:AI118)</f>
        <v>0</v>
      </c>
      <c r="AK118" s="114">
        <f ca="1">IF(SUM($D117:AK117)&lt;=0,0,(SUM($D117:AK117)*AK114))-SUM($C118:AJ118)</f>
        <v>0</v>
      </c>
      <c r="AL118" s="114">
        <f ca="1">IF(SUM($D117:AL117)&lt;=0,0,(SUM($D117:AL117)*AL114))-SUM($C118:AK118)</f>
        <v>0</v>
      </c>
      <c r="AM118" s="114">
        <f ca="1">IF(SUM($D117:AM117)&lt;=0,0,(SUM($D117:AM117)*AM114))-SUM($C118:AL118)</f>
        <v>0</v>
      </c>
      <c r="AN118" s="114">
        <f ca="1">IF(SUM($D117:AN117)&lt;=0,0,(SUM($D117:AN117)*AN114))-SUM($C118:AM118)</f>
        <v>0</v>
      </c>
      <c r="AO118" s="114">
        <f ca="1">IF(SUM($D117:AO117)&lt;=0,0,(SUM($D117:AO117)*AO114))-SUM($C118:AN118)</f>
        <v>0</v>
      </c>
      <c r="AP118" s="114">
        <f ca="1">IF(SUM($D117:AP117)&lt;=0,0,(SUM($D117:AP117)*AP114))-SUM($C118:AO118)</f>
        <v>0</v>
      </c>
      <c r="AQ118" s="114">
        <f ca="1">IF(SUM($D117:AQ117)&lt;=0,0,(SUM($D117:AQ117)*AQ114))-SUM($C118:AP118)</f>
        <v>0</v>
      </c>
      <c r="AR118" s="114">
        <f ca="1">IF(SUM($D117:AR117)&lt;=0,0,(SUM($D117:AR117)*AR114))-SUM($C118:AQ118)</f>
        <v>0</v>
      </c>
      <c r="AS118" s="114">
        <f ca="1">IF(SUM($D117:AS117)&lt;=0,0,(SUM($D117:AS117)*AS114))-SUM($C118:AR118)</f>
        <v>0</v>
      </c>
      <c r="AT118" s="114">
        <f ca="1">IF(SUM($D117:AT117)&lt;=0,0,(SUM($D117:AT117)*AT114))-SUM($C118:AS118)</f>
        <v>0</v>
      </c>
      <c r="AU118" s="114">
        <f ca="1">IF(SUM($D117:AU117)&lt;=0,0,(SUM($D117:AU117)*AU114))-SUM($C118:AT118)</f>
        <v>0</v>
      </c>
      <c r="AV118" s="114">
        <f ca="1">IF(SUM($D117:AV117)&lt;=0,0,(SUM($D117:AV117)*AV114))-SUM($C118:AU118)</f>
        <v>0</v>
      </c>
      <c r="AW118" s="114">
        <f ca="1">IF(SUM($D117:AW117)&lt;=0,0,(SUM($D117:AW117)*AW114))-SUM($C118:AV118)</f>
        <v>0</v>
      </c>
      <c r="AX118" s="114">
        <f ca="1">IF(SUM($D117:AX117)&lt;=0,0,(SUM($D117:AX117)*AX114))-SUM($C118:AW118)</f>
        <v>0</v>
      </c>
      <c r="AY118" s="114">
        <f ca="1">IF(SUM($D117:AY117)&lt;=0,0,(SUM($D117:AY117)*AY114))-SUM($C118:AX118)</f>
        <v>0</v>
      </c>
      <c r="AZ118" s="114">
        <f ca="1">IF(SUM($D117:AZ117)&lt;=0,0,(SUM($D117:AZ117)*AZ114))-SUM($C118:AY118)</f>
        <v>0</v>
      </c>
      <c r="BA118" s="114">
        <f ca="1">IF(SUM($D117:BA117)&lt;=0,0,(SUM($D117:BA117)*BA114))-SUM($C118:AZ118)</f>
        <v>0</v>
      </c>
      <c r="BB118" s="114">
        <f ca="1">IF(SUM($D117:BB117)&lt;=0,0,(SUM($D117:BB117)*BB114))-SUM($C118:BA118)</f>
        <v>0</v>
      </c>
      <c r="BC118" s="114">
        <f ca="1">IF(SUM($D117:BC117)&lt;=0,0,(SUM($D117:BC117)*BC114))-SUM($C118:BB118)</f>
        <v>0</v>
      </c>
      <c r="BD118" s="140"/>
      <c r="BE118" s="140"/>
      <c r="BF118" s="140"/>
      <c r="BG118" s="140"/>
      <c r="BH118" s="140"/>
    </row>
    <row r="119" spans="1:60" s="20" customFormat="1" ht="16.149999999999999" customHeight="1" x14ac:dyDescent="0.25">
      <c r="A119" s="292"/>
      <c r="B119" s="6" t="s">
        <v>284</v>
      </c>
      <c r="C119" s="114"/>
      <c r="D119" s="114">
        <f ca="1">IF(D115="Yes",SUM($C118:D118)-SUM($C119:C119),0)</f>
        <v>0</v>
      </c>
      <c r="E119" s="114">
        <f ca="1">IF(E115="Yes",SUM($C118:E118)-SUM($C119:D119),0)</f>
        <v>0</v>
      </c>
      <c r="F119" s="114">
        <f ca="1">IF(F115="Yes",SUM($C118:F118)-SUM($C119:E119),0)</f>
        <v>0</v>
      </c>
      <c r="G119" s="114">
        <f ca="1">IF(G115="Yes",SUM($C118:G118)-SUM($C119:F119),0)</f>
        <v>0</v>
      </c>
      <c r="H119" s="114">
        <f ca="1">IF(H115="Yes",SUM($C118:H118)-SUM($C119:G119),0)</f>
        <v>0</v>
      </c>
      <c r="I119" s="114">
        <f ca="1">IF(I115="Yes",SUM($C118:I118)-SUM($C119:H119),0)</f>
        <v>0</v>
      </c>
      <c r="J119" s="114">
        <f ca="1">IF(J115="Yes",SUM($C118:J118)-SUM($C119:I119),0)</f>
        <v>0</v>
      </c>
      <c r="K119" s="114">
        <f ca="1">IF(K115="Yes",SUM($C118:K118)-SUM($C119:J119),0)</f>
        <v>0</v>
      </c>
      <c r="L119" s="114">
        <f ca="1">IF(L115="Yes",SUM($C118:L118)-SUM($C119:K119),0)</f>
        <v>0</v>
      </c>
      <c r="M119" s="114">
        <f ca="1">IF(M115="Yes",SUM($C118:M118)-SUM($C119:L119),0)</f>
        <v>0</v>
      </c>
      <c r="N119" s="114">
        <f ca="1">IF(N115="Yes",SUM($C118:N118)-SUM($C119:M119),0)</f>
        <v>0</v>
      </c>
      <c r="O119" s="114">
        <f ca="1">IF(O115="Yes",SUM($C118:O118)-SUM($C119:N119),0)</f>
        <v>0</v>
      </c>
      <c r="P119" s="114">
        <f ca="1">IF(P115="Yes",SUM($C118:P118)-SUM($C119:O119),0)</f>
        <v>0</v>
      </c>
      <c r="Q119" s="114">
        <f ca="1">IF(Q115="Yes",SUM($C118:Q118)-SUM($C119:P119),0)</f>
        <v>0</v>
      </c>
      <c r="R119" s="114">
        <f ca="1">IF(R115="Yes",SUM($C118:R118)-SUM($C119:Q119),0)</f>
        <v>0</v>
      </c>
      <c r="S119" s="114">
        <f ca="1">IF(S115="Yes",SUM($C118:S118)-SUM($C119:R119),0)</f>
        <v>0</v>
      </c>
      <c r="T119" s="114">
        <f ca="1">IF(T115="Yes",SUM($C118:T118)-SUM($C119:S119),0)</f>
        <v>0</v>
      </c>
      <c r="U119" s="114">
        <f ca="1">IF(U115="Yes",SUM($C118:U118)-SUM($C119:T119),0)</f>
        <v>0</v>
      </c>
      <c r="V119" s="114">
        <f ca="1">IF(V115="Yes",SUM($C118:V118)-SUM($C119:U119),0)</f>
        <v>0</v>
      </c>
      <c r="W119" s="114">
        <f ca="1">IF(W115="Yes",SUM($C118:W118)-SUM($C119:V119),0)</f>
        <v>0</v>
      </c>
      <c r="X119" s="114">
        <f ca="1">IF(X115="Yes",SUM($C118:X118)-SUM($C119:W119),0)</f>
        <v>0</v>
      </c>
      <c r="Y119" s="114">
        <f ca="1">IF(Y115="Yes",SUM($C118:Y118)-SUM($C119:X119),0)</f>
        <v>0</v>
      </c>
      <c r="Z119" s="114">
        <f ca="1">IF(Z115="Yes",SUM($C118:Z118)-SUM($C119:Y119),0)</f>
        <v>0</v>
      </c>
      <c r="AA119" s="114">
        <f ca="1">IF(AA115="Yes",SUM($C118:AA118)-SUM($C119:Z119),0)</f>
        <v>0</v>
      </c>
      <c r="AB119" s="114">
        <f ca="1">IF(AB115="Yes",SUM($C118:AB118)-SUM($C119:AA119),0)</f>
        <v>0</v>
      </c>
      <c r="AC119" s="114">
        <f ca="1">IF(AC115="Yes",SUM($C118:AC118)-SUM($C119:AB119),0)</f>
        <v>0</v>
      </c>
      <c r="AD119" s="114">
        <f ca="1">IF(AD115="Yes",SUM($C118:AD118)-SUM($C119:AC119),0)</f>
        <v>0</v>
      </c>
      <c r="AE119" s="114">
        <f ca="1">IF(AE115="Yes",SUM($C118:AE118)-SUM($C119:AD119),0)</f>
        <v>0</v>
      </c>
      <c r="AF119" s="114">
        <f ca="1">IF(AF115="Yes",SUM($C118:AF118)-SUM($C119:AE119),0)</f>
        <v>0</v>
      </c>
      <c r="AG119" s="114">
        <f ca="1">IF(AG115="Yes",SUM($C118:AG118)-SUM($C119:AF119),0)</f>
        <v>0</v>
      </c>
      <c r="AH119" s="114">
        <f ca="1">IF(AH115="Yes",SUM($C118:AH118)-SUM($C119:AG119),0)</f>
        <v>0</v>
      </c>
      <c r="AI119" s="114">
        <f ca="1">IF(AI115="Yes",SUM($C118:AI118)-SUM($C119:AH119),0)</f>
        <v>0</v>
      </c>
      <c r="AJ119" s="114">
        <f ca="1">IF(AJ115="Yes",SUM($C118:AJ118)-SUM($C119:AI119),0)</f>
        <v>0</v>
      </c>
      <c r="AK119" s="114">
        <f ca="1">IF(AK115="Yes",SUM($C118:AK118)-SUM($C119:AJ119),0)</f>
        <v>0</v>
      </c>
      <c r="AL119" s="114">
        <f ca="1">IF(AL115="Yes",SUM($C118:AL118)-SUM($C119:AK119),0)</f>
        <v>0</v>
      </c>
      <c r="AM119" s="114">
        <f ca="1">IF(AM115="Yes",SUM($C118:AM118)-SUM($C119:AL119),0)</f>
        <v>0</v>
      </c>
      <c r="AN119" s="114">
        <f ca="1">IF(AN115="Yes",SUM($C118:AN118)-SUM($C119:AM119),0)</f>
        <v>0</v>
      </c>
      <c r="AO119" s="114">
        <f ca="1">IF(AO115="Yes",SUM($C118:AO118)-SUM($C119:AN119),0)</f>
        <v>0</v>
      </c>
      <c r="AP119" s="114">
        <f ca="1">IF(AP115="Yes",SUM($C118:AP118)-SUM($C119:AO119),0)</f>
        <v>0</v>
      </c>
      <c r="AQ119" s="114">
        <f ca="1">IF(AQ115="Yes",SUM($C118:AQ118)-SUM($C119:AP119),0)</f>
        <v>0</v>
      </c>
      <c r="AR119" s="114">
        <f ca="1">IF(AR115="Yes",SUM($C118:AR118)-SUM($C119:AQ119),0)</f>
        <v>0</v>
      </c>
      <c r="AS119" s="114">
        <f ca="1">IF(AS115="Yes",SUM($C118:AS118)-SUM($C119:AR119),0)</f>
        <v>0</v>
      </c>
      <c r="AT119" s="114">
        <f ca="1">IF(AT115="Yes",SUM($C118:AT118)-SUM($C119:AS119),0)</f>
        <v>0</v>
      </c>
      <c r="AU119" s="114">
        <f ca="1">IF(AU115="Yes",SUM($C118:AU118)-SUM($C119:AT119),0)</f>
        <v>0</v>
      </c>
      <c r="AV119" s="114">
        <f ca="1">IF(AV115="Yes",SUM($C118:AV118)-SUM($C119:AU119),0)</f>
        <v>0</v>
      </c>
      <c r="AW119" s="114">
        <f ca="1">IF(AW115="Yes",SUM($C118:AW118)-SUM($C119:AV119),0)</f>
        <v>0</v>
      </c>
      <c r="AX119" s="114">
        <f ca="1">IF(AX115="Yes",SUM($C118:AX118)-SUM($C119:AW119),0)</f>
        <v>0</v>
      </c>
      <c r="AY119" s="114">
        <f ca="1">IF(AY115="Yes",SUM($C118:AY118)-SUM($C119:AX119),0)</f>
        <v>0</v>
      </c>
      <c r="AZ119" s="114">
        <f ca="1">IF(AZ115="Yes",SUM($C118:AZ118)-SUM($C119:AY119),0)</f>
        <v>0</v>
      </c>
      <c r="BA119" s="114">
        <f ca="1">IF(BA115="Yes",SUM($C118:BA118)-SUM($C119:AZ119),0)</f>
        <v>0</v>
      </c>
      <c r="BB119" s="114">
        <f ca="1">IF(BB115="Yes",SUM($C118:BB118)-SUM($C119:BA119),0)</f>
        <v>0</v>
      </c>
      <c r="BC119" s="114">
        <f ca="1">IF(BC115="Yes",SUM($C118:BC118)-SUM($C119:BB119),0)</f>
        <v>0</v>
      </c>
      <c r="BD119" s="140"/>
      <c r="BE119" s="140"/>
      <c r="BF119" s="140"/>
      <c r="BG119" s="140"/>
      <c r="BH119" s="140"/>
    </row>
    <row r="120" spans="1:60" s="20" customFormat="1" ht="16.149999999999999" customHeight="1" x14ac:dyDescent="0.25">
      <c r="A120" s="292"/>
      <c r="B120" s="6" t="s">
        <v>285</v>
      </c>
      <c r="C120" s="114"/>
      <c r="D120" s="114">
        <f ca="1">IF(Assumptions!$C$109="Cash",0,IF(D123="No",0,SUMIFS($D119:D119,$D4:D4,"&gt;"&amp;D$122)))</f>
        <v>0</v>
      </c>
      <c r="E120" s="114">
        <f ca="1">IF(Assumptions!$C$109="Cash",0,IF(E123="No",0,SUMIFS($D119:E119,$D4:E4,"&gt;"&amp;E$122)))</f>
        <v>0</v>
      </c>
      <c r="F120" s="114">
        <f ca="1">IF(Assumptions!$C$109="Cash",0,IF(F123="No",0,SUMIFS($D119:F119,$D4:F4,"&gt;"&amp;F$122)))</f>
        <v>0</v>
      </c>
      <c r="G120" s="114">
        <f ca="1">IF(Assumptions!$C$109="Cash",0,IF(G123="No",0,SUMIFS($D119:G119,$D4:G4,"&gt;"&amp;G$122)))</f>
        <v>0</v>
      </c>
      <c r="H120" s="114">
        <f ca="1">IF(Assumptions!$C$109="Cash",0,IF(H123="No",0,SUMIFS($D119:H119,$D4:H4,"&gt;"&amp;H$122)))</f>
        <v>0</v>
      </c>
      <c r="I120" s="114">
        <f ca="1">IF(Assumptions!$C$109="Cash",0,IF(I123="No",0,SUMIFS($D119:I119,$D4:I4,"&gt;"&amp;I$122)))</f>
        <v>0</v>
      </c>
      <c r="J120" s="114">
        <f ca="1">IF(Assumptions!$C$109="Cash",0,IF(J123="No",0,SUMIFS($D119:J119,$D4:J4,"&gt;"&amp;J$122)))</f>
        <v>0</v>
      </c>
      <c r="K120" s="114">
        <f ca="1">IF(Assumptions!$C$109="Cash",0,IF(K123="No",0,SUMIFS($D119:K119,$D4:K4,"&gt;"&amp;K$122)))</f>
        <v>0</v>
      </c>
      <c r="L120" s="114">
        <f ca="1">IF(Assumptions!$C$109="Cash",0,IF(L123="No",0,SUMIFS($D119:L119,$D4:L4,"&gt;"&amp;L$122)))</f>
        <v>0</v>
      </c>
      <c r="M120" s="114">
        <f ca="1">IF(Assumptions!$C$109="Cash",0,IF(M123="No",0,SUMIFS($D119:M119,$D4:M4,"&gt;"&amp;M$122)))</f>
        <v>0</v>
      </c>
      <c r="N120" s="114">
        <f ca="1">IF(Assumptions!$C$109="Cash",0,IF(N123="No",0,SUMIFS($D119:N119,$D4:N4,"&gt;"&amp;N$122)))</f>
        <v>0</v>
      </c>
      <c r="O120" s="114">
        <f ca="1">IF(Assumptions!$C$109="Cash",0,IF(O123="No",0,SUMIFS($D119:O119,$D4:O4,"&gt;"&amp;O$122)))</f>
        <v>0</v>
      </c>
      <c r="P120" s="114">
        <f ca="1">IF(Assumptions!$C$109="Cash",0,IF(P123="No",0,SUMIFS($D119:P119,$D4:P4,"&gt;"&amp;P$122)))</f>
        <v>0</v>
      </c>
      <c r="Q120" s="114">
        <f ca="1">IF(Assumptions!$C$109="Cash",0,IF(Q123="No",0,SUMIFS($D119:Q119,$D4:Q4,"&gt;"&amp;Q$122)))</f>
        <v>0</v>
      </c>
      <c r="R120" s="114">
        <f ca="1">IF(Assumptions!$C$109="Cash",0,IF(R123="No",0,SUMIFS($D119:R119,$D4:R4,"&gt;"&amp;R$122)))</f>
        <v>0</v>
      </c>
      <c r="S120" s="114">
        <f ca="1">IF(Assumptions!$C$109="Cash",0,IF(S123="No",0,SUMIFS($D119:S119,$D4:S4,"&gt;"&amp;S$122)))</f>
        <v>0</v>
      </c>
      <c r="T120" s="114">
        <f ca="1">IF(Assumptions!$C$109="Cash",0,IF(T123="No",0,SUMIFS($D119:T119,$D4:T4,"&gt;"&amp;T$122)))</f>
        <v>0</v>
      </c>
      <c r="U120" s="114">
        <f ca="1">IF(Assumptions!$C$109="Cash",0,IF(U123="No",0,SUMIFS($D119:U119,$D4:U4,"&gt;"&amp;U$122)))</f>
        <v>0</v>
      </c>
      <c r="V120" s="114">
        <f ca="1">IF(Assumptions!$C$109="Cash",0,IF(V123="No",0,SUMIFS($D119:V119,$D4:V4,"&gt;"&amp;V$122)))</f>
        <v>0</v>
      </c>
      <c r="W120" s="114">
        <f ca="1">IF(Assumptions!$C$109="Cash",0,IF(W123="No",0,SUMIFS($D119:W119,$D4:W4,"&gt;"&amp;W$122)))</f>
        <v>0</v>
      </c>
      <c r="X120" s="114">
        <f ca="1">IF(Assumptions!$C$109="Cash",0,IF(X123="No",0,SUMIFS($D119:X119,$D4:X4,"&gt;"&amp;X$122)))</f>
        <v>0</v>
      </c>
      <c r="Y120" s="114">
        <f ca="1">IF(Assumptions!$C$109="Cash",0,IF(Y123="No",0,SUMIFS($D119:Y119,$D4:Y4,"&gt;"&amp;Y$122)))</f>
        <v>0</v>
      </c>
      <c r="Z120" s="114">
        <f ca="1">IF(Assumptions!$C$109="Cash",0,IF(Z123="No",0,SUMIFS($D119:Z119,$D4:Z4,"&gt;"&amp;Z$122)))</f>
        <v>0</v>
      </c>
      <c r="AA120" s="114">
        <f ca="1">IF(Assumptions!$C$109="Cash",0,IF(AA123="No",0,SUMIFS($D119:AA119,$D4:AA4,"&gt;"&amp;AA$122)))</f>
        <v>0</v>
      </c>
      <c r="AB120" s="114">
        <f ca="1">IF(Assumptions!$C$109="Cash",0,IF(AB123="No",0,SUMIFS($D119:AB119,$D4:AB4,"&gt;"&amp;AB$122)))</f>
        <v>0</v>
      </c>
      <c r="AC120" s="114">
        <f ca="1">IF(Assumptions!$C$109="Cash",0,IF(AC123="No",0,SUMIFS($D119:AC119,$D4:AC4,"&gt;"&amp;AC$122)))</f>
        <v>0</v>
      </c>
      <c r="AD120" s="114">
        <f ca="1">IF(Assumptions!$C$109="Cash",0,IF(AD123="No",0,SUMIFS($D119:AD119,$D4:AD4,"&gt;"&amp;AD$122)))</f>
        <v>0</v>
      </c>
      <c r="AE120" s="114">
        <f ca="1">IF(Assumptions!$C$109="Cash",0,IF(AE123="No",0,SUMIFS($D119:AE119,$D4:AE4,"&gt;"&amp;AE$122)))</f>
        <v>0</v>
      </c>
      <c r="AF120" s="114">
        <f ca="1">IF(Assumptions!$C$109="Cash",0,IF(AF123="No",0,SUMIFS($D119:AF119,$D4:AF4,"&gt;"&amp;AF$122)))</f>
        <v>0</v>
      </c>
      <c r="AG120" s="114">
        <f ca="1">IF(Assumptions!$C$109="Cash",0,IF(AG123="No",0,SUMIFS($D119:AG119,$D4:AG4,"&gt;"&amp;AG$122)))</f>
        <v>0</v>
      </c>
      <c r="AH120" s="114">
        <f ca="1">IF(Assumptions!$C$109="Cash",0,IF(AH123="No",0,SUMIFS($D119:AH119,$D4:AH4,"&gt;"&amp;AH$122)))</f>
        <v>0</v>
      </c>
      <c r="AI120" s="114">
        <f ca="1">IF(Assumptions!$C$109="Cash",0,IF(AI123="No",0,SUMIFS($D119:AI119,$D4:AI4,"&gt;"&amp;AI$122)))</f>
        <v>0</v>
      </c>
      <c r="AJ120" s="114">
        <f ca="1">IF(Assumptions!$C$109="Cash",0,IF(AJ123="No",0,SUMIFS($D119:AJ119,$D4:AJ4,"&gt;"&amp;AJ$122)))</f>
        <v>0</v>
      </c>
      <c r="AK120" s="114">
        <f ca="1">IF(Assumptions!$C$109="Cash",0,IF(AK123="No",0,SUMIFS($D119:AK119,$D4:AK4,"&gt;"&amp;AK$122)))</f>
        <v>0</v>
      </c>
      <c r="AL120" s="114">
        <f ca="1">IF(Assumptions!$C$109="Cash",0,IF(AL123="No",0,SUMIFS($D119:AL119,$D4:AL4,"&gt;"&amp;AL$122)))</f>
        <v>0</v>
      </c>
      <c r="AM120" s="114">
        <f ca="1">IF(Assumptions!$C$109="Cash",0,IF(AM123="No",0,SUMIFS($D119:AM119,$D4:AM4,"&gt;"&amp;AM$122)))</f>
        <v>0</v>
      </c>
      <c r="AN120" s="114">
        <f ca="1">IF(Assumptions!$C$109="Cash",0,IF(AN123="No",0,SUMIFS($D119:AN119,$D4:AN4,"&gt;"&amp;AN$122)))</f>
        <v>0</v>
      </c>
      <c r="AO120" s="114">
        <f ca="1">IF(Assumptions!$C$109="Cash",0,IF(AO123="No",0,SUMIFS($D119:AO119,$D4:AO4,"&gt;"&amp;AO$122)))</f>
        <v>0</v>
      </c>
      <c r="AP120" s="114">
        <f ca="1">IF(Assumptions!$C$109="Cash",0,IF(AP123="No",0,SUMIFS($D119:AP119,$D4:AP4,"&gt;"&amp;AP$122)))</f>
        <v>0</v>
      </c>
      <c r="AQ120" s="114">
        <f ca="1">IF(Assumptions!$C$109="Cash",0,IF(AQ123="No",0,SUMIFS($D119:AQ119,$D4:AQ4,"&gt;"&amp;AQ$122)))</f>
        <v>0</v>
      </c>
      <c r="AR120" s="114">
        <f ca="1">IF(Assumptions!$C$109="Cash",0,IF(AR123="No",0,SUMIFS($D119:AR119,$D4:AR4,"&gt;"&amp;AR$122)))</f>
        <v>0</v>
      </c>
      <c r="AS120" s="114">
        <f ca="1">IF(Assumptions!$C$109="Cash",0,IF(AS123="No",0,SUMIFS($D119:AS119,$D4:AS4,"&gt;"&amp;AS$122)))</f>
        <v>0</v>
      </c>
      <c r="AT120" s="114">
        <f ca="1">IF(Assumptions!$C$109="Cash",0,IF(AT123="No",0,SUMIFS($D119:AT119,$D4:AT4,"&gt;"&amp;AT$122)))</f>
        <v>0</v>
      </c>
      <c r="AU120" s="114">
        <f ca="1">IF(Assumptions!$C$109="Cash",0,IF(AU123="No",0,SUMIFS($D119:AU119,$D4:AU4,"&gt;"&amp;AU$122)))</f>
        <v>0</v>
      </c>
      <c r="AV120" s="114">
        <f ca="1">IF(Assumptions!$C$109="Cash",0,IF(AV123="No",0,SUMIFS($D119:AV119,$D4:AV4,"&gt;"&amp;AV$122)))</f>
        <v>0</v>
      </c>
      <c r="AW120" s="114">
        <f ca="1">IF(Assumptions!$C$109="Cash",0,IF(AW123="No",0,SUMIFS($D119:AW119,$D4:AW4,"&gt;"&amp;AW$122)))</f>
        <v>0</v>
      </c>
      <c r="AX120" s="114">
        <f ca="1">IF(Assumptions!$C$109="Cash",0,IF(AX123="No",0,SUMIFS($D119:AX119,$D4:AX4,"&gt;"&amp;AX$122)))</f>
        <v>0</v>
      </c>
      <c r="AY120" s="114">
        <f ca="1">IF(Assumptions!$C$109="Cash",0,IF(AY123="No",0,SUMIFS($D119:AY119,$D4:AY4,"&gt;"&amp;AY$122)))</f>
        <v>0</v>
      </c>
      <c r="AZ120" s="114">
        <f ca="1">IF(Assumptions!$C$109="Cash",0,IF(AZ123="No",0,SUMIFS($D119:AZ119,$D4:AZ4,"&gt;"&amp;AZ$122)))</f>
        <v>0</v>
      </c>
      <c r="BA120" s="114">
        <f ca="1">IF(Assumptions!$C$109="Cash",0,IF(BA123="No",0,SUMIFS($D119:BA119,$D4:BA4,"&gt;"&amp;BA$122)))</f>
        <v>0</v>
      </c>
      <c r="BB120" s="114">
        <f ca="1">IF(Assumptions!$C$109="Cash",0,IF(BB123="No",0,SUMIFS($D119:BB119,$D4:BB4,"&gt;"&amp;BB$122)))</f>
        <v>0</v>
      </c>
      <c r="BC120" s="114">
        <f ca="1">IF(Assumptions!$C$109="Cash",0,IF(BC123="No",0,SUMIFS($D119:BC119,$D4:BC4,"&gt;"&amp;BC$122)))</f>
        <v>0</v>
      </c>
      <c r="BD120" s="140"/>
      <c r="BE120" s="140"/>
      <c r="BF120" s="140"/>
      <c r="BG120" s="140"/>
      <c r="BH120" s="140"/>
    </row>
    <row r="121" spans="1:60" ht="16.149999999999999" customHeight="1" x14ac:dyDescent="0.3">
      <c r="B121" s="137" t="s">
        <v>286</v>
      </c>
      <c r="C121" s="141">
        <f ca="1">OFFSET(Pay!$P$2,MATCH(C$4,Pay!$P$3:$P$18,1),0,1,1)</f>
        <v>43881</v>
      </c>
      <c r="D121" s="141">
        <f ca="1">OFFSET(Pay!$P$2,MATCH(D$4,Pay!$P$3:$P$18,1),0,1,1)</f>
        <v>43881</v>
      </c>
      <c r="E121" s="141">
        <f ca="1">OFFSET(Pay!$P$2,MATCH(E$4,Pay!$P$3:$P$18,1),0,1,1)</f>
        <v>43881</v>
      </c>
      <c r="F121" s="141">
        <f ca="1">OFFSET(Pay!$P$2,MATCH(F$4,Pay!$P$3:$P$18,1),0,1,1)</f>
        <v>43881</v>
      </c>
      <c r="G121" s="141">
        <f ca="1">OFFSET(Pay!$P$2,MATCH(G$4,Pay!$P$3:$P$18,1),0,1,1)</f>
        <v>43881</v>
      </c>
      <c r="H121" s="141">
        <f ca="1">OFFSET(Pay!$P$2,MATCH(H$4,Pay!$P$3:$P$18,1),0,1,1)</f>
        <v>43881</v>
      </c>
      <c r="I121" s="141">
        <f ca="1">OFFSET(Pay!$P$2,MATCH(I$4,Pay!$P$3:$P$18,1),0,1,1)</f>
        <v>43881</v>
      </c>
      <c r="J121" s="141">
        <f ca="1">OFFSET(Pay!$P$2,MATCH(J$4,Pay!$P$3:$P$18,1),0,1,1)</f>
        <v>43881</v>
      </c>
      <c r="K121" s="141">
        <f ca="1">OFFSET(Pay!$P$2,MATCH(K$4,Pay!$P$3:$P$18,1),0,1,1)</f>
        <v>43881</v>
      </c>
      <c r="L121" s="141">
        <f ca="1">OFFSET(Pay!$P$2,MATCH(L$4,Pay!$P$3:$P$18,1),0,1,1)</f>
        <v>43881</v>
      </c>
      <c r="M121" s="141">
        <f ca="1">OFFSET(Pay!$P$2,MATCH(M$4,Pay!$P$3:$P$18,1),0,1,1)</f>
        <v>43881</v>
      </c>
      <c r="N121" s="141">
        <f ca="1">OFFSET(Pay!$P$2,MATCH(N$4,Pay!$P$3:$P$18,1),0,1,1)</f>
        <v>43881</v>
      </c>
      <c r="O121" s="141">
        <f ca="1">OFFSET(Pay!$P$2,MATCH(O$4,Pay!$P$3:$P$18,1),0,1,1)</f>
        <v>43881</v>
      </c>
      <c r="P121" s="141">
        <f ca="1">OFFSET(Pay!$P$2,MATCH(P$4,Pay!$P$3:$P$18,1),0,1,1)</f>
        <v>43881</v>
      </c>
      <c r="Q121" s="141">
        <f ca="1">OFFSET(Pay!$P$2,MATCH(Q$4,Pay!$P$3:$P$18,1),0,1,1)</f>
        <v>43881</v>
      </c>
      <c r="R121" s="141">
        <f ca="1">OFFSET(Pay!$P$2,MATCH(R$4,Pay!$P$3:$P$18,1),0,1,1)</f>
        <v>43881</v>
      </c>
      <c r="S121" s="141">
        <f ca="1">OFFSET(Pay!$P$2,MATCH(S$4,Pay!$P$3:$P$18,1),0,1,1)</f>
        <v>43881</v>
      </c>
      <c r="T121" s="141">
        <f ca="1">OFFSET(Pay!$P$2,MATCH(T$4,Pay!$P$3:$P$18,1),0,1,1)</f>
        <v>43881</v>
      </c>
      <c r="U121" s="141">
        <f ca="1">OFFSET(Pay!$P$2,MATCH(U$4,Pay!$P$3:$P$18,1),0,1,1)</f>
        <v>43881</v>
      </c>
      <c r="V121" s="141">
        <f ca="1">OFFSET(Pay!$P$2,MATCH(V$4,Pay!$P$3:$P$18,1),0,1,1)</f>
        <v>43881</v>
      </c>
      <c r="W121" s="141">
        <f ca="1">OFFSET(Pay!$P$2,MATCH(W$4,Pay!$P$3:$P$18,1),0,1,1)</f>
        <v>43881</v>
      </c>
      <c r="X121" s="141">
        <f ca="1">OFFSET(Pay!$P$2,MATCH(X$4,Pay!$P$3:$P$18,1),0,1,1)</f>
        <v>43881</v>
      </c>
      <c r="Y121" s="141">
        <f ca="1">OFFSET(Pay!$P$2,MATCH(Y$4,Pay!$P$3:$P$18,1),0,1,1)</f>
        <v>43881</v>
      </c>
      <c r="Z121" s="141">
        <f ca="1">OFFSET(Pay!$P$2,MATCH(Z$4,Pay!$P$3:$P$18,1),0,1,1)</f>
        <v>43881</v>
      </c>
      <c r="AA121" s="141">
        <f ca="1">OFFSET(Pay!$P$2,MATCH(AA$4,Pay!$P$3:$P$18,1),0,1,1)</f>
        <v>43881</v>
      </c>
      <c r="AB121" s="141">
        <f ca="1">OFFSET(Pay!$P$2,MATCH(AB$4,Pay!$P$3:$P$18,1),0,1,1)</f>
        <v>43881</v>
      </c>
      <c r="AC121" s="141">
        <f ca="1">OFFSET(Pay!$P$2,MATCH(AC$4,Pay!$P$3:$P$18,1),0,1,1)</f>
        <v>43881</v>
      </c>
      <c r="AD121" s="141">
        <f ca="1">OFFSET(Pay!$P$2,MATCH(AD$4,Pay!$P$3:$P$18,1),0,1,1)</f>
        <v>43881</v>
      </c>
      <c r="AE121" s="141">
        <f ca="1">OFFSET(Pay!$P$2,MATCH(AE$4,Pay!$P$3:$P$18,1),0,1,1)</f>
        <v>43881</v>
      </c>
      <c r="AF121" s="141">
        <f ca="1">OFFSET(Pay!$P$2,MATCH(AF$4,Pay!$P$3:$P$18,1),0,1,1)</f>
        <v>43881</v>
      </c>
      <c r="AG121" s="141">
        <f ca="1">OFFSET(Pay!$P$2,MATCH(AG$4,Pay!$P$3:$P$18,1),0,1,1)</f>
        <v>43881</v>
      </c>
      <c r="AH121" s="141">
        <f ca="1">OFFSET(Pay!$P$2,MATCH(AH$4,Pay!$P$3:$P$18,1),0,1,1)</f>
        <v>43881</v>
      </c>
      <c r="AI121" s="141">
        <f ca="1">OFFSET(Pay!$P$2,MATCH(AI$4,Pay!$P$3:$P$18,1),0,1,1)</f>
        <v>43881</v>
      </c>
      <c r="AJ121" s="141">
        <f ca="1">OFFSET(Pay!$P$2,MATCH(AJ$4,Pay!$P$3:$P$18,1),0,1,1)</f>
        <v>43881</v>
      </c>
      <c r="AK121" s="141">
        <f ca="1">OFFSET(Pay!$P$2,MATCH(AK$4,Pay!$P$3:$P$18,1),0,1,1)</f>
        <v>43881</v>
      </c>
      <c r="AL121" s="141">
        <f ca="1">OFFSET(Pay!$P$2,MATCH(AL$4,Pay!$P$3:$P$18,1),0,1,1)</f>
        <v>43881</v>
      </c>
      <c r="AM121" s="141">
        <f ca="1">OFFSET(Pay!$P$2,MATCH(AM$4,Pay!$P$3:$P$18,1),0,1,1)</f>
        <v>43881</v>
      </c>
      <c r="AN121" s="141">
        <f ca="1">OFFSET(Pay!$P$2,MATCH(AN$4,Pay!$P$3:$P$18,1),0,1,1)</f>
        <v>43881</v>
      </c>
      <c r="AO121" s="141">
        <f ca="1">OFFSET(Pay!$P$2,MATCH(AO$4,Pay!$P$3:$P$18,1),0,1,1)</f>
        <v>43881</v>
      </c>
      <c r="AP121" s="141">
        <f ca="1">OFFSET(Pay!$P$2,MATCH(AP$4,Pay!$P$3:$P$18,1),0,1,1)</f>
        <v>43881</v>
      </c>
      <c r="AQ121" s="141">
        <f ca="1">OFFSET(Pay!$P$2,MATCH(AQ$4,Pay!$P$3:$P$18,1),0,1,1)</f>
        <v>43881</v>
      </c>
      <c r="AR121" s="141">
        <f ca="1">OFFSET(Pay!$P$2,MATCH(AR$4,Pay!$P$3:$P$18,1),0,1,1)</f>
        <v>43881</v>
      </c>
      <c r="AS121" s="141">
        <f ca="1">OFFSET(Pay!$P$2,MATCH(AS$4,Pay!$P$3:$P$18,1),0,1,1)</f>
        <v>43881</v>
      </c>
      <c r="AT121" s="141">
        <f ca="1">OFFSET(Pay!$P$2,MATCH(AT$4,Pay!$P$3:$P$18,1),0,1,1)</f>
        <v>43881</v>
      </c>
      <c r="AU121" s="141">
        <f ca="1">OFFSET(Pay!$P$2,MATCH(AU$4,Pay!$P$3:$P$18,1),0,1,1)</f>
        <v>43881</v>
      </c>
      <c r="AV121" s="141">
        <f ca="1">OFFSET(Pay!$P$2,MATCH(AV$4,Pay!$P$3:$P$18,1),0,1,1)</f>
        <v>43881</v>
      </c>
      <c r="AW121" s="141">
        <f ca="1">OFFSET(Pay!$P$2,MATCH(AW$4,Pay!$P$3:$P$18,1),0,1,1)</f>
        <v>43881</v>
      </c>
      <c r="AX121" s="141">
        <f ca="1">OFFSET(Pay!$P$2,MATCH(AX$4,Pay!$P$3:$P$18,1),0,1,1)</f>
        <v>43881</v>
      </c>
      <c r="AY121" s="141">
        <f ca="1">OFFSET(Pay!$P$2,MATCH(AY$4,Pay!$P$3:$P$18,1),0,1,1)</f>
        <v>43881</v>
      </c>
      <c r="AZ121" s="141">
        <f ca="1">OFFSET(Pay!$P$2,MATCH(AZ$4,Pay!$P$3:$P$18,1),0,1,1)</f>
        <v>43881</v>
      </c>
      <c r="BA121" s="141">
        <f ca="1">OFFSET(Pay!$P$2,MATCH(BA$4,Pay!$P$3:$P$18,1),0,1,1)</f>
        <v>43881</v>
      </c>
      <c r="BB121" s="141">
        <f ca="1">OFFSET(Pay!$P$2,MATCH(BB$4,Pay!$P$3:$P$18,1),0,1,1)</f>
        <v>44247</v>
      </c>
      <c r="BC121" s="141">
        <f ca="1">OFFSET(Pay!$P$2,MATCH(BC$4,Pay!$P$3:$P$18,1),0,1,1)</f>
        <v>44247</v>
      </c>
    </row>
    <row r="122" spans="1:60" ht="16.149999999999999" customHeight="1" x14ac:dyDescent="0.3">
      <c r="B122" s="137" t="s">
        <v>269</v>
      </c>
      <c r="C122" s="141">
        <f ca="1">OFFSET(Pay!$Q$2,MATCH(C$4,Pay!$Q$3:$Q$18,1),0,1,1)</f>
        <v>43544</v>
      </c>
      <c r="D122" s="141">
        <f ca="1">OFFSET(Pay!$Q$2,MATCH(D$4,Pay!$Q$3:$Q$18,1),0,1,1)</f>
        <v>43544</v>
      </c>
      <c r="E122" s="141">
        <f ca="1">OFFSET(Pay!$Q$2,MATCH(E$4,Pay!$Q$3:$Q$18,1),0,1,1)</f>
        <v>43544</v>
      </c>
      <c r="F122" s="141">
        <f ca="1">OFFSET(Pay!$Q$2,MATCH(F$4,Pay!$Q$3:$Q$18,1),0,1,1)</f>
        <v>43910</v>
      </c>
      <c r="G122" s="141">
        <f ca="1">OFFSET(Pay!$Q$2,MATCH(G$4,Pay!$Q$3:$Q$18,1),0,1,1)</f>
        <v>43910</v>
      </c>
      <c r="H122" s="141">
        <f ca="1">OFFSET(Pay!$Q$2,MATCH(H$4,Pay!$Q$3:$Q$18,1),0,1,1)</f>
        <v>43910</v>
      </c>
      <c r="I122" s="141">
        <f ca="1">OFFSET(Pay!$Q$2,MATCH(I$4,Pay!$Q$3:$Q$18,1),0,1,1)</f>
        <v>43910</v>
      </c>
      <c r="J122" s="141">
        <f ca="1">OFFSET(Pay!$Q$2,MATCH(J$4,Pay!$Q$3:$Q$18,1),0,1,1)</f>
        <v>43910</v>
      </c>
      <c r="K122" s="141">
        <f ca="1">OFFSET(Pay!$Q$2,MATCH(K$4,Pay!$Q$3:$Q$18,1),0,1,1)</f>
        <v>43910</v>
      </c>
      <c r="L122" s="141">
        <f ca="1">OFFSET(Pay!$Q$2,MATCH(L$4,Pay!$Q$3:$Q$18,1),0,1,1)</f>
        <v>43910</v>
      </c>
      <c r="M122" s="141">
        <f ca="1">OFFSET(Pay!$Q$2,MATCH(M$4,Pay!$Q$3:$Q$18,1),0,1,1)</f>
        <v>43910</v>
      </c>
      <c r="N122" s="141">
        <f ca="1">OFFSET(Pay!$Q$2,MATCH(N$4,Pay!$Q$3:$Q$18,1),0,1,1)</f>
        <v>43910</v>
      </c>
      <c r="O122" s="141">
        <f ca="1">OFFSET(Pay!$Q$2,MATCH(O$4,Pay!$Q$3:$Q$18,1),0,1,1)</f>
        <v>43910</v>
      </c>
      <c r="P122" s="141">
        <f ca="1">OFFSET(Pay!$Q$2,MATCH(P$4,Pay!$Q$3:$Q$18,1),0,1,1)</f>
        <v>43910</v>
      </c>
      <c r="Q122" s="141">
        <f ca="1">OFFSET(Pay!$Q$2,MATCH(Q$4,Pay!$Q$3:$Q$18,1),0,1,1)</f>
        <v>43910</v>
      </c>
      <c r="R122" s="141">
        <f ca="1">OFFSET(Pay!$Q$2,MATCH(R$4,Pay!$Q$3:$Q$18,1),0,1,1)</f>
        <v>43910</v>
      </c>
      <c r="S122" s="141">
        <f ca="1">OFFSET(Pay!$Q$2,MATCH(S$4,Pay!$Q$3:$Q$18,1),0,1,1)</f>
        <v>43910</v>
      </c>
      <c r="T122" s="141">
        <f ca="1">OFFSET(Pay!$Q$2,MATCH(T$4,Pay!$Q$3:$Q$18,1),0,1,1)</f>
        <v>43910</v>
      </c>
      <c r="U122" s="141">
        <f ca="1">OFFSET(Pay!$Q$2,MATCH(U$4,Pay!$Q$3:$Q$18,1),0,1,1)</f>
        <v>43910</v>
      </c>
      <c r="V122" s="141">
        <f ca="1">OFFSET(Pay!$Q$2,MATCH(V$4,Pay!$Q$3:$Q$18,1),0,1,1)</f>
        <v>43910</v>
      </c>
      <c r="W122" s="141">
        <f ca="1">OFFSET(Pay!$Q$2,MATCH(W$4,Pay!$Q$3:$Q$18,1),0,1,1)</f>
        <v>43910</v>
      </c>
      <c r="X122" s="141">
        <f ca="1">OFFSET(Pay!$Q$2,MATCH(X$4,Pay!$Q$3:$Q$18,1),0,1,1)</f>
        <v>43910</v>
      </c>
      <c r="Y122" s="141">
        <f ca="1">OFFSET(Pay!$Q$2,MATCH(Y$4,Pay!$Q$3:$Q$18,1),0,1,1)</f>
        <v>43910</v>
      </c>
      <c r="Z122" s="141">
        <f ca="1">OFFSET(Pay!$Q$2,MATCH(Z$4,Pay!$Q$3:$Q$18,1),0,1,1)</f>
        <v>43910</v>
      </c>
      <c r="AA122" s="141">
        <f ca="1">OFFSET(Pay!$Q$2,MATCH(AA$4,Pay!$Q$3:$Q$18,1),0,1,1)</f>
        <v>43910</v>
      </c>
      <c r="AB122" s="141">
        <f ca="1">OFFSET(Pay!$Q$2,MATCH(AB$4,Pay!$Q$3:$Q$18,1),0,1,1)</f>
        <v>43910</v>
      </c>
      <c r="AC122" s="141">
        <f ca="1">OFFSET(Pay!$Q$2,MATCH(AC$4,Pay!$Q$3:$Q$18,1),0,1,1)</f>
        <v>43910</v>
      </c>
      <c r="AD122" s="141">
        <f ca="1">OFFSET(Pay!$Q$2,MATCH(AD$4,Pay!$Q$3:$Q$18,1),0,1,1)</f>
        <v>43910</v>
      </c>
      <c r="AE122" s="141">
        <f ca="1">OFFSET(Pay!$Q$2,MATCH(AE$4,Pay!$Q$3:$Q$18,1),0,1,1)</f>
        <v>43910</v>
      </c>
      <c r="AF122" s="141">
        <f ca="1">OFFSET(Pay!$Q$2,MATCH(AF$4,Pay!$Q$3:$Q$18,1),0,1,1)</f>
        <v>43910</v>
      </c>
      <c r="AG122" s="141">
        <f ca="1">OFFSET(Pay!$Q$2,MATCH(AG$4,Pay!$Q$3:$Q$18,1),0,1,1)</f>
        <v>43910</v>
      </c>
      <c r="AH122" s="141">
        <f ca="1">OFFSET(Pay!$Q$2,MATCH(AH$4,Pay!$Q$3:$Q$18,1),0,1,1)</f>
        <v>43910</v>
      </c>
      <c r="AI122" s="141">
        <f ca="1">OFFSET(Pay!$Q$2,MATCH(AI$4,Pay!$Q$3:$Q$18,1),0,1,1)</f>
        <v>43910</v>
      </c>
      <c r="AJ122" s="141">
        <f ca="1">OFFSET(Pay!$Q$2,MATCH(AJ$4,Pay!$Q$3:$Q$18,1),0,1,1)</f>
        <v>43910</v>
      </c>
      <c r="AK122" s="141">
        <f ca="1">OFFSET(Pay!$Q$2,MATCH(AK$4,Pay!$Q$3:$Q$18,1),0,1,1)</f>
        <v>43910</v>
      </c>
      <c r="AL122" s="141">
        <f ca="1">OFFSET(Pay!$Q$2,MATCH(AL$4,Pay!$Q$3:$Q$18,1),0,1,1)</f>
        <v>43910</v>
      </c>
      <c r="AM122" s="141">
        <f ca="1">OFFSET(Pay!$Q$2,MATCH(AM$4,Pay!$Q$3:$Q$18,1),0,1,1)</f>
        <v>43910</v>
      </c>
      <c r="AN122" s="141">
        <f ca="1">OFFSET(Pay!$Q$2,MATCH(AN$4,Pay!$Q$3:$Q$18,1),0,1,1)</f>
        <v>43910</v>
      </c>
      <c r="AO122" s="141">
        <f ca="1">OFFSET(Pay!$Q$2,MATCH(AO$4,Pay!$Q$3:$Q$18,1),0,1,1)</f>
        <v>43910</v>
      </c>
      <c r="AP122" s="141">
        <f ca="1">OFFSET(Pay!$Q$2,MATCH(AP$4,Pay!$Q$3:$Q$18,1),0,1,1)</f>
        <v>43910</v>
      </c>
      <c r="AQ122" s="141">
        <f ca="1">OFFSET(Pay!$Q$2,MATCH(AQ$4,Pay!$Q$3:$Q$18,1),0,1,1)</f>
        <v>43910</v>
      </c>
      <c r="AR122" s="141">
        <f ca="1">OFFSET(Pay!$Q$2,MATCH(AR$4,Pay!$Q$3:$Q$18,1),0,1,1)</f>
        <v>43910</v>
      </c>
      <c r="AS122" s="141">
        <f ca="1">OFFSET(Pay!$Q$2,MATCH(AS$4,Pay!$Q$3:$Q$18,1),0,1,1)</f>
        <v>43910</v>
      </c>
      <c r="AT122" s="141">
        <f ca="1">OFFSET(Pay!$Q$2,MATCH(AT$4,Pay!$Q$3:$Q$18,1),0,1,1)</f>
        <v>43910</v>
      </c>
      <c r="AU122" s="141">
        <f ca="1">OFFSET(Pay!$Q$2,MATCH(AU$4,Pay!$Q$3:$Q$18,1),0,1,1)</f>
        <v>43910</v>
      </c>
      <c r="AV122" s="141">
        <f ca="1">OFFSET(Pay!$Q$2,MATCH(AV$4,Pay!$Q$3:$Q$18,1),0,1,1)</f>
        <v>43910</v>
      </c>
      <c r="AW122" s="141">
        <f ca="1">OFFSET(Pay!$Q$2,MATCH(AW$4,Pay!$Q$3:$Q$18,1),0,1,1)</f>
        <v>43910</v>
      </c>
      <c r="AX122" s="141">
        <f ca="1">OFFSET(Pay!$Q$2,MATCH(AX$4,Pay!$Q$3:$Q$18,1),0,1,1)</f>
        <v>43910</v>
      </c>
      <c r="AY122" s="141">
        <f ca="1">OFFSET(Pay!$Q$2,MATCH(AY$4,Pay!$Q$3:$Q$18,1),0,1,1)</f>
        <v>43910</v>
      </c>
      <c r="AZ122" s="141">
        <f ca="1">OFFSET(Pay!$Q$2,MATCH(AZ$4,Pay!$Q$3:$Q$18,1),0,1,1)</f>
        <v>43910</v>
      </c>
      <c r="BA122" s="141">
        <f ca="1">OFFSET(Pay!$Q$2,MATCH(BA$4,Pay!$Q$3:$Q$18,1),0,1,1)</f>
        <v>43910</v>
      </c>
      <c r="BB122" s="141">
        <f ca="1">OFFSET(Pay!$Q$2,MATCH(BB$4,Pay!$Q$3:$Q$18,1),0,1,1)</f>
        <v>43910</v>
      </c>
      <c r="BC122" s="141">
        <f ca="1">OFFSET(Pay!$Q$2,MATCH(BC$4,Pay!$Q$3:$Q$18,1),0,1,1)</f>
        <v>43910</v>
      </c>
    </row>
    <row r="123" spans="1:60" s="20" customFormat="1" ht="16.149999999999999" customHeight="1" x14ac:dyDescent="0.25">
      <c r="A123" s="292"/>
      <c r="B123" s="6" t="s">
        <v>287</v>
      </c>
      <c r="C123" s="25" t="str">
        <f ca="1">IF(C121&gt;C122,"Yes","No")</f>
        <v>Yes</v>
      </c>
      <c r="D123" s="25" t="str">
        <f t="shared" ref="D123:BC123" ca="1" si="41">IF(D121&gt;D122,"Yes","No")</f>
        <v>Yes</v>
      </c>
      <c r="E123" s="25" t="str">
        <f t="shared" ca="1" si="41"/>
        <v>Yes</v>
      </c>
      <c r="F123" s="25" t="str">
        <f t="shared" ca="1" si="41"/>
        <v>No</v>
      </c>
      <c r="G123" s="25" t="str">
        <f t="shared" ca="1" si="41"/>
        <v>No</v>
      </c>
      <c r="H123" s="25" t="str">
        <f t="shared" ca="1" si="41"/>
        <v>No</v>
      </c>
      <c r="I123" s="25" t="str">
        <f t="shared" ca="1" si="41"/>
        <v>No</v>
      </c>
      <c r="J123" s="25" t="str">
        <f t="shared" ca="1" si="41"/>
        <v>No</v>
      </c>
      <c r="K123" s="25" t="str">
        <f t="shared" ca="1" si="41"/>
        <v>No</v>
      </c>
      <c r="L123" s="25" t="str">
        <f t="shared" ca="1" si="41"/>
        <v>No</v>
      </c>
      <c r="M123" s="25" t="str">
        <f t="shared" ca="1" si="41"/>
        <v>No</v>
      </c>
      <c r="N123" s="25" t="str">
        <f t="shared" ca="1" si="41"/>
        <v>No</v>
      </c>
      <c r="O123" s="25" t="str">
        <f t="shared" ca="1" si="41"/>
        <v>No</v>
      </c>
      <c r="P123" s="25" t="str">
        <f t="shared" ca="1" si="41"/>
        <v>No</v>
      </c>
      <c r="Q123" s="25" t="str">
        <f t="shared" ca="1" si="41"/>
        <v>No</v>
      </c>
      <c r="R123" s="25" t="str">
        <f t="shared" ca="1" si="41"/>
        <v>No</v>
      </c>
      <c r="S123" s="25" t="str">
        <f t="shared" ca="1" si="41"/>
        <v>No</v>
      </c>
      <c r="T123" s="25" t="str">
        <f t="shared" ca="1" si="41"/>
        <v>No</v>
      </c>
      <c r="U123" s="25" t="str">
        <f t="shared" ca="1" si="41"/>
        <v>No</v>
      </c>
      <c r="V123" s="25" t="str">
        <f t="shared" ca="1" si="41"/>
        <v>No</v>
      </c>
      <c r="W123" s="25" t="str">
        <f t="shared" ca="1" si="41"/>
        <v>No</v>
      </c>
      <c r="X123" s="25" t="str">
        <f t="shared" ca="1" si="41"/>
        <v>No</v>
      </c>
      <c r="Y123" s="25" t="str">
        <f t="shared" ca="1" si="41"/>
        <v>No</v>
      </c>
      <c r="Z123" s="25" t="str">
        <f t="shared" ca="1" si="41"/>
        <v>No</v>
      </c>
      <c r="AA123" s="25" t="str">
        <f t="shared" ca="1" si="41"/>
        <v>No</v>
      </c>
      <c r="AB123" s="25" t="str">
        <f t="shared" ca="1" si="41"/>
        <v>No</v>
      </c>
      <c r="AC123" s="25" t="str">
        <f t="shared" ca="1" si="41"/>
        <v>No</v>
      </c>
      <c r="AD123" s="25" t="str">
        <f t="shared" ca="1" si="41"/>
        <v>No</v>
      </c>
      <c r="AE123" s="25" t="str">
        <f t="shared" ca="1" si="41"/>
        <v>No</v>
      </c>
      <c r="AF123" s="25" t="str">
        <f t="shared" ca="1" si="41"/>
        <v>No</v>
      </c>
      <c r="AG123" s="25" t="str">
        <f t="shared" ca="1" si="41"/>
        <v>No</v>
      </c>
      <c r="AH123" s="25" t="str">
        <f t="shared" ca="1" si="41"/>
        <v>No</v>
      </c>
      <c r="AI123" s="25" t="str">
        <f t="shared" ca="1" si="41"/>
        <v>No</v>
      </c>
      <c r="AJ123" s="25" t="str">
        <f t="shared" ca="1" si="41"/>
        <v>No</v>
      </c>
      <c r="AK123" s="25" t="str">
        <f t="shared" ca="1" si="41"/>
        <v>No</v>
      </c>
      <c r="AL123" s="25" t="str">
        <f t="shared" ca="1" si="41"/>
        <v>No</v>
      </c>
      <c r="AM123" s="25" t="str">
        <f t="shared" ca="1" si="41"/>
        <v>No</v>
      </c>
      <c r="AN123" s="25" t="str">
        <f t="shared" ca="1" si="41"/>
        <v>No</v>
      </c>
      <c r="AO123" s="25" t="str">
        <f t="shared" ca="1" si="41"/>
        <v>No</v>
      </c>
      <c r="AP123" s="25" t="str">
        <f t="shared" ca="1" si="41"/>
        <v>No</v>
      </c>
      <c r="AQ123" s="25" t="str">
        <f t="shared" ca="1" si="41"/>
        <v>No</v>
      </c>
      <c r="AR123" s="25" t="str">
        <f t="shared" ca="1" si="41"/>
        <v>No</v>
      </c>
      <c r="AS123" s="25" t="str">
        <f t="shared" ca="1" si="41"/>
        <v>No</v>
      </c>
      <c r="AT123" s="25" t="str">
        <f t="shared" ca="1" si="41"/>
        <v>No</v>
      </c>
      <c r="AU123" s="25" t="str">
        <f t="shared" ca="1" si="41"/>
        <v>No</v>
      </c>
      <c r="AV123" s="25" t="str">
        <f t="shared" ca="1" si="41"/>
        <v>No</v>
      </c>
      <c r="AW123" s="25" t="str">
        <f t="shared" ca="1" si="41"/>
        <v>No</v>
      </c>
      <c r="AX123" s="25" t="str">
        <f t="shared" ca="1" si="41"/>
        <v>No</v>
      </c>
      <c r="AY123" s="25" t="str">
        <f t="shared" ca="1" si="41"/>
        <v>No</v>
      </c>
      <c r="AZ123" s="25" t="str">
        <f t="shared" ca="1" si="41"/>
        <v>No</v>
      </c>
      <c r="BA123" s="25" t="str">
        <f t="shared" ca="1" si="41"/>
        <v>No</v>
      </c>
      <c r="BB123" s="25" t="str">
        <f t="shared" ca="1" si="41"/>
        <v>Yes</v>
      </c>
      <c r="BC123" s="25" t="str">
        <f t="shared" ca="1" si="41"/>
        <v>Yes</v>
      </c>
      <c r="BD123" s="140"/>
      <c r="BE123" s="140"/>
      <c r="BF123" s="140"/>
      <c r="BG123" s="140"/>
      <c r="BH123" s="140"/>
    </row>
  </sheetData>
  <phoneticPr fontId="3" type="noConversion"/>
  <pageMargins left="0.59055118110236227" right="0.59055118110236227" top="0.59055118110236227" bottom="0.59055118110236227" header="0.39370078740157483" footer="0.39370078740157483"/>
  <pageSetup paperSize="9" scale="53" fitToWidth="5" fitToHeight="2" orientation="landscape"/>
  <headerFooter alignWithMargins="0">
    <oddFooter>&amp;C&amp;9Page &amp;P of &amp;N</oddFooter>
  </headerFooter>
  <rowBreaks count="1" manualBreakCount="1">
    <brk id="44" min="1" max="59" man="1"/>
  </rowBreaks>
  <colBreaks count="4" manualBreakCount="4">
    <brk id="16" max="86" man="1"/>
    <brk id="29" max="86" man="1"/>
    <brk id="42" max="86" man="1"/>
    <brk id="55" max="86"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53" customWidth="1"/>
    <col min="2" max="2" width="15.7109375" style="161" customWidth="1"/>
    <col min="3" max="8" width="13.7109375" style="17" customWidth="1"/>
    <col min="9" max="9" width="13.7109375" style="143" customWidth="1"/>
    <col min="10" max="13" width="15.7109375" style="17" customWidth="1"/>
    <col min="14" max="18" width="15.7109375" style="2" customWidth="1"/>
    <col min="19" max="16384" width="9.140625" style="2"/>
  </cols>
  <sheetData>
    <row r="1" spans="1:13" ht="16.149999999999999" customHeight="1" x14ac:dyDescent="0.25">
      <c r="A1" s="289" t="str">
        <f>IF(ISBLANK(Assumptions!$C$4),"Example Limited",Assumptions!$C$4)</f>
        <v>Example (Pty) Limited</v>
      </c>
      <c r="B1" s="142"/>
      <c r="D1" s="4"/>
      <c r="H1" s="95"/>
    </row>
    <row r="2" spans="1:13" ht="16.149999999999999" customHeight="1" x14ac:dyDescent="0.25">
      <c r="A2" s="144" t="s">
        <v>223</v>
      </c>
      <c r="B2" s="145"/>
    </row>
    <row r="3" spans="1:13" ht="16.149999999999999" customHeight="1" x14ac:dyDescent="0.25">
      <c r="A3" s="144"/>
      <c r="B3" s="145"/>
    </row>
    <row r="4" spans="1:13" ht="16.149999999999999" customHeight="1" x14ac:dyDescent="0.25">
      <c r="A4" s="146" t="s">
        <v>33</v>
      </c>
      <c r="B4" s="147">
        <f>Assumptions!$C$76</f>
        <v>0.10249999999999999</v>
      </c>
      <c r="D4" s="148"/>
    </row>
    <row r="5" spans="1:13" ht="16.149999999999999" customHeight="1" x14ac:dyDescent="0.25">
      <c r="A5" s="149" t="s">
        <v>38</v>
      </c>
      <c r="B5" s="150">
        <f>Assumptions!$C$77</f>
        <v>10</v>
      </c>
      <c r="D5" s="151"/>
    </row>
    <row r="6" spans="1:13" ht="16.149999999999999" customHeight="1" x14ac:dyDescent="0.25">
      <c r="A6" s="149" t="s">
        <v>39</v>
      </c>
      <c r="B6" s="150" t="str">
        <f>Assumptions!$C$78</f>
        <v>No</v>
      </c>
      <c r="D6" s="152"/>
    </row>
    <row r="7" spans="1:13" ht="16.149999999999999" customHeight="1" x14ac:dyDescent="0.25">
      <c r="B7" s="154" t="s">
        <v>50</v>
      </c>
    </row>
    <row r="8" spans="1:13" s="160" customFormat="1" ht="25.5"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149999999999999" customHeight="1" x14ac:dyDescent="0.25">
      <c r="A9" s="146">
        <f ca="1">IF(ISBLANK(Assumptions!$C$5)=TRUE,DATE(YEAR(TODAY()),MONTH(TODAY()),1),DATE(YEAR(Assumptions!$C$5),MONTH(Assumptions!$C$5),DAY(Assumptions!$C$5)))</f>
        <v>43891</v>
      </c>
      <c r="B9" s="161">
        <f ca="1">IF(Assumptions!$C$79&gt;=DAY($A$9),DATE(YEAR(A9),MONTH(A9),IF(AND(MONTH($A$9)=2,Assumptions!$C$79&gt;28),28,Assumptions!$C$79)),DATE(YEAR(A9),MONTH(A9)+1,IF(AND(MONTH($A$9)=2,Assumptions!$C$79&gt;28),28,Assumptions!$C$79)))</f>
        <v>43895</v>
      </c>
      <c r="C9" s="162">
        <v>0</v>
      </c>
      <c r="D9" s="162">
        <f ca="1">-SUMIF(Assumptions!$A$81:$C$104,"LT1",Assumptions!$C$81:$C$104)</f>
        <v>1200000</v>
      </c>
      <c r="E9" s="162">
        <v>0</v>
      </c>
      <c r="F9" s="162">
        <v>0</v>
      </c>
      <c r="G9" s="163">
        <f t="shared" ref="G9:G40" si="0">IF($B$6="Yes",0,E9-F9)</f>
        <v>0</v>
      </c>
      <c r="H9" s="164">
        <f ca="1">IF(ROUND(SUM(C9:D9,-G9),0)=0,0,IF($B$6="Yes",SUM($D$9:D9),SUM(C9:D9,-G9)))</f>
        <v>1200000</v>
      </c>
      <c r="I9" s="143" t="str">
        <f>"-"</f>
        <v>-</v>
      </c>
      <c r="J9" s="162"/>
      <c r="K9" s="162"/>
      <c r="L9" s="162"/>
      <c r="M9" s="162"/>
    </row>
    <row r="10" spans="1:13" s="107" customFormat="1" ht="16.149999999999999" customHeight="1" x14ac:dyDescent="0.25">
      <c r="A10" s="146">
        <f ca="1">IF(ISBLANK(Assumptions!$C$5)=TRUE,DATE(YEAR(TODAY()),MONTH(TODAY()),7),DATE(YEAR(Assumptions!$C$5),MONTH(Assumptions!$C$5),DAY(Assumptions!$C$5)+6))</f>
        <v>43897</v>
      </c>
      <c r="B10" s="161">
        <f ca="1">IF(AND(B9&gt;A9,B9&lt;=A10),B9,DATE(YEAR(A10),MONTH(A10),IF(AND(MONTH(A10)=2,Assumptions!$C$79&gt;28),28,Assumptions!$C$79)))</f>
        <v>43895</v>
      </c>
      <c r="C10" s="162">
        <f ca="1">H9</f>
        <v>1200000</v>
      </c>
      <c r="D10" s="162">
        <f ca="1">IF(ISNA(MATCH($A10,Months,0))=TRUE,0,OFFSET(Forecast!$B$99,0,MATCH($A10,Months,0),1,1))</f>
        <v>0</v>
      </c>
      <c r="E10" s="163">
        <f ca="1">IF(AND(B10&gt;A9,B10&lt;=A10),IF($B$6="Yes",0,IF(ROW(D10)-ROW($D$9)&gt;$B$5*52,-PMT($B$4/12,$B$5*12,SUM(OFFSET(D10,0,0,-$B$5*12,1)),0,0),-PMT($B$4/12,$B$5*12,SUM(OFFSET(D10,0,0,ROW($D$8)-ROW(D10),1)),0,0))),0)</f>
        <v>16024.680225213191</v>
      </c>
      <c r="F10" s="163">
        <f ca="1">IF(AND(B10&gt;A9,B10&lt;=A10),(H9+D10)*$B$4/12,0)</f>
        <v>10249.999999999998</v>
      </c>
      <c r="G10" s="163">
        <f t="shared" ca="1" si="0"/>
        <v>5774.6802252131929</v>
      </c>
      <c r="H10" s="164">
        <f ca="1">IF(ROUND(SUM(C10:D10,-G10),0)=0,0,IF($B$6="Yes",SUM($D$9:D10),SUM(C10:D10,-G10)))</f>
        <v>1194225.3197747867</v>
      </c>
      <c r="I10" s="165">
        <f ca="1">IF(E10&gt;0,MAX(I$9:I9)+1,"-")</f>
        <v>1</v>
      </c>
      <c r="J10" s="162"/>
      <c r="K10" s="162"/>
      <c r="L10" s="162"/>
      <c r="M10" s="162"/>
    </row>
    <row r="11" spans="1:13" s="107" customFormat="1" ht="16.149999999999999" customHeight="1" x14ac:dyDescent="0.25">
      <c r="A11" s="146">
        <f ca="1">DATE(YEAR(A10),MONTH(A10),DAY(A10)+7)</f>
        <v>43904</v>
      </c>
      <c r="B11" s="161">
        <f ca="1">IF(AND(B10&gt;A10,B10&lt;=A11),B10,DATE(YEAR(A11),MONTH(A11),IF(AND(MONTH(A11)=2,Assumptions!$C$79&gt;28),28,Assumptions!$C$79)))</f>
        <v>43895</v>
      </c>
      <c r="C11" s="162">
        <f t="shared" ref="C11:C61" ca="1" si="1">H10</f>
        <v>1194225.3197747867</v>
      </c>
      <c r="D11" s="162">
        <f ca="1">IF(ISNA(MATCH($A11,Months,0))=TRUE,0,OFFSET(Forecast!$B$99,0,MATCH($A11,Months,0),1,1))</f>
        <v>0</v>
      </c>
      <c r="E11" s="163">
        <f t="shared" ref="E11:E61" ca="1" si="2">IF(AND(B11&gt;A10,B11&lt;=A11),IF($B$6="Yes",0,IF(ROW(D11)-ROW($D$9)&gt;$B$5*52,-PMT($B$4/12,$B$5*12,SUM(OFFSET(D11,0,0,-$B$5*12,1)),0,0),-PMT($B$4/12,$B$5*12,SUM(OFFSET(D11,0,0,ROW($D$8)-ROW(D11),1)),0,0))),0)</f>
        <v>0</v>
      </c>
      <c r="F11" s="163">
        <f t="shared" ref="F11:F61" ca="1" si="3">IF(AND(B11&gt;A10,B11&lt;=A11),(H10+D11)*$B$4/12,0)</f>
        <v>0</v>
      </c>
      <c r="G11" s="163">
        <f t="shared" ca="1" si="0"/>
        <v>0</v>
      </c>
      <c r="H11" s="164">
        <f ca="1">IF(ROUND(SUM(C11:D11,-G11),0)=0,0,IF($B$6="Yes",SUM($D$9:D11),SUM(C11:D11,-G11)))</f>
        <v>1194225.3197747867</v>
      </c>
      <c r="I11" s="165" t="str">
        <f ca="1">IF(E11&gt;0,MAX(I$9:I10)+1,"-")</f>
        <v>-</v>
      </c>
      <c r="J11" s="162"/>
      <c r="K11" s="162"/>
      <c r="L11" s="162"/>
      <c r="M11" s="162"/>
    </row>
    <row r="12" spans="1:13" s="107" customFormat="1" ht="16.149999999999999" customHeight="1" x14ac:dyDescent="0.25">
      <c r="A12" s="146">
        <f t="shared" ref="A12:A61" ca="1" si="4">DATE(YEAR(A11),MONTH(A11),DAY(A11)+7)</f>
        <v>43911</v>
      </c>
      <c r="B12" s="161">
        <f ca="1">IF(AND(B11&gt;A11,B11&lt;=A12),B11,DATE(YEAR(A12),MONTH(A12),IF(AND(MONTH(A12)=2,Assumptions!$C$79&gt;28),28,Assumptions!$C$79)))</f>
        <v>43895</v>
      </c>
      <c r="C12" s="162">
        <f t="shared" ca="1" si="1"/>
        <v>1194225.3197747867</v>
      </c>
      <c r="D12" s="162">
        <f ca="1">IF(ISNA(MATCH($A12,Months,0))=TRUE,0,OFFSET(Forecast!$B$99,0,MATCH($A12,Months,0),1,1))</f>
        <v>0</v>
      </c>
      <c r="E12" s="163">
        <f t="shared" ca="1" si="2"/>
        <v>0</v>
      </c>
      <c r="F12" s="163">
        <f t="shared" ca="1" si="3"/>
        <v>0</v>
      </c>
      <c r="G12" s="163">
        <f t="shared" ca="1" si="0"/>
        <v>0</v>
      </c>
      <c r="H12" s="164">
        <f ca="1">IF(ROUND(SUM(C12:D12,-G12),0)=0,0,IF($B$6="Yes",SUM($D$9:D12),SUM(C12:D12,-G12)))</f>
        <v>1194225.3197747867</v>
      </c>
      <c r="I12" s="165" t="str">
        <f ca="1">IF(E12&gt;0,MAX(I$9:I11)+1,"-")</f>
        <v>-</v>
      </c>
      <c r="J12" s="162"/>
      <c r="K12" s="162"/>
      <c r="L12" s="162"/>
      <c r="M12" s="162"/>
    </row>
    <row r="13" spans="1:13" s="107" customFormat="1" ht="16.149999999999999" customHeight="1" x14ac:dyDescent="0.25">
      <c r="A13" s="146">
        <f t="shared" ca="1" si="4"/>
        <v>43918</v>
      </c>
      <c r="B13" s="161">
        <f ca="1">IF(AND(B12&gt;A12,B12&lt;=A13),B12,DATE(YEAR(A13),MONTH(A13),IF(AND(MONTH(A13)=2,Assumptions!$C$79&gt;28),28,Assumptions!$C$79)))</f>
        <v>43895</v>
      </c>
      <c r="C13" s="162">
        <f t="shared" ca="1" si="1"/>
        <v>1194225.3197747867</v>
      </c>
      <c r="D13" s="162">
        <f ca="1">IF(ISNA(MATCH($A13,Months,0))=TRUE,0,OFFSET(Forecast!$B$99,0,MATCH($A13,Months,0),1,1))</f>
        <v>0</v>
      </c>
      <c r="E13" s="163">
        <f t="shared" ca="1" si="2"/>
        <v>0</v>
      </c>
      <c r="F13" s="163">
        <f t="shared" ca="1" si="3"/>
        <v>0</v>
      </c>
      <c r="G13" s="163">
        <f t="shared" ca="1" si="0"/>
        <v>0</v>
      </c>
      <c r="H13" s="164">
        <f ca="1">IF(ROUND(SUM(C13:D13,-G13),0)=0,0,IF($B$6="Yes",SUM($D$9:D13),SUM(C13:D13,-G13)))</f>
        <v>1194225.3197747867</v>
      </c>
      <c r="I13" s="165" t="str">
        <f ca="1">IF(E13&gt;0,MAX(I$9:I12)+1,"-")</f>
        <v>-</v>
      </c>
      <c r="J13" s="162"/>
      <c r="K13" s="162"/>
      <c r="L13" s="162"/>
      <c r="M13" s="162"/>
    </row>
    <row r="14" spans="1:13" s="107" customFormat="1" ht="16.149999999999999" customHeight="1" x14ac:dyDescent="0.25">
      <c r="A14" s="146">
        <f t="shared" ca="1" si="4"/>
        <v>43925</v>
      </c>
      <c r="B14" s="161">
        <f ca="1">IF(AND(B13&gt;A13,B13&lt;=A14),B13,DATE(YEAR(A14),MONTH(A14),IF(AND(MONTH(A14)=2,Assumptions!$C$79&gt;28),28,Assumptions!$C$79)))</f>
        <v>43926</v>
      </c>
      <c r="C14" s="162">
        <f t="shared" ca="1" si="1"/>
        <v>1194225.3197747867</v>
      </c>
      <c r="D14" s="162">
        <f ca="1">IF(ISNA(MATCH($A14,Months,0))=TRUE,0,OFFSET(Forecast!$B$99,0,MATCH($A14,Months,0),1,1))</f>
        <v>0</v>
      </c>
      <c r="E14" s="163">
        <f t="shared" ca="1" si="2"/>
        <v>0</v>
      </c>
      <c r="F14" s="163">
        <f t="shared" ca="1" si="3"/>
        <v>0</v>
      </c>
      <c r="G14" s="163">
        <f t="shared" ca="1" si="0"/>
        <v>0</v>
      </c>
      <c r="H14" s="164">
        <f ca="1">IF(ROUND(SUM(C14:D14,-G14),0)=0,0,IF($B$6="Yes",SUM($D$9:D14),SUM(C14:D14,-G14)))</f>
        <v>1194225.3197747867</v>
      </c>
      <c r="I14" s="165" t="str">
        <f ca="1">IF(E14&gt;0,MAX(I$9:I13)+1,"-")</f>
        <v>-</v>
      </c>
      <c r="J14" s="162"/>
      <c r="K14" s="162"/>
      <c r="L14" s="162"/>
      <c r="M14" s="162"/>
    </row>
    <row r="15" spans="1:13" s="107" customFormat="1" ht="16.149999999999999" customHeight="1" x14ac:dyDescent="0.25">
      <c r="A15" s="146">
        <f t="shared" ca="1" si="4"/>
        <v>43932</v>
      </c>
      <c r="B15" s="161">
        <f ca="1">IF(AND(B14&gt;A14,B14&lt;=A15),B14,DATE(YEAR(A15),MONTH(A15),IF(AND(MONTH(A15)=2,Assumptions!$C$79&gt;28),28,Assumptions!$C$79)))</f>
        <v>43926</v>
      </c>
      <c r="C15" s="162">
        <f t="shared" ca="1" si="1"/>
        <v>1194225.3197747867</v>
      </c>
      <c r="D15" s="162">
        <f ca="1">IF(ISNA(MATCH($A15,Months,0))=TRUE,0,OFFSET(Forecast!$B$99,0,MATCH($A15,Months,0),1,1))</f>
        <v>0</v>
      </c>
      <c r="E15" s="163">
        <f t="shared" ca="1" si="2"/>
        <v>16024.680225213191</v>
      </c>
      <c r="F15" s="163">
        <f t="shared" ca="1" si="3"/>
        <v>10200.674606409635</v>
      </c>
      <c r="G15" s="163">
        <f t="shared" ca="1" si="0"/>
        <v>5824.005618803556</v>
      </c>
      <c r="H15" s="164">
        <f ca="1">IF(ROUND(SUM(C15:D15,-G15),0)=0,0,IF($B$6="Yes",SUM($D$9:D15),SUM(C15:D15,-G15)))</f>
        <v>1188401.314155983</v>
      </c>
      <c r="I15" s="165">
        <f ca="1">IF(E15&gt;0,MAX(I$9:I14)+1,"-")</f>
        <v>2</v>
      </c>
      <c r="J15" s="162"/>
      <c r="K15" s="162"/>
      <c r="L15" s="162"/>
      <c r="M15" s="162"/>
    </row>
    <row r="16" spans="1:13" s="107" customFormat="1" ht="16.149999999999999" customHeight="1" x14ac:dyDescent="0.25">
      <c r="A16" s="146">
        <f t="shared" ca="1" si="4"/>
        <v>43939</v>
      </c>
      <c r="B16" s="161">
        <f ca="1">IF(AND(B15&gt;A15,B15&lt;=A16),B15,DATE(YEAR(A16),MONTH(A16),IF(AND(MONTH(A16)=2,Assumptions!$C$79&gt;28),28,Assumptions!$C$79)))</f>
        <v>43926</v>
      </c>
      <c r="C16" s="162">
        <f t="shared" ca="1" si="1"/>
        <v>1188401.314155983</v>
      </c>
      <c r="D16" s="162">
        <f ca="1">IF(ISNA(MATCH($A16,Months,0))=TRUE,0,OFFSET(Forecast!$B$99,0,MATCH($A16,Months,0),1,1))</f>
        <v>0</v>
      </c>
      <c r="E16" s="163">
        <f t="shared" ca="1" si="2"/>
        <v>0</v>
      </c>
      <c r="F16" s="163">
        <f t="shared" ca="1" si="3"/>
        <v>0</v>
      </c>
      <c r="G16" s="163">
        <f t="shared" ca="1" si="0"/>
        <v>0</v>
      </c>
      <c r="H16" s="164">
        <f ca="1">IF(ROUND(SUM(C16:D16,-G16),0)=0,0,IF($B$6="Yes",SUM($D$9:D16),SUM(C16:D16,-G16)))</f>
        <v>1188401.314155983</v>
      </c>
      <c r="I16" s="165" t="str">
        <f ca="1">IF(E16&gt;0,MAX(I$9:I15)+1,"-")</f>
        <v>-</v>
      </c>
      <c r="J16" s="162"/>
      <c r="K16" s="162"/>
      <c r="L16" s="162"/>
      <c r="M16" s="162"/>
    </row>
    <row r="17" spans="1:13" s="107" customFormat="1" ht="16.149999999999999" customHeight="1" x14ac:dyDescent="0.25">
      <c r="A17" s="146">
        <f t="shared" ca="1" si="4"/>
        <v>43946</v>
      </c>
      <c r="B17" s="161">
        <f ca="1">IF(AND(B16&gt;A16,B16&lt;=A17),B16,DATE(YEAR(A17),MONTH(A17),IF(AND(MONTH(A17)=2,Assumptions!$C$79&gt;28),28,Assumptions!$C$79)))</f>
        <v>43926</v>
      </c>
      <c r="C17" s="162">
        <f t="shared" ca="1" si="1"/>
        <v>1188401.314155983</v>
      </c>
      <c r="D17" s="162">
        <f ca="1">IF(ISNA(MATCH($A17,Months,0))=TRUE,0,OFFSET(Forecast!$B$99,0,MATCH($A17,Months,0),1,1))</f>
        <v>0</v>
      </c>
      <c r="E17" s="163">
        <f t="shared" ca="1" si="2"/>
        <v>0</v>
      </c>
      <c r="F17" s="163">
        <f t="shared" ca="1" si="3"/>
        <v>0</v>
      </c>
      <c r="G17" s="163">
        <f t="shared" ca="1" si="0"/>
        <v>0</v>
      </c>
      <c r="H17" s="164">
        <f ca="1">IF(ROUND(SUM(C17:D17,-G17),0)=0,0,IF($B$6="Yes",SUM($D$9:D17),SUM(C17:D17,-G17)))</f>
        <v>1188401.314155983</v>
      </c>
      <c r="I17" s="165" t="str">
        <f ca="1">IF(E17&gt;0,MAX(I$9:I16)+1,"-")</f>
        <v>-</v>
      </c>
      <c r="J17" s="162"/>
      <c r="K17" s="162"/>
      <c r="L17" s="162"/>
      <c r="M17" s="162"/>
    </row>
    <row r="18" spans="1:13" s="107" customFormat="1" ht="16.149999999999999" customHeight="1" x14ac:dyDescent="0.25">
      <c r="A18" s="146">
        <f t="shared" ca="1" si="4"/>
        <v>43953</v>
      </c>
      <c r="B18" s="161">
        <f ca="1">IF(AND(B17&gt;A17,B17&lt;=A18),B17,DATE(YEAR(A18),MONTH(A18),IF(AND(MONTH(A18)=2,Assumptions!$C$79&gt;28),28,Assumptions!$C$79)))</f>
        <v>43956</v>
      </c>
      <c r="C18" s="162">
        <f t="shared" ca="1" si="1"/>
        <v>1188401.314155983</v>
      </c>
      <c r="D18" s="162">
        <f ca="1">IF(ISNA(MATCH($A18,Months,0))=TRUE,0,OFFSET(Forecast!$B$99,0,MATCH($A18,Months,0),1,1))</f>
        <v>0</v>
      </c>
      <c r="E18" s="163">
        <f t="shared" ca="1" si="2"/>
        <v>0</v>
      </c>
      <c r="F18" s="163">
        <f t="shared" ca="1" si="3"/>
        <v>0</v>
      </c>
      <c r="G18" s="163">
        <f t="shared" ca="1" si="0"/>
        <v>0</v>
      </c>
      <c r="H18" s="164">
        <f ca="1">IF(ROUND(SUM(C18:D18,-G18),0)=0,0,IF($B$6="Yes",SUM($D$9:D18),SUM(C18:D18,-G18)))</f>
        <v>1188401.314155983</v>
      </c>
      <c r="I18" s="165" t="str">
        <f ca="1">IF(E18&gt;0,MAX(I$9:I17)+1,"-")</f>
        <v>-</v>
      </c>
      <c r="J18" s="162"/>
      <c r="K18" s="162"/>
      <c r="L18" s="162"/>
      <c r="M18" s="162"/>
    </row>
    <row r="19" spans="1:13" s="107" customFormat="1" ht="16.149999999999999" customHeight="1" x14ac:dyDescent="0.25">
      <c r="A19" s="146">
        <f t="shared" ca="1" si="4"/>
        <v>43960</v>
      </c>
      <c r="B19" s="161">
        <f ca="1">IF(AND(B18&gt;A18,B18&lt;=A19),B18,DATE(YEAR(A19),MONTH(A19),IF(AND(MONTH(A19)=2,Assumptions!$C$79&gt;28),28,Assumptions!$C$79)))</f>
        <v>43956</v>
      </c>
      <c r="C19" s="162">
        <f t="shared" ca="1" si="1"/>
        <v>1188401.314155983</v>
      </c>
      <c r="D19" s="162">
        <f ca="1">IF(ISNA(MATCH($A19,Months,0))=TRUE,0,OFFSET(Forecast!$B$99,0,MATCH($A19,Months,0),1,1))</f>
        <v>0</v>
      </c>
      <c r="E19" s="163">
        <f t="shared" ca="1" si="2"/>
        <v>16024.680225213191</v>
      </c>
      <c r="F19" s="163">
        <f t="shared" ca="1" si="3"/>
        <v>10150.927891749021</v>
      </c>
      <c r="G19" s="163">
        <f t="shared" ca="1" si="0"/>
        <v>5873.7523334641701</v>
      </c>
      <c r="H19" s="164">
        <f ca="1">IF(ROUND(SUM(C19:D19,-G19),0)=0,0,IF($B$6="Yes",SUM($D$9:D19),SUM(C19:D19,-G19)))</f>
        <v>1182527.5618225189</v>
      </c>
      <c r="I19" s="165">
        <f ca="1">IF(E19&gt;0,MAX(I$9:I18)+1,"-")</f>
        <v>3</v>
      </c>
      <c r="J19" s="162"/>
      <c r="K19" s="162"/>
      <c r="L19" s="162"/>
      <c r="M19" s="162"/>
    </row>
    <row r="20" spans="1:13" ht="16.149999999999999" customHeight="1" x14ac:dyDescent="0.25">
      <c r="A20" s="146">
        <f t="shared" ca="1" si="4"/>
        <v>43967</v>
      </c>
      <c r="B20" s="161">
        <f ca="1">IF(AND(B19&gt;A19,B19&lt;=A20),B19,DATE(YEAR(A20),MONTH(A20),IF(AND(MONTH(A20)=2,Assumptions!$C$79&gt;28),28,Assumptions!$C$79)))</f>
        <v>43956</v>
      </c>
      <c r="C20" s="162">
        <f t="shared" ca="1" si="1"/>
        <v>1182527.5618225189</v>
      </c>
      <c r="D20" s="162">
        <f ca="1">IF(ISNA(MATCH($A20,Months,0))=TRUE,0,OFFSET(Forecast!$B$99,0,MATCH($A20,Months,0),1,1))</f>
        <v>0</v>
      </c>
      <c r="E20" s="163">
        <f t="shared" ca="1" si="2"/>
        <v>0</v>
      </c>
      <c r="F20" s="163">
        <f t="shared" ca="1" si="3"/>
        <v>0</v>
      </c>
      <c r="G20" s="163">
        <f t="shared" ca="1" si="0"/>
        <v>0</v>
      </c>
      <c r="H20" s="164">
        <f ca="1">IF(ROUND(SUM(C20:D20,-G20),0)=0,0,IF($B$6="Yes",SUM($D$9:D20),SUM(C20:D20,-G20)))</f>
        <v>1182527.5618225189</v>
      </c>
      <c r="I20" s="165" t="str">
        <f ca="1">IF(E20&gt;0,MAX(I$9:I19)+1,"-")</f>
        <v>-</v>
      </c>
    </row>
    <row r="21" spans="1:13" ht="16.149999999999999" customHeight="1" x14ac:dyDescent="0.25">
      <c r="A21" s="146">
        <f t="shared" ca="1" si="4"/>
        <v>43974</v>
      </c>
      <c r="B21" s="161">
        <f ca="1">IF(AND(B20&gt;A20,B20&lt;=A21),B20,DATE(YEAR(A21),MONTH(A21),IF(AND(MONTH(A21)=2,Assumptions!$C$79&gt;28),28,Assumptions!$C$79)))</f>
        <v>43956</v>
      </c>
      <c r="C21" s="162">
        <f t="shared" ca="1" si="1"/>
        <v>1182527.5618225189</v>
      </c>
      <c r="D21" s="162">
        <f ca="1">IF(ISNA(MATCH($A21,Months,0))=TRUE,0,OFFSET(Forecast!$B$99,0,MATCH($A21,Months,0),1,1))</f>
        <v>0</v>
      </c>
      <c r="E21" s="163">
        <f t="shared" ca="1" si="2"/>
        <v>0</v>
      </c>
      <c r="F21" s="163">
        <f t="shared" ca="1" si="3"/>
        <v>0</v>
      </c>
      <c r="G21" s="163">
        <f t="shared" ca="1" si="0"/>
        <v>0</v>
      </c>
      <c r="H21" s="164">
        <f ca="1">IF(ROUND(SUM(C21:D21,-G21),0)=0,0,IF($B$6="Yes",SUM($D$9:D21),SUM(C21:D21,-G21)))</f>
        <v>1182527.5618225189</v>
      </c>
      <c r="I21" s="165" t="str">
        <f ca="1">IF(E21&gt;0,MAX(I$9:I20)+1,"-")</f>
        <v>-</v>
      </c>
    </row>
    <row r="22" spans="1:13" ht="16.149999999999999" customHeight="1" x14ac:dyDescent="0.25">
      <c r="A22" s="146">
        <f t="shared" ca="1" si="4"/>
        <v>43981</v>
      </c>
      <c r="B22" s="161">
        <f ca="1">IF(AND(B21&gt;A21,B21&lt;=A22),B21,DATE(YEAR(A22),MONTH(A22),IF(AND(MONTH(A22)=2,Assumptions!$C$79&gt;28),28,Assumptions!$C$79)))</f>
        <v>43956</v>
      </c>
      <c r="C22" s="162">
        <f t="shared" ca="1" si="1"/>
        <v>1182527.5618225189</v>
      </c>
      <c r="D22" s="162">
        <f ca="1">IF(ISNA(MATCH($A22,Months,0))=TRUE,0,OFFSET(Forecast!$B$99,0,MATCH($A22,Months,0),1,1))</f>
        <v>0</v>
      </c>
      <c r="E22" s="163">
        <f t="shared" ca="1" si="2"/>
        <v>0</v>
      </c>
      <c r="F22" s="163">
        <f t="shared" ca="1" si="3"/>
        <v>0</v>
      </c>
      <c r="G22" s="163">
        <f t="shared" ca="1" si="0"/>
        <v>0</v>
      </c>
      <c r="H22" s="164">
        <f ca="1">IF(ROUND(SUM(C22:D22,-G22),0)=0,0,IF($B$6="Yes",SUM($D$9:D22),SUM(C22:D22,-G22)))</f>
        <v>1182527.5618225189</v>
      </c>
      <c r="I22" s="165" t="str">
        <f ca="1">IF(E22&gt;0,MAX(I$9:I21)+1,"-")</f>
        <v>-</v>
      </c>
    </row>
    <row r="23" spans="1:13" s="119" customFormat="1" ht="16.149999999999999" customHeight="1" x14ac:dyDescent="0.25">
      <c r="A23" s="146">
        <f t="shared" ca="1" si="4"/>
        <v>43988</v>
      </c>
      <c r="B23" s="161">
        <f ca="1">IF(AND(B22&gt;A22,B22&lt;=A23),B22,DATE(YEAR(A23),MONTH(A23),IF(AND(MONTH(A23)=2,Assumptions!$C$79&gt;28),28,Assumptions!$C$79)))</f>
        <v>43987</v>
      </c>
      <c r="C23" s="162">
        <f t="shared" ca="1" si="1"/>
        <v>1182527.5618225189</v>
      </c>
      <c r="D23" s="162">
        <f ca="1">IF(ISNA(MATCH($A23,Months,0))=TRUE,0,OFFSET(Forecast!$B$99,0,MATCH($A23,Months,0),1,1))</f>
        <v>0</v>
      </c>
      <c r="E23" s="163">
        <f t="shared" ca="1" si="2"/>
        <v>16024.680225213191</v>
      </c>
      <c r="F23" s="163">
        <f t="shared" ca="1" si="3"/>
        <v>10100.756257234016</v>
      </c>
      <c r="G23" s="163">
        <f t="shared" ca="1" si="0"/>
        <v>5923.9239679791754</v>
      </c>
      <c r="H23" s="164">
        <f ca="1">IF(ROUND(SUM(C23:D23,-G23),0)=0,0,IF($B$6="Yes",SUM($D$9:D23),SUM(C23:D23,-G23)))</f>
        <v>1176603.6378545398</v>
      </c>
      <c r="I23" s="165">
        <f ca="1">IF(E23&gt;0,MAX(I$9:I22)+1,"-")</f>
        <v>4</v>
      </c>
      <c r="J23" s="166"/>
      <c r="K23" s="166"/>
      <c r="L23" s="166"/>
      <c r="M23" s="166"/>
    </row>
    <row r="24" spans="1:13" ht="16.149999999999999" customHeight="1" x14ac:dyDescent="0.25">
      <c r="A24" s="146">
        <f t="shared" ca="1" si="4"/>
        <v>43995</v>
      </c>
      <c r="B24" s="161">
        <f ca="1">IF(AND(B23&gt;A23,B23&lt;=A24),B23,DATE(YEAR(A24),MONTH(A24),IF(AND(MONTH(A24)=2,Assumptions!$C$79&gt;28),28,Assumptions!$C$79)))</f>
        <v>43987</v>
      </c>
      <c r="C24" s="162">
        <f t="shared" ca="1" si="1"/>
        <v>1176603.6378545398</v>
      </c>
      <c r="D24" s="162">
        <f ca="1">IF(ISNA(MATCH($A24,Months,0))=TRUE,0,OFFSET(Forecast!$B$99,0,MATCH($A24,Months,0),1,1))</f>
        <v>0</v>
      </c>
      <c r="E24" s="163">
        <f t="shared" ca="1" si="2"/>
        <v>0</v>
      </c>
      <c r="F24" s="163">
        <f t="shared" ca="1" si="3"/>
        <v>0</v>
      </c>
      <c r="G24" s="163">
        <f t="shared" ca="1" si="0"/>
        <v>0</v>
      </c>
      <c r="H24" s="164">
        <f ca="1">IF(ROUND(SUM(C24:D24,-G24),0)=0,0,IF($B$6="Yes",SUM($D$9:D24),SUM(C24:D24,-G24)))</f>
        <v>1176603.6378545398</v>
      </c>
      <c r="I24" s="165" t="str">
        <f ca="1">IF(E24&gt;0,MAX(I$9:I23)+1,"-")</f>
        <v>-</v>
      </c>
    </row>
    <row r="25" spans="1:13" ht="16.149999999999999" customHeight="1" x14ac:dyDescent="0.25">
      <c r="A25" s="146">
        <f t="shared" ca="1" si="4"/>
        <v>44002</v>
      </c>
      <c r="B25" s="161">
        <f ca="1">IF(AND(B24&gt;A24,B24&lt;=A25),B24,DATE(YEAR(A25),MONTH(A25),IF(AND(MONTH(A25)=2,Assumptions!$C$79&gt;28),28,Assumptions!$C$79)))</f>
        <v>43987</v>
      </c>
      <c r="C25" s="162">
        <f t="shared" ca="1" si="1"/>
        <v>1176603.6378545398</v>
      </c>
      <c r="D25" s="162">
        <f ca="1">IF(ISNA(MATCH($A25,Months,0))=TRUE,0,OFFSET(Forecast!$B$99,0,MATCH($A25,Months,0),1,1))</f>
        <v>0</v>
      </c>
      <c r="E25" s="163">
        <f t="shared" ca="1" si="2"/>
        <v>0</v>
      </c>
      <c r="F25" s="163">
        <f t="shared" ca="1" si="3"/>
        <v>0</v>
      </c>
      <c r="G25" s="163">
        <f t="shared" ca="1" si="0"/>
        <v>0</v>
      </c>
      <c r="H25" s="164">
        <f ca="1">IF(ROUND(SUM(C25:D25,-G25),0)=0,0,IF($B$6="Yes",SUM($D$9:D25),SUM(C25:D25,-G25)))</f>
        <v>1176603.6378545398</v>
      </c>
      <c r="I25" s="165" t="str">
        <f ca="1">IF(E25&gt;0,MAX(I$9:I24)+1,"-")</f>
        <v>-</v>
      </c>
    </row>
    <row r="26" spans="1:13" ht="16.149999999999999" customHeight="1" x14ac:dyDescent="0.25">
      <c r="A26" s="146">
        <f t="shared" ca="1" si="4"/>
        <v>44009</v>
      </c>
      <c r="B26" s="161">
        <f ca="1">IF(AND(B25&gt;A25,B25&lt;=A26),B25,DATE(YEAR(A26),MONTH(A26),IF(AND(MONTH(A26)=2,Assumptions!$C$79&gt;28),28,Assumptions!$C$79)))</f>
        <v>43987</v>
      </c>
      <c r="C26" s="162">
        <f t="shared" ca="1" si="1"/>
        <v>1176603.6378545398</v>
      </c>
      <c r="D26" s="162">
        <f ca="1">IF(ISNA(MATCH($A26,Months,0))=TRUE,0,OFFSET(Forecast!$B$99,0,MATCH($A26,Months,0),1,1))</f>
        <v>0</v>
      </c>
      <c r="E26" s="163">
        <f t="shared" ca="1" si="2"/>
        <v>0</v>
      </c>
      <c r="F26" s="163">
        <f t="shared" ca="1" si="3"/>
        <v>0</v>
      </c>
      <c r="G26" s="163">
        <f t="shared" ca="1" si="0"/>
        <v>0</v>
      </c>
      <c r="H26" s="164">
        <f ca="1">IF(ROUND(SUM(C26:D26,-G26),0)=0,0,IF($B$6="Yes",SUM($D$9:D26),SUM(C26:D26,-G26)))</f>
        <v>1176603.6378545398</v>
      </c>
      <c r="I26" s="165" t="str">
        <f ca="1">IF(E26&gt;0,MAX(I$9:I25)+1,"-")</f>
        <v>-</v>
      </c>
    </row>
    <row r="27" spans="1:13" ht="16.149999999999999" customHeight="1" x14ac:dyDescent="0.25">
      <c r="A27" s="146">
        <f t="shared" ca="1" si="4"/>
        <v>44016</v>
      </c>
      <c r="B27" s="161">
        <f ca="1">IF(AND(B26&gt;A26,B26&lt;=A27),B26,DATE(YEAR(A27),MONTH(A27),IF(AND(MONTH(A27)=2,Assumptions!$C$79&gt;28),28,Assumptions!$C$79)))</f>
        <v>44017</v>
      </c>
      <c r="C27" s="162">
        <f t="shared" ca="1" si="1"/>
        <v>1176603.6378545398</v>
      </c>
      <c r="D27" s="162">
        <f ca="1">IF(ISNA(MATCH($A27,Months,0))=TRUE,0,OFFSET(Forecast!$B$99,0,MATCH($A27,Months,0),1,1))</f>
        <v>0</v>
      </c>
      <c r="E27" s="163">
        <f t="shared" ca="1" si="2"/>
        <v>0</v>
      </c>
      <c r="F27" s="163">
        <f t="shared" ca="1" si="3"/>
        <v>0</v>
      </c>
      <c r="G27" s="163">
        <f t="shared" ca="1" si="0"/>
        <v>0</v>
      </c>
      <c r="H27" s="164">
        <f ca="1">IF(ROUND(SUM(C27:D27,-G27),0)=0,0,IF($B$6="Yes",SUM($D$9:D27),SUM(C27:D27,-G27)))</f>
        <v>1176603.6378545398</v>
      </c>
      <c r="I27" s="165" t="str">
        <f ca="1">IF(E27&gt;0,MAX(I$9:I26)+1,"-")</f>
        <v>-</v>
      </c>
    </row>
    <row r="28" spans="1:13" ht="16.149999999999999" customHeight="1" x14ac:dyDescent="0.25">
      <c r="A28" s="146">
        <f t="shared" ca="1" si="4"/>
        <v>44023</v>
      </c>
      <c r="B28" s="161">
        <f ca="1">IF(AND(B27&gt;A27,B27&lt;=A28),B27,DATE(YEAR(A28),MONTH(A28),IF(AND(MONTH(A28)=2,Assumptions!$C$79&gt;28),28,Assumptions!$C$79)))</f>
        <v>44017</v>
      </c>
      <c r="C28" s="162">
        <f t="shared" ca="1" si="1"/>
        <v>1176603.6378545398</v>
      </c>
      <c r="D28" s="162">
        <f ca="1">IF(ISNA(MATCH($A28,Months,0))=TRUE,0,OFFSET(Forecast!$B$99,0,MATCH($A28,Months,0),1,1))</f>
        <v>0</v>
      </c>
      <c r="E28" s="163">
        <f t="shared" ca="1" si="2"/>
        <v>16024.680225213191</v>
      </c>
      <c r="F28" s="163">
        <f t="shared" ca="1" si="3"/>
        <v>10050.156073340861</v>
      </c>
      <c r="G28" s="163">
        <f t="shared" ca="1" si="0"/>
        <v>5974.5241518723305</v>
      </c>
      <c r="H28" s="164">
        <f ca="1">IF(ROUND(SUM(C28:D28,-G28),0)=0,0,IF($B$6="Yes",SUM($D$9:D28),SUM(C28:D28,-G28)))</f>
        <v>1170629.1137026674</v>
      </c>
      <c r="I28" s="165">
        <f ca="1">IF(E28&gt;0,MAX(I$9:I27)+1,"-")</f>
        <v>5</v>
      </c>
    </row>
    <row r="29" spans="1:13" ht="16.149999999999999" customHeight="1" x14ac:dyDescent="0.25">
      <c r="A29" s="146">
        <f t="shared" ca="1" si="4"/>
        <v>44030</v>
      </c>
      <c r="B29" s="161">
        <f ca="1">IF(AND(B28&gt;A28,B28&lt;=A29),B28,DATE(YEAR(A29),MONTH(A29),IF(AND(MONTH(A29)=2,Assumptions!$C$79&gt;28),28,Assumptions!$C$79)))</f>
        <v>44017</v>
      </c>
      <c r="C29" s="162">
        <f t="shared" ca="1" si="1"/>
        <v>1170629.1137026674</v>
      </c>
      <c r="D29" s="162">
        <f ca="1">IF(ISNA(MATCH($A29,Months,0))=TRUE,0,OFFSET(Forecast!$B$99,0,MATCH($A29,Months,0),1,1))</f>
        <v>0</v>
      </c>
      <c r="E29" s="163">
        <f t="shared" ca="1" si="2"/>
        <v>0</v>
      </c>
      <c r="F29" s="163">
        <f t="shared" ca="1" si="3"/>
        <v>0</v>
      </c>
      <c r="G29" s="163">
        <f t="shared" ca="1" si="0"/>
        <v>0</v>
      </c>
      <c r="H29" s="164">
        <f ca="1">IF(ROUND(SUM(C29:D29,-G29),0)=0,0,IF($B$6="Yes",SUM($D$9:D29),SUM(C29:D29,-G29)))</f>
        <v>1170629.1137026674</v>
      </c>
      <c r="I29" s="165" t="str">
        <f ca="1">IF(E29&gt;0,MAX(I$9:I28)+1,"-")</f>
        <v>-</v>
      </c>
    </row>
    <row r="30" spans="1:13" ht="16.149999999999999" customHeight="1" x14ac:dyDescent="0.25">
      <c r="A30" s="146">
        <f t="shared" ca="1" si="4"/>
        <v>44037</v>
      </c>
      <c r="B30" s="161">
        <f ca="1">IF(AND(B29&gt;A29,B29&lt;=A30),B29,DATE(YEAR(A30),MONTH(A30),IF(AND(MONTH(A30)=2,Assumptions!$C$79&gt;28),28,Assumptions!$C$79)))</f>
        <v>44017</v>
      </c>
      <c r="C30" s="162">
        <f t="shared" ca="1" si="1"/>
        <v>1170629.1137026674</v>
      </c>
      <c r="D30" s="162">
        <f ca="1">IF(ISNA(MATCH($A30,Months,0))=TRUE,0,OFFSET(Forecast!$B$99,0,MATCH($A30,Months,0),1,1))</f>
        <v>0</v>
      </c>
      <c r="E30" s="163">
        <f t="shared" ca="1" si="2"/>
        <v>0</v>
      </c>
      <c r="F30" s="163">
        <f t="shared" ca="1" si="3"/>
        <v>0</v>
      </c>
      <c r="G30" s="163">
        <f t="shared" ca="1" si="0"/>
        <v>0</v>
      </c>
      <c r="H30" s="164">
        <f ca="1">IF(ROUND(SUM(C30:D30,-G30),0)=0,0,IF($B$6="Yes",SUM($D$9:D30),SUM(C30:D30,-G30)))</f>
        <v>1170629.1137026674</v>
      </c>
      <c r="I30" s="165" t="str">
        <f ca="1">IF(E30&gt;0,MAX(I$9:I29)+1,"-")</f>
        <v>-</v>
      </c>
    </row>
    <row r="31" spans="1:13" ht="16.149999999999999" customHeight="1" x14ac:dyDescent="0.25">
      <c r="A31" s="146">
        <f t="shared" ca="1" si="4"/>
        <v>44044</v>
      </c>
      <c r="B31" s="161">
        <f ca="1">IF(AND(B30&gt;A30,B30&lt;=A31),B30,DATE(YEAR(A31),MONTH(A31),IF(AND(MONTH(A31)=2,Assumptions!$C$79&gt;28),28,Assumptions!$C$79)))</f>
        <v>44048</v>
      </c>
      <c r="C31" s="162">
        <f t="shared" ca="1" si="1"/>
        <v>1170629.1137026674</v>
      </c>
      <c r="D31" s="162">
        <f ca="1">IF(ISNA(MATCH($A31,Months,0))=TRUE,0,OFFSET(Forecast!$B$99,0,MATCH($A31,Months,0),1,1))</f>
        <v>0</v>
      </c>
      <c r="E31" s="163">
        <f t="shared" ca="1" si="2"/>
        <v>0</v>
      </c>
      <c r="F31" s="163">
        <f t="shared" ca="1" si="3"/>
        <v>0</v>
      </c>
      <c r="G31" s="163">
        <f t="shared" ca="1" si="0"/>
        <v>0</v>
      </c>
      <c r="H31" s="164">
        <f ca="1">IF(ROUND(SUM(C31:D31,-G31),0)=0,0,IF($B$6="Yes",SUM($D$9:D31),SUM(C31:D31,-G31)))</f>
        <v>1170629.1137026674</v>
      </c>
      <c r="I31" s="165" t="str">
        <f ca="1">IF(E31&gt;0,MAX(I$9:I30)+1,"-")</f>
        <v>-</v>
      </c>
    </row>
    <row r="32" spans="1:13" ht="16.149999999999999" customHeight="1" x14ac:dyDescent="0.25">
      <c r="A32" s="146">
        <f t="shared" ca="1" si="4"/>
        <v>44051</v>
      </c>
      <c r="B32" s="161">
        <f ca="1">IF(AND(B31&gt;A31,B31&lt;=A32),B31,DATE(YEAR(A32),MONTH(A32),IF(AND(MONTH(A32)=2,Assumptions!$C$79&gt;28),28,Assumptions!$C$79)))</f>
        <v>44048</v>
      </c>
      <c r="C32" s="162">
        <f t="shared" ca="1" si="1"/>
        <v>1170629.1137026674</v>
      </c>
      <c r="D32" s="162">
        <f ca="1">IF(ISNA(MATCH($A32,Months,0))=TRUE,0,OFFSET(Forecast!$B$99,0,MATCH($A32,Months,0),1,1))</f>
        <v>0</v>
      </c>
      <c r="E32" s="163">
        <f t="shared" ca="1" si="2"/>
        <v>16024.680225213191</v>
      </c>
      <c r="F32" s="163">
        <f t="shared" ca="1" si="3"/>
        <v>9999.123679543618</v>
      </c>
      <c r="G32" s="163">
        <f t="shared" ca="1" si="0"/>
        <v>6025.5565456695731</v>
      </c>
      <c r="H32" s="164">
        <f ca="1">IF(ROUND(SUM(C32:D32,-G32),0)=0,0,IF($B$6="Yes",SUM($D$9:D32),SUM(C32:D32,-G32)))</f>
        <v>1164603.5571569977</v>
      </c>
      <c r="I32" s="165">
        <f ca="1">IF(E32&gt;0,MAX(I$9:I31)+1,"-")</f>
        <v>6</v>
      </c>
    </row>
    <row r="33" spans="1:9" ht="16.149999999999999" customHeight="1" x14ac:dyDescent="0.25">
      <c r="A33" s="146">
        <f t="shared" ca="1" si="4"/>
        <v>44058</v>
      </c>
      <c r="B33" s="161">
        <f ca="1">IF(AND(B32&gt;A32,B32&lt;=A33),B32,DATE(YEAR(A33),MONTH(A33),IF(AND(MONTH(A33)=2,Assumptions!$C$79&gt;28),28,Assumptions!$C$79)))</f>
        <v>44048</v>
      </c>
      <c r="C33" s="162">
        <f t="shared" ca="1" si="1"/>
        <v>1164603.5571569977</v>
      </c>
      <c r="D33" s="162">
        <f ca="1">IF(ISNA(MATCH($A33,Months,0))=TRUE,0,OFFSET(Forecast!$B$99,0,MATCH($A33,Months,0),1,1))</f>
        <v>0</v>
      </c>
      <c r="E33" s="163">
        <f t="shared" ca="1" si="2"/>
        <v>0</v>
      </c>
      <c r="F33" s="163">
        <f t="shared" ca="1" si="3"/>
        <v>0</v>
      </c>
      <c r="G33" s="163">
        <f t="shared" ca="1" si="0"/>
        <v>0</v>
      </c>
      <c r="H33" s="164">
        <f ca="1">IF(ROUND(SUM(C33:D33,-G33),0)=0,0,IF($B$6="Yes",SUM($D$9:D33),SUM(C33:D33,-G33)))</f>
        <v>1164603.5571569977</v>
      </c>
      <c r="I33" s="165" t="str">
        <f ca="1">IF(E33&gt;0,MAX(I$9:I32)+1,"-")</f>
        <v>-</v>
      </c>
    </row>
    <row r="34" spans="1:9" ht="16.149999999999999" customHeight="1" x14ac:dyDescent="0.25">
      <c r="A34" s="146">
        <f t="shared" ca="1" si="4"/>
        <v>44065</v>
      </c>
      <c r="B34" s="161">
        <f ca="1">IF(AND(B33&gt;A33,B33&lt;=A34),B33,DATE(YEAR(A34),MONTH(A34),IF(AND(MONTH(A34)=2,Assumptions!$C$79&gt;28),28,Assumptions!$C$79)))</f>
        <v>44048</v>
      </c>
      <c r="C34" s="162">
        <f t="shared" ca="1" si="1"/>
        <v>1164603.5571569977</v>
      </c>
      <c r="D34" s="162">
        <f ca="1">IF(ISNA(MATCH($A34,Months,0))=TRUE,0,OFFSET(Forecast!$B$99,0,MATCH($A34,Months,0),1,1))</f>
        <v>0</v>
      </c>
      <c r="E34" s="163">
        <f t="shared" ca="1" si="2"/>
        <v>0</v>
      </c>
      <c r="F34" s="163">
        <f t="shared" ca="1" si="3"/>
        <v>0</v>
      </c>
      <c r="G34" s="163">
        <f t="shared" ca="1" si="0"/>
        <v>0</v>
      </c>
      <c r="H34" s="164">
        <f ca="1">IF(ROUND(SUM(C34:D34,-G34),0)=0,0,IF($B$6="Yes",SUM($D$9:D34),SUM(C34:D34,-G34)))</f>
        <v>1164603.5571569977</v>
      </c>
      <c r="I34" s="165" t="str">
        <f ca="1">IF(E34&gt;0,MAX(I$9:I33)+1,"-")</f>
        <v>-</v>
      </c>
    </row>
    <row r="35" spans="1:9" ht="16.149999999999999" customHeight="1" x14ac:dyDescent="0.25">
      <c r="A35" s="146">
        <f t="shared" ca="1" si="4"/>
        <v>44072</v>
      </c>
      <c r="B35" s="161">
        <f ca="1">IF(AND(B34&gt;A34,B34&lt;=A35),B34,DATE(YEAR(A35),MONTH(A35),IF(AND(MONTH(A35)=2,Assumptions!$C$79&gt;28),28,Assumptions!$C$79)))</f>
        <v>44048</v>
      </c>
      <c r="C35" s="162">
        <f t="shared" ca="1" si="1"/>
        <v>1164603.5571569977</v>
      </c>
      <c r="D35" s="162">
        <f ca="1">IF(ISNA(MATCH($A35,Months,0))=TRUE,0,OFFSET(Forecast!$B$99,0,MATCH($A35,Months,0),1,1))</f>
        <v>0</v>
      </c>
      <c r="E35" s="163">
        <f t="shared" ca="1" si="2"/>
        <v>0</v>
      </c>
      <c r="F35" s="163">
        <f t="shared" ca="1" si="3"/>
        <v>0</v>
      </c>
      <c r="G35" s="163">
        <f t="shared" ca="1" si="0"/>
        <v>0</v>
      </c>
      <c r="H35" s="164">
        <f ca="1">IF(ROUND(SUM(C35:D35,-G35),0)=0,0,IF($B$6="Yes",SUM($D$9:D35),SUM(C35:D35,-G35)))</f>
        <v>1164603.5571569977</v>
      </c>
      <c r="I35" s="165" t="str">
        <f ca="1">IF(E35&gt;0,MAX(I$9:I34)+1,"-")</f>
        <v>-</v>
      </c>
    </row>
    <row r="36" spans="1:9" ht="16.149999999999999" customHeight="1" x14ac:dyDescent="0.25">
      <c r="A36" s="146">
        <f t="shared" ca="1" si="4"/>
        <v>44079</v>
      </c>
      <c r="B36" s="161">
        <f ca="1">IF(AND(B35&gt;A35,B35&lt;=A36),B35,DATE(YEAR(A36),MONTH(A36),IF(AND(MONTH(A36)=2,Assumptions!$C$79&gt;28),28,Assumptions!$C$79)))</f>
        <v>44079</v>
      </c>
      <c r="C36" s="162">
        <f t="shared" ca="1" si="1"/>
        <v>1164603.5571569977</v>
      </c>
      <c r="D36" s="162">
        <f ca="1">IF(ISNA(MATCH($A36,Months,0))=TRUE,0,OFFSET(Forecast!$B$99,0,MATCH($A36,Months,0),1,1))</f>
        <v>0</v>
      </c>
      <c r="E36" s="163">
        <f t="shared" ca="1" si="2"/>
        <v>16024.680225213191</v>
      </c>
      <c r="F36" s="163">
        <f t="shared" ca="1" si="3"/>
        <v>9947.6553840493561</v>
      </c>
      <c r="G36" s="163">
        <f t="shared" ca="1" si="0"/>
        <v>6077.0248411638349</v>
      </c>
      <c r="H36" s="164">
        <f ca="1">IF(ROUND(SUM(C36:D36,-G36),0)=0,0,IF($B$6="Yes",SUM($D$9:D36),SUM(C36:D36,-G36)))</f>
        <v>1158526.532315834</v>
      </c>
      <c r="I36" s="165">
        <f ca="1">IF(E36&gt;0,MAX(I$9:I35)+1,"-")</f>
        <v>7</v>
      </c>
    </row>
    <row r="37" spans="1:9" ht="16.149999999999999" customHeight="1" x14ac:dyDescent="0.25">
      <c r="A37" s="146">
        <f t="shared" ca="1" si="4"/>
        <v>44086</v>
      </c>
      <c r="B37" s="161">
        <f ca="1">IF(AND(B36&gt;A36,B36&lt;=A37),B36,DATE(YEAR(A37),MONTH(A37),IF(AND(MONTH(A37)=2,Assumptions!$C$79&gt;28),28,Assumptions!$C$79)))</f>
        <v>44079</v>
      </c>
      <c r="C37" s="162">
        <f t="shared" ca="1" si="1"/>
        <v>1158526.532315834</v>
      </c>
      <c r="D37" s="162">
        <f ca="1">IF(ISNA(MATCH($A37,Months,0))=TRUE,0,OFFSET(Forecast!$B$99,0,MATCH($A37,Months,0),1,1))</f>
        <v>0</v>
      </c>
      <c r="E37" s="163">
        <f t="shared" ca="1" si="2"/>
        <v>0</v>
      </c>
      <c r="F37" s="163">
        <f t="shared" ca="1" si="3"/>
        <v>0</v>
      </c>
      <c r="G37" s="163">
        <f t="shared" ca="1" si="0"/>
        <v>0</v>
      </c>
      <c r="H37" s="164">
        <f ca="1">IF(ROUND(SUM(C37:D37,-G37),0)=0,0,IF($B$6="Yes",SUM($D$9:D37),SUM(C37:D37,-G37)))</f>
        <v>1158526.532315834</v>
      </c>
      <c r="I37" s="165" t="str">
        <f ca="1">IF(E37&gt;0,MAX(I$9:I36)+1,"-")</f>
        <v>-</v>
      </c>
    </row>
    <row r="38" spans="1:9" ht="16.149999999999999" customHeight="1" x14ac:dyDescent="0.25">
      <c r="A38" s="146">
        <f t="shared" ca="1" si="4"/>
        <v>44093</v>
      </c>
      <c r="B38" s="161">
        <f ca="1">IF(AND(B37&gt;A37,B37&lt;=A38),B37,DATE(YEAR(A38),MONTH(A38),IF(AND(MONTH(A38)=2,Assumptions!$C$79&gt;28),28,Assumptions!$C$79)))</f>
        <v>44079</v>
      </c>
      <c r="C38" s="162">
        <f t="shared" ca="1" si="1"/>
        <v>1158526.532315834</v>
      </c>
      <c r="D38" s="162">
        <f ca="1">IF(ISNA(MATCH($A38,Months,0))=TRUE,0,OFFSET(Forecast!$B$99,0,MATCH($A38,Months,0),1,1))</f>
        <v>0</v>
      </c>
      <c r="E38" s="163">
        <f t="shared" ca="1" si="2"/>
        <v>0</v>
      </c>
      <c r="F38" s="163">
        <f t="shared" ca="1" si="3"/>
        <v>0</v>
      </c>
      <c r="G38" s="163">
        <f t="shared" ca="1" si="0"/>
        <v>0</v>
      </c>
      <c r="H38" s="164">
        <f ca="1">IF(ROUND(SUM(C38:D38,-G38),0)=0,0,IF($B$6="Yes",SUM($D$9:D38),SUM(C38:D38,-G38)))</f>
        <v>1158526.532315834</v>
      </c>
      <c r="I38" s="165" t="str">
        <f ca="1">IF(E38&gt;0,MAX(I$9:I37)+1,"-")</f>
        <v>-</v>
      </c>
    </row>
    <row r="39" spans="1:9" ht="16.149999999999999" customHeight="1" x14ac:dyDescent="0.25">
      <c r="A39" s="146">
        <f t="shared" ca="1" si="4"/>
        <v>44100</v>
      </c>
      <c r="B39" s="161">
        <f ca="1">IF(AND(B38&gt;A38,B38&lt;=A39),B38,DATE(YEAR(A39),MONTH(A39),IF(AND(MONTH(A39)=2,Assumptions!$C$79&gt;28),28,Assumptions!$C$79)))</f>
        <v>44079</v>
      </c>
      <c r="C39" s="162">
        <f t="shared" ca="1" si="1"/>
        <v>1158526.532315834</v>
      </c>
      <c r="D39" s="162">
        <f ca="1">IF(ISNA(MATCH($A39,Months,0))=TRUE,0,OFFSET(Forecast!$B$99,0,MATCH($A39,Months,0),1,1))</f>
        <v>0</v>
      </c>
      <c r="E39" s="163">
        <f t="shared" ca="1" si="2"/>
        <v>0</v>
      </c>
      <c r="F39" s="163">
        <f t="shared" ca="1" si="3"/>
        <v>0</v>
      </c>
      <c r="G39" s="163">
        <f t="shared" ca="1" si="0"/>
        <v>0</v>
      </c>
      <c r="H39" s="164">
        <f ca="1">IF(ROUND(SUM(C39:D39,-G39),0)=0,0,IF($B$6="Yes",SUM($D$9:D39),SUM(C39:D39,-G39)))</f>
        <v>1158526.532315834</v>
      </c>
      <c r="I39" s="165" t="str">
        <f ca="1">IF(E39&gt;0,MAX(I$9:I38)+1,"-")</f>
        <v>-</v>
      </c>
    </row>
    <row r="40" spans="1:9" ht="16.149999999999999" customHeight="1" x14ac:dyDescent="0.25">
      <c r="A40" s="146">
        <f t="shared" ca="1" si="4"/>
        <v>44107</v>
      </c>
      <c r="B40" s="161">
        <f ca="1">IF(AND(B39&gt;A39,B39&lt;=A40),B39,DATE(YEAR(A40),MONTH(A40),IF(AND(MONTH(A40)=2,Assumptions!$C$79&gt;28),28,Assumptions!$C$79)))</f>
        <v>44109</v>
      </c>
      <c r="C40" s="162">
        <f t="shared" ca="1" si="1"/>
        <v>1158526.532315834</v>
      </c>
      <c r="D40" s="162">
        <f ca="1">IF(ISNA(MATCH($A40,Months,0))=TRUE,0,OFFSET(Forecast!$B$99,0,MATCH($A40,Months,0),1,1))</f>
        <v>0</v>
      </c>
      <c r="E40" s="163">
        <f t="shared" ca="1" si="2"/>
        <v>0</v>
      </c>
      <c r="F40" s="163">
        <f t="shared" ca="1" si="3"/>
        <v>0</v>
      </c>
      <c r="G40" s="163">
        <f t="shared" ca="1" si="0"/>
        <v>0</v>
      </c>
      <c r="H40" s="164">
        <f ca="1">IF(ROUND(SUM(C40:D40,-G40),0)=0,0,IF($B$6="Yes",SUM($D$9:D40),SUM(C40:D40,-G40)))</f>
        <v>1158526.532315834</v>
      </c>
      <c r="I40" s="165" t="str">
        <f ca="1">IF(E40&gt;0,MAX(I$9:I39)+1,"-")</f>
        <v>-</v>
      </c>
    </row>
    <row r="41" spans="1:9" ht="16.149999999999999" customHeight="1" x14ac:dyDescent="0.25">
      <c r="A41" s="146">
        <f t="shared" ca="1" si="4"/>
        <v>44114</v>
      </c>
      <c r="B41" s="161">
        <f ca="1">IF(AND(B40&gt;A40,B40&lt;=A41),B40,DATE(YEAR(A41),MONTH(A41),IF(AND(MONTH(A41)=2,Assumptions!$C$79&gt;28),28,Assumptions!$C$79)))</f>
        <v>44109</v>
      </c>
      <c r="C41" s="162">
        <f t="shared" ca="1" si="1"/>
        <v>1158526.532315834</v>
      </c>
      <c r="D41" s="162">
        <f ca="1">IF(ISNA(MATCH($A41,Months,0))=TRUE,0,OFFSET(Forecast!$B$99,0,MATCH($A41,Months,0),1,1))</f>
        <v>0</v>
      </c>
      <c r="E41" s="163">
        <f t="shared" ca="1" si="2"/>
        <v>16024.680225213191</v>
      </c>
      <c r="F41" s="163">
        <f t="shared" ca="1" si="3"/>
        <v>9895.7474635310809</v>
      </c>
      <c r="G41" s="163">
        <f t="shared" ref="G41:G61" ca="1" si="5">IF($B$6="Yes",0,E41-F41)</f>
        <v>6128.9327616821101</v>
      </c>
      <c r="H41" s="164">
        <f ca="1">IF(ROUND(SUM(C41:D41,-G41),0)=0,0,IF($B$6="Yes",SUM($D$9:D41),SUM(C41:D41,-G41)))</f>
        <v>1152397.5995541518</v>
      </c>
      <c r="I41" s="165">
        <f ca="1">IF(E41&gt;0,MAX(I$9:I40)+1,"-")</f>
        <v>8</v>
      </c>
    </row>
    <row r="42" spans="1:9" ht="16.149999999999999" customHeight="1" x14ac:dyDescent="0.25">
      <c r="A42" s="146">
        <f t="shared" ca="1" si="4"/>
        <v>44121</v>
      </c>
      <c r="B42" s="161">
        <f ca="1">IF(AND(B41&gt;A41,B41&lt;=A42),B41,DATE(YEAR(A42),MONTH(A42),IF(AND(MONTH(A42)=2,Assumptions!$C$79&gt;28),28,Assumptions!$C$79)))</f>
        <v>44109</v>
      </c>
      <c r="C42" s="162">
        <f t="shared" ca="1" si="1"/>
        <v>1152397.5995541518</v>
      </c>
      <c r="D42" s="162">
        <f ca="1">IF(ISNA(MATCH($A42,Months,0))=TRUE,0,OFFSET(Forecast!$B$99,0,MATCH($A42,Months,0),1,1))</f>
        <v>0</v>
      </c>
      <c r="E42" s="163">
        <f t="shared" ca="1" si="2"/>
        <v>0</v>
      </c>
      <c r="F42" s="163">
        <f t="shared" ca="1" si="3"/>
        <v>0</v>
      </c>
      <c r="G42" s="163">
        <f t="shared" ca="1" si="5"/>
        <v>0</v>
      </c>
      <c r="H42" s="164">
        <f ca="1">IF(ROUND(SUM(C42:D42,-G42),0)=0,0,IF($B$6="Yes",SUM($D$9:D42),SUM(C42:D42,-G42)))</f>
        <v>1152397.5995541518</v>
      </c>
      <c r="I42" s="165" t="str">
        <f ca="1">IF(E42&gt;0,MAX(I$9:I41)+1,"-")</f>
        <v>-</v>
      </c>
    </row>
    <row r="43" spans="1:9" ht="16.149999999999999" customHeight="1" x14ac:dyDescent="0.25">
      <c r="A43" s="146">
        <f t="shared" ca="1" si="4"/>
        <v>44128</v>
      </c>
      <c r="B43" s="161">
        <f ca="1">IF(AND(B42&gt;A42,B42&lt;=A43),B42,DATE(YEAR(A43),MONTH(A43),IF(AND(MONTH(A43)=2,Assumptions!$C$79&gt;28),28,Assumptions!$C$79)))</f>
        <v>44109</v>
      </c>
      <c r="C43" s="162">
        <f t="shared" ca="1" si="1"/>
        <v>1152397.5995541518</v>
      </c>
      <c r="D43" s="162">
        <f ca="1">IF(ISNA(MATCH($A43,Months,0))=TRUE,0,OFFSET(Forecast!$B$99,0,MATCH($A43,Months,0),1,1))</f>
        <v>0</v>
      </c>
      <c r="E43" s="163">
        <f t="shared" ca="1" si="2"/>
        <v>0</v>
      </c>
      <c r="F43" s="163">
        <f t="shared" ca="1" si="3"/>
        <v>0</v>
      </c>
      <c r="G43" s="163">
        <f t="shared" ca="1" si="5"/>
        <v>0</v>
      </c>
      <c r="H43" s="164">
        <f ca="1">IF(ROUND(SUM(C43:D43,-G43),0)=0,0,IF($B$6="Yes",SUM($D$9:D43),SUM(C43:D43,-G43)))</f>
        <v>1152397.5995541518</v>
      </c>
      <c r="I43" s="165" t="str">
        <f ca="1">IF(E43&gt;0,MAX(I$9:I42)+1,"-")</f>
        <v>-</v>
      </c>
    </row>
    <row r="44" spans="1:9" ht="16.149999999999999" customHeight="1" x14ac:dyDescent="0.25">
      <c r="A44" s="146">
        <f t="shared" ca="1" si="4"/>
        <v>44135</v>
      </c>
      <c r="B44" s="161">
        <f ca="1">IF(AND(B43&gt;A43,B43&lt;=A44),B43,DATE(YEAR(A44),MONTH(A44),IF(AND(MONTH(A44)=2,Assumptions!$C$79&gt;28),28,Assumptions!$C$79)))</f>
        <v>44109</v>
      </c>
      <c r="C44" s="162">
        <f t="shared" ca="1" si="1"/>
        <v>1152397.5995541518</v>
      </c>
      <c r="D44" s="162">
        <f ca="1">IF(ISNA(MATCH($A44,Months,0))=TRUE,0,OFFSET(Forecast!$B$99,0,MATCH($A44,Months,0),1,1))</f>
        <v>0</v>
      </c>
      <c r="E44" s="163">
        <f t="shared" ca="1" si="2"/>
        <v>0</v>
      </c>
      <c r="F44" s="163">
        <f t="shared" ca="1" si="3"/>
        <v>0</v>
      </c>
      <c r="G44" s="163">
        <f t="shared" ca="1" si="5"/>
        <v>0</v>
      </c>
      <c r="H44" s="164">
        <f ca="1">IF(ROUND(SUM(C44:D44,-G44),0)=0,0,IF($B$6="Yes",SUM($D$9:D44),SUM(C44:D44,-G44)))</f>
        <v>1152397.5995541518</v>
      </c>
      <c r="I44" s="165" t="str">
        <f ca="1">IF(E44&gt;0,MAX(I$9:I43)+1,"-")</f>
        <v>-</v>
      </c>
    </row>
    <row r="45" spans="1:9" ht="16.149999999999999" customHeight="1" x14ac:dyDescent="0.25">
      <c r="A45" s="146">
        <f t="shared" ca="1" si="4"/>
        <v>44142</v>
      </c>
      <c r="B45" s="161">
        <f ca="1">IF(AND(B44&gt;A44,B44&lt;=A45),B44,DATE(YEAR(A45),MONTH(A45),IF(AND(MONTH(A45)=2,Assumptions!$C$79&gt;28),28,Assumptions!$C$79)))</f>
        <v>44140</v>
      </c>
      <c r="C45" s="162">
        <f t="shared" ca="1" si="1"/>
        <v>1152397.5995541518</v>
      </c>
      <c r="D45" s="162">
        <f ca="1">IF(ISNA(MATCH($A45,Months,0))=TRUE,0,OFFSET(Forecast!$B$99,0,MATCH($A45,Months,0),1,1))</f>
        <v>0</v>
      </c>
      <c r="E45" s="163">
        <f t="shared" ca="1" si="2"/>
        <v>16024.680225213191</v>
      </c>
      <c r="F45" s="163">
        <f t="shared" ca="1" si="3"/>
        <v>9843.3961628583802</v>
      </c>
      <c r="G45" s="163">
        <f t="shared" ca="1" si="5"/>
        <v>6181.2840623548109</v>
      </c>
      <c r="H45" s="164">
        <f ca="1">IF(ROUND(SUM(C45:D45,-G45),0)=0,0,IF($B$6="Yes",SUM($D$9:D45),SUM(C45:D45,-G45)))</f>
        <v>1146216.3154917969</v>
      </c>
      <c r="I45" s="165">
        <f ca="1">IF(E45&gt;0,MAX(I$9:I44)+1,"-")</f>
        <v>9</v>
      </c>
    </row>
    <row r="46" spans="1:9" ht="16.149999999999999" customHeight="1" x14ac:dyDescent="0.25">
      <c r="A46" s="146">
        <f t="shared" ca="1" si="4"/>
        <v>44149</v>
      </c>
      <c r="B46" s="161">
        <f ca="1">IF(AND(B45&gt;A45,B45&lt;=A46),B45,DATE(YEAR(A46),MONTH(A46),IF(AND(MONTH(A46)=2,Assumptions!$C$79&gt;28),28,Assumptions!$C$79)))</f>
        <v>44140</v>
      </c>
      <c r="C46" s="162">
        <f t="shared" ca="1" si="1"/>
        <v>1146216.3154917969</v>
      </c>
      <c r="D46" s="162">
        <f ca="1">IF(ISNA(MATCH($A46,Months,0))=TRUE,0,OFFSET(Forecast!$B$99,0,MATCH($A46,Months,0),1,1))</f>
        <v>0</v>
      </c>
      <c r="E46" s="163">
        <f t="shared" ca="1" si="2"/>
        <v>0</v>
      </c>
      <c r="F46" s="163">
        <f t="shared" ca="1" si="3"/>
        <v>0</v>
      </c>
      <c r="G46" s="163">
        <f t="shared" ca="1" si="5"/>
        <v>0</v>
      </c>
      <c r="H46" s="164">
        <f ca="1">IF(ROUND(SUM(C46:D46,-G46),0)=0,0,IF($B$6="Yes",SUM($D$9:D46),SUM(C46:D46,-G46)))</f>
        <v>1146216.3154917969</v>
      </c>
      <c r="I46" s="165" t="str">
        <f ca="1">IF(E46&gt;0,MAX(I$9:I45)+1,"-")</f>
        <v>-</v>
      </c>
    </row>
    <row r="47" spans="1:9" ht="16.149999999999999" customHeight="1" x14ac:dyDescent="0.25">
      <c r="A47" s="146">
        <f t="shared" ca="1" si="4"/>
        <v>44156</v>
      </c>
      <c r="B47" s="161">
        <f ca="1">IF(AND(B46&gt;A46,B46&lt;=A47),B46,DATE(YEAR(A47),MONTH(A47),IF(AND(MONTH(A47)=2,Assumptions!$C$79&gt;28),28,Assumptions!$C$79)))</f>
        <v>44140</v>
      </c>
      <c r="C47" s="162">
        <f t="shared" ca="1" si="1"/>
        <v>1146216.3154917969</v>
      </c>
      <c r="D47" s="162">
        <f ca="1">IF(ISNA(MATCH($A47,Months,0))=TRUE,0,OFFSET(Forecast!$B$99,0,MATCH($A47,Months,0),1,1))</f>
        <v>0</v>
      </c>
      <c r="E47" s="163">
        <f t="shared" ca="1" si="2"/>
        <v>0</v>
      </c>
      <c r="F47" s="163">
        <f t="shared" ca="1" si="3"/>
        <v>0</v>
      </c>
      <c r="G47" s="163">
        <f t="shared" ca="1" si="5"/>
        <v>0</v>
      </c>
      <c r="H47" s="164">
        <f ca="1">IF(ROUND(SUM(C47:D47,-G47),0)=0,0,IF($B$6="Yes",SUM($D$9:D47),SUM(C47:D47,-G47)))</f>
        <v>1146216.3154917969</v>
      </c>
      <c r="I47" s="165" t="str">
        <f ca="1">IF(E47&gt;0,MAX(I$9:I46)+1,"-")</f>
        <v>-</v>
      </c>
    </row>
    <row r="48" spans="1:9" ht="16.149999999999999" customHeight="1" x14ac:dyDescent="0.25">
      <c r="A48" s="146">
        <f t="shared" ca="1" si="4"/>
        <v>44163</v>
      </c>
      <c r="B48" s="161">
        <f ca="1">IF(AND(B47&gt;A47,B47&lt;=A48),B47,DATE(YEAR(A48),MONTH(A48),IF(AND(MONTH(A48)=2,Assumptions!$C$79&gt;28),28,Assumptions!$C$79)))</f>
        <v>44140</v>
      </c>
      <c r="C48" s="162">
        <f t="shared" ca="1" si="1"/>
        <v>1146216.3154917969</v>
      </c>
      <c r="D48" s="162">
        <f ca="1">IF(ISNA(MATCH($A48,Months,0))=TRUE,0,OFFSET(Forecast!$B$99,0,MATCH($A48,Months,0),1,1))</f>
        <v>0</v>
      </c>
      <c r="E48" s="163">
        <f t="shared" ca="1" si="2"/>
        <v>0</v>
      </c>
      <c r="F48" s="163">
        <f t="shared" ca="1" si="3"/>
        <v>0</v>
      </c>
      <c r="G48" s="163">
        <f t="shared" ca="1" si="5"/>
        <v>0</v>
      </c>
      <c r="H48" s="164">
        <f ca="1">IF(ROUND(SUM(C48:D48,-G48),0)=0,0,IF($B$6="Yes",SUM($D$9:D48),SUM(C48:D48,-G48)))</f>
        <v>1146216.3154917969</v>
      </c>
      <c r="I48" s="165" t="str">
        <f ca="1">IF(E48&gt;0,MAX(I$9:I47)+1,"-")</f>
        <v>-</v>
      </c>
    </row>
    <row r="49" spans="1:9" ht="16.149999999999999" customHeight="1" x14ac:dyDescent="0.25">
      <c r="A49" s="146">
        <f t="shared" ca="1" si="4"/>
        <v>44170</v>
      </c>
      <c r="B49" s="161">
        <f ca="1">IF(AND(B48&gt;A48,B48&lt;=A49),B48,DATE(YEAR(A49),MONTH(A49),IF(AND(MONTH(A49)=2,Assumptions!$C$79&gt;28),28,Assumptions!$C$79)))</f>
        <v>44170</v>
      </c>
      <c r="C49" s="162">
        <f t="shared" ca="1" si="1"/>
        <v>1146216.3154917969</v>
      </c>
      <c r="D49" s="162">
        <f ca="1">IF(ISNA(MATCH($A49,Months,0))=TRUE,0,OFFSET(Forecast!$B$99,0,MATCH($A49,Months,0),1,1))</f>
        <v>0</v>
      </c>
      <c r="E49" s="163">
        <f t="shared" ca="1" si="2"/>
        <v>16024.680225213191</v>
      </c>
      <c r="F49" s="163">
        <f t="shared" ca="1" si="3"/>
        <v>9790.5976948257648</v>
      </c>
      <c r="G49" s="163">
        <f t="shared" ca="1" si="5"/>
        <v>6234.0825303874262</v>
      </c>
      <c r="H49" s="164">
        <f ca="1">IF(ROUND(SUM(C49:D49,-G49),0)=0,0,IF($B$6="Yes",SUM($D$9:D49),SUM(C49:D49,-G49)))</f>
        <v>1139982.2329614095</v>
      </c>
      <c r="I49" s="165">
        <f ca="1">IF(E49&gt;0,MAX(I$9:I48)+1,"-")</f>
        <v>10</v>
      </c>
    </row>
    <row r="50" spans="1:9" ht="16.149999999999999" customHeight="1" x14ac:dyDescent="0.25">
      <c r="A50" s="146">
        <f t="shared" ca="1" si="4"/>
        <v>44177</v>
      </c>
      <c r="B50" s="161">
        <f ca="1">IF(AND(B49&gt;A49,B49&lt;=A50),B49,DATE(YEAR(A50),MONTH(A50),IF(AND(MONTH(A50)=2,Assumptions!$C$79&gt;28),28,Assumptions!$C$79)))</f>
        <v>44170</v>
      </c>
      <c r="C50" s="162">
        <f t="shared" ca="1" si="1"/>
        <v>1139982.2329614095</v>
      </c>
      <c r="D50" s="162">
        <f ca="1">IF(ISNA(MATCH($A50,Months,0))=TRUE,0,OFFSET(Forecast!$B$99,0,MATCH($A50,Months,0),1,1))</f>
        <v>0</v>
      </c>
      <c r="E50" s="163">
        <f t="shared" ca="1" si="2"/>
        <v>0</v>
      </c>
      <c r="F50" s="163">
        <f t="shared" ca="1" si="3"/>
        <v>0</v>
      </c>
      <c r="G50" s="163">
        <f t="shared" ca="1" si="5"/>
        <v>0</v>
      </c>
      <c r="H50" s="164">
        <f ca="1">IF(ROUND(SUM(C50:D50,-G50),0)=0,0,IF($B$6="Yes",SUM($D$9:D50),SUM(C50:D50,-G50)))</f>
        <v>1139982.2329614095</v>
      </c>
      <c r="I50" s="165" t="str">
        <f ca="1">IF(E50&gt;0,MAX(I$9:I49)+1,"-")</f>
        <v>-</v>
      </c>
    </row>
    <row r="51" spans="1:9" ht="16.149999999999999" customHeight="1" x14ac:dyDescent="0.25">
      <c r="A51" s="146">
        <f t="shared" ca="1" si="4"/>
        <v>44184</v>
      </c>
      <c r="B51" s="161">
        <f ca="1">IF(AND(B50&gt;A50,B50&lt;=A51),B50,DATE(YEAR(A51),MONTH(A51),IF(AND(MONTH(A51)=2,Assumptions!$C$79&gt;28),28,Assumptions!$C$79)))</f>
        <v>44170</v>
      </c>
      <c r="C51" s="162">
        <f t="shared" ca="1" si="1"/>
        <v>1139982.2329614095</v>
      </c>
      <c r="D51" s="162">
        <f ca="1">IF(ISNA(MATCH($A51,Months,0))=TRUE,0,OFFSET(Forecast!$B$99,0,MATCH($A51,Months,0),1,1))</f>
        <v>0</v>
      </c>
      <c r="E51" s="163">
        <f t="shared" ca="1" si="2"/>
        <v>0</v>
      </c>
      <c r="F51" s="163">
        <f t="shared" ca="1" si="3"/>
        <v>0</v>
      </c>
      <c r="G51" s="163">
        <f t="shared" ca="1" si="5"/>
        <v>0</v>
      </c>
      <c r="H51" s="164">
        <f ca="1">IF(ROUND(SUM(C51:D51,-G51),0)=0,0,IF($B$6="Yes",SUM($D$9:D51),SUM(C51:D51,-G51)))</f>
        <v>1139982.2329614095</v>
      </c>
      <c r="I51" s="165" t="str">
        <f ca="1">IF(E51&gt;0,MAX(I$9:I50)+1,"-")</f>
        <v>-</v>
      </c>
    </row>
    <row r="52" spans="1:9" ht="16.149999999999999" customHeight="1" x14ac:dyDescent="0.25">
      <c r="A52" s="146">
        <f t="shared" ca="1" si="4"/>
        <v>44191</v>
      </c>
      <c r="B52" s="161">
        <f ca="1">IF(AND(B51&gt;A51,B51&lt;=A52),B51,DATE(YEAR(A52),MONTH(A52),IF(AND(MONTH(A52)=2,Assumptions!$C$79&gt;28),28,Assumptions!$C$79)))</f>
        <v>44170</v>
      </c>
      <c r="C52" s="162">
        <f t="shared" ca="1" si="1"/>
        <v>1139982.2329614095</v>
      </c>
      <c r="D52" s="162">
        <f ca="1">IF(ISNA(MATCH($A52,Months,0))=TRUE,0,OFFSET(Forecast!$B$99,0,MATCH($A52,Months,0),1,1))</f>
        <v>0</v>
      </c>
      <c r="E52" s="163">
        <f t="shared" ca="1" si="2"/>
        <v>0</v>
      </c>
      <c r="F52" s="163">
        <f t="shared" ca="1" si="3"/>
        <v>0</v>
      </c>
      <c r="G52" s="163">
        <f t="shared" ca="1" si="5"/>
        <v>0</v>
      </c>
      <c r="H52" s="164">
        <f ca="1">IF(ROUND(SUM(C52:D52,-G52),0)=0,0,IF($B$6="Yes",SUM($D$9:D52),SUM(C52:D52,-G52)))</f>
        <v>1139982.2329614095</v>
      </c>
      <c r="I52" s="165" t="str">
        <f ca="1">IF(E52&gt;0,MAX(I$9:I51)+1,"-")</f>
        <v>-</v>
      </c>
    </row>
    <row r="53" spans="1:9" ht="16.149999999999999" customHeight="1" x14ac:dyDescent="0.25">
      <c r="A53" s="146">
        <f t="shared" ca="1" si="4"/>
        <v>44198</v>
      </c>
      <c r="B53" s="161">
        <f ca="1">IF(AND(B52&gt;A52,B52&lt;=A53),B52,DATE(YEAR(A53),MONTH(A53),IF(AND(MONTH(A53)=2,Assumptions!$C$79&gt;28),28,Assumptions!$C$79)))</f>
        <v>44201</v>
      </c>
      <c r="C53" s="162">
        <f t="shared" ca="1" si="1"/>
        <v>1139982.2329614095</v>
      </c>
      <c r="D53" s="162">
        <f ca="1">IF(ISNA(MATCH($A53,Months,0))=TRUE,0,OFFSET(Forecast!$B$99,0,MATCH($A53,Months,0),1,1))</f>
        <v>0</v>
      </c>
      <c r="E53" s="163">
        <f t="shared" ca="1" si="2"/>
        <v>0</v>
      </c>
      <c r="F53" s="163">
        <f t="shared" ca="1" si="3"/>
        <v>0</v>
      </c>
      <c r="G53" s="163">
        <f t="shared" ca="1" si="5"/>
        <v>0</v>
      </c>
      <c r="H53" s="164">
        <f ca="1">IF(ROUND(SUM(C53:D53,-G53),0)=0,0,IF($B$6="Yes",SUM($D$9:D53),SUM(C53:D53,-G53)))</f>
        <v>1139982.2329614095</v>
      </c>
      <c r="I53" s="165" t="str">
        <f ca="1">IF(E53&gt;0,MAX(I$9:I52)+1,"-")</f>
        <v>-</v>
      </c>
    </row>
    <row r="54" spans="1:9" ht="16.149999999999999" customHeight="1" x14ac:dyDescent="0.25">
      <c r="A54" s="146">
        <f t="shared" ca="1" si="4"/>
        <v>44205</v>
      </c>
      <c r="B54" s="161">
        <f ca="1">IF(AND(B53&gt;A53,B53&lt;=A54),B53,DATE(YEAR(A54),MONTH(A54),IF(AND(MONTH(A54)=2,Assumptions!$C$79&gt;28),28,Assumptions!$C$79)))</f>
        <v>44201</v>
      </c>
      <c r="C54" s="162">
        <f t="shared" ca="1" si="1"/>
        <v>1139982.2329614095</v>
      </c>
      <c r="D54" s="162">
        <f ca="1">IF(ISNA(MATCH($A54,Months,0))=TRUE,0,OFFSET(Forecast!$B$99,0,MATCH($A54,Months,0),1,1))</f>
        <v>0</v>
      </c>
      <c r="E54" s="163">
        <f t="shared" ca="1" si="2"/>
        <v>16024.680225213191</v>
      </c>
      <c r="F54" s="163">
        <f t="shared" ca="1" si="3"/>
        <v>9737.3482398787055</v>
      </c>
      <c r="G54" s="163">
        <f t="shared" ca="1" si="5"/>
        <v>6287.3319853344856</v>
      </c>
      <c r="H54" s="164">
        <f ca="1">IF(ROUND(SUM(C54:D54,-G54),0)=0,0,IF($B$6="Yes",SUM($D$9:D54),SUM(C54:D54,-G54)))</f>
        <v>1133694.9009760751</v>
      </c>
      <c r="I54" s="165">
        <f ca="1">IF(E54&gt;0,MAX(I$9:I53)+1,"-")</f>
        <v>11</v>
      </c>
    </row>
    <row r="55" spans="1:9" ht="16.149999999999999" customHeight="1" x14ac:dyDescent="0.25">
      <c r="A55" s="146">
        <f t="shared" ca="1" si="4"/>
        <v>44212</v>
      </c>
      <c r="B55" s="161">
        <f ca="1">IF(AND(B54&gt;A54,B54&lt;=A55),B54,DATE(YEAR(A55),MONTH(A55),IF(AND(MONTH(A55)=2,Assumptions!$C$79&gt;28),28,Assumptions!$C$79)))</f>
        <v>44201</v>
      </c>
      <c r="C55" s="162">
        <f t="shared" ca="1" si="1"/>
        <v>1133694.9009760751</v>
      </c>
      <c r="D55" s="162">
        <f ca="1">IF(ISNA(MATCH($A55,Months,0))=TRUE,0,OFFSET(Forecast!$B$99,0,MATCH($A55,Months,0),1,1))</f>
        <v>0</v>
      </c>
      <c r="E55" s="163">
        <f t="shared" ca="1" si="2"/>
        <v>0</v>
      </c>
      <c r="F55" s="163">
        <f t="shared" ca="1" si="3"/>
        <v>0</v>
      </c>
      <c r="G55" s="163">
        <f t="shared" ca="1" si="5"/>
        <v>0</v>
      </c>
      <c r="H55" s="164">
        <f ca="1">IF(ROUND(SUM(C55:D55,-G55),0)=0,0,IF($B$6="Yes",SUM($D$9:D55),SUM(C55:D55,-G55)))</f>
        <v>1133694.9009760751</v>
      </c>
      <c r="I55" s="165" t="str">
        <f ca="1">IF(E55&gt;0,MAX(I$9:I54)+1,"-")</f>
        <v>-</v>
      </c>
    </row>
    <row r="56" spans="1:9" ht="16.149999999999999" customHeight="1" x14ac:dyDescent="0.25">
      <c r="A56" s="146">
        <f t="shared" ca="1" si="4"/>
        <v>44219</v>
      </c>
      <c r="B56" s="161">
        <f ca="1">IF(AND(B55&gt;A55,B55&lt;=A56),B55,DATE(YEAR(A56),MONTH(A56),IF(AND(MONTH(A56)=2,Assumptions!$C$79&gt;28),28,Assumptions!$C$79)))</f>
        <v>44201</v>
      </c>
      <c r="C56" s="162">
        <f t="shared" ca="1" si="1"/>
        <v>1133694.9009760751</v>
      </c>
      <c r="D56" s="162">
        <f ca="1">IF(ISNA(MATCH($A56,Months,0))=TRUE,0,OFFSET(Forecast!$B$99,0,MATCH($A56,Months,0),1,1))</f>
        <v>0</v>
      </c>
      <c r="E56" s="163">
        <f t="shared" ca="1" si="2"/>
        <v>0</v>
      </c>
      <c r="F56" s="163">
        <f t="shared" ca="1" si="3"/>
        <v>0</v>
      </c>
      <c r="G56" s="163">
        <f t="shared" ca="1" si="5"/>
        <v>0</v>
      </c>
      <c r="H56" s="164">
        <f ca="1">IF(ROUND(SUM(C56:D56,-G56),0)=0,0,IF($B$6="Yes",SUM($D$9:D56),SUM(C56:D56,-G56)))</f>
        <v>1133694.9009760751</v>
      </c>
      <c r="I56" s="165" t="str">
        <f ca="1">IF(E56&gt;0,MAX(I$9:I55)+1,"-")</f>
        <v>-</v>
      </c>
    </row>
    <row r="57" spans="1:9" ht="16.149999999999999" customHeight="1" x14ac:dyDescent="0.25">
      <c r="A57" s="146">
        <f t="shared" ca="1" si="4"/>
        <v>44226</v>
      </c>
      <c r="B57" s="161">
        <f ca="1">IF(AND(B56&gt;A56,B56&lt;=A57),B56,DATE(YEAR(A57),MONTH(A57),IF(AND(MONTH(A57)=2,Assumptions!$C$79&gt;28),28,Assumptions!$C$79)))</f>
        <v>44201</v>
      </c>
      <c r="C57" s="162">
        <f t="shared" ca="1" si="1"/>
        <v>1133694.9009760751</v>
      </c>
      <c r="D57" s="162">
        <f ca="1">IF(ISNA(MATCH($A57,Months,0))=TRUE,0,OFFSET(Forecast!$B$99,0,MATCH($A57,Months,0),1,1))</f>
        <v>0</v>
      </c>
      <c r="E57" s="163">
        <f t="shared" ca="1" si="2"/>
        <v>0</v>
      </c>
      <c r="F57" s="163">
        <f t="shared" ca="1" si="3"/>
        <v>0</v>
      </c>
      <c r="G57" s="163">
        <f t="shared" ca="1" si="5"/>
        <v>0</v>
      </c>
      <c r="H57" s="164">
        <f ca="1">IF(ROUND(SUM(C57:D57,-G57),0)=0,0,IF($B$6="Yes",SUM($D$9:D57),SUM(C57:D57,-G57)))</f>
        <v>1133694.9009760751</v>
      </c>
      <c r="I57" s="165" t="str">
        <f ca="1">IF(E57&gt;0,MAX(I$9:I56)+1,"-")</f>
        <v>-</v>
      </c>
    </row>
    <row r="58" spans="1:9" ht="16.149999999999999" customHeight="1" x14ac:dyDescent="0.25">
      <c r="A58" s="146">
        <f t="shared" ca="1" si="4"/>
        <v>44233</v>
      </c>
      <c r="B58" s="161">
        <f ca="1">IF(AND(B57&gt;A57,B57&lt;=A58),B57,DATE(YEAR(A58),MONTH(A58),IF(AND(MONTH(A58)=2,Assumptions!$C$79&gt;28),28,Assumptions!$C$79)))</f>
        <v>44232</v>
      </c>
      <c r="C58" s="162">
        <f t="shared" ca="1" si="1"/>
        <v>1133694.9009760751</v>
      </c>
      <c r="D58" s="162">
        <f ca="1">IF(ISNA(MATCH($A58,Months,0))=TRUE,0,OFFSET(Forecast!$B$99,0,MATCH($A58,Months,0),1,1))</f>
        <v>0</v>
      </c>
      <c r="E58" s="163">
        <f t="shared" ca="1" si="2"/>
        <v>16024.680225213191</v>
      </c>
      <c r="F58" s="163">
        <f t="shared" ca="1" si="3"/>
        <v>9683.6439458373079</v>
      </c>
      <c r="G58" s="163">
        <f t="shared" ca="1" si="5"/>
        <v>6341.0362793758832</v>
      </c>
      <c r="H58" s="164">
        <f ca="1">IF(ROUND(SUM(C58:D58,-G58),0)=0,0,IF($B$6="Yes",SUM($D$9:D58),SUM(C58:D58,-G58)))</f>
        <v>1127353.8646966992</v>
      </c>
      <c r="I58" s="165">
        <f ca="1">IF(E58&gt;0,MAX(I$9:I57)+1,"-")</f>
        <v>12</v>
      </c>
    </row>
    <row r="59" spans="1:9" ht="16.149999999999999" customHeight="1" x14ac:dyDescent="0.25">
      <c r="A59" s="146">
        <f t="shared" ca="1" si="4"/>
        <v>44240</v>
      </c>
      <c r="B59" s="161">
        <f ca="1">IF(AND(B58&gt;A58,B58&lt;=A59),B58,DATE(YEAR(A59),MONTH(A59),IF(AND(MONTH(A59)=2,Assumptions!$C$79&gt;28),28,Assumptions!$C$79)))</f>
        <v>44232</v>
      </c>
      <c r="C59" s="162">
        <f t="shared" ca="1" si="1"/>
        <v>1127353.8646966992</v>
      </c>
      <c r="D59" s="162">
        <f ca="1">IF(ISNA(MATCH($A59,Months,0))=TRUE,0,OFFSET(Forecast!$B$99,0,MATCH($A59,Months,0),1,1))</f>
        <v>0</v>
      </c>
      <c r="E59" s="163">
        <f t="shared" ca="1" si="2"/>
        <v>0</v>
      </c>
      <c r="F59" s="163">
        <f t="shared" ca="1" si="3"/>
        <v>0</v>
      </c>
      <c r="G59" s="163">
        <f t="shared" ca="1" si="5"/>
        <v>0</v>
      </c>
      <c r="H59" s="164">
        <f ca="1">IF(ROUND(SUM(C59:D59,-G59),0)=0,0,IF($B$6="Yes",SUM($D$9:D59),SUM(C59:D59,-G59)))</f>
        <v>1127353.8646966992</v>
      </c>
      <c r="I59" s="165" t="str">
        <f ca="1">IF(E59&gt;0,MAX(I$9:I58)+1,"-")</f>
        <v>-</v>
      </c>
    </row>
    <row r="60" spans="1:9" ht="16.149999999999999" customHeight="1" x14ac:dyDescent="0.25">
      <c r="A60" s="146">
        <f t="shared" ca="1" si="4"/>
        <v>44247</v>
      </c>
      <c r="B60" s="161">
        <f ca="1">IF(AND(B59&gt;A59,B59&lt;=A60),B59,DATE(YEAR(A60),MONTH(A60),IF(AND(MONTH(A60)=2,Assumptions!$C$79&gt;28),28,Assumptions!$C$79)))</f>
        <v>44232</v>
      </c>
      <c r="C60" s="162">
        <f t="shared" ca="1" si="1"/>
        <v>1127353.8646966992</v>
      </c>
      <c r="D60" s="162">
        <f ca="1">IF(ISNA(MATCH($A60,Months,0))=TRUE,0,OFFSET(Forecast!$B$99,0,MATCH($A60,Months,0),1,1))</f>
        <v>0</v>
      </c>
      <c r="E60" s="163">
        <f t="shared" ca="1" si="2"/>
        <v>0</v>
      </c>
      <c r="F60" s="163">
        <f t="shared" ca="1" si="3"/>
        <v>0</v>
      </c>
      <c r="G60" s="163">
        <f t="shared" ca="1" si="5"/>
        <v>0</v>
      </c>
      <c r="H60" s="164">
        <f ca="1">IF(ROUND(SUM(C60:D60,-G60),0)=0,0,IF($B$6="Yes",SUM($D$9:D60),SUM(C60:D60,-G60)))</f>
        <v>1127353.8646966992</v>
      </c>
      <c r="I60" s="165" t="str">
        <f ca="1">IF(E60&gt;0,MAX(I$9:I59)+1,"-")</f>
        <v>-</v>
      </c>
    </row>
    <row r="61" spans="1:9" ht="16.149999999999999" customHeight="1" x14ac:dyDescent="0.25">
      <c r="A61" s="146">
        <f t="shared" ca="1" si="4"/>
        <v>44254</v>
      </c>
      <c r="B61" s="161">
        <f ca="1">IF(AND(B60&gt;A60,B60&lt;=A61),B60,DATE(YEAR(A61),MONTH(A61),IF(AND(MONTH(A61)=2,Assumptions!$C$79&gt;28),28,Assumptions!$C$79)))</f>
        <v>44232</v>
      </c>
      <c r="C61" s="162">
        <f t="shared" ca="1" si="1"/>
        <v>1127353.8646966992</v>
      </c>
      <c r="D61" s="162">
        <f ca="1">IF(ISNA(MATCH($A61,Months,0))=TRUE,0,OFFSET(Forecast!$B$99,0,MATCH($A61,Months,0),1,1))</f>
        <v>0</v>
      </c>
      <c r="E61" s="163">
        <f t="shared" ca="1" si="2"/>
        <v>0</v>
      </c>
      <c r="F61" s="163">
        <f t="shared" ca="1" si="3"/>
        <v>0</v>
      </c>
      <c r="G61" s="163">
        <f t="shared" ca="1" si="5"/>
        <v>0</v>
      </c>
      <c r="H61" s="164">
        <f ca="1">IF(ROUND(SUM(C61:D61,-G61),0)=0,0,IF($B$6="Yes",SUM($D$9:D61),SUM(C61:D61,-G61)))</f>
        <v>1127353.8646966992</v>
      </c>
      <c r="I61" s="165" t="str">
        <f ca="1">IF(E61&gt;0,MAX(I$9:I60)+1,"-")</f>
        <v>-</v>
      </c>
    </row>
    <row r="62" spans="1:9" ht="16.149999999999999" customHeight="1" x14ac:dyDescent="0.25">
      <c r="C62" s="162"/>
      <c r="D62" s="162"/>
      <c r="E62" s="163"/>
      <c r="F62" s="163"/>
      <c r="G62" s="163"/>
      <c r="H62" s="164"/>
    </row>
    <row r="63" spans="1:9" ht="16.149999999999999" customHeight="1" x14ac:dyDescent="0.25">
      <c r="C63" s="162"/>
      <c r="D63" s="162"/>
      <c r="E63" s="163"/>
      <c r="F63" s="163"/>
      <c r="G63" s="163"/>
      <c r="H63" s="164"/>
    </row>
    <row r="64" spans="1:9" ht="16.149999999999999" customHeight="1" x14ac:dyDescent="0.25">
      <c r="C64" s="162"/>
      <c r="D64" s="162"/>
      <c r="E64" s="163"/>
      <c r="F64" s="163"/>
      <c r="G64" s="163"/>
      <c r="H64" s="164"/>
    </row>
    <row r="65" spans="3:8" ht="16.149999999999999" customHeight="1" x14ac:dyDescent="0.25">
      <c r="C65" s="162"/>
      <c r="D65" s="162"/>
      <c r="E65" s="163"/>
      <c r="F65" s="163"/>
      <c r="G65" s="163"/>
      <c r="H65" s="164"/>
    </row>
    <row r="66" spans="3:8" ht="16.149999999999999" customHeight="1" x14ac:dyDescent="0.25">
      <c r="C66" s="162"/>
      <c r="D66" s="162"/>
      <c r="E66" s="163"/>
      <c r="F66" s="163"/>
      <c r="G66" s="163"/>
      <c r="H66" s="164"/>
    </row>
    <row r="67" spans="3:8" ht="16.149999999999999" customHeight="1" x14ac:dyDescent="0.25">
      <c r="C67" s="162"/>
      <c r="D67" s="162"/>
      <c r="E67" s="163"/>
      <c r="F67" s="163"/>
      <c r="G67" s="163"/>
      <c r="H67" s="164"/>
    </row>
    <row r="68" spans="3:8" ht="16.149999999999999" customHeight="1" x14ac:dyDescent="0.25">
      <c r="C68" s="162"/>
      <c r="D68" s="162"/>
      <c r="E68" s="163"/>
      <c r="F68" s="163"/>
      <c r="G68" s="163"/>
      <c r="H68" s="164"/>
    </row>
    <row r="69" spans="3:8" ht="16.149999999999999" customHeight="1" x14ac:dyDescent="0.25">
      <c r="C69" s="162"/>
      <c r="D69" s="162"/>
      <c r="E69" s="163"/>
      <c r="F69" s="163"/>
      <c r="G69" s="163"/>
      <c r="H69" s="164"/>
    </row>
    <row r="70" spans="3:8" ht="16.149999999999999" customHeight="1" x14ac:dyDescent="0.25">
      <c r="C70" s="162"/>
      <c r="D70" s="162"/>
      <c r="E70" s="163"/>
      <c r="F70" s="163"/>
      <c r="G70" s="163"/>
      <c r="H70" s="164"/>
    </row>
    <row r="71" spans="3:8" ht="16.149999999999999" customHeight="1" x14ac:dyDescent="0.25">
      <c r="C71" s="162"/>
      <c r="D71" s="162"/>
      <c r="E71" s="163"/>
      <c r="F71" s="163"/>
      <c r="G71" s="163"/>
      <c r="H71" s="164"/>
    </row>
    <row r="72" spans="3:8" ht="16.149999999999999" customHeight="1" x14ac:dyDescent="0.25">
      <c r="C72" s="162"/>
      <c r="D72" s="162"/>
      <c r="E72" s="163"/>
      <c r="F72" s="163"/>
      <c r="G72" s="163"/>
      <c r="H72" s="164"/>
    </row>
    <row r="73" spans="3:8" ht="16.149999999999999" customHeight="1" x14ac:dyDescent="0.25">
      <c r="C73" s="162"/>
      <c r="D73" s="162"/>
      <c r="E73" s="163"/>
      <c r="F73" s="163"/>
      <c r="G73" s="163"/>
      <c r="H73" s="164"/>
    </row>
    <row r="74" spans="3:8" ht="16.149999999999999" customHeight="1" x14ac:dyDescent="0.25">
      <c r="C74" s="162"/>
      <c r="D74" s="162"/>
      <c r="E74" s="163"/>
      <c r="F74" s="163"/>
      <c r="G74" s="163"/>
      <c r="H74" s="164"/>
    </row>
    <row r="75" spans="3:8" ht="16.149999999999999" customHeight="1" x14ac:dyDescent="0.25">
      <c r="C75" s="162"/>
      <c r="D75" s="162"/>
      <c r="E75" s="163"/>
      <c r="F75" s="163"/>
      <c r="G75" s="163"/>
      <c r="H75" s="164"/>
    </row>
    <row r="76" spans="3:8" ht="16.149999999999999" customHeight="1" x14ac:dyDescent="0.25">
      <c r="C76" s="162"/>
      <c r="D76" s="162"/>
      <c r="E76" s="163"/>
      <c r="F76" s="163"/>
      <c r="G76" s="163"/>
      <c r="H76" s="164"/>
    </row>
    <row r="77" spans="3:8" ht="16.149999999999999" customHeight="1" x14ac:dyDescent="0.25">
      <c r="C77" s="162"/>
      <c r="D77" s="162"/>
      <c r="E77" s="163"/>
      <c r="F77" s="163"/>
      <c r="G77" s="163"/>
      <c r="H77" s="164"/>
    </row>
    <row r="78" spans="3:8" ht="16.149999999999999" customHeight="1" x14ac:dyDescent="0.25">
      <c r="C78" s="162"/>
      <c r="D78" s="162"/>
      <c r="E78" s="163"/>
      <c r="F78" s="163"/>
      <c r="G78" s="163"/>
      <c r="H78" s="164"/>
    </row>
    <row r="79" spans="3:8" ht="16.149999999999999" customHeight="1" x14ac:dyDescent="0.25">
      <c r="C79" s="162"/>
      <c r="D79" s="162"/>
      <c r="E79" s="163"/>
      <c r="F79" s="163"/>
      <c r="G79" s="163"/>
      <c r="H79" s="164"/>
    </row>
    <row r="80" spans="3:8" ht="16.149999999999999" customHeight="1" x14ac:dyDescent="0.25">
      <c r="C80" s="162"/>
      <c r="D80" s="162"/>
      <c r="E80" s="163"/>
      <c r="F80" s="163"/>
      <c r="G80" s="163"/>
      <c r="H80" s="164"/>
    </row>
    <row r="81" spans="3:8" ht="16.149999999999999" customHeight="1" x14ac:dyDescent="0.25">
      <c r="C81" s="162"/>
      <c r="D81" s="162"/>
      <c r="E81" s="163"/>
      <c r="F81" s="163"/>
      <c r="G81" s="163"/>
      <c r="H81" s="164"/>
    </row>
    <row r="82" spans="3:8" ht="16.149999999999999" customHeight="1" x14ac:dyDescent="0.25">
      <c r="C82" s="162"/>
      <c r="D82" s="162"/>
      <c r="E82" s="163"/>
      <c r="F82" s="163"/>
      <c r="G82" s="163"/>
      <c r="H82" s="164"/>
    </row>
    <row r="83" spans="3:8" ht="16.149999999999999" customHeight="1" x14ac:dyDescent="0.25">
      <c r="C83" s="162"/>
      <c r="D83" s="162"/>
      <c r="E83" s="163"/>
      <c r="F83" s="163"/>
      <c r="G83" s="163"/>
      <c r="H83" s="164"/>
    </row>
    <row r="84" spans="3:8" ht="16.149999999999999" customHeight="1" x14ac:dyDescent="0.25">
      <c r="C84" s="162"/>
      <c r="D84" s="162"/>
      <c r="E84" s="163"/>
      <c r="F84" s="163"/>
      <c r="G84" s="163"/>
      <c r="H84" s="164"/>
    </row>
    <row r="85" spans="3:8" ht="16.149999999999999" customHeight="1" x14ac:dyDescent="0.25">
      <c r="C85" s="162"/>
      <c r="D85" s="162"/>
      <c r="E85" s="163"/>
      <c r="F85" s="163"/>
      <c r="G85" s="163"/>
      <c r="H85" s="164"/>
    </row>
    <row r="86" spans="3:8" ht="16.149999999999999" customHeight="1" x14ac:dyDescent="0.25">
      <c r="C86" s="162"/>
      <c r="D86" s="162"/>
      <c r="E86" s="163"/>
      <c r="F86" s="163"/>
      <c r="G86" s="163"/>
      <c r="H86" s="164"/>
    </row>
    <row r="87" spans="3:8" ht="16.149999999999999" customHeight="1" x14ac:dyDescent="0.25">
      <c r="C87" s="162"/>
      <c r="D87" s="162"/>
      <c r="E87" s="163"/>
      <c r="F87" s="163"/>
      <c r="G87" s="163"/>
      <c r="H87" s="164"/>
    </row>
    <row r="88" spans="3:8" ht="16.149999999999999" customHeight="1" x14ac:dyDescent="0.25">
      <c r="C88" s="162"/>
      <c r="D88" s="162"/>
      <c r="E88" s="163"/>
      <c r="F88" s="163"/>
      <c r="G88" s="163"/>
      <c r="H88" s="164"/>
    </row>
    <row r="89" spans="3:8" ht="16.149999999999999" customHeight="1" x14ac:dyDescent="0.25">
      <c r="C89" s="162"/>
      <c r="D89" s="162"/>
      <c r="E89" s="163"/>
      <c r="F89" s="163"/>
      <c r="G89" s="163"/>
      <c r="H89" s="164"/>
    </row>
    <row r="90" spans="3:8" ht="16.149999999999999" customHeight="1" x14ac:dyDescent="0.25">
      <c r="C90" s="162"/>
      <c r="D90" s="162"/>
      <c r="E90" s="163"/>
      <c r="F90" s="163"/>
      <c r="G90" s="163"/>
      <c r="H90" s="164"/>
    </row>
    <row r="91" spans="3:8" ht="16.149999999999999" customHeight="1" x14ac:dyDescent="0.25">
      <c r="C91" s="162"/>
      <c r="D91" s="162"/>
      <c r="E91" s="163"/>
      <c r="F91" s="163"/>
      <c r="G91" s="163"/>
      <c r="H91" s="164"/>
    </row>
    <row r="92" spans="3:8" ht="16.149999999999999" customHeight="1" x14ac:dyDescent="0.25">
      <c r="C92" s="162"/>
      <c r="D92" s="162"/>
      <c r="E92" s="163"/>
      <c r="F92" s="163"/>
      <c r="G92" s="163"/>
      <c r="H92" s="164"/>
    </row>
    <row r="93" spans="3:8" ht="16.149999999999999" customHeight="1" x14ac:dyDescent="0.25">
      <c r="C93" s="162"/>
      <c r="D93" s="162"/>
      <c r="E93" s="163"/>
      <c r="F93" s="163"/>
      <c r="G93" s="163"/>
      <c r="H93" s="164"/>
    </row>
    <row r="94" spans="3:8" ht="16.149999999999999" customHeight="1" x14ac:dyDescent="0.25">
      <c r="C94" s="162"/>
      <c r="D94" s="162"/>
      <c r="E94" s="163"/>
      <c r="F94" s="163"/>
      <c r="G94" s="163"/>
      <c r="H94" s="164"/>
    </row>
    <row r="95" spans="3:8" ht="16.149999999999999" customHeight="1" x14ac:dyDescent="0.25">
      <c r="C95" s="162"/>
      <c r="D95" s="162"/>
      <c r="E95" s="163"/>
      <c r="F95" s="163"/>
      <c r="G95" s="163"/>
      <c r="H95" s="164"/>
    </row>
    <row r="96" spans="3:8" ht="16.149999999999999" customHeight="1" x14ac:dyDescent="0.25">
      <c r="C96" s="162"/>
      <c r="D96" s="162"/>
      <c r="E96" s="163"/>
      <c r="F96" s="163"/>
      <c r="G96" s="163"/>
      <c r="H96" s="164"/>
    </row>
    <row r="97" spans="3:8" ht="16.149999999999999" customHeight="1" x14ac:dyDescent="0.25">
      <c r="C97" s="162"/>
      <c r="D97" s="162"/>
      <c r="E97" s="163"/>
      <c r="F97" s="163"/>
      <c r="G97" s="163"/>
      <c r="H97" s="164"/>
    </row>
    <row r="98" spans="3:8" ht="16.149999999999999" customHeight="1" x14ac:dyDescent="0.25">
      <c r="C98" s="162"/>
      <c r="D98" s="162"/>
      <c r="E98" s="163"/>
      <c r="F98" s="163"/>
      <c r="G98" s="163"/>
      <c r="H98" s="164"/>
    </row>
    <row r="99" spans="3:8" ht="16.149999999999999" customHeight="1" x14ac:dyDescent="0.25">
      <c r="C99" s="162"/>
      <c r="D99" s="162"/>
      <c r="E99" s="163"/>
      <c r="F99" s="163"/>
      <c r="G99" s="163"/>
      <c r="H99" s="164"/>
    </row>
    <row r="100" spans="3:8" ht="16.149999999999999" customHeight="1" x14ac:dyDescent="0.25">
      <c r="C100" s="162"/>
      <c r="D100" s="162"/>
      <c r="E100" s="163"/>
      <c r="F100" s="163"/>
      <c r="G100" s="163"/>
      <c r="H100" s="164"/>
    </row>
    <row r="101" spans="3:8" ht="16.149999999999999" customHeight="1" x14ac:dyDescent="0.25">
      <c r="C101" s="162"/>
      <c r="D101" s="162"/>
      <c r="E101" s="163"/>
      <c r="F101" s="163"/>
      <c r="G101" s="163"/>
      <c r="H101" s="164"/>
    </row>
    <row r="102" spans="3:8" ht="16.149999999999999" customHeight="1" x14ac:dyDescent="0.25">
      <c r="C102" s="162"/>
      <c r="D102" s="162"/>
      <c r="E102" s="163"/>
      <c r="F102" s="163"/>
      <c r="G102" s="163"/>
      <c r="H102" s="164"/>
    </row>
    <row r="103" spans="3:8" ht="16.149999999999999" customHeight="1" x14ac:dyDescent="0.25">
      <c r="C103" s="162"/>
      <c r="D103" s="162"/>
      <c r="E103" s="163"/>
      <c r="F103" s="163"/>
      <c r="G103" s="163"/>
      <c r="H103" s="164"/>
    </row>
    <row r="104" spans="3:8" ht="16.149999999999999" customHeight="1" x14ac:dyDescent="0.25">
      <c r="C104" s="162"/>
      <c r="D104" s="162"/>
      <c r="E104" s="163"/>
      <c r="F104" s="163"/>
      <c r="G104" s="163"/>
      <c r="H104" s="164"/>
    </row>
    <row r="105" spans="3:8" ht="16.149999999999999" customHeight="1" x14ac:dyDescent="0.25">
      <c r="C105" s="162"/>
      <c r="D105" s="162"/>
      <c r="E105" s="163"/>
      <c r="F105" s="163"/>
      <c r="G105" s="163"/>
      <c r="H105" s="164"/>
    </row>
    <row r="106" spans="3:8" ht="16.149999999999999" customHeight="1" x14ac:dyDescent="0.25">
      <c r="C106" s="162"/>
      <c r="D106" s="162"/>
      <c r="E106" s="163"/>
      <c r="F106" s="163"/>
      <c r="G106" s="163"/>
      <c r="H106" s="164"/>
    </row>
    <row r="107" spans="3:8" ht="16.149999999999999" customHeight="1" x14ac:dyDescent="0.25">
      <c r="C107" s="162"/>
      <c r="D107" s="162"/>
      <c r="E107" s="163"/>
      <c r="F107" s="163"/>
      <c r="G107" s="163"/>
      <c r="H107" s="164"/>
    </row>
    <row r="108" spans="3:8" ht="16.149999999999999" customHeight="1" x14ac:dyDescent="0.25">
      <c r="C108" s="162"/>
      <c r="D108" s="162"/>
      <c r="E108" s="163"/>
      <c r="F108" s="163"/>
      <c r="G108" s="163"/>
      <c r="H108" s="164"/>
    </row>
    <row r="109" spans="3:8" ht="16.149999999999999" customHeight="1" x14ac:dyDescent="0.25">
      <c r="C109" s="162"/>
      <c r="D109" s="162"/>
      <c r="E109" s="163"/>
      <c r="F109" s="163"/>
      <c r="G109" s="163"/>
      <c r="H109" s="164"/>
    </row>
    <row r="110" spans="3:8" ht="16.149999999999999" customHeight="1" x14ac:dyDescent="0.25">
      <c r="C110" s="162"/>
      <c r="D110" s="162"/>
      <c r="E110" s="163"/>
      <c r="F110" s="163"/>
      <c r="G110" s="163"/>
      <c r="H110" s="164"/>
    </row>
    <row r="111" spans="3:8" ht="16.149999999999999" customHeight="1" x14ac:dyDescent="0.25">
      <c r="C111" s="162"/>
      <c r="D111" s="162"/>
      <c r="E111" s="163"/>
      <c r="F111" s="163"/>
      <c r="G111" s="163"/>
      <c r="H111" s="164"/>
    </row>
    <row r="112" spans="3:8" ht="16.149999999999999" customHeight="1" x14ac:dyDescent="0.25">
      <c r="C112" s="162"/>
      <c r="D112" s="162"/>
      <c r="E112" s="163"/>
      <c r="F112" s="163"/>
      <c r="G112" s="163"/>
      <c r="H112" s="164"/>
    </row>
    <row r="113" spans="3:8" ht="16.149999999999999" customHeight="1" x14ac:dyDescent="0.25">
      <c r="C113" s="162"/>
      <c r="D113" s="162"/>
      <c r="E113" s="163"/>
      <c r="F113" s="163"/>
      <c r="G113" s="163"/>
      <c r="H113" s="164"/>
    </row>
    <row r="114" spans="3:8" ht="16.149999999999999" customHeight="1" x14ac:dyDescent="0.25">
      <c r="C114" s="162"/>
      <c r="D114" s="162"/>
      <c r="E114" s="163"/>
      <c r="F114" s="163"/>
      <c r="G114" s="163"/>
      <c r="H114" s="164"/>
    </row>
    <row r="115" spans="3:8" ht="16.149999999999999" customHeight="1" x14ac:dyDescent="0.25">
      <c r="C115" s="162"/>
      <c r="D115" s="162"/>
      <c r="E115" s="163"/>
      <c r="F115" s="163"/>
      <c r="G115" s="163"/>
      <c r="H115" s="164"/>
    </row>
    <row r="116" spans="3:8" ht="16.149999999999999" customHeight="1" x14ac:dyDescent="0.25">
      <c r="C116" s="162"/>
      <c r="D116" s="162"/>
      <c r="E116" s="163"/>
      <c r="F116" s="163"/>
      <c r="G116" s="163"/>
      <c r="H116" s="164"/>
    </row>
    <row r="117" spans="3:8" ht="16.149999999999999" customHeight="1" x14ac:dyDescent="0.25">
      <c r="C117" s="162"/>
      <c r="D117" s="162"/>
      <c r="E117" s="163"/>
      <c r="F117" s="163"/>
      <c r="G117" s="163"/>
      <c r="H117" s="164"/>
    </row>
    <row r="118" spans="3:8" ht="16.149999999999999" customHeight="1" x14ac:dyDescent="0.25">
      <c r="C118" s="162"/>
      <c r="D118" s="162"/>
      <c r="E118" s="163"/>
      <c r="F118" s="163"/>
      <c r="G118" s="163"/>
      <c r="H118" s="164"/>
    </row>
    <row r="119" spans="3:8" ht="16.149999999999999" customHeight="1" x14ac:dyDescent="0.25">
      <c r="C119" s="162"/>
      <c r="D119" s="162"/>
      <c r="E119" s="163"/>
      <c r="F119" s="163"/>
      <c r="G119" s="163"/>
      <c r="H119" s="164"/>
    </row>
    <row r="120" spans="3:8" ht="16.149999999999999" customHeight="1" x14ac:dyDescent="0.25">
      <c r="C120" s="162"/>
      <c r="D120" s="162"/>
      <c r="E120" s="163"/>
      <c r="F120" s="163"/>
      <c r="G120" s="163"/>
      <c r="H120" s="164"/>
    </row>
    <row r="121" spans="3:8" ht="16.149999999999999" customHeight="1" x14ac:dyDescent="0.25">
      <c r="C121" s="162"/>
      <c r="D121" s="162"/>
      <c r="E121" s="163"/>
      <c r="F121" s="163"/>
      <c r="G121" s="163"/>
      <c r="H121" s="164"/>
    </row>
    <row r="122" spans="3:8" ht="16.149999999999999" customHeight="1" x14ac:dyDescent="0.25">
      <c r="C122" s="162"/>
      <c r="D122" s="162"/>
      <c r="E122" s="163"/>
      <c r="F122" s="163"/>
      <c r="G122" s="163"/>
      <c r="H122" s="164"/>
    </row>
    <row r="123" spans="3:8" ht="16.149999999999999" customHeight="1" x14ac:dyDescent="0.25">
      <c r="C123" s="162"/>
      <c r="D123" s="162"/>
      <c r="E123" s="163"/>
      <c r="F123" s="163"/>
      <c r="G123" s="163"/>
      <c r="H123" s="164"/>
    </row>
    <row r="124" spans="3:8" ht="16.149999999999999" customHeight="1" x14ac:dyDescent="0.25">
      <c r="C124" s="162"/>
      <c r="D124" s="162"/>
      <c r="E124" s="163"/>
      <c r="F124" s="163"/>
      <c r="G124" s="163"/>
      <c r="H124" s="164"/>
    </row>
    <row r="125" spans="3:8" ht="16.149999999999999" customHeight="1" x14ac:dyDescent="0.25">
      <c r="C125" s="162"/>
      <c r="D125" s="162"/>
      <c r="E125" s="163"/>
      <c r="F125" s="163"/>
      <c r="G125" s="163"/>
      <c r="H125" s="164"/>
    </row>
    <row r="126" spans="3:8" ht="16.149999999999999" customHeight="1" x14ac:dyDescent="0.25">
      <c r="C126" s="162"/>
      <c r="D126" s="162"/>
      <c r="E126" s="163"/>
      <c r="F126" s="163"/>
      <c r="G126" s="163"/>
      <c r="H126" s="164"/>
    </row>
    <row r="127" spans="3:8" ht="16.149999999999999" customHeight="1" x14ac:dyDescent="0.25">
      <c r="C127" s="162"/>
      <c r="D127" s="162"/>
      <c r="E127" s="163"/>
      <c r="F127" s="163"/>
      <c r="G127" s="163"/>
      <c r="H127" s="164"/>
    </row>
    <row r="128" spans="3:8" ht="16.149999999999999" customHeight="1" x14ac:dyDescent="0.25">
      <c r="C128" s="162"/>
      <c r="D128" s="162"/>
      <c r="E128" s="163"/>
      <c r="F128" s="163"/>
      <c r="G128" s="163"/>
      <c r="H128" s="164"/>
    </row>
    <row r="129" spans="3:8" ht="16.149999999999999" customHeight="1" x14ac:dyDescent="0.25">
      <c r="C129" s="162"/>
      <c r="D129" s="162"/>
      <c r="E129" s="163"/>
      <c r="F129" s="163"/>
      <c r="G129" s="163"/>
      <c r="H129" s="164"/>
    </row>
    <row r="130" spans="3:8" ht="16.149999999999999" customHeight="1" x14ac:dyDescent="0.25">
      <c r="C130" s="162"/>
      <c r="D130" s="162"/>
      <c r="E130" s="163"/>
      <c r="F130" s="163"/>
      <c r="G130" s="163"/>
      <c r="H130" s="164"/>
    </row>
    <row r="131" spans="3:8" ht="16.149999999999999" customHeight="1" x14ac:dyDescent="0.25">
      <c r="C131" s="162"/>
      <c r="D131" s="162"/>
      <c r="E131" s="163"/>
      <c r="F131" s="163"/>
      <c r="G131" s="163"/>
      <c r="H131" s="164"/>
    </row>
    <row r="132" spans="3:8" ht="16.149999999999999" customHeight="1" x14ac:dyDescent="0.25">
      <c r="C132" s="162"/>
      <c r="D132" s="162"/>
      <c r="E132" s="163"/>
      <c r="F132" s="163"/>
      <c r="G132" s="163"/>
      <c r="H132" s="164"/>
    </row>
    <row r="133" spans="3:8" ht="16.149999999999999" customHeight="1" x14ac:dyDescent="0.25">
      <c r="C133" s="162"/>
      <c r="D133" s="162"/>
      <c r="E133" s="163"/>
      <c r="F133" s="163"/>
      <c r="G133" s="163"/>
      <c r="H133" s="164"/>
    </row>
    <row r="134" spans="3:8" ht="16.149999999999999" customHeight="1" x14ac:dyDescent="0.25">
      <c r="C134" s="162"/>
      <c r="D134" s="162"/>
      <c r="E134" s="163"/>
      <c r="F134" s="163"/>
      <c r="G134" s="163"/>
      <c r="H134" s="164"/>
    </row>
    <row r="135" spans="3:8" ht="16.149999999999999" customHeight="1" x14ac:dyDescent="0.25">
      <c r="C135" s="162"/>
      <c r="D135" s="162"/>
      <c r="E135" s="163"/>
      <c r="F135" s="163"/>
      <c r="G135" s="163"/>
      <c r="H135" s="164"/>
    </row>
    <row r="136" spans="3:8" ht="16.149999999999999" customHeight="1" x14ac:dyDescent="0.25">
      <c r="C136" s="162"/>
      <c r="D136" s="162"/>
      <c r="E136" s="163"/>
      <c r="F136" s="163"/>
      <c r="G136" s="163"/>
      <c r="H136" s="164"/>
    </row>
    <row r="137" spans="3:8" ht="16.149999999999999" customHeight="1" x14ac:dyDescent="0.25">
      <c r="C137" s="162"/>
      <c r="D137" s="162"/>
      <c r="E137" s="163"/>
      <c r="F137" s="163"/>
      <c r="G137" s="163"/>
      <c r="H137" s="164"/>
    </row>
    <row r="138" spans="3:8" ht="16.149999999999999" customHeight="1" x14ac:dyDescent="0.25">
      <c r="C138" s="162"/>
      <c r="D138" s="162"/>
      <c r="E138" s="163"/>
      <c r="F138" s="163"/>
      <c r="G138" s="163"/>
      <c r="H138" s="164"/>
    </row>
    <row r="139" spans="3:8" ht="16.149999999999999" customHeight="1" x14ac:dyDescent="0.25">
      <c r="C139" s="162"/>
      <c r="D139" s="162"/>
      <c r="E139" s="163"/>
      <c r="F139" s="163"/>
      <c r="G139" s="163"/>
      <c r="H139" s="164"/>
    </row>
    <row r="140" spans="3:8" ht="16.149999999999999" customHeight="1" x14ac:dyDescent="0.25">
      <c r="C140" s="162"/>
      <c r="D140" s="162"/>
      <c r="E140" s="163"/>
      <c r="F140" s="163"/>
      <c r="G140" s="163"/>
      <c r="H140" s="164"/>
    </row>
    <row r="141" spans="3:8" ht="16.149999999999999" customHeight="1" x14ac:dyDescent="0.25">
      <c r="C141" s="162"/>
      <c r="D141" s="162"/>
      <c r="E141" s="163"/>
      <c r="F141" s="163"/>
      <c r="G141" s="163"/>
      <c r="H141" s="164"/>
    </row>
    <row r="142" spans="3:8" ht="16.149999999999999" customHeight="1" x14ac:dyDescent="0.25">
      <c r="C142" s="162"/>
      <c r="D142" s="162"/>
      <c r="E142" s="163"/>
      <c r="F142" s="163"/>
      <c r="G142" s="163"/>
      <c r="H142" s="164"/>
    </row>
    <row r="143" spans="3:8" ht="16.149999999999999" customHeight="1" x14ac:dyDescent="0.25">
      <c r="C143" s="162"/>
      <c r="D143" s="162"/>
      <c r="E143" s="163"/>
      <c r="F143" s="163"/>
      <c r="G143" s="163"/>
      <c r="H143" s="164"/>
    </row>
    <row r="144" spans="3:8" ht="16.149999999999999" customHeight="1" x14ac:dyDescent="0.25">
      <c r="C144" s="162"/>
      <c r="D144" s="162"/>
      <c r="E144" s="163"/>
      <c r="F144" s="163"/>
      <c r="G144" s="163"/>
      <c r="H144" s="164"/>
    </row>
    <row r="145" spans="3:8" ht="16.149999999999999" customHeight="1" x14ac:dyDescent="0.25">
      <c r="C145" s="162"/>
      <c r="D145" s="162"/>
      <c r="E145" s="163"/>
      <c r="F145" s="163"/>
      <c r="G145" s="163"/>
      <c r="H145" s="164"/>
    </row>
    <row r="146" spans="3:8" ht="16.149999999999999" customHeight="1" x14ac:dyDescent="0.25">
      <c r="C146" s="162"/>
      <c r="D146" s="162"/>
      <c r="E146" s="163"/>
      <c r="F146" s="163"/>
      <c r="G146" s="163"/>
      <c r="H146" s="164"/>
    </row>
    <row r="147" spans="3:8" ht="16.149999999999999" customHeight="1" x14ac:dyDescent="0.25">
      <c r="C147" s="162"/>
      <c r="D147" s="162"/>
      <c r="E147" s="163"/>
      <c r="F147" s="163"/>
      <c r="G147" s="163"/>
      <c r="H147" s="164"/>
    </row>
    <row r="148" spans="3:8" ht="16.149999999999999" customHeight="1" x14ac:dyDescent="0.25">
      <c r="C148" s="162"/>
      <c r="D148" s="162"/>
      <c r="E148" s="163"/>
      <c r="F148" s="163"/>
      <c r="G148" s="163"/>
      <c r="H148" s="164"/>
    </row>
    <row r="149" spans="3:8" ht="16.149999999999999" customHeight="1" x14ac:dyDescent="0.25">
      <c r="C149" s="162"/>
      <c r="D149" s="162"/>
      <c r="E149" s="163"/>
      <c r="F149" s="163"/>
      <c r="G149" s="163"/>
      <c r="H149" s="164"/>
    </row>
    <row r="150" spans="3:8" ht="16.149999999999999" customHeight="1" x14ac:dyDescent="0.25">
      <c r="C150" s="162"/>
      <c r="D150" s="162"/>
      <c r="E150" s="163"/>
      <c r="F150" s="163"/>
      <c r="G150" s="163"/>
      <c r="H150" s="164"/>
    </row>
    <row r="151" spans="3:8" ht="16.149999999999999" customHeight="1" x14ac:dyDescent="0.25">
      <c r="C151" s="162"/>
      <c r="D151" s="162"/>
      <c r="E151" s="163"/>
      <c r="F151" s="163"/>
      <c r="G151" s="163"/>
      <c r="H151" s="164"/>
    </row>
    <row r="152" spans="3:8" ht="16.149999999999999" customHeight="1" x14ac:dyDescent="0.25">
      <c r="C152" s="162"/>
      <c r="D152" s="162"/>
      <c r="E152" s="163"/>
      <c r="F152" s="163"/>
      <c r="G152" s="163"/>
      <c r="H152" s="164"/>
    </row>
    <row r="153" spans="3:8" ht="16.149999999999999" customHeight="1" x14ac:dyDescent="0.25">
      <c r="C153" s="162"/>
      <c r="D153" s="162"/>
      <c r="E153" s="163"/>
      <c r="F153" s="163"/>
      <c r="G153" s="163"/>
      <c r="H153" s="164"/>
    </row>
    <row r="154" spans="3:8" ht="16.149999999999999" customHeight="1" x14ac:dyDescent="0.25">
      <c r="C154" s="162"/>
      <c r="D154" s="162"/>
      <c r="E154" s="163"/>
      <c r="F154" s="163"/>
      <c r="G154" s="163"/>
      <c r="H154" s="164"/>
    </row>
    <row r="155" spans="3:8" ht="16.149999999999999" customHeight="1" x14ac:dyDescent="0.25">
      <c r="C155" s="162"/>
      <c r="D155" s="162"/>
      <c r="E155" s="163"/>
      <c r="F155" s="163"/>
      <c r="G155" s="163"/>
      <c r="H155" s="164"/>
    </row>
    <row r="156" spans="3:8" ht="16.149999999999999" customHeight="1" x14ac:dyDescent="0.25">
      <c r="C156" s="162"/>
      <c r="D156" s="162"/>
      <c r="E156" s="163"/>
      <c r="F156" s="163"/>
      <c r="G156" s="163"/>
      <c r="H156" s="164"/>
    </row>
    <row r="157" spans="3:8" ht="16.149999999999999" customHeight="1" x14ac:dyDescent="0.25">
      <c r="C157" s="162"/>
      <c r="D157" s="162"/>
      <c r="E157" s="163"/>
      <c r="F157" s="163"/>
      <c r="G157" s="163"/>
      <c r="H157" s="164"/>
    </row>
    <row r="158" spans="3:8" ht="16.149999999999999" customHeight="1" x14ac:dyDescent="0.25">
      <c r="C158" s="162"/>
      <c r="D158" s="162"/>
      <c r="E158" s="163"/>
      <c r="F158" s="163"/>
      <c r="G158" s="163"/>
      <c r="H158" s="164"/>
    </row>
    <row r="159" spans="3:8" ht="16.149999999999999" customHeight="1" x14ac:dyDescent="0.25">
      <c r="C159" s="162"/>
      <c r="D159" s="162"/>
      <c r="E159" s="163"/>
      <c r="F159" s="163"/>
      <c r="G159" s="163"/>
      <c r="H159" s="164"/>
    </row>
    <row r="160" spans="3:8" ht="16.149999999999999" customHeight="1" x14ac:dyDescent="0.25">
      <c r="C160" s="162"/>
      <c r="D160" s="162"/>
      <c r="E160" s="163"/>
      <c r="F160" s="163"/>
      <c r="G160" s="163"/>
      <c r="H160" s="164"/>
    </row>
    <row r="161" spans="3:8" ht="16.149999999999999" customHeight="1" x14ac:dyDescent="0.25">
      <c r="C161" s="162"/>
      <c r="D161" s="162"/>
      <c r="E161" s="163"/>
      <c r="F161" s="163"/>
      <c r="G161" s="163"/>
      <c r="H161" s="164"/>
    </row>
    <row r="162" spans="3:8" ht="16.149999999999999" customHeight="1" x14ac:dyDescent="0.25">
      <c r="C162" s="162"/>
      <c r="D162" s="162"/>
      <c r="E162" s="163"/>
      <c r="F162" s="163"/>
      <c r="G162" s="163"/>
      <c r="H162" s="164"/>
    </row>
    <row r="163" spans="3:8" ht="16.149999999999999" customHeight="1" x14ac:dyDescent="0.25">
      <c r="C163" s="162"/>
      <c r="D163" s="162"/>
      <c r="E163" s="163"/>
      <c r="F163" s="163"/>
      <c r="G163" s="163"/>
      <c r="H163" s="164"/>
    </row>
    <row r="164" spans="3:8" ht="16.149999999999999" customHeight="1" x14ac:dyDescent="0.25">
      <c r="C164" s="162"/>
      <c r="D164" s="162"/>
      <c r="E164" s="163"/>
      <c r="F164" s="163"/>
      <c r="G164" s="163"/>
      <c r="H164" s="164"/>
    </row>
    <row r="165" spans="3:8" ht="16.149999999999999" customHeight="1" x14ac:dyDescent="0.25">
      <c r="C165" s="162"/>
      <c r="D165" s="162"/>
      <c r="E165" s="163"/>
      <c r="F165" s="163"/>
      <c r="G165" s="163"/>
      <c r="H165" s="164"/>
    </row>
  </sheetData>
  <phoneticPr fontId="3" type="noConversion"/>
  <printOptions horizontalCentered="1"/>
  <pageMargins left="0.59055118110236227" right="0.59055118110236227" top="0.59055118110236227" bottom="0.59055118110236227" header="0.39370078740157483" footer="0.39370078740157483"/>
  <pageSetup paperSize="9" scale="72" orientation="portrait"/>
  <headerFooter alignWithMargins="0">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53" customWidth="1"/>
    <col min="2" max="2" width="15.7109375" style="161" customWidth="1"/>
    <col min="3" max="8" width="13.7109375" style="17" customWidth="1"/>
    <col min="9" max="9" width="13.7109375" style="143" customWidth="1"/>
    <col min="10" max="13" width="15.7109375" style="17" customWidth="1"/>
    <col min="14" max="18" width="15.7109375" style="2" customWidth="1"/>
    <col min="19" max="16384" width="9.140625" style="2"/>
  </cols>
  <sheetData>
    <row r="1" spans="1:13" ht="16.149999999999999" customHeight="1" x14ac:dyDescent="0.25">
      <c r="A1" s="289" t="str">
        <f>IF(ISBLANK(Assumptions!$C$4),"Example Limited",Assumptions!$C$4)</f>
        <v>Example (Pty) Limited</v>
      </c>
      <c r="B1" s="142"/>
      <c r="D1" s="4"/>
      <c r="H1" s="95"/>
    </row>
    <row r="2" spans="1:13" ht="16.149999999999999" customHeight="1" x14ac:dyDescent="0.25">
      <c r="A2" s="144" t="s">
        <v>226</v>
      </c>
      <c r="B2" s="145"/>
    </row>
    <row r="3" spans="1:13" ht="16.149999999999999" customHeight="1" x14ac:dyDescent="0.25">
      <c r="A3" s="144"/>
      <c r="B3" s="145"/>
    </row>
    <row r="4" spans="1:13" ht="16.149999999999999" customHeight="1" x14ac:dyDescent="0.25">
      <c r="A4" s="146" t="s">
        <v>33</v>
      </c>
      <c r="B4" s="147">
        <f>Assumptions!$D$76</f>
        <v>9.2499999999999999E-2</v>
      </c>
      <c r="D4" s="148"/>
    </row>
    <row r="5" spans="1:13" ht="16.149999999999999" customHeight="1" x14ac:dyDescent="0.25">
      <c r="A5" s="149" t="s">
        <v>38</v>
      </c>
      <c r="B5" s="150">
        <f>Assumptions!$D$77</f>
        <v>8</v>
      </c>
      <c r="D5" s="151"/>
    </row>
    <row r="6" spans="1:13" ht="16.149999999999999" customHeight="1" x14ac:dyDescent="0.25">
      <c r="A6" s="149" t="s">
        <v>39</v>
      </c>
      <c r="B6" s="150" t="str">
        <f>Assumptions!$D$78</f>
        <v>No</v>
      </c>
      <c r="D6" s="152"/>
    </row>
    <row r="7" spans="1:13" ht="16.149999999999999" customHeight="1" x14ac:dyDescent="0.25">
      <c r="B7" s="154" t="s">
        <v>50</v>
      </c>
    </row>
    <row r="8" spans="1:13" s="160" customFormat="1" ht="25.5" x14ac:dyDescent="0.25">
      <c r="A8" s="155" t="s">
        <v>82</v>
      </c>
      <c r="B8" s="156" t="s">
        <v>81</v>
      </c>
      <c r="C8" s="157" t="s">
        <v>43</v>
      </c>
      <c r="D8" s="157" t="s">
        <v>292</v>
      </c>
      <c r="E8" s="157" t="s">
        <v>42</v>
      </c>
      <c r="F8" s="157" t="s">
        <v>293</v>
      </c>
      <c r="G8" s="157" t="s">
        <v>49</v>
      </c>
      <c r="H8" s="157" t="s">
        <v>44</v>
      </c>
      <c r="I8" s="158" t="s">
        <v>84</v>
      </c>
      <c r="J8" s="159"/>
      <c r="K8" s="159"/>
      <c r="L8" s="159"/>
      <c r="M8" s="159"/>
    </row>
    <row r="9" spans="1:13" s="107" customFormat="1" ht="16.149999999999999" customHeight="1" x14ac:dyDescent="0.25">
      <c r="A9" s="146">
        <f ca="1">IF(ISBLANK(Assumptions!$C$5)=TRUE,DATE(YEAR(TODAY()),MONTH(TODAY()),1),DATE(YEAR(Assumptions!$C$5),MONTH(Assumptions!$C$5),DAY(Assumptions!$C$5)))</f>
        <v>43891</v>
      </c>
      <c r="B9" s="161">
        <f ca="1">IF(Assumptions!$D$79&gt;=DAY($A$9),DATE(YEAR(A9),MONTH(A9),IF(AND(MONTH($A$9)=2,Assumptions!$D$79&gt;28),28,Assumptions!$D$79)),DATE(YEAR(A9),MONTH(A9)+1,IF(AND(MONTH($A$9)=2,Assumptions!$D$79&gt;28),28,Assumptions!$D$79)))</f>
        <v>43920</v>
      </c>
      <c r="C9" s="162">
        <v>0</v>
      </c>
      <c r="D9" s="162">
        <f ca="1">-SUMIF(Assumptions!$A$81:$C$104,"LT2",Assumptions!$C$81:$C$104)</f>
        <v>500000</v>
      </c>
      <c r="E9" s="162">
        <v>0</v>
      </c>
      <c r="F9" s="162">
        <v>0</v>
      </c>
      <c r="G9" s="163">
        <f t="shared" ref="G9:G61" si="0">IF($B$6="Yes",0,E9-F9)</f>
        <v>0</v>
      </c>
      <c r="H9" s="164">
        <f ca="1">IF(ROUND(SUM(C9:D9,-G9),0)=0,0,IF($B$6="Yes",SUM($D$9:D9),SUM(C9:D9,-G9)))</f>
        <v>500000</v>
      </c>
      <c r="I9" s="143" t="str">
        <f>"-"</f>
        <v>-</v>
      </c>
      <c r="J9" s="162"/>
      <c r="K9" s="162"/>
      <c r="L9" s="162"/>
      <c r="M9" s="162"/>
    </row>
    <row r="10" spans="1:13" s="107" customFormat="1" ht="16.149999999999999" customHeight="1" x14ac:dyDescent="0.25">
      <c r="A10" s="146">
        <f ca="1">IF(ISBLANK(Assumptions!$C$5)=TRUE,DATE(YEAR(TODAY()),MONTH(TODAY()),7),DATE(YEAR(Assumptions!$C$5),MONTH(Assumptions!$C$5),DAY(Assumptions!$C$5)+6))</f>
        <v>43897</v>
      </c>
      <c r="B10" s="161">
        <f ca="1">IF(AND(B9&gt;A9,B9&lt;=A10),B9,DATE(YEAR(A10),MONTH(A10),IF(AND(MONTH(A10)=2,Assumptions!$D$79&gt;28),28,Assumptions!$D$79)))</f>
        <v>43920</v>
      </c>
      <c r="C10" s="162">
        <f ca="1">H9</f>
        <v>500000</v>
      </c>
      <c r="D10" s="162">
        <f ca="1">IF(ISNA(MATCH($A10,Months,0))=TRUE,0,OFFSET(Forecast!$B$100,0,MATCH($A10,Months,0),1,1))</f>
        <v>0</v>
      </c>
      <c r="E10" s="163">
        <f ca="1">IF(AND(B10&gt;A9,B10&lt;=A10),IF($B$6="Yes",0,IF(ROW(D10)-ROW($D$9)&gt;$B$5*52,-PMT($B$4/12,$B$5*12,SUM(OFFSET(D10,0,0,-$B$5*12,1)),0,0),-PMT($B$4/12,$B$5*12,SUM(OFFSET(D10,0,0,ROW($D$8)-ROW(D10),1)),0,0))),0)</f>
        <v>0</v>
      </c>
      <c r="F10" s="163">
        <f ca="1">IF(AND(B10&gt;A9,B10&lt;=A10),(H9+D10)*$B$4/12,0)</f>
        <v>0</v>
      </c>
      <c r="G10" s="163">
        <f t="shared" ca="1" si="0"/>
        <v>0</v>
      </c>
      <c r="H10" s="164">
        <f ca="1">IF(ROUND(SUM(C10:D10,-G10),0)=0,0,IF($B$6="Yes",SUM($D$9:D10),SUM(C10:D10,-G10)))</f>
        <v>500000</v>
      </c>
      <c r="I10" s="165" t="str">
        <f ca="1">IF(E10&gt;0,MAX(I$9:I9)+1,"-")</f>
        <v>-</v>
      </c>
      <c r="J10" s="162"/>
      <c r="K10" s="162"/>
      <c r="L10" s="162"/>
      <c r="M10" s="162"/>
    </row>
    <row r="11" spans="1:13" s="107" customFormat="1" ht="16.149999999999999" customHeight="1" x14ac:dyDescent="0.25">
      <c r="A11" s="146">
        <f ca="1">DATE(YEAR(A10),MONTH(A10),DAY(A10)+7)</f>
        <v>43904</v>
      </c>
      <c r="B11" s="161">
        <f ca="1">IF(AND(B10&gt;A10,B10&lt;=A11),B10,DATE(YEAR(A11),MONTH(A11),IF(AND(MONTH(A11)=2,Assumptions!$D$79&gt;28),28,Assumptions!$D$79)))</f>
        <v>43920</v>
      </c>
      <c r="C11" s="162">
        <f t="shared" ref="C11:C61" ca="1" si="1">H10</f>
        <v>500000</v>
      </c>
      <c r="D11" s="162">
        <f ca="1">IF(ISNA(MATCH($A11,Months,0))=TRUE,0,OFFSET(Forecast!$B$100,0,MATCH($A11,Months,0),1,1))</f>
        <v>0</v>
      </c>
      <c r="E11" s="163">
        <f t="shared" ref="E11:E61" ca="1" si="2">IF(AND(B11&gt;A10,B11&lt;=A11),IF($B$6="Yes",0,IF(ROW(D11)-ROW($D$9)&gt;$B$5*52,-PMT($B$4/12,$B$5*12,SUM(OFFSET(D11,0,0,-$B$5*12,1)),0,0),-PMT($B$4/12,$B$5*12,SUM(OFFSET(D11,0,0,ROW($D$8)-ROW(D11),1)),0,0))),0)</f>
        <v>0</v>
      </c>
      <c r="F11" s="163">
        <f t="shared" ref="F11:F61" ca="1" si="3">IF(AND(B11&gt;A10,B11&lt;=A11),(H10+D11)*$B$4/12,0)</f>
        <v>0</v>
      </c>
      <c r="G11" s="163">
        <f t="shared" ca="1" si="0"/>
        <v>0</v>
      </c>
      <c r="H11" s="164">
        <f ca="1">IF(ROUND(SUM(C11:D11,-G11),0)=0,0,IF($B$6="Yes",SUM($D$9:D11),SUM(C11:D11,-G11)))</f>
        <v>500000</v>
      </c>
      <c r="I11" s="165" t="str">
        <f ca="1">IF(E11&gt;0,MAX(I$9:I10)+1,"-")</f>
        <v>-</v>
      </c>
      <c r="J11" s="162"/>
      <c r="K11" s="162"/>
      <c r="L11" s="162"/>
      <c r="M11" s="162"/>
    </row>
    <row r="12" spans="1:13" s="107" customFormat="1" ht="16.149999999999999" customHeight="1" x14ac:dyDescent="0.25">
      <c r="A12" s="146">
        <f t="shared" ref="A12:A61" ca="1" si="4">DATE(YEAR(A11),MONTH(A11),DAY(A11)+7)</f>
        <v>43911</v>
      </c>
      <c r="B12" s="161">
        <f ca="1">IF(AND(B11&gt;A11,B11&lt;=A12),B11,DATE(YEAR(A12),MONTH(A12),IF(AND(MONTH(A12)=2,Assumptions!$D$79&gt;28),28,Assumptions!$D$79)))</f>
        <v>43920</v>
      </c>
      <c r="C12" s="162">
        <f t="shared" ca="1" si="1"/>
        <v>500000</v>
      </c>
      <c r="D12" s="162">
        <f ca="1">IF(ISNA(MATCH($A12,Months,0))=TRUE,0,OFFSET(Forecast!$B$100,0,MATCH($A12,Months,0),1,1))</f>
        <v>0</v>
      </c>
      <c r="E12" s="163">
        <f t="shared" ca="1" si="2"/>
        <v>0</v>
      </c>
      <c r="F12" s="163">
        <f t="shared" ca="1" si="3"/>
        <v>0</v>
      </c>
      <c r="G12" s="163">
        <f t="shared" ca="1" si="0"/>
        <v>0</v>
      </c>
      <c r="H12" s="164">
        <f ca="1">IF(ROUND(SUM(C12:D12,-G12),0)=0,0,IF($B$6="Yes",SUM($D$9:D12),SUM(C12:D12,-G12)))</f>
        <v>500000</v>
      </c>
      <c r="I12" s="165" t="str">
        <f ca="1">IF(E12&gt;0,MAX(I$9:I11)+1,"-")</f>
        <v>-</v>
      </c>
      <c r="J12" s="162"/>
      <c r="K12" s="162"/>
      <c r="L12" s="162"/>
      <c r="M12" s="162"/>
    </row>
    <row r="13" spans="1:13" s="107" customFormat="1" ht="16.149999999999999" customHeight="1" x14ac:dyDescent="0.25">
      <c r="A13" s="146">
        <f t="shared" ca="1" si="4"/>
        <v>43918</v>
      </c>
      <c r="B13" s="161">
        <f ca="1">IF(AND(B12&gt;A12,B12&lt;=A13),B12,DATE(YEAR(A13),MONTH(A13),IF(AND(MONTH(A13)=2,Assumptions!$D$79&gt;28),28,Assumptions!$D$79)))</f>
        <v>43920</v>
      </c>
      <c r="C13" s="162">
        <f t="shared" ca="1" si="1"/>
        <v>500000</v>
      </c>
      <c r="D13" s="162">
        <f ca="1">IF(ISNA(MATCH($A13,Months,0))=TRUE,0,OFFSET(Forecast!$B$100,0,MATCH($A13,Months,0),1,1))</f>
        <v>0</v>
      </c>
      <c r="E13" s="163">
        <f t="shared" ca="1" si="2"/>
        <v>0</v>
      </c>
      <c r="F13" s="163">
        <f t="shared" ca="1" si="3"/>
        <v>0</v>
      </c>
      <c r="G13" s="163">
        <f t="shared" ca="1" si="0"/>
        <v>0</v>
      </c>
      <c r="H13" s="164">
        <f ca="1">IF(ROUND(SUM(C13:D13,-G13),0)=0,0,IF($B$6="Yes",SUM($D$9:D13),SUM(C13:D13,-G13)))</f>
        <v>500000</v>
      </c>
      <c r="I13" s="165" t="str">
        <f ca="1">IF(E13&gt;0,MAX(I$9:I12)+1,"-")</f>
        <v>-</v>
      </c>
      <c r="J13" s="162"/>
      <c r="K13" s="162"/>
      <c r="L13" s="162"/>
      <c r="M13" s="162"/>
    </row>
    <row r="14" spans="1:13" s="107" customFormat="1" ht="16.149999999999999" customHeight="1" x14ac:dyDescent="0.25">
      <c r="A14" s="146">
        <f t="shared" ca="1" si="4"/>
        <v>43925</v>
      </c>
      <c r="B14" s="161">
        <f ca="1">IF(AND(B13&gt;A13,B13&lt;=A14),B13,DATE(YEAR(A14),MONTH(A14),IF(AND(MONTH(A14)=2,Assumptions!$D$79&gt;28),28,Assumptions!$D$79)))</f>
        <v>43920</v>
      </c>
      <c r="C14" s="162">
        <f t="shared" ca="1" si="1"/>
        <v>500000</v>
      </c>
      <c r="D14" s="162">
        <f ca="1">IF(ISNA(MATCH($A14,Months,0))=TRUE,0,OFFSET(Forecast!$B$100,0,MATCH($A14,Months,0),1,1))</f>
        <v>0</v>
      </c>
      <c r="E14" s="163">
        <f t="shared" ca="1" si="2"/>
        <v>7390.1100802133533</v>
      </c>
      <c r="F14" s="163">
        <f t="shared" ca="1" si="3"/>
        <v>3854.1666666666665</v>
      </c>
      <c r="G14" s="163">
        <f t="shared" ca="1" si="0"/>
        <v>3535.9434135466868</v>
      </c>
      <c r="H14" s="164">
        <f ca="1">IF(ROUND(SUM(C14:D14,-G14),0)=0,0,IF($B$6="Yes",SUM($D$9:D14),SUM(C14:D14,-G14)))</f>
        <v>496464.05658645334</v>
      </c>
      <c r="I14" s="165">
        <f ca="1">IF(E14&gt;0,MAX(I$9:I13)+1,"-")</f>
        <v>1</v>
      </c>
      <c r="J14" s="162"/>
      <c r="K14" s="162"/>
      <c r="L14" s="162"/>
      <c r="M14" s="162"/>
    </row>
    <row r="15" spans="1:13" s="107" customFormat="1" ht="16.149999999999999" customHeight="1" x14ac:dyDescent="0.25">
      <c r="A15" s="146">
        <f t="shared" ca="1" si="4"/>
        <v>43932</v>
      </c>
      <c r="B15" s="161">
        <f ca="1">IF(AND(B14&gt;A14,B14&lt;=A15),B14,DATE(YEAR(A15),MONTH(A15),IF(AND(MONTH(A15)=2,Assumptions!$D$79&gt;28),28,Assumptions!$D$79)))</f>
        <v>43951</v>
      </c>
      <c r="C15" s="162">
        <f t="shared" ca="1" si="1"/>
        <v>496464.05658645334</v>
      </c>
      <c r="D15" s="162">
        <f ca="1">IF(ISNA(MATCH($A15,Months,0))=TRUE,0,OFFSET(Forecast!$B$100,0,MATCH($A15,Months,0),1,1))</f>
        <v>0</v>
      </c>
      <c r="E15" s="163">
        <f t="shared" ca="1" si="2"/>
        <v>0</v>
      </c>
      <c r="F15" s="163">
        <f t="shared" ca="1" si="3"/>
        <v>0</v>
      </c>
      <c r="G15" s="163">
        <f t="shared" ca="1" si="0"/>
        <v>0</v>
      </c>
      <c r="H15" s="164">
        <f ca="1">IF(ROUND(SUM(C15:D15,-G15),0)=0,0,IF($B$6="Yes",SUM($D$9:D15),SUM(C15:D15,-G15)))</f>
        <v>496464.05658645334</v>
      </c>
      <c r="I15" s="165" t="str">
        <f ca="1">IF(E15&gt;0,MAX(I$9:I14)+1,"-")</f>
        <v>-</v>
      </c>
      <c r="J15" s="162"/>
      <c r="K15" s="162"/>
      <c r="L15" s="162"/>
      <c r="M15" s="162"/>
    </row>
    <row r="16" spans="1:13" s="107" customFormat="1" ht="16.149999999999999" customHeight="1" x14ac:dyDescent="0.25">
      <c r="A16" s="146">
        <f t="shared" ca="1" si="4"/>
        <v>43939</v>
      </c>
      <c r="B16" s="161">
        <f ca="1">IF(AND(B15&gt;A15,B15&lt;=A16),B15,DATE(YEAR(A16),MONTH(A16),IF(AND(MONTH(A16)=2,Assumptions!$D$79&gt;28),28,Assumptions!$D$79)))</f>
        <v>43951</v>
      </c>
      <c r="C16" s="162">
        <f t="shared" ca="1" si="1"/>
        <v>496464.05658645334</v>
      </c>
      <c r="D16" s="162">
        <f ca="1">IF(ISNA(MATCH($A16,Months,0))=TRUE,0,OFFSET(Forecast!$B$100,0,MATCH($A16,Months,0),1,1))</f>
        <v>0</v>
      </c>
      <c r="E16" s="163">
        <f t="shared" ca="1" si="2"/>
        <v>0</v>
      </c>
      <c r="F16" s="163">
        <f t="shared" ca="1" si="3"/>
        <v>0</v>
      </c>
      <c r="G16" s="163">
        <f t="shared" ca="1" si="0"/>
        <v>0</v>
      </c>
      <c r="H16" s="164">
        <f ca="1">IF(ROUND(SUM(C16:D16,-G16),0)=0,0,IF($B$6="Yes",SUM($D$9:D16),SUM(C16:D16,-G16)))</f>
        <v>496464.05658645334</v>
      </c>
      <c r="I16" s="165" t="str">
        <f ca="1">IF(E16&gt;0,MAX(I$9:I15)+1,"-")</f>
        <v>-</v>
      </c>
      <c r="J16" s="162"/>
      <c r="K16" s="162"/>
      <c r="L16" s="162"/>
      <c r="M16" s="162"/>
    </row>
    <row r="17" spans="1:13" s="107" customFormat="1" ht="16.149999999999999" customHeight="1" x14ac:dyDescent="0.25">
      <c r="A17" s="146">
        <f t="shared" ca="1" si="4"/>
        <v>43946</v>
      </c>
      <c r="B17" s="161">
        <f ca="1">IF(AND(B16&gt;A16,B16&lt;=A17),B16,DATE(YEAR(A17),MONTH(A17),IF(AND(MONTH(A17)=2,Assumptions!$D$79&gt;28),28,Assumptions!$D$79)))</f>
        <v>43951</v>
      </c>
      <c r="C17" s="162">
        <f t="shared" ca="1" si="1"/>
        <v>496464.05658645334</v>
      </c>
      <c r="D17" s="162">
        <f ca="1">IF(ISNA(MATCH($A17,Months,0))=TRUE,0,OFFSET(Forecast!$B$100,0,MATCH($A17,Months,0),1,1))</f>
        <v>0</v>
      </c>
      <c r="E17" s="163">
        <f t="shared" ca="1" si="2"/>
        <v>0</v>
      </c>
      <c r="F17" s="163">
        <f t="shared" ca="1" si="3"/>
        <v>0</v>
      </c>
      <c r="G17" s="163">
        <f t="shared" ca="1" si="0"/>
        <v>0</v>
      </c>
      <c r="H17" s="164">
        <f ca="1">IF(ROUND(SUM(C17:D17,-G17),0)=0,0,IF($B$6="Yes",SUM($D$9:D17),SUM(C17:D17,-G17)))</f>
        <v>496464.05658645334</v>
      </c>
      <c r="I17" s="165" t="str">
        <f ca="1">IF(E17&gt;0,MAX(I$9:I16)+1,"-")</f>
        <v>-</v>
      </c>
      <c r="J17" s="162"/>
      <c r="K17" s="162"/>
      <c r="L17" s="162"/>
      <c r="M17" s="162"/>
    </row>
    <row r="18" spans="1:13" s="107" customFormat="1" ht="16.149999999999999" customHeight="1" x14ac:dyDescent="0.25">
      <c r="A18" s="146">
        <f t="shared" ca="1" si="4"/>
        <v>43953</v>
      </c>
      <c r="B18" s="161">
        <f ca="1">IF(AND(B17&gt;A17,B17&lt;=A18),B17,DATE(YEAR(A18),MONTH(A18),IF(AND(MONTH(A18)=2,Assumptions!$D$79&gt;28),28,Assumptions!$D$79)))</f>
        <v>43951</v>
      </c>
      <c r="C18" s="162">
        <f t="shared" ca="1" si="1"/>
        <v>496464.05658645334</v>
      </c>
      <c r="D18" s="162">
        <f ca="1">IF(ISNA(MATCH($A18,Months,0))=TRUE,0,OFFSET(Forecast!$B$100,0,MATCH($A18,Months,0),1,1))</f>
        <v>0</v>
      </c>
      <c r="E18" s="163">
        <f t="shared" ca="1" si="2"/>
        <v>7390.1100802133533</v>
      </c>
      <c r="F18" s="163">
        <f t="shared" ca="1" si="3"/>
        <v>3826.9104361872446</v>
      </c>
      <c r="G18" s="163">
        <f t="shared" ca="1" si="0"/>
        <v>3563.1996440261087</v>
      </c>
      <c r="H18" s="164">
        <f ca="1">IF(ROUND(SUM(C18:D18,-G18),0)=0,0,IF($B$6="Yes",SUM($D$9:D18),SUM(C18:D18,-G18)))</f>
        <v>492900.85694242723</v>
      </c>
      <c r="I18" s="165">
        <f ca="1">IF(E18&gt;0,MAX(I$9:I17)+1,"-")</f>
        <v>2</v>
      </c>
      <c r="J18" s="162"/>
      <c r="K18" s="162"/>
      <c r="L18" s="162"/>
      <c r="M18" s="162"/>
    </row>
    <row r="19" spans="1:13" s="107" customFormat="1" ht="16.149999999999999" customHeight="1" x14ac:dyDescent="0.25">
      <c r="A19" s="146">
        <f t="shared" ca="1" si="4"/>
        <v>43960</v>
      </c>
      <c r="B19" s="161">
        <f ca="1">IF(AND(B18&gt;A18,B18&lt;=A19),B18,DATE(YEAR(A19),MONTH(A19),IF(AND(MONTH(A19)=2,Assumptions!$D$79&gt;28),28,Assumptions!$D$79)))</f>
        <v>43981</v>
      </c>
      <c r="C19" s="162">
        <f t="shared" ca="1" si="1"/>
        <v>492900.85694242723</v>
      </c>
      <c r="D19" s="162">
        <f ca="1">IF(ISNA(MATCH($A19,Months,0))=TRUE,0,OFFSET(Forecast!$B$100,0,MATCH($A19,Months,0),1,1))</f>
        <v>0</v>
      </c>
      <c r="E19" s="163">
        <f t="shared" ca="1" si="2"/>
        <v>0</v>
      </c>
      <c r="F19" s="163">
        <f t="shared" ca="1" si="3"/>
        <v>0</v>
      </c>
      <c r="G19" s="163">
        <f t="shared" ca="1" si="0"/>
        <v>0</v>
      </c>
      <c r="H19" s="164">
        <f ca="1">IF(ROUND(SUM(C19:D19,-G19),0)=0,0,IF($B$6="Yes",SUM($D$9:D19),SUM(C19:D19,-G19)))</f>
        <v>492900.85694242723</v>
      </c>
      <c r="I19" s="165" t="str">
        <f ca="1">IF(E19&gt;0,MAX(I$9:I18)+1,"-")</f>
        <v>-</v>
      </c>
      <c r="J19" s="162"/>
      <c r="K19" s="162"/>
      <c r="L19" s="162"/>
      <c r="M19" s="162"/>
    </row>
    <row r="20" spans="1:13" ht="16.149999999999999" customHeight="1" x14ac:dyDescent="0.25">
      <c r="A20" s="146">
        <f t="shared" ca="1" si="4"/>
        <v>43967</v>
      </c>
      <c r="B20" s="161">
        <f ca="1">IF(AND(B19&gt;A19,B19&lt;=A20),B19,DATE(YEAR(A20),MONTH(A20),IF(AND(MONTH(A20)=2,Assumptions!$D$79&gt;28),28,Assumptions!$D$79)))</f>
        <v>43981</v>
      </c>
      <c r="C20" s="162">
        <f t="shared" ca="1" si="1"/>
        <v>492900.85694242723</v>
      </c>
      <c r="D20" s="162">
        <f ca="1">IF(ISNA(MATCH($A20,Months,0))=TRUE,0,OFFSET(Forecast!$B$100,0,MATCH($A20,Months,0),1,1))</f>
        <v>0</v>
      </c>
      <c r="E20" s="163">
        <f t="shared" ca="1" si="2"/>
        <v>0</v>
      </c>
      <c r="F20" s="163">
        <f t="shared" ca="1" si="3"/>
        <v>0</v>
      </c>
      <c r="G20" s="163">
        <f t="shared" ca="1" si="0"/>
        <v>0</v>
      </c>
      <c r="H20" s="164">
        <f ca="1">IF(ROUND(SUM(C20:D20,-G20),0)=0,0,IF($B$6="Yes",SUM($D$9:D20),SUM(C20:D20,-G20)))</f>
        <v>492900.85694242723</v>
      </c>
      <c r="I20" s="165" t="str">
        <f ca="1">IF(E20&gt;0,MAX(I$9:I19)+1,"-")</f>
        <v>-</v>
      </c>
    </row>
    <row r="21" spans="1:13" ht="16.149999999999999" customHeight="1" x14ac:dyDescent="0.25">
      <c r="A21" s="146">
        <f t="shared" ca="1" si="4"/>
        <v>43974</v>
      </c>
      <c r="B21" s="161">
        <f ca="1">IF(AND(B20&gt;A20,B20&lt;=A21),B20,DATE(YEAR(A21),MONTH(A21),IF(AND(MONTH(A21)=2,Assumptions!$D$79&gt;28),28,Assumptions!$D$79)))</f>
        <v>43981</v>
      </c>
      <c r="C21" s="162">
        <f t="shared" ca="1" si="1"/>
        <v>492900.85694242723</v>
      </c>
      <c r="D21" s="162">
        <f ca="1">IF(ISNA(MATCH($A21,Months,0))=TRUE,0,OFFSET(Forecast!$B$100,0,MATCH($A21,Months,0),1,1))</f>
        <v>0</v>
      </c>
      <c r="E21" s="163">
        <f t="shared" ca="1" si="2"/>
        <v>0</v>
      </c>
      <c r="F21" s="163">
        <f t="shared" ca="1" si="3"/>
        <v>0</v>
      </c>
      <c r="G21" s="163">
        <f t="shared" ca="1" si="0"/>
        <v>0</v>
      </c>
      <c r="H21" s="164">
        <f ca="1">IF(ROUND(SUM(C21:D21,-G21),0)=0,0,IF($B$6="Yes",SUM($D$9:D21),SUM(C21:D21,-G21)))</f>
        <v>492900.85694242723</v>
      </c>
      <c r="I21" s="165" t="str">
        <f ca="1">IF(E21&gt;0,MAX(I$9:I20)+1,"-")</f>
        <v>-</v>
      </c>
    </row>
    <row r="22" spans="1:13" ht="16.149999999999999" customHeight="1" x14ac:dyDescent="0.25">
      <c r="A22" s="146">
        <f t="shared" ca="1" si="4"/>
        <v>43981</v>
      </c>
      <c r="B22" s="161">
        <f ca="1">IF(AND(B21&gt;A21,B21&lt;=A22),B21,DATE(YEAR(A22),MONTH(A22),IF(AND(MONTH(A22)=2,Assumptions!$D$79&gt;28),28,Assumptions!$D$79)))</f>
        <v>43981</v>
      </c>
      <c r="C22" s="162">
        <f t="shared" ca="1" si="1"/>
        <v>492900.85694242723</v>
      </c>
      <c r="D22" s="162">
        <f ca="1">IF(ISNA(MATCH($A22,Months,0))=TRUE,0,OFFSET(Forecast!$B$100,0,MATCH($A22,Months,0),1,1))</f>
        <v>0</v>
      </c>
      <c r="E22" s="163">
        <f t="shared" ca="1" si="2"/>
        <v>7390.1100802133533</v>
      </c>
      <c r="F22" s="163">
        <f t="shared" ca="1" si="3"/>
        <v>3799.4441055978764</v>
      </c>
      <c r="G22" s="163">
        <f t="shared" ca="1" si="0"/>
        <v>3590.6659746154769</v>
      </c>
      <c r="H22" s="164">
        <f ca="1">IF(ROUND(SUM(C22:D22,-G22),0)=0,0,IF($B$6="Yes",SUM($D$9:D22),SUM(C22:D22,-G22)))</f>
        <v>489310.19096781174</v>
      </c>
      <c r="I22" s="165">
        <f ca="1">IF(E22&gt;0,MAX(I$9:I21)+1,"-")</f>
        <v>3</v>
      </c>
    </row>
    <row r="23" spans="1:13" s="119" customFormat="1" ht="16.149999999999999" customHeight="1" x14ac:dyDescent="0.25">
      <c r="A23" s="146">
        <f t="shared" ca="1" si="4"/>
        <v>43988</v>
      </c>
      <c r="B23" s="161">
        <f ca="1">IF(AND(B22&gt;A22,B22&lt;=A23),B22,DATE(YEAR(A23),MONTH(A23),IF(AND(MONTH(A23)=2,Assumptions!$D$79&gt;28),28,Assumptions!$D$79)))</f>
        <v>44012</v>
      </c>
      <c r="C23" s="162">
        <f t="shared" ca="1" si="1"/>
        <v>489310.19096781174</v>
      </c>
      <c r="D23" s="162">
        <f ca="1">IF(ISNA(MATCH($A23,Months,0))=TRUE,0,OFFSET(Forecast!$B$100,0,MATCH($A23,Months,0),1,1))</f>
        <v>0</v>
      </c>
      <c r="E23" s="163">
        <f t="shared" ca="1" si="2"/>
        <v>0</v>
      </c>
      <c r="F23" s="163">
        <f t="shared" ca="1" si="3"/>
        <v>0</v>
      </c>
      <c r="G23" s="163">
        <f t="shared" ca="1" si="0"/>
        <v>0</v>
      </c>
      <c r="H23" s="164">
        <f ca="1">IF(ROUND(SUM(C23:D23,-G23),0)=0,0,IF($B$6="Yes",SUM($D$9:D23),SUM(C23:D23,-G23)))</f>
        <v>489310.19096781174</v>
      </c>
      <c r="I23" s="165" t="str">
        <f ca="1">IF(E23&gt;0,MAX(I$9:I22)+1,"-")</f>
        <v>-</v>
      </c>
      <c r="J23" s="166"/>
      <c r="K23" s="166"/>
      <c r="L23" s="166"/>
      <c r="M23" s="166"/>
    </row>
    <row r="24" spans="1:13" ht="16.149999999999999" customHeight="1" x14ac:dyDescent="0.25">
      <c r="A24" s="146">
        <f t="shared" ca="1" si="4"/>
        <v>43995</v>
      </c>
      <c r="B24" s="161">
        <f ca="1">IF(AND(B23&gt;A23,B23&lt;=A24),B23,DATE(YEAR(A24),MONTH(A24),IF(AND(MONTH(A24)=2,Assumptions!$D$79&gt;28),28,Assumptions!$D$79)))</f>
        <v>44012</v>
      </c>
      <c r="C24" s="162">
        <f t="shared" ca="1" si="1"/>
        <v>489310.19096781174</v>
      </c>
      <c r="D24" s="162">
        <f ca="1">IF(ISNA(MATCH($A24,Months,0))=TRUE,0,OFFSET(Forecast!$B$100,0,MATCH($A24,Months,0),1,1))</f>
        <v>0</v>
      </c>
      <c r="E24" s="163">
        <f t="shared" ca="1" si="2"/>
        <v>0</v>
      </c>
      <c r="F24" s="163">
        <f t="shared" ca="1" si="3"/>
        <v>0</v>
      </c>
      <c r="G24" s="163">
        <f t="shared" ca="1" si="0"/>
        <v>0</v>
      </c>
      <c r="H24" s="164">
        <f ca="1">IF(ROUND(SUM(C24:D24,-G24),0)=0,0,IF($B$6="Yes",SUM($D$9:D24),SUM(C24:D24,-G24)))</f>
        <v>489310.19096781174</v>
      </c>
      <c r="I24" s="165" t="str">
        <f ca="1">IF(E24&gt;0,MAX(I$9:I23)+1,"-")</f>
        <v>-</v>
      </c>
    </row>
    <row r="25" spans="1:13" ht="16.149999999999999" customHeight="1" x14ac:dyDescent="0.25">
      <c r="A25" s="146">
        <f t="shared" ca="1" si="4"/>
        <v>44002</v>
      </c>
      <c r="B25" s="161">
        <f ca="1">IF(AND(B24&gt;A24,B24&lt;=A25),B24,DATE(YEAR(A25),MONTH(A25),IF(AND(MONTH(A25)=2,Assumptions!$D$79&gt;28),28,Assumptions!$D$79)))</f>
        <v>44012</v>
      </c>
      <c r="C25" s="162">
        <f t="shared" ca="1" si="1"/>
        <v>489310.19096781174</v>
      </c>
      <c r="D25" s="162">
        <f ca="1">IF(ISNA(MATCH($A25,Months,0))=TRUE,0,OFFSET(Forecast!$B$100,0,MATCH($A25,Months,0),1,1))</f>
        <v>0</v>
      </c>
      <c r="E25" s="163">
        <f t="shared" ca="1" si="2"/>
        <v>0</v>
      </c>
      <c r="F25" s="163">
        <f t="shared" ca="1" si="3"/>
        <v>0</v>
      </c>
      <c r="G25" s="163">
        <f t="shared" ca="1" si="0"/>
        <v>0</v>
      </c>
      <c r="H25" s="164">
        <f ca="1">IF(ROUND(SUM(C25:D25,-G25),0)=0,0,IF($B$6="Yes",SUM($D$9:D25),SUM(C25:D25,-G25)))</f>
        <v>489310.19096781174</v>
      </c>
      <c r="I25" s="165" t="str">
        <f ca="1">IF(E25&gt;0,MAX(I$9:I24)+1,"-")</f>
        <v>-</v>
      </c>
    </row>
    <row r="26" spans="1:13" ht="16.149999999999999" customHeight="1" x14ac:dyDescent="0.25">
      <c r="A26" s="146">
        <f t="shared" ca="1" si="4"/>
        <v>44009</v>
      </c>
      <c r="B26" s="161">
        <f ca="1">IF(AND(B25&gt;A25,B25&lt;=A26),B25,DATE(YEAR(A26),MONTH(A26),IF(AND(MONTH(A26)=2,Assumptions!$D$79&gt;28),28,Assumptions!$D$79)))</f>
        <v>44012</v>
      </c>
      <c r="C26" s="162">
        <f t="shared" ca="1" si="1"/>
        <v>489310.19096781174</v>
      </c>
      <c r="D26" s="162">
        <f ca="1">IF(ISNA(MATCH($A26,Months,0))=TRUE,0,OFFSET(Forecast!$B$100,0,MATCH($A26,Months,0),1,1))</f>
        <v>0</v>
      </c>
      <c r="E26" s="163">
        <f t="shared" ca="1" si="2"/>
        <v>0</v>
      </c>
      <c r="F26" s="163">
        <f t="shared" ca="1" si="3"/>
        <v>0</v>
      </c>
      <c r="G26" s="163">
        <f t="shared" ca="1" si="0"/>
        <v>0</v>
      </c>
      <c r="H26" s="164">
        <f ca="1">IF(ROUND(SUM(C26:D26,-G26),0)=0,0,IF($B$6="Yes",SUM($D$9:D26),SUM(C26:D26,-G26)))</f>
        <v>489310.19096781174</v>
      </c>
      <c r="I26" s="165" t="str">
        <f ca="1">IF(E26&gt;0,MAX(I$9:I25)+1,"-")</f>
        <v>-</v>
      </c>
    </row>
    <row r="27" spans="1:13" ht="16.149999999999999" customHeight="1" x14ac:dyDescent="0.25">
      <c r="A27" s="146">
        <f t="shared" ca="1" si="4"/>
        <v>44016</v>
      </c>
      <c r="B27" s="161">
        <f ca="1">IF(AND(B26&gt;A26,B26&lt;=A27),B26,DATE(YEAR(A27),MONTH(A27),IF(AND(MONTH(A27)=2,Assumptions!$D$79&gt;28),28,Assumptions!$D$79)))</f>
        <v>44012</v>
      </c>
      <c r="C27" s="162">
        <f t="shared" ca="1" si="1"/>
        <v>489310.19096781174</v>
      </c>
      <c r="D27" s="162">
        <f ca="1">IF(ISNA(MATCH($A27,Months,0))=TRUE,0,OFFSET(Forecast!$B$100,0,MATCH($A27,Months,0),1,1))</f>
        <v>0</v>
      </c>
      <c r="E27" s="163">
        <f t="shared" ca="1" si="2"/>
        <v>7390.1100802133533</v>
      </c>
      <c r="F27" s="163">
        <f t="shared" ca="1" si="3"/>
        <v>3771.7660553768819</v>
      </c>
      <c r="G27" s="163">
        <f t="shared" ca="1" si="0"/>
        <v>3618.3440248364714</v>
      </c>
      <c r="H27" s="164">
        <f ca="1">IF(ROUND(SUM(C27:D27,-G27),0)=0,0,IF($B$6="Yes",SUM($D$9:D27),SUM(C27:D27,-G27)))</f>
        <v>485691.84694297524</v>
      </c>
      <c r="I27" s="165">
        <f ca="1">IF(E27&gt;0,MAX(I$9:I26)+1,"-")</f>
        <v>4</v>
      </c>
    </row>
    <row r="28" spans="1:13" ht="16.149999999999999" customHeight="1" x14ac:dyDescent="0.25">
      <c r="A28" s="146">
        <f t="shared" ca="1" si="4"/>
        <v>44023</v>
      </c>
      <c r="B28" s="161">
        <f ca="1">IF(AND(B27&gt;A27,B27&lt;=A28),B27,DATE(YEAR(A28),MONTH(A28),IF(AND(MONTH(A28)=2,Assumptions!$D$79&gt;28),28,Assumptions!$D$79)))</f>
        <v>44042</v>
      </c>
      <c r="C28" s="162">
        <f t="shared" ca="1" si="1"/>
        <v>485691.84694297524</v>
      </c>
      <c r="D28" s="162">
        <f ca="1">IF(ISNA(MATCH($A28,Months,0))=TRUE,0,OFFSET(Forecast!$B$100,0,MATCH($A28,Months,0),1,1))</f>
        <v>0</v>
      </c>
      <c r="E28" s="163">
        <f t="shared" ca="1" si="2"/>
        <v>0</v>
      </c>
      <c r="F28" s="163">
        <f t="shared" ca="1" si="3"/>
        <v>0</v>
      </c>
      <c r="G28" s="163">
        <f t="shared" ca="1" si="0"/>
        <v>0</v>
      </c>
      <c r="H28" s="164">
        <f ca="1">IF(ROUND(SUM(C28:D28,-G28),0)=0,0,IF($B$6="Yes",SUM($D$9:D28),SUM(C28:D28,-G28)))</f>
        <v>485691.84694297524</v>
      </c>
      <c r="I28" s="165" t="str">
        <f ca="1">IF(E28&gt;0,MAX(I$9:I27)+1,"-")</f>
        <v>-</v>
      </c>
    </row>
    <row r="29" spans="1:13" ht="16.149999999999999" customHeight="1" x14ac:dyDescent="0.25">
      <c r="A29" s="146">
        <f t="shared" ca="1" si="4"/>
        <v>44030</v>
      </c>
      <c r="B29" s="161">
        <f ca="1">IF(AND(B28&gt;A28,B28&lt;=A29),B28,DATE(YEAR(A29),MONTH(A29),IF(AND(MONTH(A29)=2,Assumptions!$D$79&gt;28),28,Assumptions!$D$79)))</f>
        <v>44042</v>
      </c>
      <c r="C29" s="162">
        <f t="shared" ca="1" si="1"/>
        <v>485691.84694297524</v>
      </c>
      <c r="D29" s="162">
        <f ca="1">IF(ISNA(MATCH($A29,Months,0))=TRUE,0,OFFSET(Forecast!$B$100,0,MATCH($A29,Months,0),1,1))</f>
        <v>0</v>
      </c>
      <c r="E29" s="163">
        <f t="shared" ca="1" si="2"/>
        <v>0</v>
      </c>
      <c r="F29" s="163">
        <f t="shared" ca="1" si="3"/>
        <v>0</v>
      </c>
      <c r="G29" s="163">
        <f t="shared" ca="1" si="0"/>
        <v>0</v>
      </c>
      <c r="H29" s="164">
        <f ca="1">IF(ROUND(SUM(C29:D29,-G29),0)=0,0,IF($B$6="Yes",SUM($D$9:D29),SUM(C29:D29,-G29)))</f>
        <v>485691.84694297524</v>
      </c>
      <c r="I29" s="165" t="str">
        <f ca="1">IF(E29&gt;0,MAX(I$9:I28)+1,"-")</f>
        <v>-</v>
      </c>
    </row>
    <row r="30" spans="1:13" ht="16.149999999999999" customHeight="1" x14ac:dyDescent="0.25">
      <c r="A30" s="146">
        <f t="shared" ca="1" si="4"/>
        <v>44037</v>
      </c>
      <c r="B30" s="161">
        <f ca="1">IF(AND(B29&gt;A29,B29&lt;=A30),B29,DATE(YEAR(A30),MONTH(A30),IF(AND(MONTH(A30)=2,Assumptions!$D$79&gt;28),28,Assumptions!$D$79)))</f>
        <v>44042</v>
      </c>
      <c r="C30" s="162">
        <f t="shared" ca="1" si="1"/>
        <v>485691.84694297524</v>
      </c>
      <c r="D30" s="162">
        <f ca="1">IF(ISNA(MATCH($A30,Months,0))=TRUE,0,OFFSET(Forecast!$B$100,0,MATCH($A30,Months,0),1,1))</f>
        <v>0</v>
      </c>
      <c r="E30" s="163">
        <f t="shared" ca="1" si="2"/>
        <v>0</v>
      </c>
      <c r="F30" s="163">
        <f t="shared" ca="1" si="3"/>
        <v>0</v>
      </c>
      <c r="G30" s="163">
        <f t="shared" ca="1" si="0"/>
        <v>0</v>
      </c>
      <c r="H30" s="164">
        <f ca="1">IF(ROUND(SUM(C30:D30,-G30),0)=0,0,IF($B$6="Yes",SUM($D$9:D30),SUM(C30:D30,-G30)))</f>
        <v>485691.84694297524</v>
      </c>
      <c r="I30" s="165" t="str">
        <f ca="1">IF(E30&gt;0,MAX(I$9:I29)+1,"-")</f>
        <v>-</v>
      </c>
    </row>
    <row r="31" spans="1:13" ht="16.149999999999999" customHeight="1" x14ac:dyDescent="0.25">
      <c r="A31" s="146">
        <f t="shared" ca="1" si="4"/>
        <v>44044</v>
      </c>
      <c r="B31" s="161">
        <f ca="1">IF(AND(B30&gt;A30,B30&lt;=A31),B30,DATE(YEAR(A31),MONTH(A31),IF(AND(MONTH(A31)=2,Assumptions!$D$79&gt;28),28,Assumptions!$D$79)))</f>
        <v>44042</v>
      </c>
      <c r="C31" s="162">
        <f t="shared" ca="1" si="1"/>
        <v>485691.84694297524</v>
      </c>
      <c r="D31" s="162">
        <f ca="1">IF(ISNA(MATCH($A31,Months,0))=TRUE,0,OFFSET(Forecast!$B$100,0,MATCH($A31,Months,0),1,1))</f>
        <v>0</v>
      </c>
      <c r="E31" s="163">
        <f t="shared" ca="1" si="2"/>
        <v>7390.1100802133533</v>
      </c>
      <c r="F31" s="163">
        <f t="shared" ca="1" si="3"/>
        <v>3743.8746535187674</v>
      </c>
      <c r="G31" s="163">
        <f t="shared" ca="1" si="0"/>
        <v>3646.2354266945858</v>
      </c>
      <c r="H31" s="164">
        <f ca="1">IF(ROUND(SUM(C31:D31,-G31),0)=0,0,IF($B$6="Yes",SUM($D$9:D31),SUM(C31:D31,-G31)))</f>
        <v>482045.61151628068</v>
      </c>
      <c r="I31" s="165">
        <f ca="1">IF(E31&gt;0,MAX(I$9:I30)+1,"-")</f>
        <v>5</v>
      </c>
    </row>
    <row r="32" spans="1:13" ht="16.149999999999999" customHeight="1" x14ac:dyDescent="0.25">
      <c r="A32" s="146">
        <f t="shared" ca="1" si="4"/>
        <v>44051</v>
      </c>
      <c r="B32" s="161">
        <f ca="1">IF(AND(B31&gt;A31,B31&lt;=A32),B31,DATE(YEAR(A32),MONTH(A32),IF(AND(MONTH(A32)=2,Assumptions!$D$79&gt;28),28,Assumptions!$D$79)))</f>
        <v>44073</v>
      </c>
      <c r="C32" s="162">
        <f t="shared" ca="1" si="1"/>
        <v>482045.61151628068</v>
      </c>
      <c r="D32" s="162">
        <f ca="1">IF(ISNA(MATCH($A32,Months,0))=TRUE,0,OFFSET(Forecast!$B$100,0,MATCH($A32,Months,0),1,1))</f>
        <v>100000</v>
      </c>
      <c r="E32" s="163">
        <f t="shared" ca="1" si="2"/>
        <v>0</v>
      </c>
      <c r="F32" s="163">
        <f t="shared" ca="1" si="3"/>
        <v>0</v>
      </c>
      <c r="G32" s="163">
        <f t="shared" ca="1" si="0"/>
        <v>0</v>
      </c>
      <c r="H32" s="164">
        <f ca="1">IF(ROUND(SUM(C32:D32,-G32),0)=0,0,IF($B$6="Yes",SUM($D$9:D32),SUM(C32:D32,-G32)))</f>
        <v>582045.61151628068</v>
      </c>
      <c r="I32" s="165" t="str">
        <f ca="1">IF(E32&gt;0,MAX(I$9:I31)+1,"-")</f>
        <v>-</v>
      </c>
    </row>
    <row r="33" spans="1:9" ht="16.149999999999999" customHeight="1" x14ac:dyDescent="0.25">
      <c r="A33" s="146">
        <f t="shared" ca="1" si="4"/>
        <v>44058</v>
      </c>
      <c r="B33" s="161">
        <f ca="1">IF(AND(B32&gt;A32,B32&lt;=A33),B32,DATE(YEAR(A33),MONTH(A33),IF(AND(MONTH(A33)=2,Assumptions!$D$79&gt;28),28,Assumptions!$D$79)))</f>
        <v>44073</v>
      </c>
      <c r="C33" s="162">
        <f t="shared" ca="1" si="1"/>
        <v>582045.61151628068</v>
      </c>
      <c r="D33" s="162">
        <f ca="1">IF(ISNA(MATCH($A33,Months,0))=TRUE,0,OFFSET(Forecast!$B$100,0,MATCH($A33,Months,0),1,1))</f>
        <v>0</v>
      </c>
      <c r="E33" s="163">
        <f t="shared" ca="1" si="2"/>
        <v>0</v>
      </c>
      <c r="F33" s="163">
        <f t="shared" ca="1" si="3"/>
        <v>0</v>
      </c>
      <c r="G33" s="163">
        <f t="shared" ca="1" si="0"/>
        <v>0</v>
      </c>
      <c r="H33" s="164">
        <f ca="1">IF(ROUND(SUM(C33:D33,-G33),0)=0,0,IF($B$6="Yes",SUM($D$9:D33),SUM(C33:D33,-G33)))</f>
        <v>582045.61151628068</v>
      </c>
      <c r="I33" s="165" t="str">
        <f ca="1">IF(E33&gt;0,MAX(I$9:I32)+1,"-")</f>
        <v>-</v>
      </c>
    </row>
    <row r="34" spans="1:9" ht="16.149999999999999" customHeight="1" x14ac:dyDescent="0.25">
      <c r="A34" s="146">
        <f t="shared" ca="1" si="4"/>
        <v>44065</v>
      </c>
      <c r="B34" s="161">
        <f ca="1">IF(AND(B33&gt;A33,B33&lt;=A34),B33,DATE(YEAR(A34),MONTH(A34),IF(AND(MONTH(A34)=2,Assumptions!$D$79&gt;28),28,Assumptions!$D$79)))</f>
        <v>44073</v>
      </c>
      <c r="C34" s="162">
        <f t="shared" ca="1" si="1"/>
        <v>582045.61151628068</v>
      </c>
      <c r="D34" s="162">
        <f ca="1">IF(ISNA(MATCH($A34,Months,0))=TRUE,0,OFFSET(Forecast!$B$100,0,MATCH($A34,Months,0),1,1))</f>
        <v>0</v>
      </c>
      <c r="E34" s="163">
        <f t="shared" ca="1" si="2"/>
        <v>0</v>
      </c>
      <c r="F34" s="163">
        <f t="shared" ca="1" si="3"/>
        <v>0</v>
      </c>
      <c r="G34" s="163">
        <f t="shared" ca="1" si="0"/>
        <v>0</v>
      </c>
      <c r="H34" s="164">
        <f ca="1">IF(ROUND(SUM(C34:D34,-G34),0)=0,0,IF($B$6="Yes",SUM($D$9:D34),SUM(C34:D34,-G34)))</f>
        <v>582045.61151628068</v>
      </c>
      <c r="I34" s="165" t="str">
        <f ca="1">IF(E34&gt;0,MAX(I$9:I33)+1,"-")</f>
        <v>-</v>
      </c>
    </row>
    <row r="35" spans="1:9" ht="16.149999999999999" customHeight="1" x14ac:dyDescent="0.25">
      <c r="A35" s="146">
        <f t="shared" ca="1" si="4"/>
        <v>44072</v>
      </c>
      <c r="B35" s="161">
        <f ca="1">IF(AND(B34&gt;A34,B34&lt;=A35),B34,DATE(YEAR(A35),MONTH(A35),IF(AND(MONTH(A35)=2,Assumptions!$D$79&gt;28),28,Assumptions!$D$79)))</f>
        <v>44073</v>
      </c>
      <c r="C35" s="162">
        <f t="shared" ca="1" si="1"/>
        <v>582045.61151628068</v>
      </c>
      <c r="D35" s="162">
        <f ca="1">IF(ISNA(MATCH($A35,Months,0))=TRUE,0,OFFSET(Forecast!$B$100,0,MATCH($A35,Months,0),1,1))</f>
        <v>0</v>
      </c>
      <c r="E35" s="163">
        <f t="shared" ca="1" si="2"/>
        <v>0</v>
      </c>
      <c r="F35" s="163">
        <f t="shared" ca="1" si="3"/>
        <v>0</v>
      </c>
      <c r="G35" s="163">
        <f t="shared" ca="1" si="0"/>
        <v>0</v>
      </c>
      <c r="H35" s="164">
        <f ca="1">IF(ROUND(SUM(C35:D35,-G35),0)=0,0,IF($B$6="Yes",SUM($D$9:D35),SUM(C35:D35,-G35)))</f>
        <v>582045.61151628068</v>
      </c>
      <c r="I35" s="165" t="str">
        <f ca="1">IF(E35&gt;0,MAX(I$9:I34)+1,"-")</f>
        <v>-</v>
      </c>
    </row>
    <row r="36" spans="1:9" ht="16.149999999999999" customHeight="1" x14ac:dyDescent="0.25">
      <c r="A36" s="146">
        <f t="shared" ca="1" si="4"/>
        <v>44079</v>
      </c>
      <c r="B36" s="161">
        <f ca="1">IF(AND(B35&gt;A35,B35&lt;=A36),B35,DATE(YEAR(A36),MONTH(A36),IF(AND(MONTH(A36)=2,Assumptions!$D$79&gt;28),28,Assumptions!$D$79)))</f>
        <v>44073</v>
      </c>
      <c r="C36" s="162">
        <f t="shared" ca="1" si="1"/>
        <v>582045.61151628068</v>
      </c>
      <c r="D36" s="162">
        <f ca="1">IF(ISNA(MATCH($A36,Months,0))=TRUE,0,OFFSET(Forecast!$B$100,0,MATCH($A36,Months,0),1,1))</f>
        <v>0</v>
      </c>
      <c r="E36" s="163">
        <f t="shared" ca="1" si="2"/>
        <v>8868.1320962560239</v>
      </c>
      <c r="F36" s="163">
        <f t="shared" ca="1" si="3"/>
        <v>4486.6015887713302</v>
      </c>
      <c r="G36" s="163">
        <f t="shared" ca="1" si="0"/>
        <v>4381.5305074846938</v>
      </c>
      <c r="H36" s="164">
        <f ca="1">IF(ROUND(SUM(C36:D36,-G36),0)=0,0,IF($B$6="Yes",SUM($D$9:D36),SUM(C36:D36,-G36)))</f>
        <v>577664.081008796</v>
      </c>
      <c r="I36" s="165">
        <f ca="1">IF(E36&gt;0,MAX(I$9:I35)+1,"-")</f>
        <v>6</v>
      </c>
    </row>
    <row r="37" spans="1:9" ht="16.149999999999999" customHeight="1" x14ac:dyDescent="0.25">
      <c r="A37" s="146">
        <f t="shared" ca="1" si="4"/>
        <v>44086</v>
      </c>
      <c r="B37" s="161">
        <f ca="1">IF(AND(B36&gt;A36,B36&lt;=A37),B36,DATE(YEAR(A37),MONTH(A37),IF(AND(MONTH(A37)=2,Assumptions!$D$79&gt;28),28,Assumptions!$D$79)))</f>
        <v>44104</v>
      </c>
      <c r="C37" s="162">
        <f t="shared" ca="1" si="1"/>
        <v>577664.081008796</v>
      </c>
      <c r="D37" s="162">
        <f ca="1">IF(ISNA(MATCH($A37,Months,0))=TRUE,0,OFFSET(Forecast!$B$100,0,MATCH($A37,Months,0),1,1))</f>
        <v>0</v>
      </c>
      <c r="E37" s="163">
        <f t="shared" ca="1" si="2"/>
        <v>0</v>
      </c>
      <c r="F37" s="163">
        <f t="shared" ca="1" si="3"/>
        <v>0</v>
      </c>
      <c r="G37" s="163">
        <f t="shared" ca="1" si="0"/>
        <v>0</v>
      </c>
      <c r="H37" s="164">
        <f ca="1">IF(ROUND(SUM(C37:D37,-G37),0)=0,0,IF($B$6="Yes",SUM($D$9:D37),SUM(C37:D37,-G37)))</f>
        <v>577664.081008796</v>
      </c>
      <c r="I37" s="165" t="str">
        <f ca="1">IF(E37&gt;0,MAX(I$9:I36)+1,"-")</f>
        <v>-</v>
      </c>
    </row>
    <row r="38" spans="1:9" ht="16.149999999999999" customHeight="1" x14ac:dyDescent="0.25">
      <c r="A38" s="146">
        <f t="shared" ca="1" si="4"/>
        <v>44093</v>
      </c>
      <c r="B38" s="161">
        <f ca="1">IF(AND(B37&gt;A37,B37&lt;=A38),B37,DATE(YEAR(A38),MONTH(A38),IF(AND(MONTH(A38)=2,Assumptions!$D$79&gt;28),28,Assumptions!$D$79)))</f>
        <v>44104</v>
      </c>
      <c r="C38" s="162">
        <f t="shared" ca="1" si="1"/>
        <v>577664.081008796</v>
      </c>
      <c r="D38" s="162">
        <f ca="1">IF(ISNA(MATCH($A38,Months,0))=TRUE,0,OFFSET(Forecast!$B$100,0,MATCH($A38,Months,0),1,1))</f>
        <v>0</v>
      </c>
      <c r="E38" s="163">
        <f t="shared" ca="1" si="2"/>
        <v>0</v>
      </c>
      <c r="F38" s="163">
        <f t="shared" ca="1" si="3"/>
        <v>0</v>
      </c>
      <c r="G38" s="163">
        <f t="shared" ca="1" si="0"/>
        <v>0</v>
      </c>
      <c r="H38" s="164">
        <f ca="1">IF(ROUND(SUM(C38:D38,-G38),0)=0,0,IF($B$6="Yes",SUM($D$9:D38),SUM(C38:D38,-G38)))</f>
        <v>577664.081008796</v>
      </c>
      <c r="I38" s="165" t="str">
        <f ca="1">IF(E38&gt;0,MAX(I$9:I37)+1,"-")</f>
        <v>-</v>
      </c>
    </row>
    <row r="39" spans="1:9" ht="16.149999999999999" customHeight="1" x14ac:dyDescent="0.25">
      <c r="A39" s="146">
        <f t="shared" ca="1" si="4"/>
        <v>44100</v>
      </c>
      <c r="B39" s="161">
        <f ca="1">IF(AND(B38&gt;A38,B38&lt;=A39),B38,DATE(YEAR(A39),MONTH(A39),IF(AND(MONTH(A39)=2,Assumptions!$D$79&gt;28),28,Assumptions!$D$79)))</f>
        <v>44104</v>
      </c>
      <c r="C39" s="162">
        <f t="shared" ca="1" si="1"/>
        <v>577664.081008796</v>
      </c>
      <c r="D39" s="162">
        <f ca="1">IF(ISNA(MATCH($A39,Months,0))=TRUE,0,OFFSET(Forecast!$B$100,0,MATCH($A39,Months,0),1,1))</f>
        <v>0</v>
      </c>
      <c r="E39" s="163">
        <f t="shared" ca="1" si="2"/>
        <v>0</v>
      </c>
      <c r="F39" s="163">
        <f t="shared" ca="1" si="3"/>
        <v>0</v>
      </c>
      <c r="G39" s="163">
        <f t="shared" ca="1" si="0"/>
        <v>0</v>
      </c>
      <c r="H39" s="164">
        <f ca="1">IF(ROUND(SUM(C39:D39,-G39),0)=0,0,IF($B$6="Yes",SUM($D$9:D39),SUM(C39:D39,-G39)))</f>
        <v>577664.081008796</v>
      </c>
      <c r="I39" s="165" t="str">
        <f ca="1">IF(E39&gt;0,MAX(I$9:I38)+1,"-")</f>
        <v>-</v>
      </c>
    </row>
    <row r="40" spans="1:9" ht="16.149999999999999" customHeight="1" x14ac:dyDescent="0.25">
      <c r="A40" s="146">
        <f t="shared" ca="1" si="4"/>
        <v>44107</v>
      </c>
      <c r="B40" s="161">
        <f ca="1">IF(AND(B39&gt;A39,B39&lt;=A40),B39,DATE(YEAR(A40),MONTH(A40),IF(AND(MONTH(A40)=2,Assumptions!$D$79&gt;28),28,Assumptions!$D$79)))</f>
        <v>44104</v>
      </c>
      <c r="C40" s="162">
        <f t="shared" ca="1" si="1"/>
        <v>577664.081008796</v>
      </c>
      <c r="D40" s="162">
        <f ca="1">IF(ISNA(MATCH($A40,Months,0))=TRUE,0,OFFSET(Forecast!$B$100,0,MATCH($A40,Months,0),1,1))</f>
        <v>0</v>
      </c>
      <c r="E40" s="163">
        <f t="shared" ca="1" si="2"/>
        <v>8868.1320962560239</v>
      </c>
      <c r="F40" s="163">
        <f t="shared" ca="1" si="3"/>
        <v>4452.8272911094691</v>
      </c>
      <c r="G40" s="163">
        <f t="shared" ca="1" si="0"/>
        <v>4415.3048051465548</v>
      </c>
      <c r="H40" s="164">
        <f ca="1">IF(ROUND(SUM(C40:D40,-G40),0)=0,0,IF($B$6="Yes",SUM($D$9:D40),SUM(C40:D40,-G40)))</f>
        <v>573248.77620364947</v>
      </c>
      <c r="I40" s="165">
        <f ca="1">IF(E40&gt;0,MAX(I$9:I39)+1,"-")</f>
        <v>7</v>
      </c>
    </row>
    <row r="41" spans="1:9" ht="16.149999999999999" customHeight="1" x14ac:dyDescent="0.25">
      <c r="A41" s="146">
        <f t="shared" ca="1" si="4"/>
        <v>44114</v>
      </c>
      <c r="B41" s="161">
        <f ca="1">IF(AND(B40&gt;A40,B40&lt;=A41),B40,DATE(YEAR(A41),MONTH(A41),IF(AND(MONTH(A41)=2,Assumptions!$D$79&gt;28),28,Assumptions!$D$79)))</f>
        <v>44134</v>
      </c>
      <c r="C41" s="162">
        <f t="shared" ca="1" si="1"/>
        <v>573248.77620364947</v>
      </c>
      <c r="D41" s="162">
        <f ca="1">IF(ISNA(MATCH($A41,Months,0))=TRUE,0,OFFSET(Forecast!$B$100,0,MATCH($A41,Months,0),1,1))</f>
        <v>0</v>
      </c>
      <c r="E41" s="163">
        <f t="shared" ca="1" si="2"/>
        <v>0</v>
      </c>
      <c r="F41" s="163">
        <f t="shared" ca="1" si="3"/>
        <v>0</v>
      </c>
      <c r="G41" s="163">
        <f t="shared" ca="1" si="0"/>
        <v>0</v>
      </c>
      <c r="H41" s="164">
        <f ca="1">IF(ROUND(SUM(C41:D41,-G41),0)=0,0,IF($B$6="Yes",SUM($D$9:D41),SUM(C41:D41,-G41)))</f>
        <v>573248.77620364947</v>
      </c>
      <c r="I41" s="165" t="str">
        <f ca="1">IF(E41&gt;0,MAX(I$9:I40)+1,"-")</f>
        <v>-</v>
      </c>
    </row>
    <row r="42" spans="1:9" ht="16.149999999999999" customHeight="1" x14ac:dyDescent="0.25">
      <c r="A42" s="146">
        <f t="shared" ca="1" si="4"/>
        <v>44121</v>
      </c>
      <c r="B42" s="161">
        <f ca="1">IF(AND(B41&gt;A41,B41&lt;=A42),B41,DATE(YEAR(A42),MONTH(A42),IF(AND(MONTH(A42)=2,Assumptions!$D$79&gt;28),28,Assumptions!$D$79)))</f>
        <v>44134</v>
      </c>
      <c r="C42" s="162">
        <f t="shared" ca="1" si="1"/>
        <v>573248.77620364947</v>
      </c>
      <c r="D42" s="162">
        <f ca="1">IF(ISNA(MATCH($A42,Months,0))=TRUE,0,OFFSET(Forecast!$B$100,0,MATCH($A42,Months,0),1,1))</f>
        <v>0</v>
      </c>
      <c r="E42" s="163">
        <f t="shared" ca="1" si="2"/>
        <v>0</v>
      </c>
      <c r="F42" s="163">
        <f t="shared" ca="1" si="3"/>
        <v>0</v>
      </c>
      <c r="G42" s="163">
        <f t="shared" ca="1" si="0"/>
        <v>0</v>
      </c>
      <c r="H42" s="164">
        <f ca="1">IF(ROUND(SUM(C42:D42,-G42),0)=0,0,IF($B$6="Yes",SUM($D$9:D42),SUM(C42:D42,-G42)))</f>
        <v>573248.77620364947</v>
      </c>
      <c r="I42" s="165" t="str">
        <f ca="1">IF(E42&gt;0,MAX(I$9:I41)+1,"-")</f>
        <v>-</v>
      </c>
    </row>
    <row r="43" spans="1:9" ht="16.149999999999999" customHeight="1" x14ac:dyDescent="0.25">
      <c r="A43" s="146">
        <f t="shared" ca="1" si="4"/>
        <v>44128</v>
      </c>
      <c r="B43" s="161">
        <f ca="1">IF(AND(B42&gt;A42,B42&lt;=A43),B42,DATE(YEAR(A43),MONTH(A43),IF(AND(MONTH(A43)=2,Assumptions!$D$79&gt;28),28,Assumptions!$D$79)))</f>
        <v>44134</v>
      </c>
      <c r="C43" s="162">
        <f t="shared" ca="1" si="1"/>
        <v>573248.77620364947</v>
      </c>
      <c r="D43" s="162">
        <f ca="1">IF(ISNA(MATCH($A43,Months,0))=TRUE,0,OFFSET(Forecast!$B$100,0,MATCH($A43,Months,0),1,1))</f>
        <v>0</v>
      </c>
      <c r="E43" s="163">
        <f t="shared" ca="1" si="2"/>
        <v>0</v>
      </c>
      <c r="F43" s="163">
        <f t="shared" ca="1" si="3"/>
        <v>0</v>
      </c>
      <c r="G43" s="163">
        <f t="shared" ca="1" si="0"/>
        <v>0</v>
      </c>
      <c r="H43" s="164">
        <f ca="1">IF(ROUND(SUM(C43:D43,-G43),0)=0,0,IF($B$6="Yes",SUM($D$9:D43),SUM(C43:D43,-G43)))</f>
        <v>573248.77620364947</v>
      </c>
      <c r="I43" s="165" t="str">
        <f ca="1">IF(E43&gt;0,MAX(I$9:I42)+1,"-")</f>
        <v>-</v>
      </c>
    </row>
    <row r="44" spans="1:9" ht="16.149999999999999" customHeight="1" x14ac:dyDescent="0.25">
      <c r="A44" s="146">
        <f t="shared" ca="1" si="4"/>
        <v>44135</v>
      </c>
      <c r="B44" s="161">
        <f ca="1">IF(AND(B43&gt;A43,B43&lt;=A44),B43,DATE(YEAR(A44),MONTH(A44),IF(AND(MONTH(A44)=2,Assumptions!$D$79&gt;28),28,Assumptions!$D$79)))</f>
        <v>44134</v>
      </c>
      <c r="C44" s="162">
        <f t="shared" ca="1" si="1"/>
        <v>573248.77620364947</v>
      </c>
      <c r="D44" s="162">
        <f ca="1">IF(ISNA(MATCH($A44,Months,0))=TRUE,0,OFFSET(Forecast!$B$100,0,MATCH($A44,Months,0),1,1))</f>
        <v>0</v>
      </c>
      <c r="E44" s="163">
        <f t="shared" ca="1" si="2"/>
        <v>8868.1320962560239</v>
      </c>
      <c r="F44" s="163">
        <f t="shared" ca="1" si="3"/>
        <v>4418.7926499031319</v>
      </c>
      <c r="G44" s="163">
        <f t="shared" ca="1" si="0"/>
        <v>4449.3394463528921</v>
      </c>
      <c r="H44" s="164">
        <f ca="1">IF(ROUND(SUM(C44:D44,-G44),0)=0,0,IF($B$6="Yes",SUM($D$9:D44),SUM(C44:D44,-G44)))</f>
        <v>568799.43675729656</v>
      </c>
      <c r="I44" s="165">
        <f ca="1">IF(E44&gt;0,MAX(I$9:I43)+1,"-")</f>
        <v>8</v>
      </c>
    </row>
    <row r="45" spans="1:9" ht="16.149999999999999" customHeight="1" x14ac:dyDescent="0.25">
      <c r="A45" s="146">
        <f t="shared" ca="1" si="4"/>
        <v>44142</v>
      </c>
      <c r="B45" s="161">
        <f ca="1">IF(AND(B44&gt;A44,B44&lt;=A45),B44,DATE(YEAR(A45),MONTH(A45),IF(AND(MONTH(A45)=2,Assumptions!$D$79&gt;28),28,Assumptions!$D$79)))</f>
        <v>44165</v>
      </c>
      <c r="C45" s="162">
        <f t="shared" ca="1" si="1"/>
        <v>568799.43675729656</v>
      </c>
      <c r="D45" s="162">
        <f ca="1">IF(ISNA(MATCH($A45,Months,0))=TRUE,0,OFFSET(Forecast!$B$100,0,MATCH($A45,Months,0),1,1))</f>
        <v>0</v>
      </c>
      <c r="E45" s="163">
        <f t="shared" ca="1" si="2"/>
        <v>0</v>
      </c>
      <c r="F45" s="163">
        <f t="shared" ca="1" si="3"/>
        <v>0</v>
      </c>
      <c r="G45" s="163">
        <f t="shared" ca="1" si="0"/>
        <v>0</v>
      </c>
      <c r="H45" s="164">
        <f ca="1">IF(ROUND(SUM(C45:D45,-G45),0)=0,0,IF($B$6="Yes",SUM($D$9:D45),SUM(C45:D45,-G45)))</f>
        <v>568799.43675729656</v>
      </c>
      <c r="I45" s="165" t="str">
        <f ca="1">IF(E45&gt;0,MAX(I$9:I44)+1,"-")</f>
        <v>-</v>
      </c>
    </row>
    <row r="46" spans="1:9" ht="16.149999999999999" customHeight="1" x14ac:dyDescent="0.25">
      <c r="A46" s="146">
        <f t="shared" ca="1" si="4"/>
        <v>44149</v>
      </c>
      <c r="B46" s="161">
        <f ca="1">IF(AND(B45&gt;A45,B45&lt;=A46),B45,DATE(YEAR(A46),MONTH(A46),IF(AND(MONTH(A46)=2,Assumptions!$D$79&gt;28),28,Assumptions!$D$79)))</f>
        <v>44165</v>
      </c>
      <c r="C46" s="162">
        <f t="shared" ca="1" si="1"/>
        <v>568799.43675729656</v>
      </c>
      <c r="D46" s="162">
        <f ca="1">IF(ISNA(MATCH($A46,Months,0))=TRUE,0,OFFSET(Forecast!$B$100,0,MATCH($A46,Months,0),1,1))</f>
        <v>0</v>
      </c>
      <c r="E46" s="163">
        <f t="shared" ca="1" si="2"/>
        <v>0</v>
      </c>
      <c r="F46" s="163">
        <f t="shared" ca="1" si="3"/>
        <v>0</v>
      </c>
      <c r="G46" s="163">
        <f t="shared" ca="1" si="0"/>
        <v>0</v>
      </c>
      <c r="H46" s="164">
        <f ca="1">IF(ROUND(SUM(C46:D46,-G46),0)=0,0,IF($B$6="Yes",SUM($D$9:D46),SUM(C46:D46,-G46)))</f>
        <v>568799.43675729656</v>
      </c>
      <c r="I46" s="165" t="str">
        <f ca="1">IF(E46&gt;0,MAX(I$9:I45)+1,"-")</f>
        <v>-</v>
      </c>
    </row>
    <row r="47" spans="1:9" ht="16.149999999999999" customHeight="1" x14ac:dyDescent="0.25">
      <c r="A47" s="146">
        <f t="shared" ca="1" si="4"/>
        <v>44156</v>
      </c>
      <c r="B47" s="161">
        <f ca="1">IF(AND(B46&gt;A46,B46&lt;=A47),B46,DATE(YEAR(A47),MONTH(A47),IF(AND(MONTH(A47)=2,Assumptions!$D$79&gt;28),28,Assumptions!$D$79)))</f>
        <v>44165</v>
      </c>
      <c r="C47" s="162">
        <f t="shared" ca="1" si="1"/>
        <v>568799.43675729656</v>
      </c>
      <c r="D47" s="162">
        <f ca="1">IF(ISNA(MATCH($A47,Months,0))=TRUE,0,OFFSET(Forecast!$B$100,0,MATCH($A47,Months,0),1,1))</f>
        <v>0</v>
      </c>
      <c r="E47" s="163">
        <f t="shared" ca="1" si="2"/>
        <v>0</v>
      </c>
      <c r="F47" s="163">
        <f t="shared" ca="1" si="3"/>
        <v>0</v>
      </c>
      <c r="G47" s="163">
        <f t="shared" ca="1" si="0"/>
        <v>0</v>
      </c>
      <c r="H47" s="164">
        <f ca="1">IF(ROUND(SUM(C47:D47,-G47),0)=0,0,IF($B$6="Yes",SUM($D$9:D47),SUM(C47:D47,-G47)))</f>
        <v>568799.43675729656</v>
      </c>
      <c r="I47" s="165" t="str">
        <f ca="1">IF(E47&gt;0,MAX(I$9:I46)+1,"-")</f>
        <v>-</v>
      </c>
    </row>
    <row r="48" spans="1:9" ht="16.149999999999999" customHeight="1" x14ac:dyDescent="0.25">
      <c r="A48" s="146">
        <f t="shared" ca="1" si="4"/>
        <v>44163</v>
      </c>
      <c r="B48" s="161">
        <f ca="1">IF(AND(B47&gt;A47,B47&lt;=A48),B47,DATE(YEAR(A48),MONTH(A48),IF(AND(MONTH(A48)=2,Assumptions!$D$79&gt;28),28,Assumptions!$D$79)))</f>
        <v>44165</v>
      </c>
      <c r="C48" s="162">
        <f t="shared" ca="1" si="1"/>
        <v>568799.43675729656</v>
      </c>
      <c r="D48" s="162">
        <f ca="1">IF(ISNA(MATCH($A48,Months,0))=TRUE,0,OFFSET(Forecast!$B$100,0,MATCH($A48,Months,0),1,1))</f>
        <v>0</v>
      </c>
      <c r="E48" s="163">
        <f t="shared" ca="1" si="2"/>
        <v>0</v>
      </c>
      <c r="F48" s="163">
        <f t="shared" ca="1" si="3"/>
        <v>0</v>
      </c>
      <c r="G48" s="163">
        <f t="shared" ca="1" si="0"/>
        <v>0</v>
      </c>
      <c r="H48" s="164">
        <f ca="1">IF(ROUND(SUM(C48:D48,-G48),0)=0,0,IF($B$6="Yes",SUM($D$9:D48),SUM(C48:D48,-G48)))</f>
        <v>568799.43675729656</v>
      </c>
      <c r="I48" s="165" t="str">
        <f ca="1">IF(E48&gt;0,MAX(I$9:I47)+1,"-")</f>
        <v>-</v>
      </c>
    </row>
    <row r="49" spans="1:9" ht="16.149999999999999" customHeight="1" x14ac:dyDescent="0.25">
      <c r="A49" s="146">
        <f t="shared" ca="1" si="4"/>
        <v>44170</v>
      </c>
      <c r="B49" s="161">
        <f ca="1">IF(AND(B48&gt;A48,B48&lt;=A49),B48,DATE(YEAR(A49),MONTH(A49),IF(AND(MONTH(A49)=2,Assumptions!$D$79&gt;28),28,Assumptions!$D$79)))</f>
        <v>44165</v>
      </c>
      <c r="C49" s="162">
        <f t="shared" ca="1" si="1"/>
        <v>568799.43675729656</v>
      </c>
      <c r="D49" s="162">
        <f ca="1">IF(ISNA(MATCH($A49,Months,0))=TRUE,0,OFFSET(Forecast!$B$100,0,MATCH($A49,Months,0),1,1))</f>
        <v>0</v>
      </c>
      <c r="E49" s="163">
        <f t="shared" ca="1" si="2"/>
        <v>8868.1320962560239</v>
      </c>
      <c r="F49" s="163">
        <f t="shared" ca="1" si="3"/>
        <v>4384.4956583374942</v>
      </c>
      <c r="G49" s="163">
        <f t="shared" ca="1" si="0"/>
        <v>4483.6364379185297</v>
      </c>
      <c r="H49" s="164">
        <f ca="1">IF(ROUND(SUM(C49:D49,-G49),0)=0,0,IF($B$6="Yes",SUM($D$9:D49),SUM(C49:D49,-G49)))</f>
        <v>564315.80031937803</v>
      </c>
      <c r="I49" s="165">
        <f ca="1">IF(E49&gt;0,MAX(I$9:I48)+1,"-")</f>
        <v>9</v>
      </c>
    </row>
    <row r="50" spans="1:9" ht="16.149999999999999" customHeight="1" x14ac:dyDescent="0.25">
      <c r="A50" s="146">
        <f t="shared" ca="1" si="4"/>
        <v>44177</v>
      </c>
      <c r="B50" s="161">
        <f ca="1">IF(AND(B49&gt;A49,B49&lt;=A50),B49,DATE(YEAR(A50),MONTH(A50),IF(AND(MONTH(A50)=2,Assumptions!$D$79&gt;28),28,Assumptions!$D$79)))</f>
        <v>44195</v>
      </c>
      <c r="C50" s="162">
        <f t="shared" ca="1" si="1"/>
        <v>564315.80031937803</v>
      </c>
      <c r="D50" s="162">
        <f ca="1">IF(ISNA(MATCH($A50,Months,0))=TRUE,0,OFFSET(Forecast!$B$100,0,MATCH($A50,Months,0),1,1))</f>
        <v>0</v>
      </c>
      <c r="E50" s="163">
        <f t="shared" ca="1" si="2"/>
        <v>0</v>
      </c>
      <c r="F50" s="163">
        <f t="shared" ca="1" si="3"/>
        <v>0</v>
      </c>
      <c r="G50" s="163">
        <f t="shared" ca="1" si="0"/>
        <v>0</v>
      </c>
      <c r="H50" s="164">
        <f ca="1">IF(ROUND(SUM(C50:D50,-G50),0)=0,0,IF($B$6="Yes",SUM($D$9:D50),SUM(C50:D50,-G50)))</f>
        <v>564315.80031937803</v>
      </c>
      <c r="I50" s="165" t="str">
        <f ca="1">IF(E50&gt;0,MAX(I$9:I49)+1,"-")</f>
        <v>-</v>
      </c>
    </row>
    <row r="51" spans="1:9" ht="16.149999999999999" customHeight="1" x14ac:dyDescent="0.25">
      <c r="A51" s="146">
        <f t="shared" ca="1" si="4"/>
        <v>44184</v>
      </c>
      <c r="B51" s="161">
        <f ca="1">IF(AND(B50&gt;A50,B50&lt;=A51),B50,DATE(YEAR(A51),MONTH(A51),IF(AND(MONTH(A51)=2,Assumptions!$D$79&gt;28),28,Assumptions!$D$79)))</f>
        <v>44195</v>
      </c>
      <c r="C51" s="162">
        <f t="shared" ca="1" si="1"/>
        <v>564315.80031937803</v>
      </c>
      <c r="D51" s="162">
        <f ca="1">IF(ISNA(MATCH($A51,Months,0))=TRUE,0,OFFSET(Forecast!$B$100,0,MATCH($A51,Months,0),1,1))</f>
        <v>0</v>
      </c>
      <c r="E51" s="163">
        <f t="shared" ca="1" si="2"/>
        <v>0</v>
      </c>
      <c r="F51" s="163">
        <f t="shared" ca="1" si="3"/>
        <v>0</v>
      </c>
      <c r="G51" s="163">
        <f t="shared" ca="1" si="0"/>
        <v>0</v>
      </c>
      <c r="H51" s="164">
        <f ca="1">IF(ROUND(SUM(C51:D51,-G51),0)=0,0,IF($B$6="Yes",SUM($D$9:D51),SUM(C51:D51,-G51)))</f>
        <v>564315.80031937803</v>
      </c>
      <c r="I51" s="165" t="str">
        <f ca="1">IF(E51&gt;0,MAX(I$9:I50)+1,"-")</f>
        <v>-</v>
      </c>
    </row>
    <row r="52" spans="1:9" ht="16.149999999999999" customHeight="1" x14ac:dyDescent="0.25">
      <c r="A52" s="146">
        <f t="shared" ca="1" si="4"/>
        <v>44191</v>
      </c>
      <c r="B52" s="161">
        <f ca="1">IF(AND(B51&gt;A51,B51&lt;=A52),B51,DATE(YEAR(A52),MONTH(A52),IF(AND(MONTH(A52)=2,Assumptions!$D$79&gt;28),28,Assumptions!$D$79)))</f>
        <v>44195</v>
      </c>
      <c r="C52" s="162">
        <f t="shared" ca="1" si="1"/>
        <v>564315.80031937803</v>
      </c>
      <c r="D52" s="162">
        <f ca="1">IF(ISNA(MATCH($A52,Months,0))=TRUE,0,OFFSET(Forecast!$B$100,0,MATCH($A52,Months,0),1,1))</f>
        <v>0</v>
      </c>
      <c r="E52" s="163">
        <f t="shared" ca="1" si="2"/>
        <v>0</v>
      </c>
      <c r="F52" s="163">
        <f t="shared" ca="1" si="3"/>
        <v>0</v>
      </c>
      <c r="G52" s="163">
        <f t="shared" ca="1" si="0"/>
        <v>0</v>
      </c>
      <c r="H52" s="164">
        <f ca="1">IF(ROUND(SUM(C52:D52,-G52),0)=0,0,IF($B$6="Yes",SUM($D$9:D52),SUM(C52:D52,-G52)))</f>
        <v>564315.80031937803</v>
      </c>
      <c r="I52" s="165" t="str">
        <f ca="1">IF(E52&gt;0,MAX(I$9:I51)+1,"-")</f>
        <v>-</v>
      </c>
    </row>
    <row r="53" spans="1:9" ht="16.149999999999999" customHeight="1" x14ac:dyDescent="0.25">
      <c r="A53" s="146">
        <f t="shared" ca="1" si="4"/>
        <v>44198</v>
      </c>
      <c r="B53" s="161">
        <f ca="1">IF(AND(B52&gt;A52,B52&lt;=A53),B52,DATE(YEAR(A53),MONTH(A53),IF(AND(MONTH(A53)=2,Assumptions!$D$79&gt;28),28,Assumptions!$D$79)))</f>
        <v>44195</v>
      </c>
      <c r="C53" s="162">
        <f t="shared" ca="1" si="1"/>
        <v>564315.80031937803</v>
      </c>
      <c r="D53" s="162">
        <f ca="1">IF(ISNA(MATCH($A53,Months,0))=TRUE,0,OFFSET(Forecast!$B$100,0,MATCH($A53,Months,0),1,1))</f>
        <v>0</v>
      </c>
      <c r="E53" s="163">
        <f t="shared" ca="1" si="2"/>
        <v>8868.1320962560239</v>
      </c>
      <c r="F53" s="163">
        <f t="shared" ca="1" si="3"/>
        <v>4349.9342941285386</v>
      </c>
      <c r="G53" s="163">
        <f t="shared" ca="1" si="0"/>
        <v>4518.1978021274854</v>
      </c>
      <c r="H53" s="164">
        <f ca="1">IF(ROUND(SUM(C53:D53,-G53),0)=0,0,IF($B$6="Yes",SUM($D$9:D53),SUM(C53:D53,-G53)))</f>
        <v>559797.60251725058</v>
      </c>
      <c r="I53" s="165">
        <f ca="1">IF(E53&gt;0,MAX(I$9:I52)+1,"-")</f>
        <v>10</v>
      </c>
    </row>
    <row r="54" spans="1:9" ht="16.149999999999999" customHeight="1" x14ac:dyDescent="0.25">
      <c r="A54" s="146">
        <f t="shared" ca="1" si="4"/>
        <v>44205</v>
      </c>
      <c r="B54" s="161">
        <f ca="1">IF(AND(B53&gt;A53,B53&lt;=A54),B53,DATE(YEAR(A54),MONTH(A54),IF(AND(MONTH(A54)=2,Assumptions!$D$79&gt;28),28,Assumptions!$D$79)))</f>
        <v>44226</v>
      </c>
      <c r="C54" s="162">
        <f t="shared" ca="1" si="1"/>
        <v>559797.60251725058</v>
      </c>
      <c r="D54" s="162">
        <f ca="1">IF(ISNA(MATCH($A54,Months,0))=TRUE,0,OFFSET(Forecast!$B$100,0,MATCH($A54,Months,0),1,1))</f>
        <v>0</v>
      </c>
      <c r="E54" s="163">
        <f t="shared" ca="1" si="2"/>
        <v>0</v>
      </c>
      <c r="F54" s="163">
        <f t="shared" ca="1" si="3"/>
        <v>0</v>
      </c>
      <c r="G54" s="163">
        <f t="shared" ca="1" si="0"/>
        <v>0</v>
      </c>
      <c r="H54" s="164">
        <f ca="1">IF(ROUND(SUM(C54:D54,-G54),0)=0,0,IF($B$6="Yes",SUM($D$9:D54),SUM(C54:D54,-G54)))</f>
        <v>559797.60251725058</v>
      </c>
      <c r="I54" s="165" t="str">
        <f ca="1">IF(E54&gt;0,MAX(I$9:I53)+1,"-")</f>
        <v>-</v>
      </c>
    </row>
    <row r="55" spans="1:9" ht="16.149999999999999" customHeight="1" x14ac:dyDescent="0.25">
      <c r="A55" s="146">
        <f t="shared" ca="1" si="4"/>
        <v>44212</v>
      </c>
      <c r="B55" s="161">
        <f ca="1">IF(AND(B54&gt;A54,B54&lt;=A55),B54,DATE(YEAR(A55),MONTH(A55),IF(AND(MONTH(A55)=2,Assumptions!$D$79&gt;28),28,Assumptions!$D$79)))</f>
        <v>44226</v>
      </c>
      <c r="C55" s="162">
        <f t="shared" ca="1" si="1"/>
        <v>559797.60251725058</v>
      </c>
      <c r="D55" s="162">
        <f ca="1">IF(ISNA(MATCH($A55,Months,0))=TRUE,0,OFFSET(Forecast!$B$100,0,MATCH($A55,Months,0),1,1))</f>
        <v>0</v>
      </c>
      <c r="E55" s="163">
        <f t="shared" ca="1" si="2"/>
        <v>0</v>
      </c>
      <c r="F55" s="163">
        <f t="shared" ca="1" si="3"/>
        <v>0</v>
      </c>
      <c r="G55" s="163">
        <f t="shared" ca="1" si="0"/>
        <v>0</v>
      </c>
      <c r="H55" s="164">
        <f ca="1">IF(ROUND(SUM(C55:D55,-G55),0)=0,0,IF($B$6="Yes",SUM($D$9:D55),SUM(C55:D55,-G55)))</f>
        <v>559797.60251725058</v>
      </c>
      <c r="I55" s="165" t="str">
        <f ca="1">IF(E55&gt;0,MAX(I$9:I54)+1,"-")</f>
        <v>-</v>
      </c>
    </row>
    <row r="56" spans="1:9" ht="16.149999999999999" customHeight="1" x14ac:dyDescent="0.25">
      <c r="A56" s="146">
        <f t="shared" ca="1" si="4"/>
        <v>44219</v>
      </c>
      <c r="B56" s="161">
        <f ca="1">IF(AND(B55&gt;A55,B55&lt;=A56),B55,DATE(YEAR(A56),MONTH(A56),IF(AND(MONTH(A56)=2,Assumptions!$D$79&gt;28),28,Assumptions!$D$79)))</f>
        <v>44226</v>
      </c>
      <c r="C56" s="162">
        <f t="shared" ca="1" si="1"/>
        <v>559797.60251725058</v>
      </c>
      <c r="D56" s="162">
        <f ca="1">IF(ISNA(MATCH($A56,Months,0))=TRUE,0,OFFSET(Forecast!$B$100,0,MATCH($A56,Months,0),1,1))</f>
        <v>0</v>
      </c>
      <c r="E56" s="163">
        <f t="shared" ca="1" si="2"/>
        <v>0</v>
      </c>
      <c r="F56" s="163">
        <f t="shared" ca="1" si="3"/>
        <v>0</v>
      </c>
      <c r="G56" s="163">
        <f t="shared" ca="1" si="0"/>
        <v>0</v>
      </c>
      <c r="H56" s="164">
        <f ca="1">IF(ROUND(SUM(C56:D56,-G56),0)=0,0,IF($B$6="Yes",SUM($D$9:D56),SUM(C56:D56,-G56)))</f>
        <v>559797.60251725058</v>
      </c>
      <c r="I56" s="165" t="str">
        <f ca="1">IF(E56&gt;0,MAX(I$9:I55)+1,"-")</f>
        <v>-</v>
      </c>
    </row>
    <row r="57" spans="1:9" ht="16.149999999999999" customHeight="1" x14ac:dyDescent="0.25">
      <c r="A57" s="146">
        <f t="shared" ca="1" si="4"/>
        <v>44226</v>
      </c>
      <c r="B57" s="161">
        <f ca="1">IF(AND(B56&gt;A56,B56&lt;=A57),B56,DATE(YEAR(A57),MONTH(A57),IF(AND(MONTH(A57)=2,Assumptions!$D$79&gt;28),28,Assumptions!$D$79)))</f>
        <v>44226</v>
      </c>
      <c r="C57" s="162">
        <f t="shared" ca="1" si="1"/>
        <v>559797.60251725058</v>
      </c>
      <c r="D57" s="162">
        <f ca="1">IF(ISNA(MATCH($A57,Months,0))=TRUE,0,OFFSET(Forecast!$B$100,0,MATCH($A57,Months,0),1,1))</f>
        <v>0</v>
      </c>
      <c r="E57" s="163">
        <f t="shared" ca="1" si="2"/>
        <v>8868.1320962560239</v>
      </c>
      <c r="F57" s="163">
        <f t="shared" ca="1" si="3"/>
        <v>4315.1065194038065</v>
      </c>
      <c r="G57" s="163">
        <f t="shared" ca="1" si="0"/>
        <v>4553.0255768522175</v>
      </c>
      <c r="H57" s="164">
        <f ca="1">IF(ROUND(SUM(C57:D57,-G57),0)=0,0,IF($B$6="Yes",SUM($D$9:D57),SUM(C57:D57,-G57)))</f>
        <v>555244.57694039831</v>
      </c>
      <c r="I57" s="165">
        <f ca="1">IF(E57&gt;0,MAX(I$9:I56)+1,"-")</f>
        <v>11</v>
      </c>
    </row>
    <row r="58" spans="1:9" ht="16.149999999999999" customHeight="1" x14ac:dyDescent="0.25">
      <c r="A58" s="146">
        <f t="shared" ca="1" si="4"/>
        <v>44233</v>
      </c>
      <c r="B58" s="161">
        <f ca="1">IF(AND(B57&gt;A57,B57&lt;=A58),B57,DATE(YEAR(A58),MONTH(A58),IF(AND(MONTH(A58)=2,Assumptions!$D$79&gt;28),28,Assumptions!$D$79)))</f>
        <v>44255</v>
      </c>
      <c r="C58" s="162">
        <f t="shared" ca="1" si="1"/>
        <v>555244.57694039831</v>
      </c>
      <c r="D58" s="162">
        <f ca="1">IF(ISNA(MATCH($A58,Months,0))=TRUE,0,OFFSET(Forecast!$B$100,0,MATCH($A58,Months,0),1,1))</f>
        <v>0</v>
      </c>
      <c r="E58" s="163">
        <f t="shared" ca="1" si="2"/>
        <v>0</v>
      </c>
      <c r="F58" s="163">
        <f t="shared" ca="1" si="3"/>
        <v>0</v>
      </c>
      <c r="G58" s="163">
        <f t="shared" ca="1" si="0"/>
        <v>0</v>
      </c>
      <c r="H58" s="164">
        <f ca="1">IF(ROUND(SUM(C58:D58,-G58),0)=0,0,IF($B$6="Yes",SUM($D$9:D58),SUM(C58:D58,-G58)))</f>
        <v>555244.57694039831</v>
      </c>
      <c r="I58" s="165" t="str">
        <f ca="1">IF(E58&gt;0,MAX(I$9:I57)+1,"-")</f>
        <v>-</v>
      </c>
    </row>
    <row r="59" spans="1:9" ht="16.149999999999999" customHeight="1" x14ac:dyDescent="0.25">
      <c r="A59" s="146">
        <f t="shared" ca="1" si="4"/>
        <v>44240</v>
      </c>
      <c r="B59" s="161">
        <f ca="1">IF(AND(B58&gt;A58,B58&lt;=A59),B58,DATE(YEAR(A59),MONTH(A59),IF(AND(MONTH(A59)=2,Assumptions!$D$79&gt;28),28,Assumptions!$D$79)))</f>
        <v>44255</v>
      </c>
      <c r="C59" s="162">
        <f t="shared" ca="1" si="1"/>
        <v>555244.57694039831</v>
      </c>
      <c r="D59" s="162">
        <f ca="1">IF(ISNA(MATCH($A59,Months,0))=TRUE,0,OFFSET(Forecast!$B$100,0,MATCH($A59,Months,0),1,1))</f>
        <v>0</v>
      </c>
      <c r="E59" s="163">
        <f t="shared" ca="1" si="2"/>
        <v>0</v>
      </c>
      <c r="F59" s="163">
        <f t="shared" ca="1" si="3"/>
        <v>0</v>
      </c>
      <c r="G59" s="163">
        <f t="shared" ca="1" si="0"/>
        <v>0</v>
      </c>
      <c r="H59" s="164">
        <f ca="1">IF(ROUND(SUM(C59:D59,-G59),0)=0,0,IF($B$6="Yes",SUM($D$9:D59),SUM(C59:D59,-G59)))</f>
        <v>555244.57694039831</v>
      </c>
      <c r="I59" s="165" t="str">
        <f ca="1">IF(E59&gt;0,MAX(I$9:I58)+1,"-")</f>
        <v>-</v>
      </c>
    </row>
    <row r="60" spans="1:9" ht="16.149999999999999" customHeight="1" x14ac:dyDescent="0.25">
      <c r="A60" s="146">
        <f t="shared" ca="1" si="4"/>
        <v>44247</v>
      </c>
      <c r="B60" s="161">
        <f ca="1">IF(AND(B59&gt;A59,B59&lt;=A60),B59,DATE(YEAR(A60),MONTH(A60),IF(AND(MONTH(A60)=2,Assumptions!$D$79&gt;28),28,Assumptions!$D$79)))</f>
        <v>44255</v>
      </c>
      <c r="C60" s="162">
        <f t="shared" ca="1" si="1"/>
        <v>555244.57694039831</v>
      </c>
      <c r="D60" s="162">
        <f ca="1">IF(ISNA(MATCH($A60,Months,0))=TRUE,0,OFFSET(Forecast!$B$100,0,MATCH($A60,Months,0),1,1))</f>
        <v>0</v>
      </c>
      <c r="E60" s="163">
        <f t="shared" ca="1" si="2"/>
        <v>0</v>
      </c>
      <c r="F60" s="163">
        <f t="shared" ca="1" si="3"/>
        <v>0</v>
      </c>
      <c r="G60" s="163">
        <f t="shared" ca="1" si="0"/>
        <v>0</v>
      </c>
      <c r="H60" s="164">
        <f ca="1">IF(ROUND(SUM(C60:D60,-G60),0)=0,0,IF($B$6="Yes",SUM($D$9:D60),SUM(C60:D60,-G60)))</f>
        <v>555244.57694039831</v>
      </c>
      <c r="I60" s="165" t="str">
        <f ca="1">IF(E60&gt;0,MAX(I$9:I59)+1,"-")</f>
        <v>-</v>
      </c>
    </row>
    <row r="61" spans="1:9" ht="16.149999999999999" customHeight="1" x14ac:dyDescent="0.25">
      <c r="A61" s="146">
        <f t="shared" ca="1" si="4"/>
        <v>44254</v>
      </c>
      <c r="B61" s="161">
        <f ca="1">IF(AND(B60&gt;A60,B60&lt;=A61),B60,DATE(YEAR(A61),MONTH(A61),IF(AND(MONTH(A61)=2,Assumptions!$D$79&gt;28),28,Assumptions!$D$79)))</f>
        <v>44255</v>
      </c>
      <c r="C61" s="162">
        <f t="shared" ca="1" si="1"/>
        <v>555244.57694039831</v>
      </c>
      <c r="D61" s="162">
        <f ca="1">IF(ISNA(MATCH($A61,Months,0))=TRUE,0,OFFSET(Forecast!$B$100,0,MATCH($A61,Months,0),1,1))</f>
        <v>0</v>
      </c>
      <c r="E61" s="163">
        <f t="shared" ca="1" si="2"/>
        <v>0</v>
      </c>
      <c r="F61" s="163">
        <f t="shared" ca="1" si="3"/>
        <v>0</v>
      </c>
      <c r="G61" s="163">
        <f t="shared" ca="1" si="0"/>
        <v>0</v>
      </c>
      <c r="H61" s="164">
        <f ca="1">IF(ROUND(SUM(C61:D61,-G61),0)=0,0,IF($B$6="Yes",SUM($D$9:D61),SUM(C61:D61,-G61)))</f>
        <v>555244.57694039831</v>
      </c>
      <c r="I61" s="165" t="str">
        <f ca="1">IF(E61&gt;0,MAX(I$9:I60)+1,"-")</f>
        <v>-</v>
      </c>
    </row>
    <row r="62" spans="1:9" ht="16.149999999999999" customHeight="1" x14ac:dyDescent="0.25">
      <c r="C62" s="162"/>
      <c r="D62" s="162"/>
      <c r="E62" s="163"/>
      <c r="F62" s="163"/>
      <c r="G62" s="163"/>
      <c r="H62" s="164"/>
    </row>
    <row r="63" spans="1:9" ht="16.149999999999999" customHeight="1" x14ac:dyDescent="0.25">
      <c r="C63" s="162"/>
      <c r="D63" s="162"/>
      <c r="E63" s="163"/>
      <c r="F63" s="163"/>
      <c r="G63" s="163"/>
      <c r="H63" s="164"/>
    </row>
    <row r="64" spans="1:9" ht="16.149999999999999" customHeight="1" x14ac:dyDescent="0.25">
      <c r="C64" s="162"/>
      <c r="D64" s="162"/>
      <c r="E64" s="163"/>
      <c r="F64" s="163"/>
      <c r="G64" s="163"/>
      <c r="H64" s="164"/>
    </row>
    <row r="65" spans="3:8" ht="16.149999999999999" customHeight="1" x14ac:dyDescent="0.25">
      <c r="C65" s="162"/>
      <c r="D65" s="162"/>
      <c r="E65" s="163"/>
      <c r="F65" s="163"/>
      <c r="G65" s="163"/>
      <c r="H65" s="164"/>
    </row>
    <row r="66" spans="3:8" ht="16.149999999999999" customHeight="1" x14ac:dyDescent="0.25">
      <c r="C66" s="162"/>
      <c r="D66" s="162"/>
      <c r="E66" s="163"/>
      <c r="F66" s="163"/>
      <c r="G66" s="163"/>
      <c r="H66" s="164"/>
    </row>
    <row r="67" spans="3:8" ht="16.149999999999999" customHeight="1" x14ac:dyDescent="0.25">
      <c r="C67" s="162"/>
      <c r="D67" s="162"/>
      <c r="E67" s="163"/>
      <c r="F67" s="163"/>
      <c r="G67" s="163"/>
      <c r="H67" s="164"/>
    </row>
    <row r="68" spans="3:8" ht="16.149999999999999" customHeight="1" x14ac:dyDescent="0.25">
      <c r="C68" s="162"/>
      <c r="D68" s="162"/>
      <c r="E68" s="163"/>
      <c r="F68" s="163"/>
      <c r="G68" s="163"/>
      <c r="H68" s="164"/>
    </row>
    <row r="69" spans="3:8" ht="16.149999999999999" customHeight="1" x14ac:dyDescent="0.25">
      <c r="C69" s="162"/>
      <c r="D69" s="162"/>
      <c r="E69" s="163"/>
      <c r="F69" s="163"/>
      <c r="G69" s="163"/>
      <c r="H69" s="164"/>
    </row>
    <row r="70" spans="3:8" ht="16.149999999999999" customHeight="1" x14ac:dyDescent="0.25">
      <c r="C70" s="162"/>
      <c r="D70" s="162"/>
      <c r="E70" s="163"/>
      <c r="F70" s="163"/>
      <c r="G70" s="163"/>
      <c r="H70" s="164"/>
    </row>
    <row r="71" spans="3:8" ht="16.149999999999999" customHeight="1" x14ac:dyDescent="0.25">
      <c r="C71" s="162"/>
      <c r="D71" s="162"/>
      <c r="E71" s="163"/>
      <c r="F71" s="163"/>
      <c r="G71" s="163"/>
      <c r="H71" s="164"/>
    </row>
    <row r="72" spans="3:8" ht="16.149999999999999" customHeight="1" x14ac:dyDescent="0.25">
      <c r="C72" s="162"/>
      <c r="D72" s="162"/>
      <c r="E72" s="163"/>
      <c r="F72" s="163"/>
      <c r="G72" s="163"/>
      <c r="H72" s="164"/>
    </row>
    <row r="73" spans="3:8" ht="16.149999999999999" customHeight="1" x14ac:dyDescent="0.25">
      <c r="C73" s="162"/>
      <c r="D73" s="162"/>
      <c r="E73" s="163"/>
      <c r="F73" s="163"/>
      <c r="G73" s="163"/>
      <c r="H73" s="164"/>
    </row>
    <row r="74" spans="3:8" ht="16.149999999999999" customHeight="1" x14ac:dyDescent="0.25">
      <c r="C74" s="162"/>
      <c r="D74" s="162"/>
      <c r="E74" s="163"/>
      <c r="F74" s="163"/>
      <c r="G74" s="163"/>
      <c r="H74" s="164"/>
    </row>
    <row r="75" spans="3:8" ht="16.149999999999999" customHeight="1" x14ac:dyDescent="0.25">
      <c r="C75" s="162"/>
      <c r="D75" s="162"/>
      <c r="E75" s="163"/>
      <c r="F75" s="163"/>
      <c r="G75" s="163"/>
      <c r="H75" s="164"/>
    </row>
    <row r="76" spans="3:8" ht="16.149999999999999" customHeight="1" x14ac:dyDescent="0.25">
      <c r="C76" s="162"/>
      <c r="D76" s="162"/>
      <c r="E76" s="163"/>
      <c r="F76" s="163"/>
      <c r="G76" s="163"/>
      <c r="H76" s="164"/>
    </row>
    <row r="77" spans="3:8" ht="16.149999999999999" customHeight="1" x14ac:dyDescent="0.25">
      <c r="C77" s="162"/>
      <c r="D77" s="162"/>
      <c r="E77" s="163"/>
      <c r="F77" s="163"/>
      <c r="G77" s="163"/>
      <c r="H77" s="164"/>
    </row>
    <row r="78" spans="3:8" ht="16.149999999999999" customHeight="1" x14ac:dyDescent="0.25">
      <c r="C78" s="162"/>
      <c r="D78" s="162"/>
      <c r="E78" s="163"/>
      <c r="F78" s="163"/>
      <c r="G78" s="163"/>
      <c r="H78" s="164"/>
    </row>
    <row r="79" spans="3:8" ht="16.149999999999999" customHeight="1" x14ac:dyDescent="0.25">
      <c r="C79" s="162"/>
      <c r="D79" s="162"/>
      <c r="E79" s="163"/>
      <c r="F79" s="163"/>
      <c r="G79" s="163"/>
      <c r="H79" s="164"/>
    </row>
    <row r="80" spans="3:8" ht="16.149999999999999" customHeight="1" x14ac:dyDescent="0.25">
      <c r="C80" s="162"/>
      <c r="D80" s="162"/>
      <c r="E80" s="163"/>
      <c r="F80" s="163"/>
      <c r="G80" s="163"/>
      <c r="H80" s="164"/>
    </row>
    <row r="81" spans="3:8" ht="16.149999999999999" customHeight="1" x14ac:dyDescent="0.25">
      <c r="C81" s="162"/>
      <c r="D81" s="162"/>
      <c r="E81" s="163"/>
      <c r="F81" s="163"/>
      <c r="G81" s="163"/>
      <c r="H81" s="164"/>
    </row>
    <row r="82" spans="3:8" ht="16.149999999999999" customHeight="1" x14ac:dyDescent="0.25">
      <c r="C82" s="162"/>
      <c r="D82" s="162"/>
      <c r="E82" s="163"/>
      <c r="F82" s="163"/>
      <c r="G82" s="163"/>
      <c r="H82" s="164"/>
    </row>
    <row r="83" spans="3:8" ht="16.149999999999999" customHeight="1" x14ac:dyDescent="0.25">
      <c r="C83" s="162"/>
      <c r="D83" s="162"/>
      <c r="E83" s="163"/>
      <c r="F83" s="163"/>
      <c r="G83" s="163"/>
      <c r="H83" s="164"/>
    </row>
    <row r="84" spans="3:8" ht="16.149999999999999" customHeight="1" x14ac:dyDescent="0.25">
      <c r="C84" s="162"/>
      <c r="D84" s="162"/>
      <c r="E84" s="163"/>
      <c r="F84" s="163"/>
      <c r="G84" s="163"/>
      <c r="H84" s="164"/>
    </row>
    <row r="85" spans="3:8" ht="16.149999999999999" customHeight="1" x14ac:dyDescent="0.25">
      <c r="C85" s="162"/>
      <c r="D85" s="162"/>
      <c r="E85" s="163"/>
      <c r="F85" s="163"/>
      <c r="G85" s="163"/>
      <c r="H85" s="164"/>
    </row>
    <row r="86" spans="3:8" ht="16.149999999999999" customHeight="1" x14ac:dyDescent="0.25">
      <c r="C86" s="162"/>
      <c r="D86" s="162"/>
      <c r="E86" s="163"/>
      <c r="F86" s="163"/>
      <c r="G86" s="163"/>
      <c r="H86" s="164"/>
    </row>
    <row r="87" spans="3:8" ht="16.149999999999999" customHeight="1" x14ac:dyDescent="0.25">
      <c r="C87" s="162"/>
      <c r="D87" s="162"/>
      <c r="E87" s="163"/>
      <c r="F87" s="163"/>
      <c r="G87" s="163"/>
      <c r="H87" s="164"/>
    </row>
    <row r="88" spans="3:8" ht="16.149999999999999" customHeight="1" x14ac:dyDescent="0.25">
      <c r="C88" s="162"/>
      <c r="D88" s="162"/>
      <c r="E88" s="163"/>
      <c r="F88" s="163"/>
      <c r="G88" s="163"/>
      <c r="H88" s="164"/>
    </row>
    <row r="89" spans="3:8" ht="16.149999999999999" customHeight="1" x14ac:dyDescent="0.25">
      <c r="C89" s="162"/>
      <c r="D89" s="162"/>
      <c r="E89" s="163"/>
      <c r="F89" s="163"/>
      <c r="G89" s="163"/>
      <c r="H89" s="164"/>
    </row>
    <row r="90" spans="3:8" ht="16.149999999999999" customHeight="1" x14ac:dyDescent="0.25">
      <c r="C90" s="162"/>
      <c r="D90" s="162"/>
      <c r="E90" s="163"/>
      <c r="F90" s="163"/>
      <c r="G90" s="163"/>
      <c r="H90" s="164"/>
    </row>
    <row r="91" spans="3:8" ht="16.149999999999999" customHeight="1" x14ac:dyDescent="0.25">
      <c r="C91" s="162"/>
      <c r="D91" s="162"/>
      <c r="E91" s="163"/>
      <c r="F91" s="163"/>
      <c r="G91" s="163"/>
      <c r="H91" s="164"/>
    </row>
    <row r="92" spans="3:8" ht="16.149999999999999" customHeight="1" x14ac:dyDescent="0.25">
      <c r="C92" s="162"/>
      <c r="D92" s="162"/>
      <c r="E92" s="163"/>
      <c r="F92" s="163"/>
      <c r="G92" s="163"/>
      <c r="H92" s="164"/>
    </row>
    <row r="93" spans="3:8" ht="16.149999999999999" customHeight="1" x14ac:dyDescent="0.25">
      <c r="C93" s="162"/>
      <c r="D93" s="162"/>
      <c r="E93" s="163"/>
      <c r="F93" s="163"/>
      <c r="G93" s="163"/>
      <c r="H93" s="164"/>
    </row>
    <row r="94" spans="3:8" ht="16.149999999999999" customHeight="1" x14ac:dyDescent="0.25">
      <c r="C94" s="162"/>
      <c r="D94" s="162"/>
      <c r="E94" s="163"/>
      <c r="F94" s="163"/>
      <c r="G94" s="163"/>
      <c r="H94" s="164"/>
    </row>
    <row r="95" spans="3:8" ht="16.149999999999999" customHeight="1" x14ac:dyDescent="0.25">
      <c r="C95" s="162"/>
      <c r="D95" s="162"/>
      <c r="E95" s="163"/>
      <c r="F95" s="163"/>
      <c r="G95" s="163"/>
      <c r="H95" s="164"/>
    </row>
    <row r="96" spans="3:8" ht="16.149999999999999" customHeight="1" x14ac:dyDescent="0.25">
      <c r="C96" s="162"/>
      <c r="D96" s="162"/>
      <c r="E96" s="163"/>
      <c r="F96" s="163"/>
      <c r="G96" s="163"/>
      <c r="H96" s="164"/>
    </row>
    <row r="97" spans="3:8" ht="16.149999999999999" customHeight="1" x14ac:dyDescent="0.25">
      <c r="C97" s="162"/>
      <c r="D97" s="162"/>
      <c r="E97" s="163"/>
      <c r="F97" s="163"/>
      <c r="G97" s="163"/>
      <c r="H97" s="164"/>
    </row>
    <row r="98" spans="3:8" ht="16.149999999999999" customHeight="1" x14ac:dyDescent="0.25">
      <c r="C98" s="162"/>
      <c r="D98" s="162"/>
      <c r="E98" s="163"/>
      <c r="F98" s="163"/>
      <c r="G98" s="163"/>
      <c r="H98" s="164"/>
    </row>
    <row r="99" spans="3:8" ht="16.149999999999999" customHeight="1" x14ac:dyDescent="0.25">
      <c r="C99" s="162"/>
      <c r="D99" s="162"/>
      <c r="E99" s="163"/>
      <c r="F99" s="163"/>
      <c r="G99" s="163"/>
      <c r="H99" s="164"/>
    </row>
    <row r="100" spans="3:8" ht="16.149999999999999" customHeight="1" x14ac:dyDescent="0.25">
      <c r="C100" s="162"/>
      <c r="D100" s="162"/>
      <c r="E100" s="163"/>
      <c r="F100" s="163"/>
      <c r="G100" s="163"/>
      <c r="H100" s="164"/>
    </row>
    <row r="101" spans="3:8" ht="16.149999999999999" customHeight="1" x14ac:dyDescent="0.25">
      <c r="C101" s="162"/>
      <c r="D101" s="162"/>
      <c r="E101" s="163"/>
      <c r="F101" s="163"/>
      <c r="G101" s="163"/>
      <c r="H101" s="164"/>
    </row>
    <row r="102" spans="3:8" ht="16.149999999999999" customHeight="1" x14ac:dyDescent="0.25">
      <c r="C102" s="162"/>
      <c r="D102" s="162"/>
      <c r="E102" s="163"/>
      <c r="F102" s="163"/>
      <c r="G102" s="163"/>
      <c r="H102" s="164"/>
    </row>
    <row r="103" spans="3:8" ht="16.149999999999999" customHeight="1" x14ac:dyDescent="0.25">
      <c r="C103" s="162"/>
      <c r="D103" s="162"/>
      <c r="E103" s="163"/>
      <c r="F103" s="163"/>
      <c r="G103" s="163"/>
      <c r="H103" s="164"/>
    </row>
    <row r="104" spans="3:8" ht="16.149999999999999" customHeight="1" x14ac:dyDescent="0.25">
      <c r="C104" s="162"/>
      <c r="D104" s="162"/>
      <c r="E104" s="163"/>
      <c r="F104" s="163"/>
      <c r="G104" s="163"/>
      <c r="H104" s="164"/>
    </row>
    <row r="105" spans="3:8" ht="16.149999999999999" customHeight="1" x14ac:dyDescent="0.25">
      <c r="C105" s="162"/>
      <c r="D105" s="162"/>
      <c r="E105" s="163"/>
      <c r="F105" s="163"/>
      <c r="G105" s="163"/>
      <c r="H105" s="164"/>
    </row>
    <row r="106" spans="3:8" ht="16.149999999999999" customHeight="1" x14ac:dyDescent="0.25">
      <c r="C106" s="162"/>
      <c r="D106" s="162"/>
      <c r="E106" s="163"/>
      <c r="F106" s="163"/>
      <c r="G106" s="163"/>
      <c r="H106" s="164"/>
    </row>
    <row r="107" spans="3:8" ht="16.149999999999999" customHeight="1" x14ac:dyDescent="0.25">
      <c r="C107" s="162"/>
      <c r="D107" s="162"/>
      <c r="E107" s="163"/>
      <c r="F107" s="163"/>
      <c r="G107" s="163"/>
      <c r="H107" s="164"/>
    </row>
    <row r="108" spans="3:8" ht="16.149999999999999" customHeight="1" x14ac:dyDescent="0.25">
      <c r="C108" s="162"/>
      <c r="D108" s="162"/>
      <c r="E108" s="163"/>
      <c r="F108" s="163"/>
      <c r="G108" s="163"/>
      <c r="H108" s="164"/>
    </row>
    <row r="109" spans="3:8" ht="16.149999999999999" customHeight="1" x14ac:dyDescent="0.25">
      <c r="C109" s="162"/>
      <c r="D109" s="162"/>
      <c r="E109" s="163"/>
      <c r="F109" s="163"/>
      <c r="G109" s="163"/>
      <c r="H109" s="164"/>
    </row>
    <row r="110" spans="3:8" ht="16.149999999999999" customHeight="1" x14ac:dyDescent="0.25">
      <c r="C110" s="162"/>
      <c r="D110" s="162"/>
      <c r="E110" s="163"/>
      <c r="F110" s="163"/>
      <c r="G110" s="163"/>
      <c r="H110" s="164"/>
    </row>
    <row r="111" spans="3:8" ht="16.149999999999999" customHeight="1" x14ac:dyDescent="0.25">
      <c r="C111" s="162"/>
      <c r="D111" s="162"/>
      <c r="E111" s="163"/>
      <c r="F111" s="163"/>
      <c r="G111" s="163"/>
      <c r="H111" s="164"/>
    </row>
    <row r="112" spans="3:8" ht="16.149999999999999" customHeight="1" x14ac:dyDescent="0.25">
      <c r="C112" s="162"/>
      <c r="D112" s="162"/>
      <c r="E112" s="163"/>
      <c r="F112" s="163"/>
      <c r="G112" s="163"/>
      <c r="H112" s="164"/>
    </row>
    <row r="113" spans="3:8" ht="16.149999999999999" customHeight="1" x14ac:dyDescent="0.25">
      <c r="C113" s="162"/>
      <c r="D113" s="162"/>
      <c r="E113" s="163"/>
      <c r="F113" s="163"/>
      <c r="G113" s="163"/>
      <c r="H113" s="164"/>
    </row>
    <row r="114" spans="3:8" ht="16.149999999999999" customHeight="1" x14ac:dyDescent="0.25">
      <c r="C114" s="162"/>
      <c r="D114" s="162"/>
      <c r="E114" s="163"/>
      <c r="F114" s="163"/>
      <c r="G114" s="163"/>
      <c r="H114" s="164"/>
    </row>
    <row r="115" spans="3:8" ht="16.149999999999999" customHeight="1" x14ac:dyDescent="0.25">
      <c r="C115" s="162"/>
      <c r="D115" s="162"/>
      <c r="E115" s="163"/>
      <c r="F115" s="163"/>
      <c r="G115" s="163"/>
      <c r="H115" s="164"/>
    </row>
    <row r="116" spans="3:8" ht="16.149999999999999" customHeight="1" x14ac:dyDescent="0.25">
      <c r="C116" s="162"/>
      <c r="D116" s="162"/>
      <c r="E116" s="163"/>
      <c r="F116" s="163"/>
      <c r="G116" s="163"/>
      <c r="H116" s="164"/>
    </row>
    <row r="117" spans="3:8" ht="16.149999999999999" customHeight="1" x14ac:dyDescent="0.25">
      <c r="C117" s="162"/>
      <c r="D117" s="162"/>
      <c r="E117" s="163"/>
      <c r="F117" s="163"/>
      <c r="G117" s="163"/>
      <c r="H117" s="164"/>
    </row>
    <row r="118" spans="3:8" ht="16.149999999999999" customHeight="1" x14ac:dyDescent="0.25">
      <c r="C118" s="162"/>
      <c r="D118" s="162"/>
      <c r="E118" s="163"/>
      <c r="F118" s="163"/>
      <c r="G118" s="163"/>
      <c r="H118" s="164"/>
    </row>
    <row r="119" spans="3:8" ht="16.149999999999999" customHeight="1" x14ac:dyDescent="0.25">
      <c r="C119" s="162"/>
      <c r="D119" s="162"/>
      <c r="E119" s="163"/>
      <c r="F119" s="163"/>
      <c r="G119" s="163"/>
      <c r="H119" s="164"/>
    </row>
    <row r="120" spans="3:8" ht="16.149999999999999" customHeight="1" x14ac:dyDescent="0.25">
      <c r="C120" s="162"/>
      <c r="D120" s="162"/>
      <c r="E120" s="163"/>
      <c r="F120" s="163"/>
      <c r="G120" s="163"/>
      <c r="H120" s="164"/>
    </row>
    <row r="121" spans="3:8" ht="16.149999999999999" customHeight="1" x14ac:dyDescent="0.25">
      <c r="C121" s="162"/>
      <c r="D121" s="162"/>
      <c r="E121" s="163"/>
      <c r="F121" s="163"/>
      <c r="G121" s="163"/>
      <c r="H121" s="164"/>
    </row>
    <row r="122" spans="3:8" ht="16.149999999999999" customHeight="1" x14ac:dyDescent="0.25">
      <c r="C122" s="162"/>
      <c r="D122" s="162"/>
      <c r="E122" s="163"/>
      <c r="F122" s="163"/>
      <c r="G122" s="163"/>
      <c r="H122" s="164"/>
    </row>
    <row r="123" spans="3:8" ht="16.149999999999999" customHeight="1" x14ac:dyDescent="0.25">
      <c r="C123" s="162"/>
      <c r="D123" s="162"/>
      <c r="E123" s="163"/>
      <c r="F123" s="163"/>
      <c r="G123" s="163"/>
      <c r="H123" s="164"/>
    </row>
    <row r="124" spans="3:8" ht="16.149999999999999" customHeight="1" x14ac:dyDescent="0.25">
      <c r="C124" s="162"/>
      <c r="D124" s="162"/>
      <c r="E124" s="163"/>
      <c r="F124" s="163"/>
      <c r="G124" s="163"/>
      <c r="H124" s="164"/>
    </row>
    <row r="125" spans="3:8" ht="16.149999999999999" customHeight="1" x14ac:dyDescent="0.25">
      <c r="C125" s="162"/>
      <c r="D125" s="162"/>
      <c r="E125" s="163"/>
      <c r="F125" s="163"/>
      <c r="G125" s="163"/>
      <c r="H125" s="164"/>
    </row>
    <row r="126" spans="3:8" ht="16.149999999999999" customHeight="1" x14ac:dyDescent="0.25">
      <c r="C126" s="162"/>
      <c r="D126" s="162"/>
      <c r="E126" s="163"/>
      <c r="F126" s="163"/>
      <c r="G126" s="163"/>
      <c r="H126" s="164"/>
    </row>
    <row r="127" spans="3:8" ht="16.149999999999999" customHeight="1" x14ac:dyDescent="0.25">
      <c r="C127" s="162"/>
      <c r="D127" s="162"/>
      <c r="E127" s="163"/>
      <c r="F127" s="163"/>
      <c r="G127" s="163"/>
      <c r="H127" s="164"/>
    </row>
    <row r="128" spans="3:8" ht="16.149999999999999" customHeight="1" x14ac:dyDescent="0.25">
      <c r="C128" s="162"/>
      <c r="D128" s="162"/>
      <c r="E128" s="163"/>
      <c r="F128" s="163"/>
      <c r="G128" s="163"/>
      <c r="H128" s="164"/>
    </row>
    <row r="129" spans="3:8" ht="16.149999999999999" customHeight="1" x14ac:dyDescent="0.25">
      <c r="C129" s="162"/>
      <c r="D129" s="162"/>
      <c r="E129" s="163"/>
      <c r="F129" s="163"/>
      <c r="G129" s="163"/>
      <c r="H129" s="164"/>
    </row>
    <row r="130" spans="3:8" ht="16.149999999999999" customHeight="1" x14ac:dyDescent="0.25">
      <c r="C130" s="162"/>
      <c r="D130" s="162"/>
      <c r="E130" s="163"/>
      <c r="F130" s="163"/>
      <c r="G130" s="163"/>
      <c r="H130" s="164"/>
    </row>
    <row r="131" spans="3:8" ht="16.149999999999999" customHeight="1" x14ac:dyDescent="0.25">
      <c r="C131" s="162"/>
      <c r="D131" s="162"/>
      <c r="E131" s="163"/>
      <c r="F131" s="163"/>
      <c r="G131" s="163"/>
      <c r="H131" s="164"/>
    </row>
    <row r="132" spans="3:8" ht="16.149999999999999" customHeight="1" x14ac:dyDescent="0.25">
      <c r="C132" s="162"/>
      <c r="D132" s="162"/>
      <c r="E132" s="163"/>
      <c r="F132" s="163"/>
      <c r="G132" s="163"/>
      <c r="H132" s="164"/>
    </row>
    <row r="133" spans="3:8" ht="16.149999999999999" customHeight="1" x14ac:dyDescent="0.25">
      <c r="C133" s="162"/>
      <c r="D133" s="162"/>
      <c r="E133" s="163"/>
      <c r="F133" s="163"/>
      <c r="G133" s="163"/>
      <c r="H133" s="164"/>
    </row>
    <row r="134" spans="3:8" ht="16.149999999999999" customHeight="1" x14ac:dyDescent="0.25">
      <c r="C134" s="162"/>
      <c r="D134" s="162"/>
      <c r="E134" s="163"/>
      <c r="F134" s="163"/>
      <c r="G134" s="163"/>
      <c r="H134" s="164"/>
    </row>
    <row r="135" spans="3:8" ht="16.149999999999999" customHeight="1" x14ac:dyDescent="0.25">
      <c r="C135" s="162"/>
      <c r="D135" s="162"/>
      <c r="E135" s="163"/>
      <c r="F135" s="163"/>
      <c r="G135" s="163"/>
      <c r="H135" s="164"/>
    </row>
    <row r="136" spans="3:8" ht="16.149999999999999" customHeight="1" x14ac:dyDescent="0.25">
      <c r="C136" s="162"/>
      <c r="D136" s="162"/>
      <c r="E136" s="163"/>
      <c r="F136" s="163"/>
      <c r="G136" s="163"/>
      <c r="H136" s="164"/>
    </row>
    <row r="137" spans="3:8" ht="16.149999999999999" customHeight="1" x14ac:dyDescent="0.25">
      <c r="C137" s="162"/>
      <c r="D137" s="162"/>
      <c r="E137" s="163"/>
      <c r="F137" s="163"/>
      <c r="G137" s="163"/>
      <c r="H137" s="164"/>
    </row>
    <row r="138" spans="3:8" ht="16.149999999999999" customHeight="1" x14ac:dyDescent="0.25">
      <c r="C138" s="162"/>
      <c r="D138" s="162"/>
      <c r="E138" s="163"/>
      <c r="F138" s="163"/>
      <c r="G138" s="163"/>
      <c r="H138" s="164"/>
    </row>
    <row r="139" spans="3:8" ht="16.149999999999999" customHeight="1" x14ac:dyDescent="0.25">
      <c r="C139" s="162"/>
      <c r="D139" s="162"/>
      <c r="E139" s="163"/>
      <c r="F139" s="163"/>
      <c r="G139" s="163"/>
      <c r="H139" s="164"/>
    </row>
    <row r="140" spans="3:8" ht="16.149999999999999" customHeight="1" x14ac:dyDescent="0.25">
      <c r="C140" s="162"/>
      <c r="D140" s="162"/>
      <c r="E140" s="163"/>
      <c r="F140" s="163"/>
      <c r="G140" s="163"/>
      <c r="H140" s="164"/>
    </row>
    <row r="141" spans="3:8" ht="16.149999999999999" customHeight="1" x14ac:dyDescent="0.25">
      <c r="C141" s="162"/>
      <c r="D141" s="162"/>
      <c r="E141" s="163"/>
      <c r="F141" s="163"/>
      <c r="G141" s="163"/>
      <c r="H141" s="164"/>
    </row>
    <row r="142" spans="3:8" ht="16.149999999999999" customHeight="1" x14ac:dyDescent="0.25">
      <c r="C142" s="162"/>
      <c r="D142" s="162"/>
      <c r="E142" s="163"/>
      <c r="F142" s="163"/>
      <c r="G142" s="163"/>
      <c r="H142" s="164"/>
    </row>
    <row r="143" spans="3:8" ht="16.149999999999999" customHeight="1" x14ac:dyDescent="0.25">
      <c r="C143" s="162"/>
      <c r="D143" s="162"/>
      <c r="E143" s="163"/>
      <c r="F143" s="163"/>
      <c r="G143" s="163"/>
      <c r="H143" s="164"/>
    </row>
    <row r="144" spans="3:8" ht="16.149999999999999" customHeight="1" x14ac:dyDescent="0.25">
      <c r="C144" s="162"/>
      <c r="D144" s="162"/>
      <c r="E144" s="163"/>
      <c r="F144" s="163"/>
      <c r="G144" s="163"/>
      <c r="H144" s="164"/>
    </row>
    <row r="145" spans="3:8" ht="16.149999999999999" customHeight="1" x14ac:dyDescent="0.25">
      <c r="C145" s="162"/>
      <c r="D145" s="162"/>
      <c r="E145" s="163"/>
      <c r="F145" s="163"/>
      <c r="G145" s="163"/>
      <c r="H145" s="164"/>
    </row>
    <row r="146" spans="3:8" ht="16.149999999999999" customHeight="1" x14ac:dyDescent="0.25">
      <c r="C146" s="162"/>
      <c r="D146" s="162"/>
      <c r="E146" s="163"/>
      <c r="F146" s="163"/>
      <c r="G146" s="163"/>
      <c r="H146" s="164"/>
    </row>
    <row r="147" spans="3:8" ht="16.149999999999999" customHeight="1" x14ac:dyDescent="0.25">
      <c r="C147" s="162"/>
      <c r="D147" s="162"/>
      <c r="E147" s="163"/>
      <c r="F147" s="163"/>
      <c r="G147" s="163"/>
      <c r="H147" s="164"/>
    </row>
    <row r="148" spans="3:8" ht="16.149999999999999" customHeight="1" x14ac:dyDescent="0.25">
      <c r="C148" s="162"/>
      <c r="D148" s="162"/>
      <c r="E148" s="163"/>
      <c r="F148" s="163"/>
      <c r="G148" s="163"/>
      <c r="H148" s="164"/>
    </row>
    <row r="149" spans="3:8" ht="16.149999999999999" customHeight="1" x14ac:dyDescent="0.25">
      <c r="C149" s="162"/>
      <c r="D149" s="162"/>
      <c r="E149" s="163"/>
      <c r="F149" s="163"/>
      <c r="G149" s="163"/>
      <c r="H149" s="164"/>
    </row>
    <row r="150" spans="3:8" ht="16.149999999999999" customHeight="1" x14ac:dyDescent="0.25">
      <c r="C150" s="162"/>
      <c r="D150" s="162"/>
      <c r="E150" s="163"/>
      <c r="F150" s="163"/>
      <c r="G150" s="163"/>
      <c r="H150" s="164"/>
    </row>
    <row r="151" spans="3:8" ht="16.149999999999999" customHeight="1" x14ac:dyDescent="0.25">
      <c r="C151" s="162"/>
      <c r="D151" s="162"/>
      <c r="E151" s="163"/>
      <c r="F151" s="163"/>
      <c r="G151" s="163"/>
      <c r="H151" s="164"/>
    </row>
    <row r="152" spans="3:8" ht="16.149999999999999" customHeight="1" x14ac:dyDescent="0.25">
      <c r="C152" s="162"/>
      <c r="D152" s="162"/>
      <c r="E152" s="163"/>
      <c r="F152" s="163"/>
      <c r="G152" s="163"/>
      <c r="H152" s="164"/>
    </row>
    <row r="153" spans="3:8" ht="16.149999999999999" customHeight="1" x14ac:dyDescent="0.25">
      <c r="C153" s="162"/>
      <c r="D153" s="162"/>
      <c r="E153" s="163"/>
      <c r="F153" s="163"/>
      <c r="G153" s="163"/>
      <c r="H153" s="164"/>
    </row>
    <row r="154" spans="3:8" ht="16.149999999999999" customHeight="1" x14ac:dyDescent="0.25">
      <c r="C154" s="162"/>
      <c r="D154" s="162"/>
      <c r="E154" s="163"/>
      <c r="F154" s="163"/>
      <c r="G154" s="163"/>
      <c r="H154" s="164"/>
    </row>
    <row r="155" spans="3:8" ht="16.149999999999999" customHeight="1" x14ac:dyDescent="0.25">
      <c r="C155" s="162"/>
      <c r="D155" s="162"/>
      <c r="E155" s="163"/>
      <c r="F155" s="163"/>
      <c r="G155" s="163"/>
      <c r="H155" s="164"/>
    </row>
    <row r="156" spans="3:8" ht="16.149999999999999" customHeight="1" x14ac:dyDescent="0.25">
      <c r="C156" s="162"/>
      <c r="D156" s="162"/>
      <c r="E156" s="163"/>
      <c r="F156" s="163"/>
      <c r="G156" s="163"/>
      <c r="H156" s="164"/>
    </row>
    <row r="157" spans="3:8" ht="16.149999999999999" customHeight="1" x14ac:dyDescent="0.25">
      <c r="C157" s="162"/>
      <c r="D157" s="162"/>
      <c r="E157" s="163"/>
      <c r="F157" s="163"/>
      <c r="G157" s="163"/>
      <c r="H157" s="164"/>
    </row>
    <row r="158" spans="3:8" ht="16.149999999999999" customHeight="1" x14ac:dyDescent="0.25">
      <c r="C158" s="162"/>
      <c r="D158" s="162"/>
      <c r="E158" s="163"/>
      <c r="F158" s="163"/>
      <c r="G158" s="163"/>
      <c r="H158" s="164"/>
    </row>
    <row r="159" spans="3:8" ht="16.149999999999999" customHeight="1" x14ac:dyDescent="0.25">
      <c r="C159" s="162"/>
      <c r="D159" s="162"/>
      <c r="E159" s="163"/>
      <c r="F159" s="163"/>
      <c r="G159" s="163"/>
      <c r="H159" s="164"/>
    </row>
    <row r="160" spans="3:8" ht="16.149999999999999" customHeight="1" x14ac:dyDescent="0.25">
      <c r="C160" s="162"/>
      <c r="D160" s="162"/>
      <c r="E160" s="163"/>
      <c r="F160" s="163"/>
      <c r="G160" s="163"/>
      <c r="H160" s="164"/>
    </row>
    <row r="161" spans="3:8" ht="16.149999999999999" customHeight="1" x14ac:dyDescent="0.25">
      <c r="C161" s="162"/>
      <c r="D161" s="162"/>
      <c r="E161" s="163"/>
      <c r="F161" s="163"/>
      <c r="G161" s="163"/>
      <c r="H161" s="164"/>
    </row>
    <row r="162" spans="3:8" ht="16.149999999999999" customHeight="1" x14ac:dyDescent="0.25">
      <c r="C162" s="162"/>
      <c r="D162" s="162"/>
      <c r="E162" s="163"/>
      <c r="F162" s="163"/>
      <c r="G162" s="163"/>
      <c r="H162" s="164"/>
    </row>
    <row r="163" spans="3:8" ht="16.149999999999999" customHeight="1" x14ac:dyDescent="0.25">
      <c r="C163" s="162"/>
      <c r="D163" s="162"/>
      <c r="E163" s="163"/>
      <c r="F163" s="163"/>
      <c r="G163" s="163"/>
      <c r="H163" s="164"/>
    </row>
    <row r="164" spans="3:8" ht="16.149999999999999" customHeight="1" x14ac:dyDescent="0.25">
      <c r="C164" s="162"/>
      <c r="D164" s="162"/>
      <c r="E164" s="163"/>
      <c r="F164" s="163"/>
      <c r="G164" s="163"/>
      <c r="H164" s="164"/>
    </row>
    <row r="165" spans="3:8" ht="16.149999999999999" customHeight="1" x14ac:dyDescent="0.25">
      <c r="C165" s="162"/>
      <c r="D165" s="162"/>
      <c r="E165" s="163"/>
      <c r="F165" s="163"/>
      <c r="G165" s="163"/>
      <c r="H165" s="164"/>
    </row>
  </sheetData>
  <printOptions horizontalCentered="1"/>
  <pageMargins left="0.59055118110236227" right="0.59055118110236227" top="0.59055118110236227" bottom="0.59055118110236227" header="0.39370078740157483" footer="0.39370078740157483"/>
  <pageSetup paperSize="9" scale="72" orientation="portrait"/>
  <headerFooter alignWithMargins="0">
    <oddFooter>&amp;C&amp;9Page &amp;P of &amp;N</oddFooter>
  </headerFooter>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Info</vt:lpstr>
      <vt:lpstr>Pay</vt:lpstr>
      <vt:lpstr>BSMonths</vt:lpstr>
      <vt:lpstr>LoanMonths</vt:lpstr>
      <vt:lpstr>MonthList</vt:lpstr>
      <vt:lpstr>Months</vt:lpstr>
      <vt:lpstr>Actual!Print_Area</vt:lpstr>
      <vt:lpstr>BS!Print_Area</vt:lpstr>
      <vt:lpstr>Forecast!Print_Area</vt:lpstr>
      <vt:lpstr>Instructions!Print_Area</vt:lpstr>
      <vt:lpstr>Report!Print_Area</vt:lpstr>
      <vt:lpstr>Actual!Print_Titles</vt:lpstr>
      <vt:lpstr>Assumptions!Print_Titles</vt:lpstr>
      <vt:lpstr>BS!Print_Titles</vt:lpstr>
      <vt:lpstr>Forecast!Print_Titles</vt:lpstr>
      <vt:lpstr>Instructions!Print_Titles</vt:lpstr>
      <vt:lpstr>Leases!Print_Titles</vt:lpstr>
      <vt:lpstr>Loans1!Print_Titles</vt:lpstr>
      <vt:lpstr>Loans2!Print_Titles</vt:lpstr>
      <vt:lpstr>Loans3!Print_Titles</vt:lpstr>
      <vt:lpstr>Report!Print_Titles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Cash Flow Forecast vs Actual Template - Excel Skills</dc:title>
  <dc:subject>Cash Flow Forecast</dc:subject>
  <dc:creator>Excel Skills International</dc:creator>
  <cp:keywords>cash flow template, weekly</cp:keywords>
  <cp:lastModifiedBy>cloudconvert_18</cp:lastModifiedBy>
  <cp:lastPrinted>2020-09-25T13:01:46Z</cp:lastPrinted>
  <dcterms:created xsi:type="dcterms:W3CDTF">2009-07-26T08:36:26Z</dcterms:created>
  <dcterms:modified xsi:type="dcterms:W3CDTF">2024-01-30T16:21:54Z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cedc9b71-1f1b-45ec-bbd6-09568124b13d</vt:lpwstr>
  </property>
</Properties>
</file>