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df8cef485fa7452f" Type="http://schemas.microsoft.com/office/2007/relationships/ui/extensibility" Target="customUI/customUI14.xml"/><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5f56fd8a7c324cf6"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cloudconvert\server\files\tasks\ad052a17-36f2-40fb-8e69-570baef554c2\"/>
    </mc:Choice>
  </mc:AlternateContent>
  <xr:revisionPtr revIDLastSave="0" documentId="8_{67FC1B26-E952-4622-8F8A-7CD0B1803D53}" xr6:coauthVersionLast="47" xr6:coauthVersionMax="47" xr10:uidLastSave="{00000000-0000-0000-0000-000000000000}"/>
  <bookViews>
    <workbookView xWindow="1560" yWindow="1560" windowWidth="11520" windowHeight="7875" tabRatio="795" xr2:uid="{00000000-000D-0000-FFFF-FFFF00000000}"/>
  </bookViews>
  <sheets>
    <sheet name="Info" sheetId="10" r:id="rId1"/>
    <sheet name="Trial" sheetId="9" state="veryHidden" r:id="rId2"/>
    <sheet name="Instructions" sheetId="4" state="veryHidden" r:id="rId3"/>
    <sheet name="Assumptions" sheetId="2" state="veryHidden" r:id="rId4"/>
    <sheet name="IncState" sheetId="1" state="veryHidden" r:id="rId5"/>
    <sheet name="CashFlow" sheetId="11" state="veryHidden" r:id="rId6"/>
    <sheet name="BalanceSheet" sheetId="6" state="veryHidden" r:id="rId7"/>
    <sheet name="Loans1" sheetId="7" state="veryHidden" r:id="rId8"/>
    <sheet name="Loans2" sheetId="12" state="veryHidden" r:id="rId9"/>
    <sheet name="Loans3" sheetId="13" state="veryHidden" r:id="rId10"/>
    <sheet name="Leases" sheetId="14" state="veryHidden" r:id="rId11"/>
    <sheet name="Pay" sheetId="15" state="hidden" r:id="rId12"/>
  </sheets>
  <definedNames>
    <definedName name="BSMonths">BalanceSheet!$C$4:$BC$4</definedName>
    <definedName name="Months">IncState!$C$4:$BB$4</definedName>
    <definedName name="_xlnm.Print_Area" localSheetId="6">BalanceSheet!$B$1:$BH$44</definedName>
    <definedName name="_xlnm.Print_Area" localSheetId="5">CashFlow!$B$1:$BG$46</definedName>
    <definedName name="_xlnm.Print_Area" localSheetId="4">IncState!$B$1:$BG$64</definedName>
    <definedName name="_xlnm.Print_Area" localSheetId="2">Instructions!$A$1:$A$386</definedName>
    <definedName name="_xlnm.Print_Titles" localSheetId="3">Assumptions!$1:$3</definedName>
    <definedName name="_xlnm.Print_Titles" localSheetId="6">BalanceSheet!$B:$B,BalanceSheet!$1:$4</definedName>
    <definedName name="_xlnm.Print_Titles" localSheetId="5">CashFlow!$B:$B,CashFlow!$1:$4</definedName>
    <definedName name="_xlnm.Print_Titles" localSheetId="4">IncState!$B:$B,IncState!$1:$4</definedName>
    <definedName name="_xlnm.Print_Titles" localSheetId="2">Instructions!$1:$4</definedName>
    <definedName name="_xlnm.Print_Titles" localSheetId="10">Leases!$1:$8</definedName>
    <definedName name="_xlnm.Print_Titles" localSheetId="7">Loans1!$1:$8</definedName>
    <definedName name="_xlnm.Print_Titles" localSheetId="8">Loans2!$1:$8</definedName>
    <definedName name="_xlnm.Print_Titles" localSheetId="9">Loans3!$1:$8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C3" i="6" l="1"/>
  <c r="BB3" i="6"/>
  <c r="BA3" i="6"/>
  <c r="AZ3" i="6"/>
  <c r="AY3" i="6"/>
  <c r="AX3" i="6"/>
  <c r="AW3" i="6"/>
  <c r="AV3" i="6"/>
  <c r="AU3" i="6"/>
  <c r="AT3" i="6"/>
  <c r="AS3" i="6"/>
  <c r="AR3" i="6"/>
  <c r="AQ3" i="6"/>
  <c r="AP3" i="6"/>
  <c r="AO3" i="6"/>
  <c r="AN3" i="6"/>
  <c r="AM3" i="6"/>
  <c r="AL3" i="6"/>
  <c r="AK3" i="6"/>
  <c r="AJ3" i="6"/>
  <c r="AI3" i="6"/>
  <c r="AH3" i="6"/>
  <c r="AG3" i="6"/>
  <c r="AF3" i="6"/>
  <c r="AE3" i="6"/>
  <c r="AD3" i="6"/>
  <c r="AC3" i="6"/>
  <c r="AB3" i="6"/>
  <c r="AA3" i="6"/>
  <c r="Z3" i="6"/>
  <c r="Y3" i="6"/>
  <c r="X3" i="6"/>
  <c r="W3" i="6"/>
  <c r="V3" i="6"/>
  <c r="U3" i="6"/>
  <c r="T3" i="6"/>
  <c r="S3" i="6"/>
  <c r="R3" i="6"/>
  <c r="Q3" i="6"/>
  <c r="P3" i="6"/>
  <c r="O3" i="6"/>
  <c r="N3" i="6"/>
  <c r="M3" i="6"/>
  <c r="L3" i="6"/>
  <c r="K3" i="6"/>
  <c r="J3" i="6"/>
  <c r="I3" i="6"/>
  <c r="H3" i="6"/>
  <c r="G3" i="6"/>
  <c r="F3" i="6"/>
  <c r="E3" i="6"/>
  <c r="D3" i="6"/>
  <c r="A1" i="14"/>
  <c r="A1" i="13"/>
  <c r="A1" i="12"/>
  <c r="A1" i="7"/>
  <c r="B1" i="6"/>
  <c r="B1" i="11"/>
  <c r="B1" i="1"/>
  <c r="B1" i="2"/>
  <c r="D109" i="2" l="1"/>
  <c r="BC70" i="6" l="1"/>
  <c r="BB70" i="6"/>
  <c r="BA70" i="6"/>
  <c r="AZ70" i="6"/>
  <c r="AY70" i="6"/>
  <c r="AX70" i="6"/>
  <c r="AW70" i="6"/>
  <c r="AV70" i="6"/>
  <c r="AU70" i="6"/>
  <c r="AT70" i="6"/>
  <c r="AS70" i="6"/>
  <c r="AR70" i="6"/>
  <c r="AQ70" i="6"/>
  <c r="AP70" i="6"/>
  <c r="AO70" i="6"/>
  <c r="AN70" i="6"/>
  <c r="AM70" i="6"/>
  <c r="AL70" i="6"/>
  <c r="AK70" i="6"/>
  <c r="AJ70" i="6"/>
  <c r="AI70" i="6"/>
  <c r="AH70" i="6"/>
  <c r="AG70" i="6"/>
  <c r="AF70" i="6"/>
  <c r="AE70" i="6"/>
  <c r="AD70" i="6"/>
  <c r="AC70" i="6"/>
  <c r="AB70" i="6"/>
  <c r="AA70" i="6"/>
  <c r="Z70" i="6"/>
  <c r="Y70" i="6"/>
  <c r="X70" i="6"/>
  <c r="W70" i="6"/>
  <c r="V70" i="6"/>
  <c r="U70" i="6"/>
  <c r="T70" i="6"/>
  <c r="S70" i="6"/>
  <c r="R70" i="6"/>
  <c r="Q70" i="6"/>
  <c r="P70" i="6"/>
  <c r="O70" i="6"/>
  <c r="N70" i="6"/>
  <c r="M70" i="6"/>
  <c r="L70" i="6"/>
  <c r="K70" i="6"/>
  <c r="J70" i="6"/>
  <c r="I70" i="6"/>
  <c r="H70" i="6"/>
  <c r="G70" i="6"/>
  <c r="F70" i="6"/>
  <c r="E70" i="6"/>
  <c r="D70" i="6"/>
  <c r="C70" i="6"/>
  <c r="C38" i="6"/>
  <c r="D108" i="2"/>
  <c r="O18" i="15" s="1"/>
  <c r="O17" i="15" s="1"/>
  <c r="O16" i="15" s="1"/>
  <c r="O15" i="15" s="1"/>
  <c r="O14" i="15" s="1"/>
  <c r="O13" i="15" s="1"/>
  <c r="O12" i="15" s="1"/>
  <c r="O11" i="15" s="1"/>
  <c r="O10" i="15" s="1"/>
  <c r="O9" i="15" s="1"/>
  <c r="O8" i="15" s="1"/>
  <c r="O7" i="15" s="1"/>
  <c r="O6" i="15" s="1"/>
  <c r="O5" i="15" s="1"/>
  <c r="O4" i="15" s="1"/>
  <c r="O3" i="15" s="1"/>
  <c r="BE17" i="1"/>
  <c r="BD17" i="1"/>
  <c r="BC17" i="1"/>
  <c r="N3" i="15" l="1"/>
  <c r="Q3" i="15" s="1"/>
  <c r="BC64" i="6"/>
  <c r="BB64" i="6"/>
  <c r="BA64" i="6"/>
  <c r="AZ64" i="6"/>
  <c r="AY64" i="6"/>
  <c r="AX64" i="6"/>
  <c r="AW64" i="6"/>
  <c r="AV64" i="6"/>
  <c r="AU64" i="6"/>
  <c r="AT64" i="6"/>
  <c r="AS64" i="6"/>
  <c r="AR64" i="6"/>
  <c r="AQ64" i="6"/>
  <c r="AP64" i="6"/>
  <c r="AO64" i="6"/>
  <c r="AN64" i="6"/>
  <c r="AM64" i="6"/>
  <c r="AL64" i="6"/>
  <c r="AK64" i="6"/>
  <c r="AJ64" i="6"/>
  <c r="AI64" i="6"/>
  <c r="AH64" i="6"/>
  <c r="AG64" i="6"/>
  <c r="AF64" i="6"/>
  <c r="AE64" i="6"/>
  <c r="AD64" i="6"/>
  <c r="AC64" i="6"/>
  <c r="AB64" i="6"/>
  <c r="AA64" i="6"/>
  <c r="Z64" i="6"/>
  <c r="Y64" i="6"/>
  <c r="X64" i="6"/>
  <c r="W64" i="6"/>
  <c r="V64" i="6"/>
  <c r="U64" i="6"/>
  <c r="T64" i="6"/>
  <c r="S64" i="6"/>
  <c r="R64" i="6"/>
  <c r="Q64" i="6"/>
  <c r="P64" i="6"/>
  <c r="O64" i="6"/>
  <c r="N64" i="6"/>
  <c r="M64" i="6"/>
  <c r="L64" i="6"/>
  <c r="K64" i="6"/>
  <c r="J64" i="6"/>
  <c r="I64" i="6"/>
  <c r="H64" i="6"/>
  <c r="G64" i="6"/>
  <c r="F64" i="6"/>
  <c r="E64" i="6"/>
  <c r="P3" i="15" l="1"/>
  <c r="N4" i="15"/>
  <c r="P4" i="15" s="1"/>
  <c r="D64" i="6"/>
  <c r="C64" i="6"/>
  <c r="K18" i="15"/>
  <c r="K17" i="15" s="1"/>
  <c r="K16" i="15" s="1"/>
  <c r="K15" i="15" s="1"/>
  <c r="K14" i="15" s="1"/>
  <c r="K13" i="15" s="1"/>
  <c r="K12" i="15" s="1"/>
  <c r="K11" i="15" s="1"/>
  <c r="K10" i="15" s="1"/>
  <c r="K9" i="15" s="1"/>
  <c r="K8" i="15" s="1"/>
  <c r="K7" i="15" s="1"/>
  <c r="K6" i="15" s="1"/>
  <c r="K5" i="15" s="1"/>
  <c r="K4" i="15" s="1"/>
  <c r="K3" i="15" s="1"/>
  <c r="J3" i="15" s="1"/>
  <c r="G18" i="15"/>
  <c r="G17" i="15" s="1"/>
  <c r="G16" i="15" s="1"/>
  <c r="G15" i="15" s="1"/>
  <c r="G14" i="15" s="1"/>
  <c r="G13" i="15" s="1"/>
  <c r="G12" i="15" s="1"/>
  <c r="G11" i="15" s="1"/>
  <c r="G10" i="15" s="1"/>
  <c r="G9" i="15" s="1"/>
  <c r="G8" i="15" s="1"/>
  <c r="G7" i="15" s="1"/>
  <c r="G6" i="15" s="1"/>
  <c r="G5" i="15" s="1"/>
  <c r="G4" i="15" s="1"/>
  <c r="G3" i="15" s="1"/>
  <c r="F3" i="15" s="1"/>
  <c r="Q4" i="15" l="1"/>
  <c r="N5" i="15"/>
  <c r="P5" i="15" s="1"/>
  <c r="J4" i="15"/>
  <c r="J5" i="15" s="1"/>
  <c r="J6" i="15" s="1"/>
  <c r="J7" i="15" s="1"/>
  <c r="J8" i="15" s="1"/>
  <c r="J9" i="15" s="1"/>
  <c r="J10" i="15" s="1"/>
  <c r="J11" i="15" s="1"/>
  <c r="J12" i="15" s="1"/>
  <c r="J13" i="15" s="1"/>
  <c r="J14" i="15" s="1"/>
  <c r="J15" i="15" s="1"/>
  <c r="J16" i="15" s="1"/>
  <c r="J17" i="15" s="1"/>
  <c r="J18" i="15" s="1"/>
  <c r="L18" i="15" s="1"/>
  <c r="L3" i="15"/>
  <c r="D72" i="2"/>
  <c r="D65" i="2"/>
  <c r="D55" i="2"/>
  <c r="C18" i="15"/>
  <c r="Q5" i="15" l="1"/>
  <c r="N6" i="15"/>
  <c r="N7" i="15" s="1"/>
  <c r="L4" i="15"/>
  <c r="L10" i="15"/>
  <c r="L6" i="15"/>
  <c r="L15" i="15"/>
  <c r="L13" i="15"/>
  <c r="L5" i="15"/>
  <c r="L11" i="15"/>
  <c r="L9" i="15"/>
  <c r="L14" i="15"/>
  <c r="L16" i="15"/>
  <c r="L7" i="15"/>
  <c r="L12" i="15"/>
  <c r="L17" i="15"/>
  <c r="L8" i="15"/>
  <c r="C17" i="15"/>
  <c r="C16" i="15" s="1"/>
  <c r="C15" i="15" s="1"/>
  <c r="C14" i="15" s="1"/>
  <c r="C13" i="15" s="1"/>
  <c r="C12" i="15" s="1"/>
  <c r="C11" i="15" s="1"/>
  <c r="C10" i="15" s="1"/>
  <c r="C9" i="15" s="1"/>
  <c r="C8" i="15" s="1"/>
  <c r="C7" i="15" s="1"/>
  <c r="C6" i="15" s="1"/>
  <c r="C5" i="15" s="1"/>
  <c r="C4" i="15" s="1"/>
  <c r="C3" i="15" s="1"/>
  <c r="B3" i="15" s="1"/>
  <c r="P6" i="15" l="1"/>
  <c r="Q6" i="15"/>
  <c r="N8" i="15"/>
  <c r="Q7" i="15"/>
  <c r="P7" i="15"/>
  <c r="F4" i="15"/>
  <c r="H3" i="15"/>
  <c r="D3" i="15"/>
  <c r="N9" i="15" l="1"/>
  <c r="Q8" i="15"/>
  <c r="P8" i="15"/>
  <c r="F5" i="15"/>
  <c r="H4" i="15"/>
  <c r="B4" i="15"/>
  <c r="D4" i="15" s="1"/>
  <c r="N10" i="15" l="1"/>
  <c r="Q9" i="15"/>
  <c r="P9" i="15"/>
  <c r="F6" i="15"/>
  <c r="H5" i="15"/>
  <c r="B5" i="15"/>
  <c r="D5" i="15" s="1"/>
  <c r="N11" i="15" l="1"/>
  <c r="Q10" i="15"/>
  <c r="P10" i="15"/>
  <c r="B6" i="15"/>
  <c r="D6" i="15" s="1"/>
  <c r="F7" i="15"/>
  <c r="H6" i="15"/>
  <c r="N12" i="15" l="1"/>
  <c r="Q11" i="15"/>
  <c r="P11" i="15"/>
  <c r="B7" i="15"/>
  <c r="D7" i="15" s="1"/>
  <c r="F8" i="15"/>
  <c r="H7" i="15"/>
  <c r="N13" i="15" l="1"/>
  <c r="Q12" i="15"/>
  <c r="P12" i="15"/>
  <c r="B8" i="15"/>
  <c r="D8" i="15" s="1"/>
  <c r="F9" i="15"/>
  <c r="H8" i="15"/>
  <c r="N14" i="15" l="1"/>
  <c r="Q13" i="15"/>
  <c r="P13" i="15"/>
  <c r="B9" i="15"/>
  <c r="D9" i="15" s="1"/>
  <c r="F10" i="15"/>
  <c r="H9" i="15"/>
  <c r="N15" i="15" l="1"/>
  <c r="Q14" i="15"/>
  <c r="P14" i="15"/>
  <c r="B10" i="15"/>
  <c r="D10" i="15" s="1"/>
  <c r="F11" i="15"/>
  <c r="H10" i="15"/>
  <c r="N16" i="15" l="1"/>
  <c r="Q15" i="15"/>
  <c r="P15" i="15"/>
  <c r="B11" i="15"/>
  <c r="D11" i="15" s="1"/>
  <c r="F12" i="15"/>
  <c r="H11" i="15"/>
  <c r="N17" i="15" l="1"/>
  <c r="Q16" i="15"/>
  <c r="P16" i="15"/>
  <c r="B12" i="15"/>
  <c r="D12" i="15" s="1"/>
  <c r="F13" i="15"/>
  <c r="H12" i="15"/>
  <c r="N18" i="15" l="1"/>
  <c r="Q17" i="15"/>
  <c r="P17" i="15"/>
  <c r="B13" i="15"/>
  <c r="D13" i="15" s="1"/>
  <c r="F14" i="15"/>
  <c r="H13" i="15"/>
  <c r="P18" i="15" l="1"/>
  <c r="Q18" i="15"/>
  <c r="B14" i="15"/>
  <c r="D14" i="15" s="1"/>
  <c r="F15" i="15"/>
  <c r="H14" i="15"/>
  <c r="B15" i="15" l="1"/>
  <c r="D15" i="15" s="1"/>
  <c r="F16" i="15"/>
  <c r="H15" i="15"/>
  <c r="B16" i="15" l="1"/>
  <c r="D16" i="15" s="1"/>
  <c r="F17" i="15"/>
  <c r="H16" i="15"/>
  <c r="B17" i="15" l="1"/>
  <c r="D17" i="15" s="1"/>
  <c r="F18" i="15"/>
  <c r="H18" i="15" s="1"/>
  <c r="H17" i="15"/>
  <c r="B18" i="15" l="1"/>
  <c r="D18" i="15" s="1"/>
  <c r="BH50" i="6"/>
  <c r="BG50" i="6"/>
  <c r="BF50" i="6"/>
  <c r="BE50" i="6"/>
  <c r="BD50" i="6"/>
  <c r="BC50" i="6"/>
  <c r="BB50" i="6"/>
  <c r="BA50" i="6"/>
  <c r="AZ50" i="6"/>
  <c r="AY50" i="6"/>
  <c r="AX50" i="6"/>
  <c r="AW50" i="6"/>
  <c r="AV50" i="6"/>
  <c r="AU50" i="6"/>
  <c r="AT50" i="6"/>
  <c r="AS50" i="6"/>
  <c r="AR50" i="6"/>
  <c r="AQ50" i="6"/>
  <c r="AP50" i="6"/>
  <c r="AO50" i="6"/>
  <c r="AN50" i="6"/>
  <c r="AM50" i="6"/>
  <c r="AL50" i="6"/>
  <c r="AK50" i="6"/>
  <c r="AJ50" i="6"/>
  <c r="AI50" i="6"/>
  <c r="AH50" i="6"/>
  <c r="AG50" i="6"/>
  <c r="AF50" i="6"/>
  <c r="AE50" i="6"/>
  <c r="AD50" i="6"/>
  <c r="AC50" i="6"/>
  <c r="AB50" i="6"/>
  <c r="AA50" i="6"/>
  <c r="Z50" i="6"/>
  <c r="Y50" i="6"/>
  <c r="X50" i="6"/>
  <c r="W50" i="6"/>
  <c r="V50" i="6"/>
  <c r="U50" i="6"/>
  <c r="T50" i="6"/>
  <c r="S50" i="6"/>
  <c r="R50" i="6"/>
  <c r="Q50" i="6"/>
  <c r="P50" i="6"/>
  <c r="O50" i="6"/>
  <c r="N50" i="6"/>
  <c r="M50" i="6"/>
  <c r="L50" i="6"/>
  <c r="K50" i="6"/>
  <c r="J50" i="6"/>
  <c r="I50" i="6"/>
  <c r="H50" i="6"/>
  <c r="G50" i="6"/>
  <c r="F50" i="6"/>
  <c r="E50" i="6"/>
  <c r="D50" i="6"/>
  <c r="C50" i="6"/>
  <c r="BH48" i="6"/>
  <c r="BG48" i="6"/>
  <c r="BF48" i="6"/>
  <c r="BE48" i="6"/>
  <c r="BD48" i="6"/>
  <c r="BC48" i="6"/>
  <c r="BB48" i="6"/>
  <c r="BA48" i="6"/>
  <c r="AZ48" i="6"/>
  <c r="AY48" i="6"/>
  <c r="AX48" i="6"/>
  <c r="AW48" i="6"/>
  <c r="AV48" i="6"/>
  <c r="AU48" i="6"/>
  <c r="AT48" i="6"/>
  <c r="AS48" i="6"/>
  <c r="AR48" i="6"/>
  <c r="AQ48" i="6"/>
  <c r="AP48" i="6"/>
  <c r="AO48" i="6"/>
  <c r="AN48" i="6"/>
  <c r="AM48" i="6"/>
  <c r="AL48" i="6"/>
  <c r="AK48" i="6"/>
  <c r="AJ48" i="6"/>
  <c r="AI48" i="6"/>
  <c r="AH48" i="6"/>
  <c r="AG48" i="6"/>
  <c r="AF48" i="6"/>
  <c r="AE48" i="6"/>
  <c r="AD48" i="6"/>
  <c r="AC48" i="6"/>
  <c r="AB48" i="6"/>
  <c r="AA48" i="6"/>
  <c r="Z48" i="6"/>
  <c r="Y48" i="6"/>
  <c r="X48" i="6"/>
  <c r="W48" i="6"/>
  <c r="V48" i="6"/>
  <c r="U48" i="6"/>
  <c r="T48" i="6"/>
  <c r="S48" i="6"/>
  <c r="R48" i="6"/>
  <c r="Q48" i="6"/>
  <c r="P48" i="6"/>
  <c r="O48" i="6"/>
  <c r="N48" i="6"/>
  <c r="M48" i="6"/>
  <c r="L48" i="6"/>
  <c r="K48" i="6"/>
  <c r="J48" i="6"/>
  <c r="I48" i="6"/>
  <c r="H48" i="6"/>
  <c r="G48" i="6"/>
  <c r="F48" i="6"/>
  <c r="E48" i="6"/>
  <c r="D48" i="6"/>
  <c r="C48" i="6"/>
  <c r="BH46" i="6"/>
  <c r="BG46" i="6"/>
  <c r="BF46" i="6"/>
  <c r="BE46" i="6"/>
  <c r="BD46" i="6"/>
  <c r="BC46" i="6"/>
  <c r="BB46" i="6"/>
  <c r="BA46" i="6"/>
  <c r="AZ46" i="6"/>
  <c r="AY46" i="6"/>
  <c r="AX46" i="6"/>
  <c r="AW46" i="6"/>
  <c r="AV46" i="6"/>
  <c r="AU46" i="6"/>
  <c r="AT46" i="6"/>
  <c r="AS46" i="6"/>
  <c r="AR46" i="6"/>
  <c r="AQ46" i="6"/>
  <c r="AP46" i="6"/>
  <c r="AO46" i="6"/>
  <c r="AN46" i="6"/>
  <c r="AM46" i="6"/>
  <c r="AL46" i="6"/>
  <c r="AK46" i="6"/>
  <c r="AJ46" i="6"/>
  <c r="AI46" i="6"/>
  <c r="AH46" i="6"/>
  <c r="AG46" i="6"/>
  <c r="AF46" i="6"/>
  <c r="AE46" i="6"/>
  <c r="AD46" i="6"/>
  <c r="AC46" i="6"/>
  <c r="AB46" i="6"/>
  <c r="AA46" i="6"/>
  <c r="Z46" i="6"/>
  <c r="Y46" i="6"/>
  <c r="X46" i="6"/>
  <c r="W46" i="6"/>
  <c r="V46" i="6"/>
  <c r="U46" i="6"/>
  <c r="T46" i="6"/>
  <c r="S46" i="6"/>
  <c r="R46" i="6"/>
  <c r="Q46" i="6"/>
  <c r="P46" i="6"/>
  <c r="O46" i="6"/>
  <c r="N46" i="6"/>
  <c r="M46" i="6"/>
  <c r="L46" i="6"/>
  <c r="K46" i="6"/>
  <c r="J46" i="6"/>
  <c r="I46" i="6"/>
  <c r="H46" i="6"/>
  <c r="G46" i="6"/>
  <c r="F46" i="6"/>
  <c r="E46" i="6"/>
  <c r="D46" i="6"/>
  <c r="C46" i="6"/>
  <c r="BE38" i="11"/>
  <c r="BD38" i="11"/>
  <c r="BC38" i="11"/>
  <c r="BE37" i="11"/>
  <c r="BD37" i="11"/>
  <c r="BC37" i="11"/>
  <c r="BE36" i="11"/>
  <c r="BD36" i="11"/>
  <c r="BC36" i="11"/>
  <c r="BE30" i="11"/>
  <c r="BD30" i="11"/>
  <c r="BC30" i="11"/>
  <c r="BE29" i="11"/>
  <c r="BD29" i="11"/>
  <c r="BC29" i="11"/>
  <c r="BE21" i="11"/>
  <c r="BD21" i="11"/>
  <c r="BC21" i="11"/>
  <c r="BE13" i="11"/>
  <c r="BD13" i="11"/>
  <c r="BC13" i="11"/>
  <c r="BE12" i="11"/>
  <c r="BD12" i="11"/>
  <c r="BC12" i="11"/>
  <c r="BB31" i="11"/>
  <c r="BA31" i="11"/>
  <c r="AZ31"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C31" i="11"/>
  <c r="D9" i="14" l="1"/>
  <c r="D9" i="13"/>
  <c r="D9" i="12"/>
  <c r="D9" i="7"/>
  <c r="C39" i="6"/>
  <c r="D39" i="6" s="1"/>
  <c r="E39" i="6" s="1"/>
  <c r="F39" i="6" s="1"/>
  <c r="G39" i="6" s="1"/>
  <c r="H39" i="6" s="1"/>
  <c r="I39" i="6" s="1"/>
  <c r="J39" i="6" s="1"/>
  <c r="K39" i="6" s="1"/>
  <c r="L39" i="6" s="1"/>
  <c r="M39" i="6" s="1"/>
  <c r="N39" i="6" s="1"/>
  <c r="O39" i="6" s="1"/>
  <c r="P39" i="6" s="1"/>
  <c r="Q39" i="6" s="1"/>
  <c r="R39" i="6" s="1"/>
  <c r="S39" i="6" s="1"/>
  <c r="T39" i="6" s="1"/>
  <c r="U39" i="6" s="1"/>
  <c r="V39" i="6" s="1"/>
  <c r="W39" i="6" s="1"/>
  <c r="X39" i="6" s="1"/>
  <c r="Y39" i="6" s="1"/>
  <c r="Z39" i="6" s="1"/>
  <c r="AA39" i="6" s="1"/>
  <c r="AB39" i="6" s="1"/>
  <c r="AC39" i="6" s="1"/>
  <c r="AD39" i="6" s="1"/>
  <c r="AE39" i="6" s="1"/>
  <c r="AF39" i="6" s="1"/>
  <c r="AG39" i="6" s="1"/>
  <c r="AH39" i="6" s="1"/>
  <c r="AI39" i="6" s="1"/>
  <c r="AJ39" i="6" s="1"/>
  <c r="AK39" i="6" s="1"/>
  <c r="AL39" i="6" s="1"/>
  <c r="AM39" i="6" s="1"/>
  <c r="AN39" i="6" s="1"/>
  <c r="AO39" i="6" s="1"/>
  <c r="AP39" i="6" s="1"/>
  <c r="AQ39" i="6" s="1"/>
  <c r="AR39" i="6" s="1"/>
  <c r="AS39" i="6" s="1"/>
  <c r="AT39" i="6" s="1"/>
  <c r="AU39" i="6" s="1"/>
  <c r="AV39" i="6" s="1"/>
  <c r="AW39" i="6" s="1"/>
  <c r="AX39" i="6" s="1"/>
  <c r="AY39" i="6" s="1"/>
  <c r="AZ39" i="6" s="1"/>
  <c r="BA39" i="6" s="1"/>
  <c r="BB39" i="6" s="1"/>
  <c r="BC39" i="6" s="1"/>
  <c r="C37" i="6"/>
  <c r="C61" i="6" s="1"/>
  <c r="C36" i="6"/>
  <c r="D36" i="6" s="1"/>
  <c r="E36" i="6" s="1"/>
  <c r="F36" i="6" s="1"/>
  <c r="G36" i="6" s="1"/>
  <c r="H36" i="6" s="1"/>
  <c r="I36" i="6" s="1"/>
  <c r="J36" i="6" s="1"/>
  <c r="K36" i="6" s="1"/>
  <c r="L36" i="6" s="1"/>
  <c r="M36" i="6" s="1"/>
  <c r="N36" i="6" s="1"/>
  <c r="O36" i="6" s="1"/>
  <c r="P36" i="6" s="1"/>
  <c r="C35" i="6"/>
  <c r="C67" i="6" s="1"/>
  <c r="C34" i="6"/>
  <c r="C33" i="6"/>
  <c r="C32" i="6"/>
  <c r="C29" i="6"/>
  <c r="C28" i="6"/>
  <c r="C27" i="6"/>
  <c r="C26" i="6"/>
  <c r="C23" i="6"/>
  <c r="C22" i="6"/>
  <c r="C21" i="6"/>
  <c r="D21" i="6" s="1"/>
  <c r="E21" i="6" s="1"/>
  <c r="F21" i="6" s="1"/>
  <c r="G21" i="6" s="1"/>
  <c r="H21" i="6" s="1"/>
  <c r="I21" i="6" s="1"/>
  <c r="J21" i="6" s="1"/>
  <c r="K21" i="6" s="1"/>
  <c r="L21" i="6" s="1"/>
  <c r="M21" i="6" s="1"/>
  <c r="N21" i="6" s="1"/>
  <c r="O21" i="6" s="1"/>
  <c r="P21" i="6" s="1"/>
  <c r="Q21" i="6" s="1"/>
  <c r="R21" i="6" s="1"/>
  <c r="S21" i="6" s="1"/>
  <c r="T21" i="6" s="1"/>
  <c r="U21" i="6" s="1"/>
  <c r="V21" i="6" s="1"/>
  <c r="W21" i="6" s="1"/>
  <c r="X21" i="6" s="1"/>
  <c r="Y21" i="6" s="1"/>
  <c r="Z21" i="6" s="1"/>
  <c r="AA21" i="6" s="1"/>
  <c r="AB21" i="6" s="1"/>
  <c r="AC21" i="6" s="1"/>
  <c r="AD21" i="6" s="1"/>
  <c r="AE21" i="6" s="1"/>
  <c r="AF21" i="6" s="1"/>
  <c r="AG21" i="6" s="1"/>
  <c r="AH21" i="6" s="1"/>
  <c r="AI21" i="6" s="1"/>
  <c r="AJ21" i="6" s="1"/>
  <c r="AK21" i="6" s="1"/>
  <c r="AL21" i="6" s="1"/>
  <c r="AM21" i="6" s="1"/>
  <c r="AN21" i="6" s="1"/>
  <c r="AO21" i="6" s="1"/>
  <c r="AP21" i="6" s="1"/>
  <c r="AQ21" i="6" s="1"/>
  <c r="AR21" i="6" s="1"/>
  <c r="AS21" i="6" s="1"/>
  <c r="AT21" i="6" s="1"/>
  <c r="AU21" i="6" s="1"/>
  <c r="AV21" i="6" s="1"/>
  <c r="AW21" i="6" s="1"/>
  <c r="AX21" i="6" s="1"/>
  <c r="AY21" i="6" s="1"/>
  <c r="AZ21" i="6" s="1"/>
  <c r="BA21" i="6" s="1"/>
  <c r="BB21" i="6" s="1"/>
  <c r="BC21" i="6" s="1"/>
  <c r="C16" i="6"/>
  <c r="C15" i="6"/>
  <c r="D15" i="6" s="1"/>
  <c r="E15" i="6" s="1"/>
  <c r="F15" i="6" s="1"/>
  <c r="G15" i="6" s="1"/>
  <c r="H15" i="6" s="1"/>
  <c r="I15" i="6" s="1"/>
  <c r="J15" i="6" s="1"/>
  <c r="K15" i="6" s="1"/>
  <c r="L15" i="6" s="1"/>
  <c r="M15" i="6" s="1"/>
  <c r="N15" i="6" s="1"/>
  <c r="O15" i="6" s="1"/>
  <c r="P15" i="6" s="1"/>
  <c r="C14" i="6"/>
  <c r="D14" i="6" s="1"/>
  <c r="E14" i="6" s="1"/>
  <c r="F14" i="6" s="1"/>
  <c r="G14" i="6" s="1"/>
  <c r="H14" i="6" s="1"/>
  <c r="I14" i="6" s="1"/>
  <c r="J14" i="6" s="1"/>
  <c r="K14" i="6" s="1"/>
  <c r="L14" i="6" s="1"/>
  <c r="M14" i="6" s="1"/>
  <c r="N14" i="6" s="1"/>
  <c r="O14" i="6" s="1"/>
  <c r="P14" i="6" s="1"/>
  <c r="C13" i="6"/>
  <c r="C12" i="6"/>
  <c r="C9" i="6"/>
  <c r="D9" i="6" s="1"/>
  <c r="E9" i="6" s="1"/>
  <c r="F9" i="6" s="1"/>
  <c r="G9" i="6" s="1"/>
  <c r="H9" i="6" s="1"/>
  <c r="I9" i="6" s="1"/>
  <c r="J9" i="6" s="1"/>
  <c r="K9" i="6" s="1"/>
  <c r="L9" i="6" s="1"/>
  <c r="M9" i="6" s="1"/>
  <c r="N9" i="6" s="1"/>
  <c r="O9" i="6" s="1"/>
  <c r="P9" i="6" s="1"/>
  <c r="C8" i="6"/>
  <c r="C7" i="6"/>
  <c r="B6" i="14"/>
  <c r="B5" i="14"/>
  <c r="B4" i="14"/>
  <c r="B6" i="13"/>
  <c r="B5" i="13"/>
  <c r="B4" i="13"/>
  <c r="B6" i="12"/>
  <c r="B5" i="12"/>
  <c r="B4" i="12"/>
  <c r="B6" i="7"/>
  <c r="D96" i="2"/>
  <c r="D95" i="2"/>
  <c r="D94" i="2"/>
  <c r="D93" i="2"/>
  <c r="D82" i="2"/>
  <c r="A10" i="14"/>
  <c r="I9" i="14"/>
  <c r="A9" i="14"/>
  <c r="B9" i="14" s="1"/>
  <c r="A10" i="13"/>
  <c r="I9" i="13"/>
  <c r="A9" i="13"/>
  <c r="B9" i="13" s="1"/>
  <c r="A10" i="12"/>
  <c r="I9" i="12"/>
  <c r="A9" i="12"/>
  <c r="B9" i="12" s="1"/>
  <c r="BB41" i="1"/>
  <c r="BA41" i="1"/>
  <c r="AZ41" i="1"/>
  <c r="AY41" i="1"/>
  <c r="AX41" i="1"/>
  <c r="AW41" i="1"/>
  <c r="AV41" i="1"/>
  <c r="AU41" i="1"/>
  <c r="AT41" i="1"/>
  <c r="AS41" i="1"/>
  <c r="AR41" i="1"/>
  <c r="AQ41" i="1"/>
  <c r="AP41" i="1"/>
  <c r="AO41" i="1"/>
  <c r="AN41" i="1"/>
  <c r="AM41" i="1"/>
  <c r="AL41" i="1"/>
  <c r="AK41" i="1"/>
  <c r="AJ41" i="1"/>
  <c r="AI41" i="1"/>
  <c r="AH41" i="1"/>
  <c r="AG41" i="1"/>
  <c r="AF41" i="1"/>
  <c r="AE41" i="1"/>
  <c r="AD41" i="1"/>
  <c r="AC41" i="1"/>
  <c r="AB41" i="1"/>
  <c r="AA41" i="1"/>
  <c r="Z41" i="1"/>
  <c r="Y41" i="1"/>
  <c r="X41" i="1"/>
  <c r="W41" i="1"/>
  <c r="V41" i="1"/>
  <c r="U41" i="1"/>
  <c r="T41" i="1"/>
  <c r="S41" i="1"/>
  <c r="R41" i="1"/>
  <c r="Q41" i="1"/>
  <c r="P41" i="1"/>
  <c r="O41" i="1"/>
  <c r="N41" i="1"/>
  <c r="M41" i="1"/>
  <c r="L41" i="1"/>
  <c r="K41" i="1"/>
  <c r="J41" i="1"/>
  <c r="I41" i="1"/>
  <c r="H41" i="1"/>
  <c r="G41" i="1"/>
  <c r="F41" i="1"/>
  <c r="E41" i="1"/>
  <c r="D41" i="1"/>
  <c r="C41" i="1"/>
  <c r="BE48" i="1"/>
  <c r="BD48" i="1"/>
  <c r="BC48" i="1"/>
  <c r="BB49" i="1"/>
  <c r="BA49" i="1"/>
  <c r="AZ49" i="1"/>
  <c r="AY49" i="1"/>
  <c r="AX49" i="1"/>
  <c r="AW49" i="1"/>
  <c r="AV49" i="1"/>
  <c r="AU49" i="1"/>
  <c r="AT49" i="1"/>
  <c r="AS49" i="1"/>
  <c r="AR49" i="1"/>
  <c r="AQ49" i="1"/>
  <c r="AP49" i="1"/>
  <c r="AO49" i="1"/>
  <c r="AN49" i="1"/>
  <c r="AM49" i="1"/>
  <c r="AL49" i="1"/>
  <c r="AK49" i="1"/>
  <c r="AJ49" i="1"/>
  <c r="AI49" i="1"/>
  <c r="AH49" i="1"/>
  <c r="AG49" i="1"/>
  <c r="AF49" i="1"/>
  <c r="AE49" i="1"/>
  <c r="AD49" i="1"/>
  <c r="AC49" i="1"/>
  <c r="AB49" i="1"/>
  <c r="AA49" i="1"/>
  <c r="Z49" i="1"/>
  <c r="Y49" i="1"/>
  <c r="X49" i="1"/>
  <c r="W49" i="1"/>
  <c r="V49" i="1"/>
  <c r="U49" i="1"/>
  <c r="T49" i="1"/>
  <c r="S49" i="1"/>
  <c r="R49" i="1"/>
  <c r="Q49" i="1"/>
  <c r="P49" i="1"/>
  <c r="O49" i="1"/>
  <c r="N49" i="1"/>
  <c r="M49" i="1"/>
  <c r="L49" i="1"/>
  <c r="K49" i="1"/>
  <c r="J49" i="1"/>
  <c r="I49" i="1"/>
  <c r="H49" i="1"/>
  <c r="G49" i="1"/>
  <c r="F49" i="1"/>
  <c r="E49" i="1"/>
  <c r="D49" i="1"/>
  <c r="C49" i="1"/>
  <c r="BB45" i="1"/>
  <c r="BA45" i="1"/>
  <c r="AZ45" i="1"/>
  <c r="AY45" i="1"/>
  <c r="AX45" i="1"/>
  <c r="AW45" i="1"/>
  <c r="AV45" i="1"/>
  <c r="AU45" i="1"/>
  <c r="AT45" i="1"/>
  <c r="AS45" i="1"/>
  <c r="AR45" i="1"/>
  <c r="AQ45" i="1"/>
  <c r="AP45" i="1"/>
  <c r="AO45" i="1"/>
  <c r="AN45" i="1"/>
  <c r="AM45" i="1"/>
  <c r="AL45" i="1"/>
  <c r="AK45" i="1"/>
  <c r="AJ45" i="1"/>
  <c r="AI45" i="1"/>
  <c r="AH45" i="1"/>
  <c r="AG45" i="1"/>
  <c r="AF45" i="1"/>
  <c r="AE45" i="1"/>
  <c r="AD45" i="1"/>
  <c r="AC45" i="1"/>
  <c r="AB45" i="1"/>
  <c r="AA45" i="1"/>
  <c r="Z45" i="1"/>
  <c r="Y45" i="1"/>
  <c r="X45" i="1"/>
  <c r="W45" i="1"/>
  <c r="V45" i="1"/>
  <c r="U45" i="1"/>
  <c r="T45" i="1"/>
  <c r="S45" i="1"/>
  <c r="R45" i="1"/>
  <c r="Q45" i="1"/>
  <c r="P45" i="1"/>
  <c r="O45" i="1"/>
  <c r="N45" i="1"/>
  <c r="M45" i="1"/>
  <c r="L45" i="1"/>
  <c r="K45" i="1"/>
  <c r="J45" i="1"/>
  <c r="I45" i="1"/>
  <c r="H45" i="1"/>
  <c r="G45" i="1"/>
  <c r="F45" i="1"/>
  <c r="E45" i="1"/>
  <c r="D45" i="1"/>
  <c r="C45" i="1"/>
  <c r="BE44" i="1"/>
  <c r="BD44" i="1"/>
  <c r="BC44" i="1"/>
  <c r="BE43" i="1"/>
  <c r="BD43" i="1"/>
  <c r="BC43" i="1"/>
  <c r="BB12" i="1"/>
  <c r="BB9" i="1" s="1"/>
  <c r="BA12" i="1"/>
  <c r="BA9" i="1" s="1"/>
  <c r="AZ12" i="1"/>
  <c r="AZ9" i="1" s="1"/>
  <c r="AY12" i="1"/>
  <c r="AY9" i="1" s="1"/>
  <c r="AX12" i="1"/>
  <c r="AX9" i="1" s="1"/>
  <c r="AW12" i="1"/>
  <c r="AW9" i="1" s="1"/>
  <c r="AV12" i="1"/>
  <c r="AV9" i="1" s="1"/>
  <c r="AU12" i="1"/>
  <c r="AU9" i="1" s="1"/>
  <c r="AT12" i="1"/>
  <c r="AT9" i="1" s="1"/>
  <c r="AS12" i="1"/>
  <c r="AS9" i="1" s="1"/>
  <c r="AR12" i="1"/>
  <c r="AR9" i="1" s="1"/>
  <c r="AQ12" i="1"/>
  <c r="AQ9" i="1" s="1"/>
  <c r="AP12" i="1"/>
  <c r="AP9" i="1" s="1"/>
  <c r="AO12" i="1"/>
  <c r="AO9" i="1" s="1"/>
  <c r="AN12" i="1"/>
  <c r="AN9" i="1" s="1"/>
  <c r="AM12" i="1"/>
  <c r="AM9" i="1" s="1"/>
  <c r="AL12" i="1"/>
  <c r="AL9" i="1" s="1"/>
  <c r="AK12" i="1"/>
  <c r="AK9" i="1" s="1"/>
  <c r="AJ12" i="1"/>
  <c r="AJ9" i="1" s="1"/>
  <c r="AI12" i="1"/>
  <c r="AI9" i="1" s="1"/>
  <c r="AH12" i="1"/>
  <c r="AH9" i="1" s="1"/>
  <c r="AG12" i="1"/>
  <c r="AG9" i="1" s="1"/>
  <c r="AF12" i="1"/>
  <c r="AF9" i="1" s="1"/>
  <c r="AE12" i="1"/>
  <c r="AE9" i="1" s="1"/>
  <c r="AD12" i="1"/>
  <c r="AD9" i="1" s="1"/>
  <c r="AC12" i="1"/>
  <c r="AB12" i="1"/>
  <c r="AB9" i="1" s="1"/>
  <c r="AA12" i="1"/>
  <c r="AA9" i="1" s="1"/>
  <c r="Z12" i="1"/>
  <c r="Z9" i="1" s="1"/>
  <c r="Y12" i="1"/>
  <c r="Y9" i="1" s="1"/>
  <c r="X12" i="1"/>
  <c r="X9" i="1" s="1"/>
  <c r="W12" i="1"/>
  <c r="W9" i="1" s="1"/>
  <c r="V12" i="1"/>
  <c r="V9" i="1" s="1"/>
  <c r="U12" i="1"/>
  <c r="U9" i="1" s="1"/>
  <c r="T12" i="1"/>
  <c r="T9" i="1" s="1"/>
  <c r="S12" i="1"/>
  <c r="S9" i="1" s="1"/>
  <c r="R12" i="1"/>
  <c r="R9" i="1" s="1"/>
  <c r="Q12" i="1"/>
  <c r="Q9" i="1" s="1"/>
  <c r="P12" i="1"/>
  <c r="O12" i="1"/>
  <c r="O9" i="1" s="1"/>
  <c r="N12" i="1"/>
  <c r="N9" i="1" s="1"/>
  <c r="M12" i="1"/>
  <c r="M9" i="1" s="1"/>
  <c r="L12" i="1"/>
  <c r="L9" i="1" s="1"/>
  <c r="K12" i="1"/>
  <c r="K9" i="1" s="1"/>
  <c r="J12" i="1"/>
  <c r="J9" i="1" s="1"/>
  <c r="I12" i="1"/>
  <c r="I9" i="1" s="1"/>
  <c r="H12" i="1"/>
  <c r="H9" i="1" s="1"/>
  <c r="G12" i="1"/>
  <c r="G9" i="1" s="1"/>
  <c r="F12" i="1"/>
  <c r="F9" i="1" s="1"/>
  <c r="E12" i="1"/>
  <c r="E9" i="1" s="1"/>
  <c r="D12" i="1"/>
  <c r="D9" i="1" s="1"/>
  <c r="C12" i="1"/>
  <c r="C9" i="1" s="1"/>
  <c r="BB11" i="1"/>
  <c r="BB8" i="1" s="1"/>
  <c r="BA11" i="1"/>
  <c r="AZ11" i="1"/>
  <c r="AZ8" i="1" s="1"/>
  <c r="AY11" i="1"/>
  <c r="AY13" i="1" s="1"/>
  <c r="AX11" i="1"/>
  <c r="AX8" i="1" s="1"/>
  <c r="AX10" i="1" s="1"/>
  <c r="AY47" i="6" s="1"/>
  <c r="AW11" i="1"/>
  <c r="AV11" i="1"/>
  <c r="AV8" i="1" s="1"/>
  <c r="AV10" i="1" s="1"/>
  <c r="AW47" i="6" s="1"/>
  <c r="AU11" i="1"/>
  <c r="AT11" i="1"/>
  <c r="AT8" i="1" s="1"/>
  <c r="AS11" i="1"/>
  <c r="AR11" i="1"/>
  <c r="AR8" i="1" s="1"/>
  <c r="AQ11" i="1"/>
  <c r="AQ13" i="1" s="1"/>
  <c r="AP11" i="1"/>
  <c r="AP8" i="1" s="1"/>
  <c r="AO11" i="1"/>
  <c r="AN11" i="1"/>
  <c r="AN8" i="1" s="1"/>
  <c r="AN10" i="1" s="1"/>
  <c r="AO47" i="6" s="1"/>
  <c r="AM11" i="1"/>
  <c r="AL11" i="1"/>
  <c r="AL8" i="1" s="1"/>
  <c r="AK11" i="1"/>
  <c r="AJ11" i="1"/>
  <c r="AJ8" i="1" s="1"/>
  <c r="AI11" i="1"/>
  <c r="AI13" i="1" s="1"/>
  <c r="AH11" i="1"/>
  <c r="AH8" i="1" s="1"/>
  <c r="AH10" i="1" s="1"/>
  <c r="AI47" i="6" s="1"/>
  <c r="AG11" i="1"/>
  <c r="AF11" i="1"/>
  <c r="AF8" i="1" s="1"/>
  <c r="AF10" i="1" s="1"/>
  <c r="AG47" i="6" s="1"/>
  <c r="AE11" i="1"/>
  <c r="AD11" i="1"/>
  <c r="AD8" i="1" s="1"/>
  <c r="AC11" i="1"/>
  <c r="AB11" i="1"/>
  <c r="AB8" i="1" s="1"/>
  <c r="AA11" i="1"/>
  <c r="AA13" i="1" s="1"/>
  <c r="Z11" i="1"/>
  <c r="Z8" i="1" s="1"/>
  <c r="Z10" i="1" s="1"/>
  <c r="AA47" i="6" s="1"/>
  <c r="Y11" i="1"/>
  <c r="X11" i="1"/>
  <c r="X8" i="1" s="1"/>
  <c r="X10" i="1" s="1"/>
  <c r="Y47" i="6" s="1"/>
  <c r="W11" i="1"/>
  <c r="V11" i="1"/>
  <c r="V8" i="1" s="1"/>
  <c r="U11" i="1"/>
  <c r="T11" i="1"/>
  <c r="T8" i="1" s="1"/>
  <c r="S11" i="1"/>
  <c r="S13" i="1" s="1"/>
  <c r="R11" i="1"/>
  <c r="R8" i="1" s="1"/>
  <c r="R10" i="1" s="1"/>
  <c r="S47" i="6" s="1"/>
  <c r="Q11" i="1"/>
  <c r="P11" i="1"/>
  <c r="O11" i="1"/>
  <c r="N11" i="1"/>
  <c r="N8" i="1" s="1"/>
  <c r="M11" i="1"/>
  <c r="L11" i="1"/>
  <c r="L8" i="1" s="1"/>
  <c r="K11" i="1"/>
  <c r="K13" i="1" s="1"/>
  <c r="J11" i="1"/>
  <c r="J8" i="1" s="1"/>
  <c r="J10" i="1" s="1"/>
  <c r="K47" i="6" s="1"/>
  <c r="I11" i="1"/>
  <c r="H11" i="1"/>
  <c r="H8" i="1" s="1"/>
  <c r="H10" i="1" s="1"/>
  <c r="I47" i="6" s="1"/>
  <c r="G11" i="1"/>
  <c r="F11" i="1"/>
  <c r="F8" i="1" s="1"/>
  <c r="E11" i="1"/>
  <c r="E8" i="1" s="1"/>
  <c r="E10" i="1" s="1"/>
  <c r="F47" i="6" s="1"/>
  <c r="D11" i="1"/>
  <c r="D8" i="1" s="1"/>
  <c r="C11" i="1"/>
  <c r="C13" i="1" s="1"/>
  <c r="BB7" i="1"/>
  <c r="BA7" i="1"/>
  <c r="AZ7" i="1"/>
  <c r="AY7" i="1"/>
  <c r="AX7" i="1"/>
  <c r="AW7" i="1"/>
  <c r="AV7" i="1"/>
  <c r="AU7" i="1"/>
  <c r="AT7"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E6" i="1"/>
  <c r="BD6" i="1"/>
  <c r="BC6" i="1"/>
  <c r="BE5" i="1"/>
  <c r="BD5" i="1"/>
  <c r="BC5" i="1"/>
  <c r="D10" i="1" l="1"/>
  <c r="E47" i="6" s="1"/>
  <c r="L10" i="1"/>
  <c r="M47" i="6" s="1"/>
  <c r="T10" i="1"/>
  <c r="U47" i="6" s="1"/>
  <c r="AB10" i="1"/>
  <c r="AC47" i="6" s="1"/>
  <c r="AJ10" i="1"/>
  <c r="AK47" i="6" s="1"/>
  <c r="AR10" i="1"/>
  <c r="AS47" i="6" s="1"/>
  <c r="AZ10" i="1"/>
  <c r="BA47" i="6" s="1"/>
  <c r="F10" i="1"/>
  <c r="G47" i="6" s="1"/>
  <c r="V10" i="1"/>
  <c r="W47" i="6" s="1"/>
  <c r="AL10" i="1"/>
  <c r="AM47" i="6" s="1"/>
  <c r="G13" i="1"/>
  <c r="G50" i="1" s="1"/>
  <c r="O13" i="1"/>
  <c r="O50" i="1" s="1"/>
  <c r="W13" i="1"/>
  <c r="W50" i="1" s="1"/>
  <c r="AE13" i="1"/>
  <c r="AE50" i="1" s="1"/>
  <c r="AM13" i="1"/>
  <c r="AM50" i="1" s="1"/>
  <c r="AU13" i="1"/>
  <c r="AU50" i="1" s="1"/>
  <c r="AD10" i="1"/>
  <c r="AE47" i="6" s="1"/>
  <c r="BB10" i="1"/>
  <c r="BC47" i="6" s="1"/>
  <c r="N10" i="1"/>
  <c r="O47" i="6" s="1"/>
  <c r="AT10" i="1"/>
  <c r="AU47" i="6" s="1"/>
  <c r="K50" i="1"/>
  <c r="S50" i="1"/>
  <c r="AA50" i="1"/>
  <c r="AI50" i="1"/>
  <c r="AQ50" i="1"/>
  <c r="AY50" i="1"/>
  <c r="C50" i="1"/>
  <c r="C55" i="6"/>
  <c r="C56" i="6"/>
  <c r="Q36" i="6"/>
  <c r="R36" i="6" s="1"/>
  <c r="S36" i="6" s="1"/>
  <c r="T36" i="6" s="1"/>
  <c r="U36" i="6" s="1"/>
  <c r="V36" i="6" s="1"/>
  <c r="W36" i="6" s="1"/>
  <c r="X36" i="6" s="1"/>
  <c r="Y36" i="6" s="1"/>
  <c r="Z36" i="6" s="1"/>
  <c r="AA36" i="6" s="1"/>
  <c r="AB36" i="6" s="1"/>
  <c r="AC36" i="6" s="1"/>
  <c r="BD36" i="6"/>
  <c r="D22" i="6"/>
  <c r="E22" i="6" s="1"/>
  <c r="F22" i="6" s="1"/>
  <c r="G22" i="6" s="1"/>
  <c r="H22" i="6" s="1"/>
  <c r="I22" i="6" s="1"/>
  <c r="J22" i="6" s="1"/>
  <c r="K22" i="6" s="1"/>
  <c r="L22" i="6" s="1"/>
  <c r="M22" i="6" s="1"/>
  <c r="N22" i="6" s="1"/>
  <c r="O22" i="6" s="1"/>
  <c r="P22" i="6" s="1"/>
  <c r="Q22" i="6" s="1"/>
  <c r="R22" i="6" s="1"/>
  <c r="S22" i="6" s="1"/>
  <c r="T22" i="6" s="1"/>
  <c r="U22" i="6" s="1"/>
  <c r="V22" i="6" s="1"/>
  <c r="W22" i="6" s="1"/>
  <c r="X22" i="6" s="1"/>
  <c r="Y22" i="6" s="1"/>
  <c r="Z22" i="6" s="1"/>
  <c r="AA22" i="6" s="1"/>
  <c r="AB22" i="6" s="1"/>
  <c r="AC22" i="6" s="1"/>
  <c r="AD22" i="6" s="1"/>
  <c r="AE22" i="6" s="1"/>
  <c r="AF22" i="6" s="1"/>
  <c r="AG22" i="6" s="1"/>
  <c r="AH22" i="6" s="1"/>
  <c r="AI22" i="6" s="1"/>
  <c r="AJ22" i="6" s="1"/>
  <c r="AK22" i="6" s="1"/>
  <c r="AL22" i="6" s="1"/>
  <c r="AM22" i="6" s="1"/>
  <c r="AN22" i="6" s="1"/>
  <c r="AO22" i="6" s="1"/>
  <c r="AP22" i="6" s="1"/>
  <c r="AQ22" i="6" s="1"/>
  <c r="AR22" i="6" s="1"/>
  <c r="AS22" i="6" s="1"/>
  <c r="AT22" i="6" s="1"/>
  <c r="AU22" i="6" s="1"/>
  <c r="AV22" i="6" s="1"/>
  <c r="AW22" i="6" s="1"/>
  <c r="AX22" i="6" s="1"/>
  <c r="AY22" i="6" s="1"/>
  <c r="AZ22" i="6" s="1"/>
  <c r="BA22" i="6" s="1"/>
  <c r="BB22" i="6" s="1"/>
  <c r="BC22" i="6" s="1"/>
  <c r="Q14" i="6"/>
  <c r="R14" i="6" s="1"/>
  <c r="S14" i="6" s="1"/>
  <c r="T14" i="6" s="1"/>
  <c r="U14" i="6" s="1"/>
  <c r="V14" i="6" s="1"/>
  <c r="W14" i="6" s="1"/>
  <c r="X14" i="6" s="1"/>
  <c r="Y14" i="6" s="1"/>
  <c r="Z14" i="6" s="1"/>
  <c r="AA14" i="6" s="1"/>
  <c r="AB14" i="6" s="1"/>
  <c r="AC14" i="6" s="1"/>
  <c r="BD14" i="6"/>
  <c r="Q15" i="6"/>
  <c r="R15" i="6" s="1"/>
  <c r="S15" i="6" s="1"/>
  <c r="T15" i="6" s="1"/>
  <c r="U15" i="6" s="1"/>
  <c r="V15" i="6" s="1"/>
  <c r="W15" i="6" s="1"/>
  <c r="X15" i="6" s="1"/>
  <c r="Y15" i="6" s="1"/>
  <c r="Z15" i="6" s="1"/>
  <c r="AA15" i="6" s="1"/>
  <c r="AB15" i="6" s="1"/>
  <c r="AC15" i="6" s="1"/>
  <c r="BD15" i="6"/>
  <c r="Q9" i="6"/>
  <c r="R9" i="6" s="1"/>
  <c r="S9" i="6" s="1"/>
  <c r="T9" i="6" s="1"/>
  <c r="U9" i="6" s="1"/>
  <c r="V9" i="6" s="1"/>
  <c r="W9" i="6" s="1"/>
  <c r="X9" i="6" s="1"/>
  <c r="Y9" i="6" s="1"/>
  <c r="Z9" i="6" s="1"/>
  <c r="AA9" i="6" s="1"/>
  <c r="AB9" i="6" s="1"/>
  <c r="AC9" i="6" s="1"/>
  <c r="BD9" i="6"/>
  <c r="BE7" i="1"/>
  <c r="A11" i="13"/>
  <c r="A12" i="13" s="1"/>
  <c r="A11" i="12"/>
  <c r="A12" i="12" s="1"/>
  <c r="BD45" i="1"/>
  <c r="BC7" i="1"/>
  <c r="BE45" i="1"/>
  <c r="C45" i="11"/>
  <c r="C40" i="6"/>
  <c r="C30" i="6"/>
  <c r="C24" i="6"/>
  <c r="B10" i="13"/>
  <c r="B10" i="14"/>
  <c r="B10" i="12"/>
  <c r="BD7" i="1"/>
  <c r="BC45" i="1"/>
  <c r="A11" i="14"/>
  <c r="G9" i="14"/>
  <c r="H9" i="14" s="1"/>
  <c r="C10" i="14" s="1"/>
  <c r="G9" i="13"/>
  <c r="H9" i="13" s="1"/>
  <c r="C10" i="13" s="1"/>
  <c r="G9" i="12"/>
  <c r="H9" i="12" s="1"/>
  <c r="C10" i="12" s="1"/>
  <c r="AY8" i="1"/>
  <c r="AY10" i="1" s="1"/>
  <c r="AZ47" i="6" s="1"/>
  <c r="S8" i="1"/>
  <c r="S10" i="1" s="1"/>
  <c r="T47" i="6" s="1"/>
  <c r="W8" i="1"/>
  <c r="W10" i="1" s="1"/>
  <c r="X47" i="6" s="1"/>
  <c r="C8" i="1"/>
  <c r="C10" i="1" s="1"/>
  <c r="AI8" i="1"/>
  <c r="AI10" i="1" s="1"/>
  <c r="AJ47" i="6" s="1"/>
  <c r="G8" i="1"/>
  <c r="AM8" i="1"/>
  <c r="AM10" i="1" s="1"/>
  <c r="AN47" i="6" s="1"/>
  <c r="G10" i="1"/>
  <c r="H47" i="6" s="1"/>
  <c r="BC9" i="1"/>
  <c r="K8" i="1"/>
  <c r="K10" i="1" s="1"/>
  <c r="L47" i="6" s="1"/>
  <c r="AA8" i="1"/>
  <c r="AA10" i="1" s="1"/>
  <c r="AB47" i="6" s="1"/>
  <c r="AQ8" i="1"/>
  <c r="AQ10" i="1" s="1"/>
  <c r="AR47" i="6" s="1"/>
  <c r="E13" i="1"/>
  <c r="E50" i="1" s="1"/>
  <c r="O8" i="1"/>
  <c r="O10" i="1" s="1"/>
  <c r="P47" i="6" s="1"/>
  <c r="AE8" i="1"/>
  <c r="AE10" i="1" s="1"/>
  <c r="AF47" i="6" s="1"/>
  <c r="AU8" i="1"/>
  <c r="AU10" i="1" s="1"/>
  <c r="AV47" i="6" s="1"/>
  <c r="I8" i="1"/>
  <c r="I10" i="1" s="1"/>
  <c r="J47" i="6" s="1"/>
  <c r="I13" i="1"/>
  <c r="I50" i="1" s="1"/>
  <c r="Q8" i="1"/>
  <c r="Q10" i="1" s="1"/>
  <c r="R47" i="6" s="1"/>
  <c r="Q13" i="1"/>
  <c r="Q50" i="1" s="1"/>
  <c r="Y8" i="1"/>
  <c r="Y10" i="1" s="1"/>
  <c r="Z47" i="6" s="1"/>
  <c r="Y13" i="1"/>
  <c r="Y50" i="1" s="1"/>
  <c r="AG8" i="1"/>
  <c r="AG10" i="1" s="1"/>
  <c r="AH47" i="6" s="1"/>
  <c r="AG13" i="1"/>
  <c r="AG50" i="1" s="1"/>
  <c r="AO8" i="1"/>
  <c r="AO10" i="1" s="1"/>
  <c r="AP47" i="6" s="1"/>
  <c r="AO13" i="1"/>
  <c r="AO50" i="1" s="1"/>
  <c r="AW13" i="1"/>
  <c r="AW50" i="1" s="1"/>
  <c r="AW8" i="1"/>
  <c r="AW10" i="1" s="1"/>
  <c r="AX47" i="6" s="1"/>
  <c r="X13" i="1"/>
  <c r="X50" i="1" s="1"/>
  <c r="BC11" i="1"/>
  <c r="BC14" i="1" s="1"/>
  <c r="AP10" i="1"/>
  <c r="AQ47" i="6" s="1"/>
  <c r="L13" i="1"/>
  <c r="L50" i="1" s="1"/>
  <c r="AB13" i="1"/>
  <c r="AB50" i="1" s="1"/>
  <c r="AR13" i="1"/>
  <c r="AR50" i="1" s="1"/>
  <c r="BC12" i="1"/>
  <c r="BD11" i="1"/>
  <c r="BD14" i="1" s="1"/>
  <c r="P8" i="1"/>
  <c r="P9" i="1"/>
  <c r="BD9" i="1" s="1"/>
  <c r="BD12" i="1"/>
  <c r="BD15" i="1" s="1"/>
  <c r="T13" i="1"/>
  <c r="T50" i="1" s="1"/>
  <c r="AJ13" i="1"/>
  <c r="AJ50" i="1" s="1"/>
  <c r="AZ13" i="1"/>
  <c r="AZ50" i="1" s="1"/>
  <c r="M13" i="1"/>
  <c r="M50" i="1" s="1"/>
  <c r="M8" i="1"/>
  <c r="M10" i="1" s="1"/>
  <c r="N47" i="6" s="1"/>
  <c r="U13" i="1"/>
  <c r="U50" i="1" s="1"/>
  <c r="U8" i="1"/>
  <c r="U10" i="1" s="1"/>
  <c r="V47" i="6" s="1"/>
  <c r="AC13" i="1"/>
  <c r="AC50" i="1" s="1"/>
  <c r="AC8" i="1"/>
  <c r="BE11" i="1"/>
  <c r="BE14" i="1" s="1"/>
  <c r="AK13" i="1"/>
  <c r="AK50" i="1" s="1"/>
  <c r="AK8" i="1"/>
  <c r="AK10" i="1" s="1"/>
  <c r="AL47" i="6" s="1"/>
  <c r="AS13" i="1"/>
  <c r="AS50" i="1" s="1"/>
  <c r="AS8" i="1"/>
  <c r="AS10" i="1" s="1"/>
  <c r="AT47" i="6" s="1"/>
  <c r="BA8" i="1"/>
  <c r="BA10" i="1" s="1"/>
  <c r="BB47" i="6" s="1"/>
  <c r="BA13" i="1"/>
  <c r="BA50" i="1" s="1"/>
  <c r="AC9" i="1"/>
  <c r="BE9" i="1" s="1"/>
  <c r="BE12" i="1"/>
  <c r="BE15" i="1" s="1"/>
  <c r="H13" i="1"/>
  <c r="H50" i="1" s="1"/>
  <c r="AN13" i="1"/>
  <c r="AN50" i="1" s="1"/>
  <c r="D13" i="1"/>
  <c r="D50" i="1" s="1"/>
  <c r="P13" i="1"/>
  <c r="P50" i="1" s="1"/>
  <c r="AF13" i="1"/>
  <c r="AF50" i="1" s="1"/>
  <c r="AV13" i="1"/>
  <c r="AV50" i="1" s="1"/>
  <c r="F13" i="1"/>
  <c r="F50" i="1" s="1"/>
  <c r="J13" i="1"/>
  <c r="J50" i="1" s="1"/>
  <c r="N13" i="1"/>
  <c r="N50" i="1" s="1"/>
  <c r="R13" i="1"/>
  <c r="R50" i="1" s="1"/>
  <c r="V13" i="1"/>
  <c r="V50" i="1" s="1"/>
  <c r="Z13" i="1"/>
  <c r="Z50" i="1" s="1"/>
  <c r="AD13" i="1"/>
  <c r="AD50" i="1" s="1"/>
  <c r="AH13" i="1"/>
  <c r="AH50" i="1" s="1"/>
  <c r="AL13" i="1"/>
  <c r="AL50" i="1" s="1"/>
  <c r="AP13" i="1"/>
  <c r="AP50" i="1" s="1"/>
  <c r="AT13" i="1"/>
  <c r="AT50" i="1" s="1"/>
  <c r="AX13" i="1"/>
  <c r="AX50" i="1" s="1"/>
  <c r="BB13" i="1"/>
  <c r="BB50" i="1" s="1"/>
  <c r="BE39" i="6"/>
  <c r="D47" i="6" l="1"/>
  <c r="B11" i="13"/>
  <c r="B12" i="13" s="1"/>
  <c r="AD36" i="6"/>
  <c r="AE36" i="6" s="1"/>
  <c r="AF36" i="6" s="1"/>
  <c r="AG36" i="6" s="1"/>
  <c r="AH36" i="6" s="1"/>
  <c r="AI36" i="6" s="1"/>
  <c r="AJ36" i="6" s="1"/>
  <c r="AK36" i="6" s="1"/>
  <c r="AL36" i="6" s="1"/>
  <c r="AM36" i="6" s="1"/>
  <c r="AN36" i="6" s="1"/>
  <c r="AO36" i="6" s="1"/>
  <c r="AP36" i="6" s="1"/>
  <c r="BE36" i="6"/>
  <c r="BD22" i="6"/>
  <c r="BE22" i="6"/>
  <c r="AD15" i="6"/>
  <c r="AE15" i="6" s="1"/>
  <c r="AF15" i="6" s="1"/>
  <c r="AG15" i="6" s="1"/>
  <c r="AH15" i="6" s="1"/>
  <c r="AI15" i="6" s="1"/>
  <c r="AJ15" i="6" s="1"/>
  <c r="AK15" i="6" s="1"/>
  <c r="AL15" i="6" s="1"/>
  <c r="AM15" i="6" s="1"/>
  <c r="AN15" i="6" s="1"/>
  <c r="AO15" i="6" s="1"/>
  <c r="AP15" i="6" s="1"/>
  <c r="BE15" i="6"/>
  <c r="AD14" i="6"/>
  <c r="AE14" i="6" s="1"/>
  <c r="AF14" i="6" s="1"/>
  <c r="AG14" i="6" s="1"/>
  <c r="AH14" i="6" s="1"/>
  <c r="AI14" i="6" s="1"/>
  <c r="AJ14" i="6" s="1"/>
  <c r="AK14" i="6" s="1"/>
  <c r="AL14" i="6" s="1"/>
  <c r="AM14" i="6" s="1"/>
  <c r="AN14" i="6" s="1"/>
  <c r="AO14" i="6" s="1"/>
  <c r="AP14" i="6" s="1"/>
  <c r="BE14" i="6"/>
  <c r="AD9" i="6"/>
  <c r="AE9" i="6" s="1"/>
  <c r="AF9" i="6" s="1"/>
  <c r="AG9" i="6" s="1"/>
  <c r="AH9" i="6" s="1"/>
  <c r="AI9" i="6" s="1"/>
  <c r="AJ9" i="6" s="1"/>
  <c r="AK9" i="6" s="1"/>
  <c r="AL9" i="6" s="1"/>
  <c r="AM9" i="6" s="1"/>
  <c r="AN9" i="6" s="1"/>
  <c r="AO9" i="6" s="1"/>
  <c r="AP9" i="6" s="1"/>
  <c r="BE9" i="6"/>
  <c r="B11" i="12"/>
  <c r="B12" i="12" s="1"/>
  <c r="C41" i="6"/>
  <c r="B11" i="14"/>
  <c r="A12" i="14"/>
  <c r="A13" i="13"/>
  <c r="A13" i="12"/>
  <c r="BD13" i="1"/>
  <c r="BC13" i="1"/>
  <c r="BC15" i="1"/>
  <c r="AC10" i="1"/>
  <c r="AD47" i="6" s="1"/>
  <c r="BE8" i="1"/>
  <c r="BE10" i="1" s="1"/>
  <c r="BD8" i="1"/>
  <c r="BD10" i="1" s="1"/>
  <c r="P10" i="1"/>
  <c r="Q47" i="6" s="1"/>
  <c r="BC8" i="1"/>
  <c r="BE13" i="1"/>
  <c r="BB3" i="11"/>
  <c r="BA3" i="11"/>
  <c r="AZ3" i="11"/>
  <c r="AY3" i="11"/>
  <c r="AX3" i="11"/>
  <c r="AW3" i="11"/>
  <c r="AV3" i="11"/>
  <c r="AU3" i="11"/>
  <c r="AT3" i="11"/>
  <c r="AS3" i="11"/>
  <c r="AR3" i="11"/>
  <c r="AQ3" i="11"/>
  <c r="AP3" i="11"/>
  <c r="AO3" i="11"/>
  <c r="AN3" i="11"/>
  <c r="AM3" i="11"/>
  <c r="AL3" i="11"/>
  <c r="AK3" i="11"/>
  <c r="AJ3" i="11"/>
  <c r="AI3" i="11"/>
  <c r="AH3" i="11"/>
  <c r="AG3" i="11"/>
  <c r="AF3" i="11"/>
  <c r="AE3" i="11"/>
  <c r="AD3" i="11"/>
  <c r="AC3" i="11"/>
  <c r="AB3" i="11"/>
  <c r="AA3" i="11"/>
  <c r="Z3" i="11"/>
  <c r="Y3" i="11"/>
  <c r="X3" i="11"/>
  <c r="W3" i="11"/>
  <c r="V3" i="11"/>
  <c r="U3" i="11"/>
  <c r="T3" i="11"/>
  <c r="S3" i="11"/>
  <c r="R3" i="11"/>
  <c r="Q3" i="11"/>
  <c r="P3" i="11"/>
  <c r="O3" i="11"/>
  <c r="N3" i="11"/>
  <c r="M3" i="11"/>
  <c r="L3" i="11"/>
  <c r="K3" i="11"/>
  <c r="J3" i="11"/>
  <c r="I3" i="11"/>
  <c r="H3" i="11"/>
  <c r="G3" i="11"/>
  <c r="F3" i="11"/>
  <c r="E3" i="11"/>
  <c r="D3" i="11"/>
  <c r="C3" i="11"/>
  <c r="BB3" i="1"/>
  <c r="BA3" i="1"/>
  <c r="AZ3" i="1"/>
  <c r="AY3" i="1"/>
  <c r="AX3" i="1"/>
  <c r="AW3" i="1"/>
  <c r="AV3" i="1"/>
  <c r="AU3" i="1"/>
  <c r="AT3" i="1"/>
  <c r="AS3" i="1"/>
  <c r="AR3" i="1"/>
  <c r="AQ3" i="1"/>
  <c r="AP3" i="1"/>
  <c r="AO3" i="1"/>
  <c r="AN3" i="1"/>
  <c r="AM3" i="1"/>
  <c r="AL3" i="1"/>
  <c r="AK3" i="1"/>
  <c r="AJ3" i="1"/>
  <c r="AI3" i="1"/>
  <c r="AH3" i="1"/>
  <c r="AG3" i="1"/>
  <c r="AF3" i="1"/>
  <c r="AE3" i="1"/>
  <c r="AD3" i="1"/>
  <c r="AC3" i="1"/>
  <c r="AB3" i="1"/>
  <c r="AA3" i="1"/>
  <c r="Z3" i="1"/>
  <c r="Y3" i="1"/>
  <c r="X3" i="1"/>
  <c r="W3" i="1"/>
  <c r="V3" i="1"/>
  <c r="U3" i="1"/>
  <c r="T3" i="1"/>
  <c r="S3" i="1"/>
  <c r="R3" i="1"/>
  <c r="Q3" i="1"/>
  <c r="P3" i="1"/>
  <c r="O3" i="1"/>
  <c r="N3" i="1"/>
  <c r="M3" i="1"/>
  <c r="L3" i="1"/>
  <c r="K3" i="1"/>
  <c r="J3" i="1"/>
  <c r="I3" i="1"/>
  <c r="H3" i="1"/>
  <c r="G3" i="1"/>
  <c r="F3" i="1"/>
  <c r="E3" i="1"/>
  <c r="D3" i="1"/>
  <c r="C3" i="1"/>
  <c r="BF43" i="6"/>
  <c r="BE43" i="6"/>
  <c r="BD43" i="6"/>
  <c r="BE35" i="11"/>
  <c r="BD35" i="11"/>
  <c r="BC35" i="11"/>
  <c r="BE33" i="11"/>
  <c r="BD33" i="11"/>
  <c r="BC33" i="11"/>
  <c r="BE28" i="11"/>
  <c r="BE31" i="11" s="1"/>
  <c r="BD28" i="11"/>
  <c r="BD31" i="11" s="1"/>
  <c r="BC28" i="11"/>
  <c r="BC31" i="11" s="1"/>
  <c r="BE47" i="1"/>
  <c r="BE49" i="1" s="1"/>
  <c r="BE40" i="1"/>
  <c r="BE39" i="1"/>
  <c r="BE38" i="1"/>
  <c r="BE37" i="1"/>
  <c r="BE36" i="1"/>
  <c r="BE35" i="1"/>
  <c r="BE34" i="1"/>
  <c r="BE33" i="1"/>
  <c r="BE32" i="1"/>
  <c r="BE31" i="1"/>
  <c r="BE30" i="1"/>
  <c r="BE29" i="1"/>
  <c r="BE28" i="1"/>
  <c r="BE27" i="1"/>
  <c r="BE26" i="1"/>
  <c r="BE25" i="1"/>
  <c r="BE24" i="1"/>
  <c r="BE23" i="1"/>
  <c r="BE22" i="1"/>
  <c r="BE21" i="1"/>
  <c r="BE20" i="1"/>
  <c r="BE19" i="1"/>
  <c r="BD47" i="1"/>
  <c r="BD49" i="1" s="1"/>
  <c r="BD40" i="1"/>
  <c r="BD39" i="1"/>
  <c r="BD38" i="1"/>
  <c r="BD37" i="1"/>
  <c r="BD36" i="1"/>
  <c r="BD35" i="1"/>
  <c r="BD34" i="1"/>
  <c r="BD33" i="1"/>
  <c r="BD32" i="1"/>
  <c r="BD31" i="1"/>
  <c r="BD30" i="1"/>
  <c r="BD29" i="1"/>
  <c r="BD28" i="1"/>
  <c r="BD27" i="1"/>
  <c r="BD26" i="1"/>
  <c r="BD25" i="1"/>
  <c r="BD24" i="1"/>
  <c r="BD23" i="1"/>
  <c r="BD22" i="1"/>
  <c r="BD21" i="1"/>
  <c r="BD20" i="1"/>
  <c r="BD19" i="1"/>
  <c r="BC47" i="1"/>
  <c r="BC49" i="1" s="1"/>
  <c r="BC40" i="1"/>
  <c r="BC39" i="1"/>
  <c r="BC38" i="1"/>
  <c r="BC37" i="1"/>
  <c r="BC36" i="1"/>
  <c r="BC35" i="1"/>
  <c r="BC34" i="1"/>
  <c r="BC33" i="1"/>
  <c r="BC32" i="1"/>
  <c r="BC31" i="1"/>
  <c r="BC30" i="1"/>
  <c r="BC29" i="1"/>
  <c r="BC28" i="1"/>
  <c r="BC27" i="1"/>
  <c r="BC26" i="1"/>
  <c r="BC25" i="1"/>
  <c r="BC24" i="1"/>
  <c r="BC23" i="1"/>
  <c r="BC22" i="1"/>
  <c r="BC21" i="1"/>
  <c r="BC20" i="1"/>
  <c r="BC19" i="1"/>
  <c r="C11" i="2"/>
  <c r="BF17" i="1" s="1"/>
  <c r="BG17" i="1" s="1"/>
  <c r="I9" i="7"/>
  <c r="C4" i="6"/>
  <c r="C78" i="6" s="1"/>
  <c r="C72" i="6" s="1"/>
  <c r="D4" i="6"/>
  <c r="C4" i="11"/>
  <c r="D4" i="11" s="1"/>
  <c r="E4" i="11" s="1"/>
  <c r="F4" i="11" s="1"/>
  <c r="G4" i="11" s="1"/>
  <c r="H4" i="11" s="1"/>
  <c r="I4" i="11" s="1"/>
  <c r="J4" i="11" s="1"/>
  <c r="K4" i="11" s="1"/>
  <c r="L4" i="11" s="1"/>
  <c r="M4" i="11" s="1"/>
  <c r="N4" i="11" s="1"/>
  <c r="O4" i="11" s="1"/>
  <c r="P4" i="11" s="1"/>
  <c r="Q4" i="11" s="1"/>
  <c r="R4" i="11" s="1"/>
  <c r="S4" i="11" s="1"/>
  <c r="T4" i="11" s="1"/>
  <c r="U4" i="11" s="1"/>
  <c r="V4" i="11" s="1"/>
  <c r="W4" i="11" s="1"/>
  <c r="X4" i="11" s="1"/>
  <c r="Y4" i="11" s="1"/>
  <c r="Z4" i="11" s="1"/>
  <c r="AA4" i="11" s="1"/>
  <c r="AB4" i="11" s="1"/>
  <c r="AC4" i="11" s="1"/>
  <c r="AD4" i="11" s="1"/>
  <c r="AE4" i="11" s="1"/>
  <c r="AF4" i="11" s="1"/>
  <c r="AG4" i="11" s="1"/>
  <c r="AH4" i="11" s="1"/>
  <c r="AI4" i="11" s="1"/>
  <c r="AJ4" i="11" s="1"/>
  <c r="AK4" i="11" s="1"/>
  <c r="AL4" i="11" s="1"/>
  <c r="AM4" i="11" s="1"/>
  <c r="AN4" i="11" s="1"/>
  <c r="AO4" i="11" s="1"/>
  <c r="AP4" i="11" s="1"/>
  <c r="AQ4" i="11" s="1"/>
  <c r="AR4" i="11" s="1"/>
  <c r="AS4" i="11" s="1"/>
  <c r="AT4" i="11" s="1"/>
  <c r="AU4" i="11" s="1"/>
  <c r="AV4" i="11" s="1"/>
  <c r="AW4" i="11" s="1"/>
  <c r="AX4" i="11" s="1"/>
  <c r="AY4" i="11" s="1"/>
  <c r="AZ4" i="11" s="1"/>
  <c r="BA4" i="11" s="1"/>
  <c r="BB4" i="11" s="1"/>
  <c r="BG4" i="11" s="1"/>
  <c r="A9" i="7"/>
  <c r="B9" i="7" s="1"/>
  <c r="A10" i="7"/>
  <c r="C4" i="1"/>
  <c r="B5" i="7"/>
  <c r="G9" i="7"/>
  <c r="B4" i="7"/>
  <c r="C10" i="6"/>
  <c r="BC45" i="11"/>
  <c r="D78" i="6" l="1"/>
  <c r="C77" i="6"/>
  <c r="C79" i="6" s="1"/>
  <c r="D68" i="6"/>
  <c r="D77" i="6"/>
  <c r="C68" i="6"/>
  <c r="C65" i="6" s="1"/>
  <c r="C66" i="6" s="1"/>
  <c r="C62" i="6"/>
  <c r="D57" i="6"/>
  <c r="D62" i="6"/>
  <c r="C57" i="6"/>
  <c r="BF23" i="1"/>
  <c r="BG23" i="1" s="1"/>
  <c r="BG39" i="6"/>
  <c r="BH39" i="6" s="1"/>
  <c r="D10" i="14"/>
  <c r="AQ36" i="6"/>
  <c r="AR36" i="6" s="1"/>
  <c r="AS36" i="6" s="1"/>
  <c r="AT36" i="6" s="1"/>
  <c r="AU36" i="6" s="1"/>
  <c r="AV36" i="6" s="1"/>
  <c r="AW36" i="6" s="1"/>
  <c r="AX36" i="6" s="1"/>
  <c r="AY36" i="6" s="1"/>
  <c r="AZ36" i="6" s="1"/>
  <c r="BA36" i="6" s="1"/>
  <c r="BB36" i="6" s="1"/>
  <c r="BC36" i="6" s="1"/>
  <c r="BG36" i="6" s="1"/>
  <c r="BH36" i="6" s="1"/>
  <c r="BF36" i="6"/>
  <c r="BG22" i="6"/>
  <c r="BH22" i="6" s="1"/>
  <c r="BF22" i="6"/>
  <c r="AQ14" i="6"/>
  <c r="AR14" i="6" s="1"/>
  <c r="AS14" i="6" s="1"/>
  <c r="AT14" i="6" s="1"/>
  <c r="AU14" i="6" s="1"/>
  <c r="AV14" i="6" s="1"/>
  <c r="AW14" i="6" s="1"/>
  <c r="AX14" i="6" s="1"/>
  <c r="AY14" i="6" s="1"/>
  <c r="AZ14" i="6" s="1"/>
  <c r="BA14" i="6" s="1"/>
  <c r="BB14" i="6" s="1"/>
  <c r="BC14" i="6" s="1"/>
  <c r="BG14" i="6" s="1"/>
  <c r="BH14" i="6" s="1"/>
  <c r="BF14" i="6"/>
  <c r="AQ15" i="6"/>
  <c r="AR15" i="6" s="1"/>
  <c r="AS15" i="6" s="1"/>
  <c r="AT15" i="6" s="1"/>
  <c r="AU15" i="6" s="1"/>
  <c r="AV15" i="6" s="1"/>
  <c r="AW15" i="6" s="1"/>
  <c r="AX15" i="6" s="1"/>
  <c r="AY15" i="6" s="1"/>
  <c r="AZ15" i="6" s="1"/>
  <c r="BA15" i="6" s="1"/>
  <c r="BB15" i="6" s="1"/>
  <c r="BC15" i="6" s="1"/>
  <c r="BG15" i="6" s="1"/>
  <c r="BH15" i="6" s="1"/>
  <c r="BF15" i="6"/>
  <c r="AQ9" i="6"/>
  <c r="AR9" i="6" s="1"/>
  <c r="AS9" i="6" s="1"/>
  <c r="AT9" i="6" s="1"/>
  <c r="AU9" i="6" s="1"/>
  <c r="AV9" i="6" s="1"/>
  <c r="AW9" i="6" s="1"/>
  <c r="AX9" i="6" s="1"/>
  <c r="AY9" i="6" s="1"/>
  <c r="AZ9" i="6" s="1"/>
  <c r="BA9" i="6" s="1"/>
  <c r="BB9" i="6" s="1"/>
  <c r="BC9" i="6" s="1"/>
  <c r="BG9" i="6" s="1"/>
  <c r="BH9" i="6" s="1"/>
  <c r="BF9" i="6"/>
  <c r="D10" i="12"/>
  <c r="D10" i="13"/>
  <c r="BF39" i="1"/>
  <c r="BG39" i="1" s="1"/>
  <c r="BF36" i="1"/>
  <c r="BG36" i="1" s="1"/>
  <c r="BF26" i="1"/>
  <c r="BG26" i="1" s="1"/>
  <c r="BF28" i="1"/>
  <c r="BG28" i="1" s="1"/>
  <c r="BF21" i="1"/>
  <c r="BG21" i="1" s="1"/>
  <c r="BF24" i="1"/>
  <c r="BG24" i="1" s="1"/>
  <c r="BF19" i="1"/>
  <c r="BG19" i="1" s="1"/>
  <c r="BF25" i="1"/>
  <c r="BG25" i="1" s="1"/>
  <c r="BF22" i="1"/>
  <c r="BG22" i="1" s="1"/>
  <c r="BF40" i="1"/>
  <c r="BG40" i="1" s="1"/>
  <c r="BF28" i="11"/>
  <c r="BG28" i="11" s="1"/>
  <c r="BF47" i="1"/>
  <c r="BG47" i="1" s="1"/>
  <c r="BF38" i="11"/>
  <c r="BG38" i="11" s="1"/>
  <c r="BF30" i="11"/>
  <c r="BG30" i="11" s="1"/>
  <c r="BF21" i="11"/>
  <c r="BG21" i="11" s="1"/>
  <c r="BF12" i="11"/>
  <c r="BG12" i="11" s="1"/>
  <c r="BF37" i="11"/>
  <c r="BG37" i="11" s="1"/>
  <c r="BF29" i="11"/>
  <c r="BG29" i="11" s="1"/>
  <c r="BF36" i="11"/>
  <c r="BG36" i="11" s="1"/>
  <c r="BF13" i="11"/>
  <c r="BG13" i="11" s="1"/>
  <c r="BF44" i="1"/>
  <c r="BG44" i="1" s="1"/>
  <c r="BF5" i="1"/>
  <c r="BF48" i="1"/>
  <c r="BG48" i="1" s="1"/>
  <c r="BF43" i="1"/>
  <c r="BF6" i="1"/>
  <c r="BF12" i="1"/>
  <c r="BG12" i="1" s="1"/>
  <c r="BF9" i="1"/>
  <c r="BG9" i="1" s="1"/>
  <c r="BF11" i="1"/>
  <c r="BF8" i="1"/>
  <c r="BG8" i="1" s="1"/>
  <c r="BF37" i="1"/>
  <c r="BG37" i="1" s="1"/>
  <c r="BF27" i="1"/>
  <c r="BG27" i="1" s="1"/>
  <c r="E4" i="6"/>
  <c r="C17" i="6"/>
  <c r="C18" i="6" s="1"/>
  <c r="C42" i="6" s="1"/>
  <c r="B13" i="13"/>
  <c r="B12" i="14"/>
  <c r="B13" i="12"/>
  <c r="A13" i="14"/>
  <c r="F12" i="13"/>
  <c r="E54" i="1" s="1"/>
  <c r="E12" i="13"/>
  <c r="A14" i="13"/>
  <c r="F12" i="12"/>
  <c r="E53" i="1" s="1"/>
  <c r="E12" i="12"/>
  <c r="A14" i="12"/>
  <c r="D4" i="1"/>
  <c r="BE41" i="1"/>
  <c r="BE50" i="1" s="1"/>
  <c r="BD41" i="1"/>
  <c r="BD50" i="1" s="1"/>
  <c r="BC41" i="1"/>
  <c r="BC50" i="1" s="1"/>
  <c r="BC10" i="1"/>
  <c r="BF33" i="1"/>
  <c r="BG33" i="1" s="1"/>
  <c r="BF35" i="11"/>
  <c r="BG35" i="11" s="1"/>
  <c r="BF20" i="1"/>
  <c r="BG20" i="1" s="1"/>
  <c r="BF34" i="1"/>
  <c r="BG34" i="1" s="1"/>
  <c r="BF31" i="1"/>
  <c r="BG31" i="1" s="1"/>
  <c r="H9" i="7"/>
  <c r="C10" i="7" s="1"/>
  <c r="BF29" i="1"/>
  <c r="BG29" i="1" s="1"/>
  <c r="BF33" i="11"/>
  <c r="BF32" i="1"/>
  <c r="BG32" i="1" s="1"/>
  <c r="BF30" i="1"/>
  <c r="BG30" i="1" s="1"/>
  <c r="BF35" i="1"/>
  <c r="BG35" i="1" s="1"/>
  <c r="BF38" i="1"/>
  <c r="BG38" i="1" s="1"/>
  <c r="BG43" i="6"/>
  <c r="BH43" i="6" s="1"/>
  <c r="B10" i="7"/>
  <c r="A11" i="7"/>
  <c r="D10" i="7"/>
  <c r="BG45" i="11"/>
  <c r="D79" i="6" l="1"/>
  <c r="E78" i="6"/>
  <c r="E77" i="6"/>
  <c r="E62" i="6"/>
  <c r="E68" i="6"/>
  <c r="E57" i="6"/>
  <c r="F10" i="14"/>
  <c r="C55" i="1" s="1"/>
  <c r="E10" i="14"/>
  <c r="D11" i="14"/>
  <c r="D11" i="13"/>
  <c r="D11" i="12"/>
  <c r="A12" i="7"/>
  <c r="A13" i="7" s="1"/>
  <c r="D11" i="7"/>
  <c r="BF31" i="11"/>
  <c r="BG31" i="11"/>
  <c r="BF49" i="1"/>
  <c r="BG49" i="1"/>
  <c r="BG10" i="1"/>
  <c r="BF10" i="1"/>
  <c r="BF14" i="1"/>
  <c r="BF13" i="1"/>
  <c r="BG11" i="1"/>
  <c r="BG13" i="1" s="1"/>
  <c r="BG43" i="1"/>
  <c r="BG45" i="1" s="1"/>
  <c r="BF45" i="1"/>
  <c r="BF7" i="1"/>
  <c r="BG5" i="1"/>
  <c r="BG6" i="1"/>
  <c r="BG15" i="1" s="1"/>
  <c r="BF15" i="1"/>
  <c r="F4" i="6"/>
  <c r="BG33" i="11"/>
  <c r="B14" i="13"/>
  <c r="B13" i="14"/>
  <c r="B14" i="12"/>
  <c r="F10" i="13"/>
  <c r="C54" i="1" s="1"/>
  <c r="E10" i="13"/>
  <c r="F10" i="12"/>
  <c r="C53" i="1" s="1"/>
  <c r="E10" i="12"/>
  <c r="E4" i="1"/>
  <c r="F12" i="14"/>
  <c r="E55" i="1" s="1"/>
  <c r="E12" i="14"/>
  <c r="A14" i="14"/>
  <c r="A15" i="13"/>
  <c r="F13" i="13"/>
  <c r="F54" i="1" s="1"/>
  <c r="E13" i="13"/>
  <c r="I12" i="13"/>
  <c r="G12" i="13"/>
  <c r="E41" i="11" s="1"/>
  <c r="E11" i="13"/>
  <c r="I12" i="12"/>
  <c r="G12" i="12"/>
  <c r="E40" i="11" s="1"/>
  <c r="E11" i="12"/>
  <c r="A15" i="12"/>
  <c r="F13" i="12"/>
  <c r="F53" i="1" s="1"/>
  <c r="E13" i="12"/>
  <c r="BF41" i="1"/>
  <c r="BG41" i="1"/>
  <c r="F10" i="7"/>
  <c r="E10" i="7"/>
  <c r="I10" i="7" s="1"/>
  <c r="B11" i="7"/>
  <c r="E79" i="6" l="1"/>
  <c r="F78" i="6"/>
  <c r="F77" i="6"/>
  <c r="BG50" i="1"/>
  <c r="BF50" i="1"/>
  <c r="F62" i="6"/>
  <c r="F68" i="6"/>
  <c r="F57" i="6"/>
  <c r="I10" i="14"/>
  <c r="G10" i="14"/>
  <c r="D12" i="14"/>
  <c r="B12" i="7"/>
  <c r="F12" i="7" s="1"/>
  <c r="B15" i="13"/>
  <c r="D12" i="12"/>
  <c r="B15" i="12"/>
  <c r="D12" i="7"/>
  <c r="BG7" i="1"/>
  <c r="BG14" i="1"/>
  <c r="G4" i="6"/>
  <c r="F4" i="1"/>
  <c r="B14" i="14"/>
  <c r="C52" i="1"/>
  <c r="I10" i="13"/>
  <c r="G10" i="13"/>
  <c r="I10" i="12"/>
  <c r="G10" i="12"/>
  <c r="A15" i="14"/>
  <c r="I12" i="14"/>
  <c r="G12" i="14"/>
  <c r="E42" i="11" s="1"/>
  <c r="E13" i="14"/>
  <c r="F13" i="14"/>
  <c r="F55" i="1" s="1"/>
  <c r="E11" i="14"/>
  <c r="I11" i="13"/>
  <c r="F11" i="13"/>
  <c r="A16" i="13"/>
  <c r="I13" i="13"/>
  <c r="G13" i="13"/>
  <c r="F41" i="11" s="1"/>
  <c r="I11" i="12"/>
  <c r="F11" i="12"/>
  <c r="I13" i="12"/>
  <c r="G13" i="12"/>
  <c r="F40" i="11" s="1"/>
  <c r="A16" i="12"/>
  <c r="E11" i="7"/>
  <c r="I11" i="7" s="1"/>
  <c r="G10" i="7"/>
  <c r="A14" i="7"/>
  <c r="F79" i="6" l="1"/>
  <c r="G78" i="6"/>
  <c r="G77" i="6"/>
  <c r="G62" i="6"/>
  <c r="G68" i="6"/>
  <c r="BC49" i="6"/>
  <c r="G57" i="6"/>
  <c r="BC55" i="6"/>
  <c r="B13" i="7"/>
  <c r="E13" i="7" s="1"/>
  <c r="C42" i="11"/>
  <c r="D29" i="6" s="1"/>
  <c r="H10" i="14"/>
  <c r="E12" i="7"/>
  <c r="G12" i="7" s="1"/>
  <c r="D13" i="14"/>
  <c r="B16" i="13"/>
  <c r="D13" i="7"/>
  <c r="B16" i="12"/>
  <c r="H4" i="6"/>
  <c r="H10" i="13"/>
  <c r="C11" i="13" s="1"/>
  <c r="C41" i="11"/>
  <c r="D28" i="6" s="1"/>
  <c r="H10" i="12"/>
  <c r="C11" i="12" s="1"/>
  <c r="C40" i="11"/>
  <c r="D27" i="6" s="1"/>
  <c r="C39" i="11"/>
  <c r="D26" i="6" s="1"/>
  <c r="G4" i="1"/>
  <c r="B15" i="14"/>
  <c r="C56" i="1"/>
  <c r="G11" i="13"/>
  <c r="D54" i="1"/>
  <c r="G11" i="12"/>
  <c r="D53" i="1"/>
  <c r="E52" i="1"/>
  <c r="I11" i="14"/>
  <c r="A16" i="14"/>
  <c r="I13" i="14"/>
  <c r="G13" i="14"/>
  <c r="F42" i="11" s="1"/>
  <c r="A17" i="13"/>
  <c r="A17" i="12"/>
  <c r="E15" i="12"/>
  <c r="H10" i="7"/>
  <c r="C11" i="7" s="1"/>
  <c r="A15" i="7"/>
  <c r="G79" i="6" l="1"/>
  <c r="H78" i="6"/>
  <c r="H77" i="6"/>
  <c r="H62" i="6"/>
  <c r="H68" i="6"/>
  <c r="BB55" i="6"/>
  <c r="H57" i="6"/>
  <c r="BB49" i="6"/>
  <c r="B14" i="7"/>
  <c r="B15" i="7" s="1"/>
  <c r="F13" i="7"/>
  <c r="G13" i="7" s="1"/>
  <c r="C11" i="14"/>
  <c r="F11" i="14"/>
  <c r="D14" i="7"/>
  <c r="I12" i="7"/>
  <c r="D30" i="6"/>
  <c r="D14" i="14"/>
  <c r="E14" i="14" s="1"/>
  <c r="I14" i="14" s="1"/>
  <c r="B16" i="14"/>
  <c r="B17" i="13"/>
  <c r="D14" i="13"/>
  <c r="B17" i="12"/>
  <c r="D14" i="12"/>
  <c r="I4" i="6"/>
  <c r="H11" i="13"/>
  <c r="C12" i="13" s="1"/>
  <c r="D41" i="11"/>
  <c r="E28" i="6" s="1"/>
  <c r="F28" i="6" s="1"/>
  <c r="G28" i="6" s="1"/>
  <c r="H11" i="12"/>
  <c r="C12" i="12" s="1"/>
  <c r="H12" i="12" s="1"/>
  <c r="C13" i="12" s="1"/>
  <c r="D40" i="11"/>
  <c r="E27" i="6" s="1"/>
  <c r="F27" i="6" s="1"/>
  <c r="G27" i="6" s="1"/>
  <c r="E39" i="11"/>
  <c r="H4" i="1"/>
  <c r="C57" i="1"/>
  <c r="C58" i="1" s="1"/>
  <c r="C7" i="11"/>
  <c r="C24" i="11" s="1"/>
  <c r="E56" i="1"/>
  <c r="A17" i="14"/>
  <c r="A18" i="13"/>
  <c r="F16" i="13"/>
  <c r="I54" i="1" s="1"/>
  <c r="E16" i="13"/>
  <c r="F16" i="12"/>
  <c r="I53" i="1" s="1"/>
  <c r="E16" i="12"/>
  <c r="I15" i="12"/>
  <c r="A18" i="12"/>
  <c r="F11" i="7"/>
  <c r="A16" i="7"/>
  <c r="I13" i="7"/>
  <c r="H79" i="6" l="1"/>
  <c r="I78" i="6"/>
  <c r="I77" i="6"/>
  <c r="I62" i="6"/>
  <c r="I68" i="6"/>
  <c r="I57" i="6"/>
  <c r="F52" i="1"/>
  <c r="F56" i="1" s="1"/>
  <c r="D61" i="6"/>
  <c r="E14" i="7"/>
  <c r="I14" i="7" s="1"/>
  <c r="D55" i="1"/>
  <c r="G11" i="14"/>
  <c r="F14" i="14"/>
  <c r="D15" i="14"/>
  <c r="E15" i="14" s="1"/>
  <c r="I15" i="14" s="1"/>
  <c r="B17" i="14"/>
  <c r="D15" i="13"/>
  <c r="B18" i="13"/>
  <c r="B18" i="12"/>
  <c r="D15" i="12"/>
  <c r="D15" i="7"/>
  <c r="E15" i="7" s="1"/>
  <c r="J4" i="6"/>
  <c r="F39" i="11"/>
  <c r="I4" i="1"/>
  <c r="AZ49" i="6" s="1"/>
  <c r="E57" i="1"/>
  <c r="E7" i="11"/>
  <c r="E24" i="11" s="1"/>
  <c r="G11" i="7"/>
  <c r="D52" i="1"/>
  <c r="A18" i="14"/>
  <c r="F17" i="13"/>
  <c r="J54" i="1" s="1"/>
  <c r="E17" i="13"/>
  <c r="I16" i="13"/>
  <c r="G16" i="13"/>
  <c r="I41" i="11" s="1"/>
  <c r="A19" i="13"/>
  <c r="F15" i="12"/>
  <c r="A19" i="12"/>
  <c r="I16" i="12"/>
  <c r="G16" i="12"/>
  <c r="I40" i="11" s="1"/>
  <c r="F17" i="12"/>
  <c r="J53" i="1" s="1"/>
  <c r="E17" i="12"/>
  <c r="B16" i="7"/>
  <c r="A17" i="7"/>
  <c r="I79" i="6" l="1"/>
  <c r="J78" i="6"/>
  <c r="J77" i="6"/>
  <c r="J62" i="6"/>
  <c r="J68" i="6"/>
  <c r="J57" i="6"/>
  <c r="H11" i="14"/>
  <c r="C12" i="14" s="1"/>
  <c r="H12" i="14" s="1"/>
  <c r="C13" i="14" s="1"/>
  <c r="H13" i="14" s="1"/>
  <c r="C14" i="14" s="1"/>
  <c r="D42" i="11"/>
  <c r="E29" i="6" s="1"/>
  <c r="F29" i="6" s="1"/>
  <c r="G29" i="6" s="1"/>
  <c r="G55" i="1"/>
  <c r="G14" i="14"/>
  <c r="D16" i="12"/>
  <c r="B18" i="14"/>
  <c r="D16" i="14"/>
  <c r="E16" i="14" s="1"/>
  <c r="I16" i="14" s="1"/>
  <c r="B19" i="13"/>
  <c r="D16" i="13"/>
  <c r="B19" i="12"/>
  <c r="D16" i="7"/>
  <c r="K4" i="6"/>
  <c r="D39" i="11"/>
  <c r="J4" i="1"/>
  <c r="F57" i="1"/>
  <c r="F7" i="11"/>
  <c r="F24" i="11" s="1"/>
  <c r="H11" i="7"/>
  <c r="C12" i="7" s="1"/>
  <c r="H12" i="7" s="1"/>
  <c r="C13" i="7" s="1"/>
  <c r="H13" i="7" s="1"/>
  <c r="G15" i="12"/>
  <c r="H53" i="1"/>
  <c r="D56" i="1"/>
  <c r="E17" i="14"/>
  <c r="F17" i="14"/>
  <c r="J55" i="1" s="1"/>
  <c r="A19" i="14"/>
  <c r="I17" i="13"/>
  <c r="G17" i="13"/>
  <c r="J41" i="11" s="1"/>
  <c r="A20" i="13"/>
  <c r="A20" i="12"/>
  <c r="I17" i="12"/>
  <c r="G17" i="12"/>
  <c r="J40" i="11" s="1"/>
  <c r="A18" i="7"/>
  <c r="I15" i="7"/>
  <c r="E16" i="7"/>
  <c r="F16" i="7"/>
  <c r="B17" i="7"/>
  <c r="J79" i="6" l="1"/>
  <c r="K78" i="6"/>
  <c r="K77" i="6"/>
  <c r="K62" i="6"/>
  <c r="K68" i="6"/>
  <c r="K57" i="6"/>
  <c r="G42" i="11"/>
  <c r="H29" i="6" s="1"/>
  <c r="H14" i="14"/>
  <c r="C14" i="7"/>
  <c r="F14" i="7"/>
  <c r="D17" i="12"/>
  <c r="E26" i="6"/>
  <c r="F26" i="6" s="1"/>
  <c r="G26" i="6" s="1"/>
  <c r="B19" i="14"/>
  <c r="D17" i="14"/>
  <c r="B20" i="13"/>
  <c r="D17" i="13"/>
  <c r="B20" i="12"/>
  <c r="D17" i="7"/>
  <c r="L4" i="6"/>
  <c r="H40" i="11"/>
  <c r="K4" i="1"/>
  <c r="D18" i="13" s="1"/>
  <c r="D57" i="1"/>
  <c r="D58" i="1" s="1"/>
  <c r="E61" i="6" s="1"/>
  <c r="D7" i="11"/>
  <c r="D24" i="11" s="1"/>
  <c r="I52" i="1"/>
  <c r="F18" i="14"/>
  <c r="K55" i="1" s="1"/>
  <c r="E18" i="14"/>
  <c r="A20" i="14"/>
  <c r="I17" i="14"/>
  <c r="G17" i="14"/>
  <c r="J42" i="11" s="1"/>
  <c r="A21" i="13"/>
  <c r="A21" i="12"/>
  <c r="B18" i="7"/>
  <c r="E17" i="7"/>
  <c r="F17" i="7"/>
  <c r="A19" i="7"/>
  <c r="G16" i="7"/>
  <c r="I16" i="7"/>
  <c r="K79" i="6" l="1"/>
  <c r="L78" i="6"/>
  <c r="L77" i="6"/>
  <c r="L62" i="6"/>
  <c r="L68" i="6"/>
  <c r="L57" i="6"/>
  <c r="E58" i="1"/>
  <c r="F61" i="6" s="1"/>
  <c r="C15" i="14"/>
  <c r="F15" i="14"/>
  <c r="G14" i="7"/>
  <c r="G39" i="11" s="1"/>
  <c r="H26" i="6" s="1"/>
  <c r="G52" i="1"/>
  <c r="E30" i="6"/>
  <c r="B20" i="14"/>
  <c r="D18" i="14"/>
  <c r="B21" i="13"/>
  <c r="D18" i="12"/>
  <c r="B21" i="12"/>
  <c r="D18" i="7"/>
  <c r="F30" i="6"/>
  <c r="M4" i="6"/>
  <c r="I39" i="11"/>
  <c r="L4" i="1"/>
  <c r="D19" i="12" s="1"/>
  <c r="J52" i="1"/>
  <c r="A21" i="14"/>
  <c r="I18" i="14"/>
  <c r="G18" i="14"/>
  <c r="K42" i="11" s="1"/>
  <c r="F20" i="13"/>
  <c r="M54" i="1" s="1"/>
  <c r="E20" i="13"/>
  <c r="A22" i="13"/>
  <c r="F20" i="12"/>
  <c r="M53" i="1" s="1"/>
  <c r="E20" i="12"/>
  <c r="A22" i="12"/>
  <c r="B19" i="7"/>
  <c r="F18" i="7"/>
  <c r="E18" i="7"/>
  <c r="A20" i="7"/>
  <c r="I17" i="7"/>
  <c r="G17" i="7"/>
  <c r="M78" i="6" l="1"/>
  <c r="L79" i="6"/>
  <c r="M77" i="6"/>
  <c r="M62" i="6"/>
  <c r="M68" i="6"/>
  <c r="M57" i="6"/>
  <c r="F58" i="1"/>
  <c r="G61" i="6" s="1"/>
  <c r="G15" i="14"/>
  <c r="H55" i="1"/>
  <c r="H14" i="7"/>
  <c r="B21" i="14"/>
  <c r="D19" i="14"/>
  <c r="E19" i="14" s="1"/>
  <c r="I19" i="14" s="1"/>
  <c r="B22" i="13"/>
  <c r="D19" i="13"/>
  <c r="B22" i="12"/>
  <c r="D19" i="7"/>
  <c r="E19" i="7" s="1"/>
  <c r="G30" i="6"/>
  <c r="N4" i="6"/>
  <c r="J39" i="11"/>
  <c r="M4" i="1"/>
  <c r="D20" i="13" s="1"/>
  <c r="J56" i="1"/>
  <c r="K52" i="1"/>
  <c r="A22" i="14"/>
  <c r="I20" i="13"/>
  <c r="G20" i="13"/>
  <c r="M41" i="11" s="1"/>
  <c r="A23" i="13"/>
  <c r="F21" i="13"/>
  <c r="N54" i="1" s="1"/>
  <c r="E21" i="13"/>
  <c r="I20" i="12"/>
  <c r="G20" i="12"/>
  <c r="M40" i="11" s="1"/>
  <c r="F21" i="12"/>
  <c r="N53" i="1" s="1"/>
  <c r="E21" i="12"/>
  <c r="A23" i="12"/>
  <c r="B20" i="7"/>
  <c r="A21" i="7"/>
  <c r="I18" i="7"/>
  <c r="G18" i="7"/>
  <c r="M79" i="6" l="1"/>
  <c r="M76" i="6" s="1"/>
  <c r="N78" i="6"/>
  <c r="N77" i="6"/>
  <c r="N62" i="6"/>
  <c r="N68" i="6"/>
  <c r="N57" i="6"/>
  <c r="H15" i="14"/>
  <c r="H42" i="11"/>
  <c r="I29" i="6" s="1"/>
  <c r="C15" i="7"/>
  <c r="F15" i="7"/>
  <c r="B22" i="14"/>
  <c r="D20" i="14"/>
  <c r="E20" i="14" s="1"/>
  <c r="I20" i="14" s="1"/>
  <c r="B23" i="13"/>
  <c r="D20" i="7"/>
  <c r="D20" i="12"/>
  <c r="B23" i="12"/>
  <c r="O4" i="6"/>
  <c r="K39" i="11"/>
  <c r="N4" i="1"/>
  <c r="D21" i="13" s="1"/>
  <c r="J57" i="1"/>
  <c r="J7" i="11"/>
  <c r="J24" i="11" s="1"/>
  <c r="A23" i="14"/>
  <c r="E21" i="14"/>
  <c r="F21" i="14"/>
  <c r="N55" i="1" s="1"/>
  <c r="A24" i="13"/>
  <c r="I21" i="13"/>
  <c r="G21" i="13"/>
  <c r="N41" i="11" s="1"/>
  <c r="E22" i="13"/>
  <c r="F22" i="13"/>
  <c r="O54" i="1" s="1"/>
  <c r="A24" i="12"/>
  <c r="I21" i="12"/>
  <c r="G21" i="12"/>
  <c r="N40" i="11" s="1"/>
  <c r="B21" i="7"/>
  <c r="E20" i="7"/>
  <c r="A22" i="7"/>
  <c r="I19" i="7"/>
  <c r="N79" i="6" l="1"/>
  <c r="N76" i="6" s="1"/>
  <c r="O78" i="6"/>
  <c r="O77" i="6"/>
  <c r="O62" i="6"/>
  <c r="O68" i="6"/>
  <c r="O57" i="6"/>
  <c r="F16" i="14"/>
  <c r="C16" i="14"/>
  <c r="G15" i="7"/>
  <c r="H52" i="1"/>
  <c r="D21" i="14"/>
  <c r="B23" i="14"/>
  <c r="B24" i="13"/>
  <c r="B24" i="12"/>
  <c r="D21" i="12"/>
  <c r="D21" i="7"/>
  <c r="P4" i="6"/>
  <c r="O4" i="1"/>
  <c r="D22" i="12" s="1"/>
  <c r="F22" i="14"/>
  <c r="O55" i="1" s="1"/>
  <c r="E22" i="14"/>
  <c r="I21" i="14"/>
  <c r="G21" i="14"/>
  <c r="N42" i="11" s="1"/>
  <c r="A24" i="14"/>
  <c r="A25" i="13"/>
  <c r="I22" i="13"/>
  <c r="G22" i="13"/>
  <c r="O41" i="11" s="1"/>
  <c r="A25" i="12"/>
  <c r="E21" i="7"/>
  <c r="F21" i="7"/>
  <c r="B22" i="7"/>
  <c r="A23" i="7"/>
  <c r="I20" i="7"/>
  <c r="O79" i="6" l="1"/>
  <c r="P78" i="6"/>
  <c r="P77" i="6"/>
  <c r="P62" i="6"/>
  <c r="P68" i="6"/>
  <c r="P57" i="6"/>
  <c r="I55" i="1"/>
  <c r="I56" i="1" s="1"/>
  <c r="G16" i="14"/>
  <c r="H39" i="11"/>
  <c r="H15" i="7"/>
  <c r="C16" i="7" s="1"/>
  <c r="H16" i="7" s="1"/>
  <c r="C17" i="7" s="1"/>
  <c r="H17" i="7" s="1"/>
  <c r="C18" i="7" s="1"/>
  <c r="H18" i="7" s="1"/>
  <c r="D22" i="14"/>
  <c r="B24" i="14"/>
  <c r="B25" i="13"/>
  <c r="D22" i="13"/>
  <c r="B25" i="12"/>
  <c r="D22" i="7"/>
  <c r="Q4" i="6"/>
  <c r="P4" i="1"/>
  <c r="N52" i="1"/>
  <c r="I22" i="14"/>
  <c r="G22" i="14"/>
  <c r="O42" i="11" s="1"/>
  <c r="A25" i="14"/>
  <c r="A26" i="13"/>
  <c r="E24" i="13"/>
  <c r="E24" i="12"/>
  <c r="A26" i="12"/>
  <c r="F20" i="7"/>
  <c r="E22" i="7"/>
  <c r="F22" i="7"/>
  <c r="B23" i="7"/>
  <c r="G21" i="7"/>
  <c r="I21" i="7"/>
  <c r="A24" i="7"/>
  <c r="P79" i="6" l="1"/>
  <c r="Q78" i="6"/>
  <c r="Q77" i="6"/>
  <c r="Q62" i="6"/>
  <c r="Q68" i="6"/>
  <c r="Q57" i="6"/>
  <c r="H16" i="14"/>
  <c r="C17" i="14" s="1"/>
  <c r="H17" i="14" s="1"/>
  <c r="C18" i="14" s="1"/>
  <c r="H18" i="14" s="1"/>
  <c r="I42" i="11"/>
  <c r="I57" i="1"/>
  <c r="I7" i="11"/>
  <c r="I24" i="11" s="1"/>
  <c r="F19" i="7"/>
  <c r="C19" i="7"/>
  <c r="I26" i="6"/>
  <c r="J26" i="6" s="1"/>
  <c r="K26" i="6" s="1"/>
  <c r="L26" i="6" s="1"/>
  <c r="D23" i="14"/>
  <c r="E23" i="14" s="1"/>
  <c r="I23" i="14" s="1"/>
  <c r="B25" i="14"/>
  <c r="D23" i="13"/>
  <c r="B26" i="13"/>
  <c r="B26" i="12"/>
  <c r="D23" i="12"/>
  <c r="D23" i="7"/>
  <c r="E23" i="7" s="1"/>
  <c r="R4" i="6"/>
  <c r="N39" i="11"/>
  <c r="Q4" i="1"/>
  <c r="D24" i="12" s="1"/>
  <c r="BD21" i="6"/>
  <c r="M52" i="1"/>
  <c r="N56" i="1"/>
  <c r="O52" i="1"/>
  <c r="A26" i="14"/>
  <c r="E25" i="13"/>
  <c r="F25" i="13"/>
  <c r="R54" i="1" s="1"/>
  <c r="I24" i="13"/>
  <c r="A27" i="13"/>
  <c r="F24" i="13"/>
  <c r="A27" i="12"/>
  <c r="I24" i="12"/>
  <c r="E25" i="12"/>
  <c r="F25" i="12"/>
  <c r="R53" i="1" s="1"/>
  <c r="F24" i="12"/>
  <c r="B24" i="7"/>
  <c r="A25" i="7"/>
  <c r="G20" i="7"/>
  <c r="G22" i="7"/>
  <c r="I22" i="7"/>
  <c r="C19" i="14" l="1"/>
  <c r="F19" i="14"/>
  <c r="Q79" i="6"/>
  <c r="R78" i="6"/>
  <c r="R77" i="6"/>
  <c r="R62" i="6"/>
  <c r="R68" i="6"/>
  <c r="R57" i="6"/>
  <c r="J29" i="6"/>
  <c r="K29" i="6" s="1"/>
  <c r="L29" i="6" s="1"/>
  <c r="F23" i="14"/>
  <c r="G19" i="7"/>
  <c r="L52" i="1"/>
  <c r="BC52" i="1" s="1"/>
  <c r="B26" i="14"/>
  <c r="D24" i="14"/>
  <c r="E24" i="14" s="1"/>
  <c r="I24" i="14" s="1"/>
  <c r="B27" i="13"/>
  <c r="D24" i="13"/>
  <c r="B27" i="12"/>
  <c r="D24" i="7"/>
  <c r="E24" i="7" s="1"/>
  <c r="S4" i="6"/>
  <c r="M39" i="11"/>
  <c r="O39" i="11"/>
  <c r="R4" i="1"/>
  <c r="N57" i="1"/>
  <c r="N7" i="11"/>
  <c r="N24" i="11" s="1"/>
  <c r="G24" i="13"/>
  <c r="Q41" i="11" s="1"/>
  <c r="Q54" i="1"/>
  <c r="G24" i="12"/>
  <c r="Q40" i="11" s="1"/>
  <c r="Q53" i="1"/>
  <c r="A27" i="14"/>
  <c r="F26" i="13"/>
  <c r="S54" i="1" s="1"/>
  <c r="E26" i="13"/>
  <c r="A28" i="13"/>
  <c r="I25" i="13"/>
  <c r="G25" i="13"/>
  <c r="R41" i="11" s="1"/>
  <c r="F26" i="12"/>
  <c r="S53" i="1" s="1"/>
  <c r="E26" i="12"/>
  <c r="A28" i="12"/>
  <c r="I25" i="12"/>
  <c r="G25" i="12"/>
  <c r="R40" i="11" s="1"/>
  <c r="I23" i="7"/>
  <c r="A26" i="7"/>
  <c r="B25" i="7"/>
  <c r="G19" i="14" l="1"/>
  <c r="L42" i="11" s="1"/>
  <c r="M29" i="6" s="1"/>
  <c r="L55" i="1"/>
  <c r="R79" i="6"/>
  <c r="S78" i="6"/>
  <c r="S77" i="6"/>
  <c r="S62" i="6"/>
  <c r="S68" i="6"/>
  <c r="S57" i="6"/>
  <c r="P55" i="1"/>
  <c r="G23" i="14"/>
  <c r="L39" i="11"/>
  <c r="M26" i="6" s="1"/>
  <c r="N26" i="6" s="1"/>
  <c r="O26" i="6" s="1"/>
  <c r="P26" i="6" s="1"/>
  <c r="H19" i="7"/>
  <c r="C20" i="7" s="1"/>
  <c r="H20" i="7" s="1"/>
  <c r="C21" i="7" s="1"/>
  <c r="H21" i="7" s="1"/>
  <c r="C22" i="7" s="1"/>
  <c r="H22" i="7" s="1"/>
  <c r="C23" i="7" s="1"/>
  <c r="D25" i="13"/>
  <c r="D25" i="14"/>
  <c r="E25" i="14" s="1"/>
  <c r="I25" i="14" s="1"/>
  <c r="B27" i="14"/>
  <c r="B28" i="13"/>
  <c r="D25" i="12"/>
  <c r="B28" i="12"/>
  <c r="D25" i="7"/>
  <c r="T4" i="6"/>
  <c r="S4" i="1"/>
  <c r="D26" i="13" s="1"/>
  <c r="A28" i="14"/>
  <c r="E26" i="14"/>
  <c r="F26" i="14"/>
  <c r="S55" i="1" s="1"/>
  <c r="I26" i="13"/>
  <c r="G26" i="13"/>
  <c r="S41" i="11" s="1"/>
  <c r="A29" i="13"/>
  <c r="I26" i="12"/>
  <c r="G26" i="12"/>
  <c r="S40" i="11" s="1"/>
  <c r="A29" i="12"/>
  <c r="F25" i="7"/>
  <c r="E25" i="7"/>
  <c r="B26" i="7"/>
  <c r="I24" i="7"/>
  <c r="A27" i="7"/>
  <c r="H19" i="14" l="1"/>
  <c r="C20" i="14" s="1"/>
  <c r="S79" i="6"/>
  <c r="T78" i="6"/>
  <c r="T77" i="6"/>
  <c r="T62" i="6"/>
  <c r="T68" i="6"/>
  <c r="T57" i="6"/>
  <c r="F23" i="7"/>
  <c r="P52" i="1" s="1"/>
  <c r="BC39" i="11"/>
  <c r="P42" i="11"/>
  <c r="D26" i="14"/>
  <c r="B28" i="14"/>
  <c r="B29" i="13"/>
  <c r="B29" i="12"/>
  <c r="D26" i="12"/>
  <c r="D26" i="7"/>
  <c r="U4" i="6"/>
  <c r="T4" i="1"/>
  <c r="D27" i="7" s="1"/>
  <c r="R52" i="1"/>
  <c r="A29" i="14"/>
  <c r="I26" i="14"/>
  <c r="G26" i="14"/>
  <c r="S42" i="11" s="1"/>
  <c r="A30" i="13"/>
  <c r="A30" i="12"/>
  <c r="E28" i="12"/>
  <c r="A28" i="7"/>
  <c r="I25" i="7"/>
  <c r="G25" i="7"/>
  <c r="F26" i="7"/>
  <c r="B27" i="7"/>
  <c r="E26" i="7"/>
  <c r="F20" i="14" l="1"/>
  <c r="G20" i="14" s="1"/>
  <c r="M42" i="11" s="1"/>
  <c r="M55" i="1"/>
  <c r="T79" i="6"/>
  <c r="U78" i="6"/>
  <c r="U77" i="6"/>
  <c r="U62" i="6"/>
  <c r="U68" i="6"/>
  <c r="U57" i="6"/>
  <c r="G23" i="7"/>
  <c r="P39" i="11" s="1"/>
  <c r="Q26" i="6" s="1"/>
  <c r="D27" i="14"/>
  <c r="E27" i="14" s="1"/>
  <c r="I27" i="14" s="1"/>
  <c r="B29" i="14"/>
  <c r="D27" i="13"/>
  <c r="B30" i="13"/>
  <c r="B30" i="12"/>
  <c r="D27" i="12"/>
  <c r="V4" i="6"/>
  <c r="R39" i="11"/>
  <c r="U4" i="1"/>
  <c r="D28" i="14" s="1"/>
  <c r="S52" i="1"/>
  <c r="A30" i="14"/>
  <c r="E29" i="13"/>
  <c r="F29" i="13"/>
  <c r="V54" i="1" s="1"/>
  <c r="A31" i="13"/>
  <c r="E29" i="12"/>
  <c r="F29" i="12"/>
  <c r="V53" i="1" s="1"/>
  <c r="I28" i="12"/>
  <c r="A31" i="12"/>
  <c r="F28" i="12"/>
  <c r="A29" i="7"/>
  <c r="B28" i="7"/>
  <c r="E27" i="7"/>
  <c r="I26" i="7"/>
  <c r="G26" i="7"/>
  <c r="H20" i="14" l="1"/>
  <c r="C21" i="14" s="1"/>
  <c r="H21" i="14" s="1"/>
  <c r="C22" i="14" s="1"/>
  <c r="H22" i="14" s="1"/>
  <c r="C23" i="14" s="1"/>
  <c r="H23" i="14" s="1"/>
  <c r="M56" i="1"/>
  <c r="BC55" i="1"/>
  <c r="BC42" i="11"/>
  <c r="N29" i="6"/>
  <c r="O29" i="6" s="1"/>
  <c r="P29" i="6" s="1"/>
  <c r="U79" i="6"/>
  <c r="V78" i="6"/>
  <c r="V77" i="6"/>
  <c r="V62" i="6"/>
  <c r="V68" i="6"/>
  <c r="V57" i="6"/>
  <c r="H23" i="7"/>
  <c r="C24" i="7" s="1"/>
  <c r="E28" i="14"/>
  <c r="I28" i="14" s="1"/>
  <c r="F27" i="14"/>
  <c r="B30" i="14"/>
  <c r="B31" i="13"/>
  <c r="D28" i="13"/>
  <c r="D28" i="12"/>
  <c r="B31" i="12"/>
  <c r="D28" i="7"/>
  <c r="E28" i="7" s="1"/>
  <c r="W4" i="6"/>
  <c r="S39" i="11"/>
  <c r="V4" i="1"/>
  <c r="D29" i="13" s="1"/>
  <c r="BD26" i="6"/>
  <c r="G28" i="12"/>
  <c r="U40" i="11" s="1"/>
  <c r="U53" i="1"/>
  <c r="S56" i="1"/>
  <c r="A31" i="14"/>
  <c r="F30" i="13"/>
  <c r="W54" i="1" s="1"/>
  <c r="E30" i="13"/>
  <c r="A32" i="13"/>
  <c r="I29" i="13"/>
  <c r="G29" i="13"/>
  <c r="V41" i="11" s="1"/>
  <c r="F30" i="12"/>
  <c r="W53" i="1" s="1"/>
  <c r="E30" i="12"/>
  <c r="A32" i="12"/>
  <c r="I29" i="12"/>
  <c r="G29" i="12"/>
  <c r="V40" i="11" s="1"/>
  <c r="I27" i="7"/>
  <c r="B29" i="7"/>
  <c r="A30" i="7"/>
  <c r="M57" i="1" l="1"/>
  <c r="M7" i="11"/>
  <c r="M24" i="11" s="1"/>
  <c r="BD29" i="6"/>
  <c r="Q29" i="6"/>
  <c r="F24" i="14"/>
  <c r="C24" i="14"/>
  <c r="V79" i="6"/>
  <c r="W78" i="6"/>
  <c r="W77" i="6"/>
  <c r="W62" i="6"/>
  <c r="W68" i="6"/>
  <c r="W57" i="6"/>
  <c r="F24" i="7"/>
  <c r="Q52" i="1" s="1"/>
  <c r="T55" i="1"/>
  <c r="G27" i="14"/>
  <c r="B31" i="14"/>
  <c r="D29" i="14"/>
  <c r="E29" i="14" s="1"/>
  <c r="I29" i="14" s="1"/>
  <c r="B32" i="13"/>
  <c r="B32" i="12"/>
  <c r="D29" i="12"/>
  <c r="D29" i="7"/>
  <c r="X4" i="6"/>
  <c r="W4" i="1"/>
  <c r="D30" i="14" s="1"/>
  <c r="S57" i="1"/>
  <c r="S7" i="11"/>
  <c r="S24" i="11" s="1"/>
  <c r="A32" i="14"/>
  <c r="F30" i="14"/>
  <c r="W55" i="1" s="1"/>
  <c r="E30" i="14"/>
  <c r="A33" i="13"/>
  <c r="I30" i="13"/>
  <c r="G30" i="13"/>
  <c r="W41" i="11" s="1"/>
  <c r="I30" i="12"/>
  <c r="G30" i="12"/>
  <c r="W40" i="11" s="1"/>
  <c r="A33" i="12"/>
  <c r="I28" i="7"/>
  <c r="E29" i="7"/>
  <c r="B30" i="7"/>
  <c r="F29" i="7"/>
  <c r="A31" i="7"/>
  <c r="G24" i="14" l="1"/>
  <c r="Q55" i="1"/>
  <c r="Q56" i="1" s="1"/>
  <c r="F25" i="14"/>
  <c r="W79" i="6"/>
  <c r="X78" i="6"/>
  <c r="X77" i="6"/>
  <c r="G24" i="7"/>
  <c r="H24" i="7" s="1"/>
  <c r="C25" i="7" s="1"/>
  <c r="H25" i="7" s="1"/>
  <c r="C26" i="7" s="1"/>
  <c r="H26" i="7" s="1"/>
  <c r="X62" i="6"/>
  <c r="X68" i="6"/>
  <c r="X57" i="6"/>
  <c r="T42" i="11"/>
  <c r="B32" i="14"/>
  <c r="B33" i="13"/>
  <c r="B33" i="12"/>
  <c r="D30" i="12"/>
  <c r="D30" i="7"/>
  <c r="Y4" i="6"/>
  <c r="X4" i="1"/>
  <c r="V52" i="1"/>
  <c r="F31" i="14"/>
  <c r="X55" i="1" s="1"/>
  <c r="E31" i="14"/>
  <c r="I30" i="14"/>
  <c r="G30" i="14"/>
  <c r="W42" i="11" s="1"/>
  <c r="A33" i="14"/>
  <c r="A34" i="13"/>
  <c r="A34" i="12"/>
  <c r="A32" i="7"/>
  <c r="I29" i="7"/>
  <c r="G29" i="7"/>
  <c r="B31" i="7"/>
  <c r="F30" i="7"/>
  <c r="E30" i="7"/>
  <c r="H24" i="14" l="1"/>
  <c r="C25" i="14" s="1"/>
  <c r="Q42" i="11"/>
  <c r="R29" i="6" s="1"/>
  <c r="Q39" i="11"/>
  <c r="R26" i="6" s="1"/>
  <c r="S26" i="6" s="1"/>
  <c r="T26" i="6" s="1"/>
  <c r="R55" i="1"/>
  <c r="R56" i="1" s="1"/>
  <c r="G25" i="14"/>
  <c r="R42" i="11" s="1"/>
  <c r="X79" i="6"/>
  <c r="Y78" i="6"/>
  <c r="Y77" i="6"/>
  <c r="Y62" i="6"/>
  <c r="Y68" i="6"/>
  <c r="Y57" i="6"/>
  <c r="C27" i="7"/>
  <c r="F27" i="7"/>
  <c r="D31" i="14"/>
  <c r="B33" i="14"/>
  <c r="B34" i="13"/>
  <c r="D31" i="13"/>
  <c r="B34" i="12"/>
  <c r="D31" i="12"/>
  <c r="D31" i="7"/>
  <c r="Z4" i="6"/>
  <c r="V39" i="11"/>
  <c r="Y4" i="1"/>
  <c r="D32" i="14" s="1"/>
  <c r="Q57" i="1"/>
  <c r="Q7" i="11"/>
  <c r="Q24" i="11" s="1"/>
  <c r="W52" i="1"/>
  <c r="I31" i="14"/>
  <c r="G31" i="14"/>
  <c r="X42" i="11" s="1"/>
  <c r="A34" i="14"/>
  <c r="E32" i="14"/>
  <c r="A35" i="13"/>
  <c r="E33" i="13"/>
  <c r="F33" i="13"/>
  <c r="Z54" i="1" s="1"/>
  <c r="E33" i="12"/>
  <c r="A35" i="12"/>
  <c r="A33" i="7"/>
  <c r="F31" i="7"/>
  <c r="B32" i="7"/>
  <c r="E31" i="7"/>
  <c r="I30" i="7"/>
  <c r="G30" i="7"/>
  <c r="S29" i="6" l="1"/>
  <c r="T29" i="6" s="1"/>
  <c r="U29" i="6" s="1"/>
  <c r="H25" i="14"/>
  <c r="C26" i="14" s="1"/>
  <c r="H26" i="14" s="1"/>
  <c r="C27" i="14" s="1"/>
  <c r="H27" i="14" s="1"/>
  <c r="R57" i="1"/>
  <c r="R7" i="11"/>
  <c r="R24" i="11" s="1"/>
  <c r="Y79" i="6"/>
  <c r="Z78" i="6"/>
  <c r="Z77" i="6"/>
  <c r="Z62" i="6"/>
  <c r="Z68" i="6"/>
  <c r="Z57" i="6"/>
  <c r="T52" i="1"/>
  <c r="G27" i="7"/>
  <c r="T39" i="11" s="1"/>
  <c r="U26" i="6" s="1"/>
  <c r="B34" i="14"/>
  <c r="D32" i="13"/>
  <c r="B35" i="13"/>
  <c r="B35" i="12"/>
  <c r="D32" i="12"/>
  <c r="D32" i="7"/>
  <c r="E32" i="7" s="1"/>
  <c r="AA4" i="6"/>
  <c r="W39" i="11"/>
  <c r="Z4" i="1"/>
  <c r="D33" i="14" s="1"/>
  <c r="W56" i="1"/>
  <c r="X52" i="1"/>
  <c r="F33" i="12"/>
  <c r="Z53" i="1" s="1"/>
  <c r="A35" i="14"/>
  <c r="I32" i="14"/>
  <c r="F32" i="14"/>
  <c r="A36" i="13"/>
  <c r="F34" i="13"/>
  <c r="AA54" i="1" s="1"/>
  <c r="E34" i="13"/>
  <c r="I33" i="13"/>
  <c r="G33" i="13"/>
  <c r="Z41" i="11" s="1"/>
  <c r="A36" i="12"/>
  <c r="F34" i="12"/>
  <c r="AA53" i="1" s="1"/>
  <c r="E34" i="12"/>
  <c r="I33" i="12"/>
  <c r="I31" i="7"/>
  <c r="G31" i="7"/>
  <c r="B33" i="7"/>
  <c r="A34" i="7"/>
  <c r="C28" i="14" l="1"/>
  <c r="F28" i="14"/>
  <c r="Z79" i="6"/>
  <c r="AA78" i="6"/>
  <c r="AA77" i="6"/>
  <c r="AA62" i="6"/>
  <c r="AA68" i="6"/>
  <c r="AA57" i="6"/>
  <c r="H27" i="7"/>
  <c r="C28" i="7" s="1"/>
  <c r="B35" i="14"/>
  <c r="B36" i="13"/>
  <c r="B36" i="12"/>
  <c r="D33" i="12"/>
  <c r="D33" i="7"/>
  <c r="E33" i="7" s="1"/>
  <c r="AB4" i="6"/>
  <c r="X39" i="11"/>
  <c r="AA4" i="1"/>
  <c r="E33" i="14"/>
  <c r="I33" i="14" s="1"/>
  <c r="W57" i="1"/>
  <c r="W7" i="11"/>
  <c r="W24" i="11" s="1"/>
  <c r="G33" i="12"/>
  <c r="Z40" i="11" s="1"/>
  <c r="G32" i="14"/>
  <c r="Y55" i="1"/>
  <c r="A36" i="14"/>
  <c r="E34" i="14"/>
  <c r="F34" i="14"/>
  <c r="AA55" i="1" s="1"/>
  <c r="F35" i="13"/>
  <c r="AB54" i="1" s="1"/>
  <c r="E35" i="13"/>
  <c r="I34" i="13"/>
  <c r="G34" i="13"/>
  <c r="AA41" i="11" s="1"/>
  <c r="A37" i="13"/>
  <c r="I34" i="12"/>
  <c r="G34" i="12"/>
  <c r="AA40" i="11" s="1"/>
  <c r="A37" i="12"/>
  <c r="I32" i="7"/>
  <c r="B34" i="7"/>
  <c r="A35" i="7"/>
  <c r="U55" i="1" l="1"/>
  <c r="G28" i="14"/>
  <c r="AA79" i="6"/>
  <c r="AB78" i="6"/>
  <c r="AB77" i="6"/>
  <c r="AB62" i="6"/>
  <c r="AB68" i="6"/>
  <c r="AB57" i="6"/>
  <c r="F29" i="14"/>
  <c r="F28" i="7"/>
  <c r="G28" i="7" s="1"/>
  <c r="D34" i="14"/>
  <c r="B36" i="14"/>
  <c r="B37" i="13"/>
  <c r="D34" i="13"/>
  <c r="B37" i="12"/>
  <c r="D34" i="12"/>
  <c r="D34" i="7"/>
  <c r="AC4" i="6"/>
  <c r="Y42" i="11"/>
  <c r="AB4" i="1"/>
  <c r="D35" i="12" s="1"/>
  <c r="A37" i="14"/>
  <c r="I34" i="14"/>
  <c r="G34" i="14"/>
  <c r="AA42" i="11" s="1"/>
  <c r="F35" i="14"/>
  <c r="AB55" i="1" s="1"/>
  <c r="E35" i="14"/>
  <c r="I35" i="13"/>
  <c r="G35" i="13"/>
  <c r="AB41" i="11" s="1"/>
  <c r="A38" i="13"/>
  <c r="A38" i="12"/>
  <c r="I33" i="7"/>
  <c r="A36" i="7"/>
  <c r="E34" i="7"/>
  <c r="B35" i="7"/>
  <c r="F34" i="7"/>
  <c r="U42" i="11" l="1"/>
  <c r="V29" i="6" s="1"/>
  <c r="H28" i="14"/>
  <c r="C29" i="14" s="1"/>
  <c r="AB79" i="6"/>
  <c r="AC78" i="6"/>
  <c r="AC77" i="6"/>
  <c r="AC62" i="6"/>
  <c r="AC68" i="6"/>
  <c r="AC57" i="6"/>
  <c r="G29" i="14"/>
  <c r="V42" i="11" s="1"/>
  <c r="V55" i="1"/>
  <c r="V56" i="1" s="1"/>
  <c r="U52" i="1"/>
  <c r="U39" i="11"/>
  <c r="H28" i="7"/>
  <c r="C29" i="7" s="1"/>
  <c r="H29" i="7" s="1"/>
  <c r="C30" i="7" s="1"/>
  <c r="H30" i="7" s="1"/>
  <c r="C31" i="7" s="1"/>
  <c r="H31" i="7" s="1"/>
  <c r="B37" i="14"/>
  <c r="D35" i="14"/>
  <c r="B38" i="13"/>
  <c r="D35" i="13"/>
  <c r="B38" i="12"/>
  <c r="D35" i="7"/>
  <c r="AD4" i="6"/>
  <c r="AC4" i="1"/>
  <c r="D36" i="14" s="1"/>
  <c r="AA52" i="1"/>
  <c r="I35" i="14"/>
  <c r="G35" i="14"/>
  <c r="AB42" i="11" s="1"/>
  <c r="E36" i="14"/>
  <c r="A38" i="14"/>
  <c r="E37" i="13"/>
  <c r="A39" i="13"/>
  <c r="A39" i="12"/>
  <c r="E37" i="12"/>
  <c r="G34" i="7"/>
  <c r="I34" i="7"/>
  <c r="A37" i="7"/>
  <c r="B36" i="7"/>
  <c r="E35" i="7"/>
  <c r="F35" i="7"/>
  <c r="AC79" i="6" l="1"/>
  <c r="D12" i="6"/>
  <c r="E12" i="6"/>
  <c r="F12" i="6"/>
  <c r="G12" i="6"/>
  <c r="H12" i="6"/>
  <c r="I12" i="6"/>
  <c r="J12" i="6"/>
  <c r="K12" i="6"/>
  <c r="L12" i="6"/>
  <c r="M12" i="6"/>
  <c r="N12" i="6"/>
  <c r="O12" i="6"/>
  <c r="P12" i="6"/>
  <c r="Q12" i="6"/>
  <c r="R12" i="6"/>
  <c r="S12" i="6"/>
  <c r="T12" i="6"/>
  <c r="U12" i="6"/>
  <c r="V12" i="6"/>
  <c r="W12" i="6"/>
  <c r="X12" i="6"/>
  <c r="Y12" i="6"/>
  <c r="Z12" i="6"/>
  <c r="AA12" i="6"/>
  <c r="AB12" i="6"/>
  <c r="AC12" i="6"/>
  <c r="AD78" i="6"/>
  <c r="AD12" i="6"/>
  <c r="AD77" i="6"/>
  <c r="AD62" i="6"/>
  <c r="AD68" i="6"/>
  <c r="AD57" i="6"/>
  <c r="H29" i="14"/>
  <c r="C30" i="14" s="1"/>
  <c r="H30" i="14" s="1"/>
  <c r="C31" i="14" s="1"/>
  <c r="H31" i="14" s="1"/>
  <c r="C32" i="14" s="1"/>
  <c r="H32" i="14" s="1"/>
  <c r="V7" i="11"/>
  <c r="V24" i="11" s="1"/>
  <c r="V57" i="1"/>
  <c r="W29" i="6"/>
  <c r="X29" i="6" s="1"/>
  <c r="Y29" i="6" s="1"/>
  <c r="Z29" i="6" s="1"/>
  <c r="F32" i="7"/>
  <c r="C32" i="7"/>
  <c r="V26" i="6"/>
  <c r="W26" i="6" s="1"/>
  <c r="X26" i="6" s="1"/>
  <c r="Y26" i="6" s="1"/>
  <c r="B38" i="14"/>
  <c r="D36" i="13"/>
  <c r="B39" i="13"/>
  <c r="B39" i="12"/>
  <c r="D36" i="12"/>
  <c r="D36" i="7"/>
  <c r="E36" i="7" s="1"/>
  <c r="AE4" i="6"/>
  <c r="AA39" i="11"/>
  <c r="AD4" i="1"/>
  <c r="D37" i="13" s="1"/>
  <c r="BE21" i="6"/>
  <c r="AA56" i="1"/>
  <c r="AB52" i="1"/>
  <c r="A39" i="14"/>
  <c r="I36" i="14"/>
  <c r="F37" i="13"/>
  <c r="F38" i="13"/>
  <c r="AE54" i="1" s="1"/>
  <c r="E38" i="13"/>
  <c r="A40" i="13"/>
  <c r="I37" i="13"/>
  <c r="F38" i="12"/>
  <c r="AE53" i="1" s="1"/>
  <c r="E38" i="12"/>
  <c r="I37" i="12"/>
  <c r="A40" i="12"/>
  <c r="F37" i="12"/>
  <c r="B37" i="7"/>
  <c r="G35" i="7"/>
  <c r="I35" i="7"/>
  <c r="A38" i="7"/>
  <c r="AD79" i="6" l="1"/>
  <c r="AE78" i="6"/>
  <c r="AE12" i="6"/>
  <c r="AE77" i="6"/>
  <c r="AE62" i="6"/>
  <c r="AE68" i="6"/>
  <c r="AE57" i="6"/>
  <c r="C33" i="14"/>
  <c r="F33" i="14"/>
  <c r="G32" i="7"/>
  <c r="Y52" i="1"/>
  <c r="D37" i="14"/>
  <c r="E37" i="14" s="1"/>
  <c r="I37" i="14" s="1"/>
  <c r="B39" i="14"/>
  <c r="B40" i="13"/>
  <c r="B40" i="12"/>
  <c r="D37" i="12"/>
  <c r="D37" i="7"/>
  <c r="E37" i="7" s="1"/>
  <c r="AF4" i="6"/>
  <c r="AB39" i="11"/>
  <c r="AE4" i="1"/>
  <c r="D38" i="13" s="1"/>
  <c r="AA57" i="1"/>
  <c r="AA7" i="11"/>
  <c r="AA24" i="11" s="1"/>
  <c r="G37" i="13"/>
  <c r="AD41" i="11" s="1"/>
  <c r="AD54" i="1"/>
  <c r="G37" i="12"/>
  <c r="AD40" i="11" s="1"/>
  <c r="AD53" i="1"/>
  <c r="A40" i="14"/>
  <c r="I38" i="13"/>
  <c r="G38" i="13"/>
  <c r="AE41" i="11" s="1"/>
  <c r="A41" i="13"/>
  <c r="F39" i="13"/>
  <c r="AF54" i="1" s="1"/>
  <c r="E39" i="13"/>
  <c r="I38" i="12"/>
  <c r="G38" i="12"/>
  <c r="AE40" i="11" s="1"/>
  <c r="A41" i="12"/>
  <c r="F39" i="12"/>
  <c r="AF53" i="1" s="1"/>
  <c r="E39" i="12"/>
  <c r="A39" i="7"/>
  <c r="I36" i="7"/>
  <c r="B38" i="7"/>
  <c r="AF78" i="6" l="1"/>
  <c r="AF12" i="6"/>
  <c r="AE79" i="6"/>
  <c r="AF77" i="6"/>
  <c r="AF62" i="6"/>
  <c r="AF68" i="6"/>
  <c r="AF57" i="6"/>
  <c r="Z55" i="1"/>
  <c r="G33" i="14"/>
  <c r="F36" i="14"/>
  <c r="Y39" i="11"/>
  <c r="Z26" i="6" s="1"/>
  <c r="H32" i="7"/>
  <c r="D38" i="14"/>
  <c r="E38" i="14" s="1"/>
  <c r="I38" i="14" s="1"/>
  <c r="B40" i="14"/>
  <c r="B41" i="13"/>
  <c r="B41" i="12"/>
  <c r="D38" i="12"/>
  <c r="D38" i="7"/>
  <c r="AG4" i="6"/>
  <c r="AF4" i="1"/>
  <c r="D39" i="13" s="1"/>
  <c r="F39" i="14"/>
  <c r="AF55" i="1" s="1"/>
  <c r="E39" i="14"/>
  <c r="A41" i="14"/>
  <c r="A42" i="13"/>
  <c r="I39" i="13"/>
  <c r="G39" i="13"/>
  <c r="AF41" i="11" s="1"/>
  <c r="I39" i="12"/>
  <c r="G39" i="12"/>
  <c r="AF40" i="11" s="1"/>
  <c r="A42" i="12"/>
  <c r="I37" i="7"/>
  <c r="A40" i="7"/>
  <c r="B39" i="7"/>
  <c r="E38" i="7"/>
  <c r="F38" i="7"/>
  <c r="C33" i="7" l="1"/>
  <c r="F33" i="7"/>
  <c r="AF79" i="6"/>
  <c r="AG78" i="6"/>
  <c r="AG12" i="6"/>
  <c r="AG77" i="6"/>
  <c r="AG62" i="6"/>
  <c r="AG68" i="6"/>
  <c r="AG57" i="6"/>
  <c r="Z42" i="11"/>
  <c r="H33" i="14"/>
  <c r="C34" i="14" s="1"/>
  <c r="H34" i="14" s="1"/>
  <c r="C35" i="14" s="1"/>
  <c r="H35" i="14" s="1"/>
  <c r="C36" i="14" s="1"/>
  <c r="BD55" i="1"/>
  <c r="AC55" i="1"/>
  <c r="G36" i="14"/>
  <c r="AC42" i="11" s="1"/>
  <c r="B41" i="14"/>
  <c r="D39" i="14"/>
  <c r="B42" i="13"/>
  <c r="B42" i="12"/>
  <c r="D39" i="12"/>
  <c r="D39" i="7"/>
  <c r="AH4" i="6"/>
  <c r="AG4" i="1"/>
  <c r="AE52" i="1"/>
  <c r="I39" i="14"/>
  <c r="G39" i="14"/>
  <c r="AF42" i="11" s="1"/>
  <c r="A42" i="14"/>
  <c r="A43" i="13"/>
  <c r="A43" i="12"/>
  <c r="I38" i="7"/>
  <c r="G38" i="7"/>
  <c r="E39" i="7"/>
  <c r="F39" i="7"/>
  <c r="B40" i="7"/>
  <c r="A41" i="7"/>
  <c r="G33" i="7" l="1"/>
  <c r="Z39" i="11" s="1"/>
  <c r="Z52" i="1"/>
  <c r="AG79" i="6"/>
  <c r="AG76" i="6" s="1"/>
  <c r="AH78" i="6"/>
  <c r="AH12" i="6"/>
  <c r="AH77" i="6"/>
  <c r="AH62" i="6"/>
  <c r="AH68" i="6"/>
  <c r="AH57" i="6"/>
  <c r="AA29" i="6"/>
  <c r="AB29" i="6" s="1"/>
  <c r="AC29" i="6" s="1"/>
  <c r="BE29" i="6" s="1"/>
  <c r="BD42" i="11"/>
  <c r="H36" i="14"/>
  <c r="B42" i="14"/>
  <c r="D40" i="14"/>
  <c r="E40" i="14" s="1"/>
  <c r="I40" i="14" s="1"/>
  <c r="D40" i="13"/>
  <c r="B43" i="13"/>
  <c r="B43" i="12"/>
  <c r="D40" i="12"/>
  <c r="D40" i="7"/>
  <c r="AI4" i="6"/>
  <c r="AE39" i="11"/>
  <c r="AH4" i="1"/>
  <c r="D41" i="14" s="1"/>
  <c r="AF52" i="1"/>
  <c r="A43" i="14"/>
  <c r="F42" i="13"/>
  <c r="AI54" i="1" s="1"/>
  <c r="E42" i="13"/>
  <c r="A44" i="13"/>
  <c r="A44" i="12"/>
  <c r="F42" i="12"/>
  <c r="AI53" i="1" s="1"/>
  <c r="E42" i="12"/>
  <c r="A42" i="7"/>
  <c r="B41" i="7"/>
  <c r="E40" i="7"/>
  <c r="I39" i="7"/>
  <c r="G39" i="7"/>
  <c r="E41" i="14" l="1"/>
  <c r="I41" i="14" s="1"/>
  <c r="H33" i="7"/>
  <c r="C34" i="7" s="1"/>
  <c r="H34" i="7" s="1"/>
  <c r="C35" i="7" s="1"/>
  <c r="H35" i="7" s="1"/>
  <c r="BD52" i="1"/>
  <c r="Z56" i="1"/>
  <c r="AA26" i="6"/>
  <c r="AB26" i="6" s="1"/>
  <c r="AC26" i="6" s="1"/>
  <c r="BE26" i="6" s="1"/>
  <c r="BD39" i="11"/>
  <c r="AH79" i="6"/>
  <c r="AI78" i="6"/>
  <c r="AI77" i="6"/>
  <c r="AI62" i="6"/>
  <c r="AI68" i="6"/>
  <c r="AI57" i="6"/>
  <c r="AD29" i="6"/>
  <c r="C37" i="14"/>
  <c r="F37" i="14"/>
  <c r="B43" i="14"/>
  <c r="B44" i="13"/>
  <c r="D41" i="12"/>
  <c r="D41" i="13"/>
  <c r="B44" i="12"/>
  <c r="D41" i="7"/>
  <c r="E41" i="7" s="1"/>
  <c r="AJ4" i="6"/>
  <c r="AF39" i="11"/>
  <c r="AI4" i="1"/>
  <c r="D42" i="14" s="1"/>
  <c r="AF56" i="1"/>
  <c r="A44" i="14"/>
  <c r="I42" i="13"/>
  <c r="G42" i="13"/>
  <c r="AI41" i="11" s="1"/>
  <c r="A45" i="13"/>
  <c r="F43" i="13"/>
  <c r="AJ54" i="1" s="1"/>
  <c r="E43" i="13"/>
  <c r="F43" i="12"/>
  <c r="AJ53" i="1" s="1"/>
  <c r="E43" i="12"/>
  <c r="I42" i="12"/>
  <c r="G42" i="12"/>
  <c r="AI40" i="11" s="1"/>
  <c r="A45" i="12"/>
  <c r="A43" i="7"/>
  <c r="I40" i="7"/>
  <c r="B42" i="7"/>
  <c r="C36" i="7" l="1"/>
  <c r="F36" i="7"/>
  <c r="F37" i="7"/>
  <c r="G37" i="7" s="1"/>
  <c r="Z57" i="1"/>
  <c r="Z7" i="11"/>
  <c r="Z24" i="11" s="1"/>
  <c r="AI79" i="6"/>
  <c r="AJ78" i="6"/>
  <c r="AJ77" i="6"/>
  <c r="AJ62" i="6"/>
  <c r="AJ68" i="6"/>
  <c r="AJ57" i="6"/>
  <c r="G37" i="14"/>
  <c r="AD42" i="11" s="1"/>
  <c r="AE29" i="6" s="1"/>
  <c r="AD55" i="1"/>
  <c r="F40" i="7"/>
  <c r="B44" i="14"/>
  <c r="D42" i="13"/>
  <c r="B45" i="13"/>
  <c r="B45" i="12"/>
  <c r="D42" i="12"/>
  <c r="D42" i="7"/>
  <c r="AK4" i="6"/>
  <c r="AJ4" i="1"/>
  <c r="D43" i="13" s="1"/>
  <c r="E42" i="14"/>
  <c r="I42" i="14" s="1"/>
  <c r="AF57" i="1"/>
  <c r="AF7" i="11"/>
  <c r="AF24" i="11" s="1"/>
  <c r="F43" i="14"/>
  <c r="AJ55" i="1" s="1"/>
  <c r="E43" i="14"/>
  <c r="A45" i="14"/>
  <c r="I43" i="13"/>
  <c r="G43" i="13"/>
  <c r="AJ41" i="11" s="1"/>
  <c r="A46" i="13"/>
  <c r="A46" i="12"/>
  <c r="I43" i="12"/>
  <c r="G43" i="12"/>
  <c r="AJ40" i="11" s="1"/>
  <c r="B43" i="7"/>
  <c r="E42" i="7"/>
  <c r="A44" i="7"/>
  <c r="I41" i="7"/>
  <c r="AD52" i="1" l="1"/>
  <c r="AD56" i="1" s="1"/>
  <c r="AD57" i="1" s="1"/>
  <c r="AC52" i="1"/>
  <c r="G36" i="7"/>
  <c r="AC39" i="11" s="1"/>
  <c r="AD26" i="6" s="1"/>
  <c r="AJ79" i="6"/>
  <c r="AK78" i="6"/>
  <c r="AK77" i="6"/>
  <c r="AK62" i="6"/>
  <c r="AK68" i="6"/>
  <c r="AK57" i="6"/>
  <c r="H37" i="14"/>
  <c r="F40" i="14"/>
  <c r="AD39" i="11"/>
  <c r="G40" i="7"/>
  <c r="AG52" i="1"/>
  <c r="B45" i="14"/>
  <c r="D43" i="14"/>
  <c r="B46" i="13"/>
  <c r="B46" i="12"/>
  <c r="D43" i="12"/>
  <c r="D43" i="7"/>
  <c r="AL4" i="6"/>
  <c r="AK4" i="1"/>
  <c r="D44" i="13" s="1"/>
  <c r="F44" i="14"/>
  <c r="AK55" i="1" s="1"/>
  <c r="E44" i="14"/>
  <c r="A46" i="14"/>
  <c r="I43" i="14"/>
  <c r="G43" i="14"/>
  <c r="AJ42" i="11" s="1"/>
  <c r="A47" i="13"/>
  <c r="A47" i="12"/>
  <c r="F43" i="7"/>
  <c r="B44" i="7"/>
  <c r="E43" i="7"/>
  <c r="I42" i="7"/>
  <c r="A45" i="7"/>
  <c r="H36" i="7" l="1"/>
  <c r="C37" i="7" s="1"/>
  <c r="H37" i="7" s="1"/>
  <c r="C38" i="7" s="1"/>
  <c r="H38" i="7" s="1"/>
  <c r="C39" i="7" s="1"/>
  <c r="H39" i="7" s="1"/>
  <c r="C40" i="7" s="1"/>
  <c r="H40" i="7" s="1"/>
  <c r="AK79" i="6"/>
  <c r="AL78" i="6"/>
  <c r="AL77" i="6"/>
  <c r="AL62" i="6"/>
  <c r="AL68" i="6"/>
  <c r="AL57" i="6"/>
  <c r="C38" i="14"/>
  <c r="F38" i="14"/>
  <c r="AD7" i="11"/>
  <c r="AD24" i="11" s="1"/>
  <c r="AG55" i="1"/>
  <c r="G40" i="14"/>
  <c r="AG42" i="11" s="1"/>
  <c r="AE26" i="6"/>
  <c r="AF26" i="6" s="1"/>
  <c r="AG26" i="6" s="1"/>
  <c r="AG39" i="11"/>
  <c r="B46" i="14"/>
  <c r="D44" i="14"/>
  <c r="B47" i="13"/>
  <c r="AL4" i="1"/>
  <c r="D45" i="14" s="1"/>
  <c r="B47" i="12"/>
  <c r="D44" i="12"/>
  <c r="D44" i="7"/>
  <c r="AM4" i="6"/>
  <c r="AJ52" i="1"/>
  <c r="E45" i="14"/>
  <c r="I44" i="14"/>
  <c r="G44" i="14"/>
  <c r="AK42" i="11" s="1"/>
  <c r="A47" i="14"/>
  <c r="E46" i="13"/>
  <c r="A48" i="13"/>
  <c r="A48" i="12"/>
  <c r="E46" i="12"/>
  <c r="A46" i="7"/>
  <c r="I43" i="7"/>
  <c r="G43" i="7"/>
  <c r="F44" i="7"/>
  <c r="E44" i="7"/>
  <c r="B45" i="7"/>
  <c r="AL79" i="6" l="1"/>
  <c r="AM78" i="6"/>
  <c r="AM77" i="6"/>
  <c r="AM62" i="6"/>
  <c r="AM68" i="6"/>
  <c r="AM57" i="6"/>
  <c r="AE55" i="1"/>
  <c r="AE56" i="1" s="1"/>
  <c r="G38" i="14"/>
  <c r="AE42" i="11" s="1"/>
  <c r="C41" i="7"/>
  <c r="F41" i="7"/>
  <c r="AH26" i="6"/>
  <c r="D45" i="7"/>
  <c r="E45" i="7" s="1"/>
  <c r="B47" i="14"/>
  <c r="B48" i="13"/>
  <c r="AM4" i="1"/>
  <c r="AN4" i="1" s="1"/>
  <c r="AO4" i="1" s="1"/>
  <c r="D45" i="13"/>
  <c r="D45" i="12"/>
  <c r="B48" i="12"/>
  <c r="AN4" i="6"/>
  <c r="AJ39" i="11"/>
  <c r="AJ56" i="1"/>
  <c r="AK52" i="1"/>
  <c r="A48" i="14"/>
  <c r="I45" i="14"/>
  <c r="F46" i="12"/>
  <c r="A49" i="13"/>
  <c r="F46" i="13"/>
  <c r="I46" i="13"/>
  <c r="F47" i="13"/>
  <c r="AN54" i="1" s="1"/>
  <c r="E47" i="13"/>
  <c r="F47" i="12"/>
  <c r="AN53" i="1" s="1"/>
  <c r="E47" i="12"/>
  <c r="I46" i="12"/>
  <c r="A49" i="12"/>
  <c r="I44" i="7"/>
  <c r="G44" i="7"/>
  <c r="A47" i="7"/>
  <c r="B46" i="7"/>
  <c r="AN78" i="6" l="1"/>
  <c r="AM79" i="6"/>
  <c r="AM76" i="6" s="1"/>
  <c r="AN77" i="6"/>
  <c r="AN62" i="6"/>
  <c r="AN68" i="6"/>
  <c r="AN57" i="6"/>
  <c r="H38" i="14"/>
  <c r="C39" i="14" s="1"/>
  <c r="H39" i="14" s="1"/>
  <c r="C40" i="14" s="1"/>
  <c r="H40" i="14" s="1"/>
  <c r="AF29" i="6"/>
  <c r="AG29" i="6" s="1"/>
  <c r="AH29" i="6" s="1"/>
  <c r="AE7" i="11"/>
  <c r="AE24" i="11" s="1"/>
  <c r="AE57" i="1"/>
  <c r="F45" i="14"/>
  <c r="G41" i="7"/>
  <c r="AH52" i="1"/>
  <c r="AP4" i="1"/>
  <c r="AQ4" i="1" s="1"/>
  <c r="AR4" i="1" s="1"/>
  <c r="AS4" i="1" s="1"/>
  <c r="AT4" i="1" s="1"/>
  <c r="AU4" i="1" s="1"/>
  <c r="AV4" i="1" s="1"/>
  <c r="AW4" i="1" s="1"/>
  <c r="AX4" i="1" s="1"/>
  <c r="AY4" i="1" s="1"/>
  <c r="AZ4" i="1" s="1"/>
  <c r="BA4" i="1" s="1"/>
  <c r="BB4" i="1" s="1"/>
  <c r="BG4" i="1" s="1"/>
  <c r="D47" i="14"/>
  <c r="B48" i="14"/>
  <c r="D48" i="14"/>
  <c r="D46" i="14"/>
  <c r="E46" i="14" s="1"/>
  <c r="I46" i="14" s="1"/>
  <c r="B49" i="13"/>
  <c r="D47" i="7"/>
  <c r="D48" i="12"/>
  <c r="D47" i="12"/>
  <c r="D48" i="13"/>
  <c r="D46" i="13"/>
  <c r="D13" i="12"/>
  <c r="D12" i="13"/>
  <c r="D13" i="13"/>
  <c r="D30" i="13"/>
  <c r="D33" i="13"/>
  <c r="D46" i="12"/>
  <c r="D46" i="7"/>
  <c r="E46" i="7" s="1"/>
  <c r="D47" i="13"/>
  <c r="B49" i="12"/>
  <c r="AO4" i="6"/>
  <c r="AK39" i="11"/>
  <c r="AJ57" i="1"/>
  <c r="AJ7" i="11"/>
  <c r="AJ24" i="11" s="1"/>
  <c r="G46" i="13"/>
  <c r="AM41" i="11" s="1"/>
  <c r="AM54" i="1"/>
  <c r="G46" i="12"/>
  <c r="AM53" i="1"/>
  <c r="F47" i="14"/>
  <c r="AN55" i="1" s="1"/>
  <c r="E47" i="14"/>
  <c r="A49" i="14"/>
  <c r="F48" i="13"/>
  <c r="AO54" i="1" s="1"/>
  <c r="E48" i="13"/>
  <c r="I47" i="13"/>
  <c r="G47" i="13"/>
  <c r="AN41" i="11" s="1"/>
  <c r="A50" i="13"/>
  <c r="I47" i="12"/>
  <c r="G47" i="12"/>
  <c r="AN40" i="11" s="1"/>
  <c r="A50" i="12"/>
  <c r="F48" i="12"/>
  <c r="AO53" i="1" s="1"/>
  <c r="E48" i="12"/>
  <c r="F42" i="7"/>
  <c r="B47" i="7"/>
  <c r="I45" i="7"/>
  <c r="A48" i="7"/>
  <c r="D48" i="7" s="1"/>
  <c r="E31" i="13" l="1"/>
  <c r="E44" i="13"/>
  <c r="C41" i="14"/>
  <c r="F41" i="14"/>
  <c r="E22" i="12"/>
  <c r="E35" i="12"/>
  <c r="E15" i="13"/>
  <c r="E28" i="13"/>
  <c r="E44" i="12"/>
  <c r="E41" i="12"/>
  <c r="AN79" i="6"/>
  <c r="AN76" i="6" s="1"/>
  <c r="AO78" i="6"/>
  <c r="AO68" i="6"/>
  <c r="AO77" i="6"/>
  <c r="AO57" i="6"/>
  <c r="AO62" i="6"/>
  <c r="AU55" i="6"/>
  <c r="R55" i="6"/>
  <c r="O55" i="6"/>
  <c r="AT55" i="6"/>
  <c r="AW55" i="6"/>
  <c r="N55" i="6"/>
  <c r="AF55" i="6"/>
  <c r="AC55" i="6"/>
  <c r="AL55" i="6"/>
  <c r="AQ55" i="6"/>
  <c r="AN55" i="6"/>
  <c r="AX55" i="6"/>
  <c r="H55" i="6"/>
  <c r="AD55" i="6"/>
  <c r="AA55" i="6"/>
  <c r="Z55" i="6"/>
  <c r="J55" i="6"/>
  <c r="G55" i="6"/>
  <c r="AR55" i="6"/>
  <c r="AO55" i="6"/>
  <c r="AY55" i="6"/>
  <c r="AG55" i="6"/>
  <c r="K55" i="6"/>
  <c r="AM55" i="6"/>
  <c r="W55" i="6"/>
  <c r="T55" i="6"/>
  <c r="Q55" i="6"/>
  <c r="M55" i="6"/>
  <c r="V55" i="6"/>
  <c r="BA55" i="6"/>
  <c r="L55" i="6"/>
  <c r="U55" i="6"/>
  <c r="AV55" i="6"/>
  <c r="S55" i="6"/>
  <c r="P55" i="6"/>
  <c r="Y55" i="6"/>
  <c r="AI55" i="6"/>
  <c r="F55" i="6"/>
  <c r="X55" i="6"/>
  <c r="AH55" i="6"/>
  <c r="E55" i="6"/>
  <c r="AP55" i="6"/>
  <c r="AZ55" i="6"/>
  <c r="AJ55" i="6"/>
  <c r="I55" i="6"/>
  <c r="AE55" i="6"/>
  <c r="AB55" i="6"/>
  <c r="AK55" i="6"/>
  <c r="AS55" i="6"/>
  <c r="E49" i="6"/>
  <c r="Z49" i="6"/>
  <c r="AP49" i="6"/>
  <c r="I49" i="6"/>
  <c r="BA49" i="6"/>
  <c r="Y49" i="6"/>
  <c r="M49" i="6"/>
  <c r="AH49" i="6"/>
  <c r="J49" i="6"/>
  <c r="AB49" i="6"/>
  <c r="P49" i="6"/>
  <c r="AX49" i="6"/>
  <c r="U49" i="6"/>
  <c r="G49" i="6"/>
  <c r="AY49" i="6"/>
  <c r="W49" i="6"/>
  <c r="H49" i="6"/>
  <c r="X49" i="6"/>
  <c r="L49" i="6"/>
  <c r="AC49" i="6"/>
  <c r="AE49" i="6"/>
  <c r="S49" i="6"/>
  <c r="N49" i="6"/>
  <c r="AU49" i="6"/>
  <c r="AO49" i="6"/>
  <c r="AV49" i="6"/>
  <c r="AD49" i="6"/>
  <c r="AK49" i="6"/>
  <c r="K49" i="6"/>
  <c r="AM49" i="6"/>
  <c r="AA49" i="6"/>
  <c r="Q49" i="6"/>
  <c r="AW49" i="6"/>
  <c r="AS49" i="6"/>
  <c r="AG49" i="6"/>
  <c r="AI49" i="6"/>
  <c r="AN49" i="6"/>
  <c r="AR49" i="6"/>
  <c r="F49" i="6"/>
  <c r="V49" i="6"/>
  <c r="AJ49" i="6"/>
  <c r="R49" i="6"/>
  <c r="AT49" i="6"/>
  <c r="AF49" i="6"/>
  <c r="O49" i="6"/>
  <c r="AL49" i="6"/>
  <c r="AQ49" i="6"/>
  <c r="T49" i="6"/>
  <c r="D49" i="6"/>
  <c r="D55" i="6"/>
  <c r="F42" i="14"/>
  <c r="G42" i="14" s="1"/>
  <c r="AI42" i="11" s="1"/>
  <c r="E18" i="13"/>
  <c r="I18" i="13" s="1"/>
  <c r="E18" i="12"/>
  <c r="E31" i="12"/>
  <c r="AL55" i="1"/>
  <c r="G45" i="14"/>
  <c r="D49" i="12"/>
  <c r="E49" i="12" s="1"/>
  <c r="E40" i="13"/>
  <c r="AH39" i="11"/>
  <c r="AI26" i="6" s="1"/>
  <c r="H41" i="7"/>
  <c r="C42" i="7" s="1"/>
  <c r="D49" i="13"/>
  <c r="E49" i="13" s="1"/>
  <c r="B49" i="14"/>
  <c r="D49" i="14"/>
  <c r="E14" i="13"/>
  <c r="I14" i="13" s="1"/>
  <c r="H12" i="13"/>
  <c r="C13" i="13" s="1"/>
  <c r="H13" i="13" s="1"/>
  <c r="E19" i="13"/>
  <c r="I19" i="13" s="1"/>
  <c r="E23" i="13"/>
  <c r="E27" i="13"/>
  <c r="E32" i="13"/>
  <c r="E36" i="13"/>
  <c r="E41" i="13"/>
  <c r="E45" i="13"/>
  <c r="I45" i="13" s="1"/>
  <c r="H13" i="12"/>
  <c r="E32" i="12"/>
  <c r="E45" i="12"/>
  <c r="E19" i="12"/>
  <c r="E36" i="12"/>
  <c r="E23" i="12"/>
  <c r="E40" i="12"/>
  <c r="E14" i="12"/>
  <c r="I14" i="12" s="1"/>
  <c r="E27" i="12"/>
  <c r="B50" i="13"/>
  <c r="D50" i="13"/>
  <c r="B50" i="12"/>
  <c r="D50" i="12"/>
  <c r="AP4" i="6"/>
  <c r="AM40" i="11"/>
  <c r="AI52" i="1"/>
  <c r="I47" i="14"/>
  <c r="G47" i="14"/>
  <c r="AN42" i="11" s="1"/>
  <c r="F48" i="14"/>
  <c r="AO55" i="1" s="1"/>
  <c r="E48" i="14"/>
  <c r="A50" i="14"/>
  <c r="I48" i="13"/>
  <c r="G48" i="13"/>
  <c r="AO41" i="11" s="1"/>
  <c r="A51" i="13"/>
  <c r="A51" i="12"/>
  <c r="I48" i="12"/>
  <c r="G48" i="12"/>
  <c r="G42" i="7"/>
  <c r="E47" i="7"/>
  <c r="F47" i="7"/>
  <c r="B48" i="7"/>
  <c r="A49" i="7"/>
  <c r="D49" i="7" s="1"/>
  <c r="I46" i="7"/>
  <c r="I44" i="13" l="1"/>
  <c r="AH55" i="1"/>
  <c r="G41" i="14"/>
  <c r="AH42" i="11" s="1"/>
  <c r="AI29" i="6" s="1"/>
  <c r="AJ29" i="6" s="1"/>
  <c r="AK29" i="6" s="1"/>
  <c r="AL29" i="6" s="1"/>
  <c r="I31" i="13"/>
  <c r="I28" i="13"/>
  <c r="I15" i="13"/>
  <c r="Z13" i="6"/>
  <c r="Q13" i="6"/>
  <c r="M13" i="6"/>
  <c r="J13" i="6"/>
  <c r="V13" i="6"/>
  <c r="X13" i="6"/>
  <c r="H13" i="6"/>
  <c r="AC13" i="6"/>
  <c r="D13" i="6"/>
  <c r="C15" i="11" s="1"/>
  <c r="E13" i="6"/>
  <c r="F13" i="6"/>
  <c r="AG13" i="6"/>
  <c r="W13" i="6"/>
  <c r="L13" i="6"/>
  <c r="G13" i="6"/>
  <c r="AO79" i="6"/>
  <c r="AO76" i="6" s="1"/>
  <c r="S13" i="6"/>
  <c r="AE13" i="6"/>
  <c r="Y13" i="6"/>
  <c r="K13" i="6"/>
  <c r="AF13" i="6"/>
  <c r="P13" i="6"/>
  <c r="BD13" i="6" s="1"/>
  <c r="N13" i="6"/>
  <c r="R13" i="6"/>
  <c r="O13" i="6"/>
  <c r="T13" i="6"/>
  <c r="U13" i="6"/>
  <c r="I13" i="6"/>
  <c r="AD13" i="6"/>
  <c r="AA13" i="6"/>
  <c r="AB13" i="6"/>
  <c r="AP78" i="6"/>
  <c r="AP68" i="6"/>
  <c r="AP77" i="6"/>
  <c r="AP57" i="6"/>
  <c r="AP62" i="6"/>
  <c r="AI55" i="1"/>
  <c r="AI56" i="1" s="1"/>
  <c r="AI57" i="1" s="1"/>
  <c r="I18" i="12"/>
  <c r="I19" i="12" s="1"/>
  <c r="AL42" i="11"/>
  <c r="I40" i="13"/>
  <c r="B50" i="14"/>
  <c r="D50" i="14"/>
  <c r="I41" i="13"/>
  <c r="I23" i="13"/>
  <c r="I36" i="13"/>
  <c r="C14" i="12"/>
  <c r="F14" i="12"/>
  <c r="I32" i="13"/>
  <c r="C14" i="13"/>
  <c r="F14" i="13"/>
  <c r="B51" i="13"/>
  <c r="D51" i="13"/>
  <c r="I27" i="13"/>
  <c r="B51" i="12"/>
  <c r="D51" i="12"/>
  <c r="AQ4" i="6"/>
  <c r="AO40" i="11"/>
  <c r="AI39" i="11"/>
  <c r="AN52" i="1"/>
  <c r="I48" i="14"/>
  <c r="G48" i="14"/>
  <c r="AO42" i="11" s="1"/>
  <c r="A51" i="14"/>
  <c r="E49" i="14"/>
  <c r="A52" i="13"/>
  <c r="E50" i="13"/>
  <c r="I49" i="13"/>
  <c r="E50" i="12"/>
  <c r="A52" i="12"/>
  <c r="H42" i="7"/>
  <c r="C43" i="7" s="1"/>
  <c r="H43" i="7" s="1"/>
  <c r="C44" i="7" s="1"/>
  <c r="H44" i="7" s="1"/>
  <c r="I47" i="7"/>
  <c r="G47" i="7"/>
  <c r="A50" i="7"/>
  <c r="D50" i="7" s="1"/>
  <c r="B49" i="7"/>
  <c r="F48" i="7"/>
  <c r="E48" i="7"/>
  <c r="I22" i="12" l="1"/>
  <c r="AM29" i="6"/>
  <c r="H41" i="14"/>
  <c r="C42" i="14" s="1"/>
  <c r="H42" i="14" s="1"/>
  <c r="C43" i="14" s="1"/>
  <c r="H43" i="14" s="1"/>
  <c r="C44" i="14" s="1"/>
  <c r="H44" i="14" s="1"/>
  <c r="C45" i="14" s="1"/>
  <c r="H45" i="14" s="1"/>
  <c r="C46" i="14" s="1"/>
  <c r="J15" i="11"/>
  <c r="T15" i="11"/>
  <c r="AP79" i="6"/>
  <c r="AQ78" i="6"/>
  <c r="E15" i="11"/>
  <c r="AE15" i="11"/>
  <c r="AQ68" i="6"/>
  <c r="AQ77" i="6"/>
  <c r="R15" i="11"/>
  <c r="F15" i="11"/>
  <c r="S15" i="11"/>
  <c r="AQ57" i="6"/>
  <c r="AQ62" i="6"/>
  <c r="V15" i="11"/>
  <c r="I15" i="11"/>
  <c r="P15" i="11"/>
  <c r="M15" i="11"/>
  <c r="AD15" i="11"/>
  <c r="D15" i="11"/>
  <c r="O15" i="11"/>
  <c r="W15" i="11"/>
  <c r="L15" i="11"/>
  <c r="AB15" i="11"/>
  <c r="H15" i="11"/>
  <c r="AF15" i="11"/>
  <c r="Q15" i="11"/>
  <c r="AA15" i="11"/>
  <c r="Z15" i="11"/>
  <c r="Y15" i="11"/>
  <c r="G15" i="11"/>
  <c r="X15" i="11"/>
  <c r="K15" i="11"/>
  <c r="N15" i="11"/>
  <c r="AC15" i="11"/>
  <c r="U15" i="11"/>
  <c r="BE13" i="6"/>
  <c r="I23" i="12"/>
  <c r="AI7" i="11"/>
  <c r="AI24" i="11" s="1"/>
  <c r="AJ26" i="6"/>
  <c r="AK26" i="6" s="1"/>
  <c r="AL26" i="6" s="1"/>
  <c r="B51" i="14"/>
  <c r="D51" i="14"/>
  <c r="G14" i="13"/>
  <c r="G54" i="1"/>
  <c r="G53" i="1"/>
  <c r="G14" i="12"/>
  <c r="B52" i="13"/>
  <c r="D52" i="13"/>
  <c r="B52" i="12"/>
  <c r="D52" i="12"/>
  <c r="AR4" i="6"/>
  <c r="AN39" i="11"/>
  <c r="BF21" i="6"/>
  <c r="AN56" i="1"/>
  <c r="AO52" i="1"/>
  <c r="A52" i="14"/>
  <c r="F50" i="13"/>
  <c r="E50" i="14"/>
  <c r="I49" i="14"/>
  <c r="F51" i="13"/>
  <c r="AR54" i="1" s="1"/>
  <c r="E51" i="13"/>
  <c r="I50" i="13"/>
  <c r="A53" i="13"/>
  <c r="A53" i="12"/>
  <c r="I50" i="12"/>
  <c r="F50" i="12"/>
  <c r="F51" i="12"/>
  <c r="AR53" i="1" s="1"/>
  <c r="E51" i="12"/>
  <c r="C45" i="7"/>
  <c r="F45" i="7"/>
  <c r="B50" i="7"/>
  <c r="E49" i="7"/>
  <c r="I48" i="7"/>
  <c r="G48" i="7"/>
  <c r="A51" i="7"/>
  <c r="D51" i="7" s="1"/>
  <c r="F46" i="14" l="1"/>
  <c r="AM55" i="1" s="1"/>
  <c r="I27" i="12"/>
  <c r="I31" i="12" s="1"/>
  <c r="AQ79" i="6"/>
  <c r="AR78" i="6"/>
  <c r="AR68" i="6"/>
  <c r="AR77" i="6"/>
  <c r="AR57" i="6"/>
  <c r="AR62" i="6"/>
  <c r="F49" i="14"/>
  <c r="B52" i="14"/>
  <c r="D52" i="14"/>
  <c r="G56" i="1"/>
  <c r="G57" i="1" s="1"/>
  <c r="G58" i="1" s="1"/>
  <c r="H61" i="6" s="1"/>
  <c r="G40" i="11"/>
  <c r="H27" i="6" s="1"/>
  <c r="H14" i="12"/>
  <c r="C15" i="12" s="1"/>
  <c r="H15" i="12" s="1"/>
  <c r="C16" i="12" s="1"/>
  <c r="H16" i="12" s="1"/>
  <c r="C17" i="12" s="1"/>
  <c r="H17" i="12" s="1"/>
  <c r="B53" i="13"/>
  <c r="D53" i="13"/>
  <c r="H14" i="13"/>
  <c r="G41" i="11"/>
  <c r="H28" i="6" s="1"/>
  <c r="B53" i="12"/>
  <c r="D53" i="12"/>
  <c r="AS4" i="6"/>
  <c r="AO39" i="11"/>
  <c r="AN57" i="1"/>
  <c r="AN7" i="11"/>
  <c r="AN24" i="11" s="1"/>
  <c r="G50" i="13"/>
  <c r="AQ41" i="11" s="1"/>
  <c r="AQ54" i="1"/>
  <c r="G50" i="12"/>
  <c r="AQ53" i="1"/>
  <c r="AL52" i="1"/>
  <c r="AO56" i="1"/>
  <c r="E51" i="14"/>
  <c r="I50" i="14"/>
  <c r="A53" i="14"/>
  <c r="I51" i="13"/>
  <c r="G51" i="13"/>
  <c r="AR41" i="11" s="1"/>
  <c r="A54" i="13"/>
  <c r="F52" i="13"/>
  <c r="AS54" i="1" s="1"/>
  <c r="E52" i="13"/>
  <c r="I51" i="12"/>
  <c r="G51" i="12"/>
  <c r="AR40" i="11" s="1"/>
  <c r="F52" i="12"/>
  <c r="AS53" i="1" s="1"/>
  <c r="E52" i="12"/>
  <c r="A54" i="12"/>
  <c r="G45" i="7"/>
  <c r="A52" i="7"/>
  <c r="D52" i="7" s="1"/>
  <c r="B51" i="7"/>
  <c r="E50" i="7"/>
  <c r="I49" i="7"/>
  <c r="G46" i="14" l="1"/>
  <c r="H46" i="14" s="1"/>
  <c r="C47" i="14" s="1"/>
  <c r="H47" i="14" s="1"/>
  <c r="C48" i="14" s="1"/>
  <c r="H48" i="14" s="1"/>
  <c r="C49" i="14" s="1"/>
  <c r="C15" i="13"/>
  <c r="F15" i="13"/>
  <c r="AR79" i="6"/>
  <c r="AH13" i="6"/>
  <c r="AG15" i="11" s="1"/>
  <c r="AI13" i="6"/>
  <c r="AJ13" i="6"/>
  <c r="AK13" i="6"/>
  <c r="AL13" i="6"/>
  <c r="AM13" i="6"/>
  <c r="AN13" i="6"/>
  <c r="AO13" i="6"/>
  <c r="AP13" i="6"/>
  <c r="AQ13" i="6"/>
  <c r="AR13" i="6"/>
  <c r="AI12" i="6"/>
  <c r="AJ12" i="6"/>
  <c r="AK12" i="6"/>
  <c r="AL12" i="6"/>
  <c r="AM12" i="6"/>
  <c r="AN12" i="6"/>
  <c r="AO12" i="6"/>
  <c r="AP12" i="6"/>
  <c r="AQ12" i="6"/>
  <c r="AR12" i="6"/>
  <c r="AS78" i="6"/>
  <c r="AS12" i="6"/>
  <c r="AS13" i="6"/>
  <c r="AS68" i="6"/>
  <c r="AS77" i="6"/>
  <c r="AS57" i="6"/>
  <c r="AS62" i="6"/>
  <c r="I32" i="12"/>
  <c r="C18" i="12"/>
  <c r="F18" i="12"/>
  <c r="AP55" i="1"/>
  <c r="G49" i="14"/>
  <c r="G7" i="11"/>
  <c r="G24" i="11" s="1"/>
  <c r="I27" i="6"/>
  <c r="H30" i="6"/>
  <c r="B53" i="14"/>
  <c r="D53" i="14"/>
  <c r="B54" i="13"/>
  <c r="D54" i="13"/>
  <c r="B54" i="12"/>
  <c r="D54" i="12"/>
  <c r="AT4" i="6"/>
  <c r="AQ40" i="11"/>
  <c r="AL39" i="11"/>
  <c r="AM26" i="6" s="1"/>
  <c r="AO57" i="1"/>
  <c r="AO7" i="11"/>
  <c r="AO24" i="11" s="1"/>
  <c r="I51" i="14"/>
  <c r="A54" i="14"/>
  <c r="F52" i="14"/>
  <c r="AS55" i="1" s="1"/>
  <c r="E52" i="14"/>
  <c r="I52" i="13"/>
  <c r="G52" i="13"/>
  <c r="AS41" i="11" s="1"/>
  <c r="A55" i="13"/>
  <c r="E53" i="13"/>
  <c r="A55" i="12"/>
  <c r="I52" i="12"/>
  <c r="G52" i="12"/>
  <c r="AS40" i="11" s="1"/>
  <c r="E53" i="12"/>
  <c r="H45" i="7"/>
  <c r="B52" i="7"/>
  <c r="E51" i="7"/>
  <c r="F51" i="7"/>
  <c r="A53" i="7"/>
  <c r="D53" i="7" s="1"/>
  <c r="I50" i="7"/>
  <c r="AM42" i="11" l="1"/>
  <c r="AN29" i="6" s="1"/>
  <c r="AO29" i="6" s="1"/>
  <c r="AP29" i="6" s="1"/>
  <c r="BF29" i="6" s="1"/>
  <c r="AS79" i="6"/>
  <c r="I35" i="12"/>
  <c r="I36" i="12" s="1"/>
  <c r="H54" i="1"/>
  <c r="H56" i="1" s="1"/>
  <c r="G15" i="13"/>
  <c r="H41" i="11" s="1"/>
  <c r="I28" i="6" s="1"/>
  <c r="J28" i="6" s="1"/>
  <c r="K28" i="6" s="1"/>
  <c r="AT78" i="6"/>
  <c r="AT12" i="6"/>
  <c r="AT13" i="6"/>
  <c r="AT68" i="6"/>
  <c r="AT77" i="6"/>
  <c r="AT57" i="6"/>
  <c r="AT62" i="6"/>
  <c r="I45" i="12"/>
  <c r="K53" i="1"/>
  <c r="G18" i="12"/>
  <c r="K40" i="11" s="1"/>
  <c r="AL15" i="11"/>
  <c r="AR15" i="11"/>
  <c r="AO15" i="11"/>
  <c r="AK15" i="11"/>
  <c r="AQ15" i="11"/>
  <c r="AM15" i="11"/>
  <c r="AN15" i="11"/>
  <c r="AJ15" i="11"/>
  <c r="AH15" i="11"/>
  <c r="AI15" i="11"/>
  <c r="BF13" i="6"/>
  <c r="AP15" i="11"/>
  <c r="AP42" i="11"/>
  <c r="H49" i="14"/>
  <c r="J27" i="6"/>
  <c r="B54" i="14"/>
  <c r="D54" i="14"/>
  <c r="B55" i="13"/>
  <c r="D55" i="13"/>
  <c r="B55" i="12"/>
  <c r="D55" i="12"/>
  <c r="AU4" i="6"/>
  <c r="AR52" i="1"/>
  <c r="A55" i="14"/>
  <c r="E53" i="14"/>
  <c r="I52" i="14"/>
  <c r="G52" i="14"/>
  <c r="AS42" i="11" s="1"/>
  <c r="A56" i="13"/>
  <c r="E54" i="13"/>
  <c r="I53" i="13"/>
  <c r="E54" i="12"/>
  <c r="A56" i="12"/>
  <c r="C46" i="7"/>
  <c r="F46" i="7"/>
  <c r="A54" i="7"/>
  <c r="D54" i="7" s="1"/>
  <c r="I51" i="7"/>
  <c r="G51" i="7"/>
  <c r="F52" i="7"/>
  <c r="B53" i="7"/>
  <c r="E52" i="7"/>
  <c r="AQ29" i="6" l="1"/>
  <c r="AT79" i="6"/>
  <c r="I30" i="6"/>
  <c r="I40" i="12"/>
  <c r="I41" i="12" s="1"/>
  <c r="H15" i="13"/>
  <c r="C16" i="13" s="1"/>
  <c r="H16" i="13" s="1"/>
  <c r="C17" i="13" s="1"/>
  <c r="H17" i="13" s="1"/>
  <c r="H7" i="11"/>
  <c r="H24" i="11" s="1"/>
  <c r="H57" i="1"/>
  <c r="AU78" i="6"/>
  <c r="AU13" i="6"/>
  <c r="AT15" i="11" s="1"/>
  <c r="AU12" i="6"/>
  <c r="AU68" i="6"/>
  <c r="AU77" i="6"/>
  <c r="AU57" i="6"/>
  <c r="AU62" i="6"/>
  <c r="H18" i="12"/>
  <c r="C50" i="14"/>
  <c r="F50" i="14"/>
  <c r="AS15" i="11"/>
  <c r="K27" i="6"/>
  <c r="J30" i="6"/>
  <c r="B55" i="14"/>
  <c r="D55" i="14"/>
  <c r="B56" i="13"/>
  <c r="D56" i="13"/>
  <c r="B56" i="12"/>
  <c r="D56" i="12"/>
  <c r="AV4" i="6"/>
  <c r="AR39" i="11"/>
  <c r="AM52" i="1"/>
  <c r="BE55" i="1"/>
  <c r="AS52" i="1"/>
  <c r="E54" i="14"/>
  <c r="A56" i="14"/>
  <c r="I53" i="14"/>
  <c r="F55" i="13"/>
  <c r="AV54" i="1" s="1"/>
  <c r="E55" i="13"/>
  <c r="I54" i="13"/>
  <c r="A57" i="13"/>
  <c r="A57" i="12"/>
  <c r="I54" i="12"/>
  <c r="F55" i="12"/>
  <c r="AV53" i="1" s="1"/>
  <c r="E55" i="12"/>
  <c r="G46" i="7"/>
  <c r="G52" i="7"/>
  <c r="I52" i="7"/>
  <c r="A55" i="7"/>
  <c r="D55" i="7" s="1"/>
  <c r="B54" i="7"/>
  <c r="E53" i="7"/>
  <c r="C18" i="13" l="1"/>
  <c r="F18" i="13"/>
  <c r="I44" i="12"/>
  <c r="I49" i="12" s="1"/>
  <c r="I53" i="12" s="1"/>
  <c r="H58" i="1"/>
  <c r="I58" i="1" s="1"/>
  <c r="J61" i="6" s="1"/>
  <c r="AU79" i="6"/>
  <c r="AV78" i="6"/>
  <c r="AV12" i="6"/>
  <c r="AV13" i="6"/>
  <c r="AV68" i="6"/>
  <c r="AV77" i="6"/>
  <c r="AV57" i="6"/>
  <c r="AV62" i="6"/>
  <c r="F19" i="13"/>
  <c r="C19" i="12"/>
  <c r="F19" i="12"/>
  <c r="AQ55" i="1"/>
  <c r="G50" i="14"/>
  <c r="AQ42" i="11" s="1"/>
  <c r="AR29" i="6" s="1"/>
  <c r="F53" i="14"/>
  <c r="L27" i="6"/>
  <c r="K30" i="6"/>
  <c r="B56" i="14"/>
  <c r="D56" i="14"/>
  <c r="B57" i="13"/>
  <c r="D57" i="13"/>
  <c r="B57" i="12"/>
  <c r="D57" i="12"/>
  <c r="AW4" i="6"/>
  <c r="AS39" i="11"/>
  <c r="BE42" i="11"/>
  <c r="AM39" i="11"/>
  <c r="AM56" i="1"/>
  <c r="AS56" i="1"/>
  <c r="A57" i="14"/>
  <c r="I54" i="14"/>
  <c r="E55" i="14"/>
  <c r="I55" i="13"/>
  <c r="G55" i="13"/>
  <c r="AV41" i="11" s="1"/>
  <c r="A58" i="13"/>
  <c r="F56" i="13"/>
  <c r="AW54" i="1" s="1"/>
  <c r="E56" i="13"/>
  <c r="I55" i="12"/>
  <c r="G55" i="12"/>
  <c r="AV40" i="11" s="1"/>
  <c r="F56" i="12"/>
  <c r="AW53" i="1" s="1"/>
  <c r="E56" i="12"/>
  <c r="A58" i="12"/>
  <c r="H46" i="7"/>
  <c r="C47" i="7" s="1"/>
  <c r="H47" i="7" s="1"/>
  <c r="C48" i="7" s="1"/>
  <c r="H48" i="7" s="1"/>
  <c r="BE52" i="1"/>
  <c r="B55" i="7"/>
  <c r="E54" i="7"/>
  <c r="I53" i="7"/>
  <c r="A56" i="7"/>
  <c r="D56" i="7" s="1"/>
  <c r="K54" i="1" l="1"/>
  <c r="K56" i="1" s="1"/>
  <c r="G18" i="13"/>
  <c r="K41" i="11" s="1"/>
  <c r="L28" i="6" s="1"/>
  <c r="L30" i="6" s="1"/>
  <c r="I61" i="6"/>
  <c r="J58" i="1"/>
  <c r="K61" i="6" s="1"/>
  <c r="AV79" i="6"/>
  <c r="AW78" i="6"/>
  <c r="AW12" i="6"/>
  <c r="AW68" i="6"/>
  <c r="AW77" i="6"/>
  <c r="AW57" i="6"/>
  <c r="AW62" i="6"/>
  <c r="G19" i="12"/>
  <c r="L40" i="11" s="1"/>
  <c r="M27" i="6" s="1"/>
  <c r="L53" i="1"/>
  <c r="G19" i="13"/>
  <c r="L41" i="11" s="1"/>
  <c r="L54" i="1"/>
  <c r="H50" i="14"/>
  <c r="AU15" i="11"/>
  <c r="AT55" i="1"/>
  <c r="G53" i="14"/>
  <c r="C49" i="7"/>
  <c r="F49" i="7"/>
  <c r="BE39" i="11"/>
  <c r="AN26" i="6"/>
  <c r="AO26" i="6" s="1"/>
  <c r="AP26" i="6" s="1"/>
  <c r="B57" i="14"/>
  <c r="D57" i="14"/>
  <c r="B58" i="13"/>
  <c r="D58" i="13"/>
  <c r="B58" i="12"/>
  <c r="D58" i="12"/>
  <c r="AX4" i="6"/>
  <c r="AS57" i="1"/>
  <c r="AS7" i="11"/>
  <c r="AS24" i="11" s="1"/>
  <c r="AM57" i="1"/>
  <c r="AM7" i="11"/>
  <c r="AM24" i="11" s="1"/>
  <c r="I55" i="14"/>
  <c r="F56" i="14"/>
  <c r="AW55" i="1" s="1"/>
  <c r="E56" i="14"/>
  <c r="A58" i="14"/>
  <c r="E57" i="13"/>
  <c r="F57" i="13"/>
  <c r="AX54" i="1" s="1"/>
  <c r="I56" i="13"/>
  <c r="G56" i="13"/>
  <c r="AW41" i="11" s="1"/>
  <c r="A59" i="13"/>
  <c r="I56" i="12"/>
  <c r="G56" i="12"/>
  <c r="AW40" i="11" s="1"/>
  <c r="A59" i="12"/>
  <c r="E57" i="12"/>
  <c r="I54" i="7"/>
  <c r="A57" i="7"/>
  <c r="D57" i="7" s="1"/>
  <c r="B56" i="7"/>
  <c r="E55" i="7"/>
  <c r="BC54" i="1" l="1"/>
  <c r="H18" i="13"/>
  <c r="C19" i="13" s="1"/>
  <c r="H19" i="13" s="1"/>
  <c r="C20" i="13" s="1"/>
  <c r="H20" i="13" s="1"/>
  <c r="C21" i="13" s="1"/>
  <c r="H21" i="13" s="1"/>
  <c r="C22" i="13" s="1"/>
  <c r="H22" i="13" s="1"/>
  <c r="F23" i="13" s="1"/>
  <c r="K57" i="1"/>
  <c r="K58" i="1" s="1"/>
  <c r="L61" i="6" s="1"/>
  <c r="K7" i="11"/>
  <c r="K24" i="11" s="1"/>
  <c r="AW79" i="6"/>
  <c r="AX78" i="6"/>
  <c r="AX68" i="6"/>
  <c r="AX77" i="6"/>
  <c r="AX57" i="6"/>
  <c r="AX62" i="6"/>
  <c r="H19" i="12"/>
  <c r="C20" i="12" s="1"/>
  <c r="H20" i="12" s="1"/>
  <c r="C21" i="12" s="1"/>
  <c r="H21" i="12" s="1"/>
  <c r="BC41" i="11"/>
  <c r="M28" i="6"/>
  <c r="N28" i="6" s="1"/>
  <c r="O28" i="6" s="1"/>
  <c r="P28" i="6" s="1"/>
  <c r="BD28" i="6" s="1"/>
  <c r="L56" i="1"/>
  <c r="C51" i="14"/>
  <c r="F51" i="14"/>
  <c r="AT42" i="11"/>
  <c r="AP52" i="1"/>
  <c r="G49" i="7"/>
  <c r="AP39" i="11" s="1"/>
  <c r="AQ26" i="6" s="1"/>
  <c r="N27" i="6"/>
  <c r="B58" i="14"/>
  <c r="D58" i="14"/>
  <c r="B59" i="13"/>
  <c r="D59" i="13"/>
  <c r="B59" i="12"/>
  <c r="D59" i="12"/>
  <c r="AY4" i="6"/>
  <c r="I56" i="14"/>
  <c r="G56" i="14"/>
  <c r="AW42" i="11" s="1"/>
  <c r="A59" i="14"/>
  <c r="E57" i="14"/>
  <c r="F57" i="14"/>
  <c r="AX55" i="1" s="1"/>
  <c r="A60" i="13"/>
  <c r="E58" i="13"/>
  <c r="I57" i="13"/>
  <c r="G57" i="13"/>
  <c r="AX41" i="11" s="1"/>
  <c r="E58" i="12"/>
  <c r="A60" i="12"/>
  <c r="I57" i="12"/>
  <c r="A58" i="7"/>
  <c r="D58" i="7" s="1"/>
  <c r="B57" i="7"/>
  <c r="E56" i="7"/>
  <c r="F56" i="7"/>
  <c r="I55" i="7"/>
  <c r="C22" i="12" l="1"/>
  <c r="F22" i="12"/>
  <c r="AX79" i="6"/>
  <c r="AY78" i="6"/>
  <c r="AY68" i="6"/>
  <c r="AY77" i="6"/>
  <c r="AY57" i="6"/>
  <c r="AY62" i="6"/>
  <c r="C23" i="13"/>
  <c r="M30" i="6"/>
  <c r="F23" i="12"/>
  <c r="G23" i="12" s="1"/>
  <c r="L57" i="1"/>
  <c r="L7" i="11"/>
  <c r="G51" i="14"/>
  <c r="AR42" i="11" s="1"/>
  <c r="AR55" i="1"/>
  <c r="AR56" i="1" s="1"/>
  <c r="P54" i="1"/>
  <c r="G23" i="13"/>
  <c r="H49" i="7"/>
  <c r="F50" i="7" s="1"/>
  <c r="O27" i="6"/>
  <c r="N30" i="6"/>
  <c r="B59" i="14"/>
  <c r="D59" i="14"/>
  <c r="B60" i="13"/>
  <c r="D60" i="13"/>
  <c r="B60" i="12"/>
  <c r="D60" i="12"/>
  <c r="AZ4" i="6"/>
  <c r="BF26" i="6"/>
  <c r="AW52" i="1"/>
  <c r="A60" i="14"/>
  <c r="E58" i="14"/>
  <c r="I57" i="14"/>
  <c r="G57" i="14"/>
  <c r="AX42" i="11" s="1"/>
  <c r="E59" i="13"/>
  <c r="I58" i="13"/>
  <c r="A61" i="13"/>
  <c r="D61" i="13" s="1"/>
  <c r="I58" i="12"/>
  <c r="A61" i="12"/>
  <c r="D61" i="12" s="1"/>
  <c r="E59" i="12"/>
  <c r="A59" i="7"/>
  <c r="D59" i="7" s="1"/>
  <c r="F55" i="7"/>
  <c r="I56" i="7"/>
  <c r="G56" i="7"/>
  <c r="B58" i="7"/>
  <c r="F57" i="7"/>
  <c r="E57" i="7"/>
  <c r="O53" i="1" l="1"/>
  <c r="G22" i="12"/>
  <c r="O40" i="11" s="1"/>
  <c r="BC40" i="11" s="1"/>
  <c r="AY79" i="6"/>
  <c r="AZ78" i="6"/>
  <c r="H51" i="14"/>
  <c r="C52" i="14" s="1"/>
  <c r="H52" i="14" s="1"/>
  <c r="C53" i="14" s="1"/>
  <c r="H53" i="14" s="1"/>
  <c r="AZ68" i="6"/>
  <c r="AZ77" i="6"/>
  <c r="AZ57" i="6"/>
  <c r="AZ62" i="6"/>
  <c r="P53" i="1"/>
  <c r="P56" i="1" s="1"/>
  <c r="L58" i="1"/>
  <c r="M61" i="6" s="1"/>
  <c r="AR57" i="1"/>
  <c r="AR7" i="11"/>
  <c r="AR24" i="11" s="1"/>
  <c r="AS29" i="6"/>
  <c r="AT29" i="6" s="1"/>
  <c r="AU29" i="6" s="1"/>
  <c r="P40" i="11"/>
  <c r="P41" i="11"/>
  <c r="Q28" i="6" s="1"/>
  <c r="R28" i="6" s="1"/>
  <c r="S28" i="6" s="1"/>
  <c r="T28" i="6" s="1"/>
  <c r="H23" i="13"/>
  <c r="C24" i="13" s="1"/>
  <c r="H24" i="13" s="1"/>
  <c r="C25" i="13" s="1"/>
  <c r="H25" i="13" s="1"/>
  <c r="C26" i="13" s="1"/>
  <c r="H26" i="13" s="1"/>
  <c r="L24" i="11"/>
  <c r="C50" i="7"/>
  <c r="AQ52" i="1"/>
  <c r="AQ56" i="1" s="1"/>
  <c r="G50" i="7"/>
  <c r="O30" i="6"/>
  <c r="B60" i="14"/>
  <c r="D60" i="14"/>
  <c r="BA4" i="6"/>
  <c r="AW39" i="11"/>
  <c r="AV52" i="1"/>
  <c r="AW56" i="1"/>
  <c r="AX52" i="1"/>
  <c r="B61" i="13"/>
  <c r="B61" i="12"/>
  <c r="F59" i="12"/>
  <c r="I58" i="14"/>
  <c r="E59" i="14"/>
  <c r="A61" i="14"/>
  <c r="D61" i="14" s="1"/>
  <c r="F59" i="13"/>
  <c r="I59" i="13"/>
  <c r="F60" i="13"/>
  <c r="BA54" i="1" s="1"/>
  <c r="E60" i="13"/>
  <c r="I59" i="12"/>
  <c r="F60" i="12"/>
  <c r="BA53" i="1" s="1"/>
  <c r="E60" i="12"/>
  <c r="B59" i="7"/>
  <c r="E58" i="7"/>
  <c r="A60" i="7"/>
  <c r="D60" i="7" s="1"/>
  <c r="G55" i="7"/>
  <c r="I57" i="7"/>
  <c r="G57" i="7"/>
  <c r="P27" i="6" l="1"/>
  <c r="BD27" i="6" s="1"/>
  <c r="BD30" i="6" s="1"/>
  <c r="H22" i="12"/>
  <c r="C23" i="12" s="1"/>
  <c r="H23" i="12" s="1"/>
  <c r="C24" i="12" s="1"/>
  <c r="H24" i="12" s="1"/>
  <c r="C25" i="12" s="1"/>
  <c r="H25" i="12" s="1"/>
  <c r="C26" i="12" s="1"/>
  <c r="H26" i="12" s="1"/>
  <c r="C27" i="12" s="1"/>
  <c r="C54" i="14"/>
  <c r="F54" i="14"/>
  <c r="O56" i="1"/>
  <c r="BC53" i="1"/>
  <c r="BC56" i="1" s="1"/>
  <c r="BC57" i="1" s="1"/>
  <c r="AZ79" i="6"/>
  <c r="AW13" i="6"/>
  <c r="AV15" i="11" s="1"/>
  <c r="AX13" i="6"/>
  <c r="AY13" i="6"/>
  <c r="AZ13" i="6"/>
  <c r="AX12" i="6"/>
  <c r="AY12" i="6"/>
  <c r="AZ12" i="6"/>
  <c r="BA78" i="6"/>
  <c r="BA12" i="6"/>
  <c r="BA13" i="6"/>
  <c r="BA68" i="6"/>
  <c r="BA77" i="6"/>
  <c r="BA57" i="6"/>
  <c r="BA62" i="6"/>
  <c r="M58" i="1"/>
  <c r="F27" i="13"/>
  <c r="C27" i="13"/>
  <c r="P57" i="1"/>
  <c r="P7" i="11"/>
  <c r="P24" i="11" s="1"/>
  <c r="F58" i="14"/>
  <c r="AQ39" i="11"/>
  <c r="H50" i="7"/>
  <c r="C51" i="7" s="1"/>
  <c r="H51" i="7" s="1"/>
  <c r="C52" i="7" s="1"/>
  <c r="H52" i="7" s="1"/>
  <c r="AQ57" i="1"/>
  <c r="AQ7" i="11"/>
  <c r="AQ24" i="11" s="1"/>
  <c r="BB4" i="6"/>
  <c r="AX39" i="11"/>
  <c r="AV39" i="11"/>
  <c r="AW57" i="1"/>
  <c r="AW7" i="11"/>
  <c r="AW24" i="11" s="1"/>
  <c r="G59" i="13"/>
  <c r="AZ54" i="1"/>
  <c r="G59" i="12"/>
  <c r="AZ40" i="11" s="1"/>
  <c r="AZ53" i="1"/>
  <c r="B61" i="14"/>
  <c r="E60" i="14"/>
  <c r="I59" i="14"/>
  <c r="E61" i="13"/>
  <c r="F61" i="13"/>
  <c r="BB54" i="1" s="1"/>
  <c r="I60" i="13"/>
  <c r="G60" i="13"/>
  <c r="BA41" i="11" s="1"/>
  <c r="I60" i="12"/>
  <c r="G60" i="12"/>
  <c r="BA40" i="11" s="1"/>
  <c r="E61" i="12"/>
  <c r="B60" i="7"/>
  <c r="E59" i="7"/>
  <c r="A61" i="7"/>
  <c r="D61" i="7" s="1"/>
  <c r="I58" i="7"/>
  <c r="Q27" i="6" l="1"/>
  <c r="Q30" i="6" s="1"/>
  <c r="P30" i="6"/>
  <c r="F27" i="12"/>
  <c r="T53" i="1" s="1"/>
  <c r="BA79" i="6"/>
  <c r="G54" i="14"/>
  <c r="AU42" i="11" s="1"/>
  <c r="AV29" i="6" s="1"/>
  <c r="AU55" i="1"/>
  <c r="O57" i="1"/>
  <c r="O7" i="11"/>
  <c r="BB78" i="6"/>
  <c r="BB12" i="6"/>
  <c r="BB13" i="6"/>
  <c r="BA15" i="11" s="1"/>
  <c r="BB68" i="6"/>
  <c r="BB77" i="6"/>
  <c r="BB57" i="6"/>
  <c r="BB62" i="6"/>
  <c r="N58" i="1"/>
  <c r="O61" i="6" s="1"/>
  <c r="N61" i="6"/>
  <c r="T54" i="1"/>
  <c r="G27" i="13"/>
  <c r="AY15" i="11"/>
  <c r="AW15" i="11"/>
  <c r="AX15" i="11"/>
  <c r="AZ15" i="11"/>
  <c r="AY55" i="1"/>
  <c r="G58" i="14"/>
  <c r="C53" i="7"/>
  <c r="F53" i="7"/>
  <c r="AR26" i="6"/>
  <c r="AS26" i="6" s="1"/>
  <c r="AT26" i="6" s="1"/>
  <c r="BC4" i="6"/>
  <c r="AZ41" i="11"/>
  <c r="E61" i="14"/>
  <c r="F61" i="14"/>
  <c r="BB55" i="1" s="1"/>
  <c r="I60" i="14"/>
  <c r="I61" i="13"/>
  <c r="G61" i="13"/>
  <c r="BB41" i="11" s="1"/>
  <c r="I61" i="12"/>
  <c r="I59" i="7"/>
  <c r="E60" i="7"/>
  <c r="F60" i="7"/>
  <c r="B61" i="7"/>
  <c r="R27" i="6" l="1"/>
  <c r="S27" i="6" s="1"/>
  <c r="G27" i="12"/>
  <c r="T40" i="11" s="1"/>
  <c r="H54" i="14"/>
  <c r="O24" i="11"/>
  <c r="BC24" i="11" s="1"/>
  <c r="BC7" i="11"/>
  <c r="BB79" i="6"/>
  <c r="C71" i="6"/>
  <c r="D71" i="6" s="1"/>
  <c r="BC13" i="6"/>
  <c r="BG13" i="6" s="1"/>
  <c r="BH13" i="6" s="1"/>
  <c r="BC12" i="6"/>
  <c r="O58" i="1"/>
  <c r="P61" i="6" s="1"/>
  <c r="D72" i="6"/>
  <c r="E72" i="6" s="1"/>
  <c r="F72" i="6" s="1"/>
  <c r="G72" i="6" s="1"/>
  <c r="H72" i="6" s="1"/>
  <c r="I72" i="6" s="1"/>
  <c r="J72" i="6" s="1"/>
  <c r="K72" i="6" s="1"/>
  <c r="L72" i="6" s="1"/>
  <c r="M72" i="6" s="1"/>
  <c r="N72" i="6" s="1"/>
  <c r="O72" i="6" s="1"/>
  <c r="P72" i="6" s="1"/>
  <c r="Q72" i="6" s="1"/>
  <c r="R72" i="6" s="1"/>
  <c r="S72" i="6" s="1"/>
  <c r="T72" i="6" s="1"/>
  <c r="U72" i="6" s="1"/>
  <c r="V72" i="6" s="1"/>
  <c r="W72" i="6" s="1"/>
  <c r="X72" i="6" s="1"/>
  <c r="Y72" i="6" s="1"/>
  <c r="Z72" i="6" s="1"/>
  <c r="AA72" i="6" s="1"/>
  <c r="AB72" i="6" s="1"/>
  <c r="AC72" i="6" s="1"/>
  <c r="AD72" i="6" s="1"/>
  <c r="AE72" i="6" s="1"/>
  <c r="AF72" i="6" s="1"/>
  <c r="AG72" i="6" s="1"/>
  <c r="AH72" i="6" s="1"/>
  <c r="AI72" i="6" s="1"/>
  <c r="AJ72" i="6" s="1"/>
  <c r="AK72" i="6" s="1"/>
  <c r="AL72" i="6" s="1"/>
  <c r="AM72" i="6" s="1"/>
  <c r="AN72" i="6" s="1"/>
  <c r="AO72" i="6" s="1"/>
  <c r="AP72" i="6" s="1"/>
  <c r="AQ72" i="6" s="1"/>
  <c r="AR72" i="6" s="1"/>
  <c r="AS72" i="6" s="1"/>
  <c r="AT72" i="6" s="1"/>
  <c r="AU72" i="6" s="1"/>
  <c r="AV72" i="6" s="1"/>
  <c r="AW72" i="6" s="1"/>
  <c r="AX72" i="6" s="1"/>
  <c r="AY72" i="6" s="1"/>
  <c r="AZ72" i="6" s="1"/>
  <c r="BA72" i="6" s="1"/>
  <c r="BB72" i="6" s="1"/>
  <c r="BC78" i="6"/>
  <c r="BC68" i="6"/>
  <c r="BC77" i="6"/>
  <c r="BC57" i="6"/>
  <c r="BC62" i="6"/>
  <c r="D65" i="6"/>
  <c r="E65" i="6" s="1"/>
  <c r="T56" i="1"/>
  <c r="T41" i="11"/>
  <c r="U28" i="6" s="1"/>
  <c r="H27" i="13"/>
  <c r="C59" i="6"/>
  <c r="C53" i="6"/>
  <c r="C54" i="6" s="1"/>
  <c r="AY42" i="11"/>
  <c r="AT52" i="1"/>
  <c r="G53" i="7"/>
  <c r="AT39" i="11" s="1"/>
  <c r="AU26" i="6" s="1"/>
  <c r="BH4" i="6"/>
  <c r="BA52" i="1"/>
  <c r="I61" i="14"/>
  <c r="G61" i="14"/>
  <c r="BB42" i="11" s="1"/>
  <c r="E61" i="7"/>
  <c r="F61" i="7"/>
  <c r="I60" i="7"/>
  <c r="G60" i="7"/>
  <c r="C55" i="14" l="1"/>
  <c r="F55" i="14"/>
  <c r="R30" i="6"/>
  <c r="H27" i="12"/>
  <c r="C28" i="12" s="1"/>
  <c r="H28" i="12" s="1"/>
  <c r="C29" i="12" s="1"/>
  <c r="H29" i="12" s="1"/>
  <c r="C30" i="12" s="1"/>
  <c r="H30" i="12" s="1"/>
  <c r="C31" i="12" s="1"/>
  <c r="C28" i="13"/>
  <c r="F28" i="13"/>
  <c r="BC72" i="6"/>
  <c r="P58" i="1"/>
  <c r="Q61" i="6" s="1"/>
  <c r="BC79" i="6"/>
  <c r="E71" i="6"/>
  <c r="D66" i="6"/>
  <c r="E66" i="6" s="1"/>
  <c r="F65" i="6"/>
  <c r="T57" i="1"/>
  <c r="T7" i="11"/>
  <c r="T24" i="11" s="1"/>
  <c r="C60" i="6"/>
  <c r="D59" i="6"/>
  <c r="E59" i="6" s="1"/>
  <c r="D53" i="6"/>
  <c r="BB15" i="11"/>
  <c r="H53" i="7"/>
  <c r="T27" i="6"/>
  <c r="S30" i="6"/>
  <c r="BA39" i="11"/>
  <c r="BG21" i="6"/>
  <c r="BB52" i="1"/>
  <c r="I61" i="7"/>
  <c r="G61" i="7"/>
  <c r="G55" i="14" l="1"/>
  <c r="AV42" i="11" s="1"/>
  <c r="AW29" i="6" s="1"/>
  <c r="AX29" i="6" s="1"/>
  <c r="AY29" i="6" s="1"/>
  <c r="AZ29" i="6" s="1"/>
  <c r="AV55" i="1"/>
  <c r="AV56" i="1" s="1"/>
  <c r="H55" i="14"/>
  <c r="C56" i="14" s="1"/>
  <c r="H56" i="14" s="1"/>
  <c r="C57" i="14" s="1"/>
  <c r="H57" i="14" s="1"/>
  <c r="C58" i="14" s="1"/>
  <c r="H58" i="14" s="1"/>
  <c r="F31" i="12"/>
  <c r="G31" i="12" s="1"/>
  <c r="U54" i="1"/>
  <c r="U56" i="1" s="1"/>
  <c r="G28" i="13"/>
  <c r="U41" i="11" s="1"/>
  <c r="V28" i="6" s="1"/>
  <c r="W28" i="6" s="1"/>
  <c r="X28" i="6" s="1"/>
  <c r="Q58" i="1"/>
  <c r="R61" i="6" s="1"/>
  <c r="E75" i="6"/>
  <c r="D60" i="1" s="1"/>
  <c r="F71" i="6"/>
  <c r="G65" i="6"/>
  <c r="F66" i="6"/>
  <c r="F59" i="6"/>
  <c r="D54" i="6"/>
  <c r="E53" i="6"/>
  <c r="F32" i="12"/>
  <c r="D60" i="6"/>
  <c r="D37" i="6" s="1"/>
  <c r="C54" i="7"/>
  <c r="F54" i="7"/>
  <c r="U27" i="6"/>
  <c r="T30" i="6"/>
  <c r="BB39" i="11"/>
  <c r="BH21" i="6"/>
  <c r="C59" i="14" l="1"/>
  <c r="F59" i="14"/>
  <c r="AV57" i="1"/>
  <c r="AV7" i="11"/>
  <c r="AV24" i="11" s="1"/>
  <c r="X53" i="1"/>
  <c r="X40" i="11"/>
  <c r="H31" i="12"/>
  <c r="C32" i="12" s="1"/>
  <c r="H28" i="13"/>
  <c r="C29" i="13" s="1"/>
  <c r="H29" i="13" s="1"/>
  <c r="C30" i="13" s="1"/>
  <c r="H30" i="13" s="1"/>
  <c r="U57" i="1"/>
  <c r="U7" i="11"/>
  <c r="U24" i="11" s="1"/>
  <c r="R58" i="1"/>
  <c r="S61" i="6" s="1"/>
  <c r="G71" i="6"/>
  <c r="F75" i="6"/>
  <c r="E60" i="1" s="1"/>
  <c r="H65" i="6"/>
  <c r="G66" i="6"/>
  <c r="G59" i="6"/>
  <c r="E60" i="6"/>
  <c r="F60" i="6" s="1"/>
  <c r="F53" i="6"/>
  <c r="E54" i="6"/>
  <c r="G32" i="12"/>
  <c r="Y40" i="11" s="1"/>
  <c r="Y53" i="1"/>
  <c r="G54" i="7"/>
  <c r="AU39" i="11" s="1"/>
  <c r="AV26" i="6" s="1"/>
  <c r="AW26" i="6" s="1"/>
  <c r="AX26" i="6" s="1"/>
  <c r="AY26" i="6" s="1"/>
  <c r="AU52" i="1"/>
  <c r="V27" i="6"/>
  <c r="U30" i="6"/>
  <c r="AZ55" i="1" l="1"/>
  <c r="G59" i="14"/>
  <c r="C31" i="13"/>
  <c r="F31" i="13"/>
  <c r="F60" i="14"/>
  <c r="E37" i="6"/>
  <c r="S58" i="1"/>
  <c r="T61" i="6" s="1"/>
  <c r="G75" i="6"/>
  <c r="H71" i="6"/>
  <c r="I71" i="6" s="1"/>
  <c r="H66" i="6"/>
  <c r="I65" i="6"/>
  <c r="H59" i="6"/>
  <c r="G60" i="6"/>
  <c r="G53" i="6"/>
  <c r="F54" i="6"/>
  <c r="H32" i="12"/>
  <c r="C33" i="12" s="1"/>
  <c r="H33" i="12" s="1"/>
  <c r="C34" i="12" s="1"/>
  <c r="H34" i="12" s="1"/>
  <c r="F37" i="6"/>
  <c r="H54" i="7"/>
  <c r="C55" i="7" s="1"/>
  <c r="H55" i="7" s="1"/>
  <c r="C56" i="7" s="1"/>
  <c r="H56" i="7" s="1"/>
  <c r="C57" i="7" s="1"/>
  <c r="H57" i="7" s="1"/>
  <c r="W27" i="6"/>
  <c r="V30" i="6"/>
  <c r="H59" i="14" l="1"/>
  <c r="C60" i="14" s="1"/>
  <c r="AZ42" i="11"/>
  <c r="BA29" i="6" s="1"/>
  <c r="C35" i="12"/>
  <c r="F35" i="12"/>
  <c r="X54" i="1"/>
  <c r="X56" i="1" s="1"/>
  <c r="G31" i="13"/>
  <c r="X41" i="11" s="1"/>
  <c r="Y28" i="6" s="1"/>
  <c r="BA55" i="1"/>
  <c r="G60" i="14"/>
  <c r="BA42" i="11" s="1"/>
  <c r="T58" i="1"/>
  <c r="U61" i="6" s="1"/>
  <c r="F60" i="1"/>
  <c r="I75" i="6"/>
  <c r="H60" i="1" s="1"/>
  <c r="J71" i="6"/>
  <c r="I66" i="6"/>
  <c r="J65" i="6"/>
  <c r="H60" i="6"/>
  <c r="I59" i="6"/>
  <c r="H53" i="6"/>
  <c r="G54" i="6"/>
  <c r="G37" i="6"/>
  <c r="C58" i="7"/>
  <c r="F58" i="7"/>
  <c r="X27" i="6"/>
  <c r="W30" i="6"/>
  <c r="BB29" i="6" l="1"/>
  <c r="BC29" i="6" s="1"/>
  <c r="BG29" i="6" s="1"/>
  <c r="BH29" i="6" s="1"/>
  <c r="U58" i="1"/>
  <c r="V61" i="6" s="1"/>
  <c r="X57" i="1"/>
  <c r="X7" i="11"/>
  <c r="X24" i="11" s="1"/>
  <c r="AB53" i="1"/>
  <c r="G35" i="12"/>
  <c r="AB40" i="11" s="1"/>
  <c r="BD40" i="11" s="1"/>
  <c r="H31" i="13"/>
  <c r="BF42" i="11"/>
  <c r="BG42" i="11" s="1"/>
  <c r="H60" i="14"/>
  <c r="C61" i="14" s="1"/>
  <c r="H61" i="14" s="1"/>
  <c r="BA56" i="1"/>
  <c r="BF55" i="1"/>
  <c r="BG55" i="1" s="1"/>
  <c r="K71" i="6"/>
  <c r="J75" i="6"/>
  <c r="I60" i="1" s="1"/>
  <c r="K65" i="6"/>
  <c r="J66" i="6"/>
  <c r="I60" i="6"/>
  <c r="J59" i="6"/>
  <c r="I53" i="6"/>
  <c r="H54" i="6"/>
  <c r="H37" i="6"/>
  <c r="AY52" i="1"/>
  <c r="G58" i="7"/>
  <c r="AY39" i="11" s="1"/>
  <c r="AZ26" i="6" s="1"/>
  <c r="Y27" i="6"/>
  <c r="X30" i="6"/>
  <c r="V58" i="1" l="1"/>
  <c r="W61" i="6" s="1"/>
  <c r="AB56" i="1"/>
  <c r="BD53" i="1"/>
  <c r="H35" i="12"/>
  <c r="F32" i="13"/>
  <c r="C32" i="13"/>
  <c r="BA57" i="1"/>
  <c r="BA7" i="11"/>
  <c r="BA24" i="11" s="1"/>
  <c r="K75" i="6"/>
  <c r="J60" i="1" s="1"/>
  <c r="L71" i="6"/>
  <c r="L65" i="6"/>
  <c r="K66" i="6"/>
  <c r="J60" i="6"/>
  <c r="K59" i="6"/>
  <c r="J53" i="6"/>
  <c r="I54" i="6"/>
  <c r="I37" i="6"/>
  <c r="H58" i="7"/>
  <c r="Z27" i="6"/>
  <c r="Y30" i="6"/>
  <c r="C36" i="12" l="1"/>
  <c r="F36" i="12"/>
  <c r="W58" i="1"/>
  <c r="X61" i="6" s="1"/>
  <c r="G32" i="13"/>
  <c r="Y54" i="1"/>
  <c r="AB57" i="1"/>
  <c r="AB7" i="11"/>
  <c r="AB24" i="11" s="1"/>
  <c r="L75" i="6"/>
  <c r="K60" i="1" s="1"/>
  <c r="M71" i="6"/>
  <c r="L66" i="6"/>
  <c r="M65" i="6"/>
  <c r="L59" i="6"/>
  <c r="K60" i="6"/>
  <c r="K53" i="6"/>
  <c r="J54" i="6"/>
  <c r="C59" i="7"/>
  <c r="F59" i="7"/>
  <c r="J37" i="6"/>
  <c r="AA27" i="6"/>
  <c r="AC53" i="1" l="1"/>
  <c r="G36" i="12"/>
  <c r="AC40" i="11" s="1"/>
  <c r="X58" i="1"/>
  <c r="Y61" i="6" s="1"/>
  <c r="BD54" i="1"/>
  <c r="BD56" i="1" s="1"/>
  <c r="BD57" i="1" s="1"/>
  <c r="Y56" i="1"/>
  <c r="Y41" i="11"/>
  <c r="H32" i="13"/>
  <c r="C33" i="13" s="1"/>
  <c r="H33" i="13" s="1"/>
  <c r="C34" i="13" s="1"/>
  <c r="H34" i="13" s="1"/>
  <c r="C35" i="13" s="1"/>
  <c r="H35" i="13" s="1"/>
  <c r="F41" i="13"/>
  <c r="G41" i="13" s="1"/>
  <c r="AH41" i="11" s="1"/>
  <c r="N71" i="6"/>
  <c r="M66" i="6"/>
  <c r="N65" i="6"/>
  <c r="M59" i="6"/>
  <c r="L60" i="6"/>
  <c r="L53" i="6"/>
  <c r="K54" i="6"/>
  <c r="AZ52" i="1"/>
  <c r="G59" i="7"/>
  <c r="AZ39" i="11" s="1"/>
  <c r="K37" i="6"/>
  <c r="AB27" i="6"/>
  <c r="H36" i="12" l="1"/>
  <c r="C37" i="12" s="1"/>
  <c r="H37" i="12" s="1"/>
  <c r="C38" i="12" s="1"/>
  <c r="H38" i="12" s="1"/>
  <c r="C39" i="12" s="1"/>
  <c r="H39" i="12" s="1"/>
  <c r="C40" i="12" s="1"/>
  <c r="AH54" i="1"/>
  <c r="Z28" i="6"/>
  <c r="BD41" i="11"/>
  <c r="Y57" i="1"/>
  <c r="Y58" i="1" s="1"/>
  <c r="Z61" i="6" s="1"/>
  <c r="Y7" i="11"/>
  <c r="C36" i="13"/>
  <c r="F36" i="13"/>
  <c r="N75" i="6"/>
  <c r="M60" i="1" s="1"/>
  <c r="O71" i="6"/>
  <c r="O65" i="6"/>
  <c r="N66" i="6"/>
  <c r="M60" i="6"/>
  <c r="N59" i="6"/>
  <c r="M53" i="6"/>
  <c r="L54" i="6"/>
  <c r="H59" i="7"/>
  <c r="C60" i="7" s="1"/>
  <c r="H60" i="7" s="1"/>
  <c r="C61" i="7" s="1"/>
  <c r="H61" i="7" s="1"/>
  <c r="BF39" i="11"/>
  <c r="BG39" i="11" s="1"/>
  <c r="BA26" i="6"/>
  <c r="BB26" i="6" s="1"/>
  <c r="BC26" i="6" s="1"/>
  <c r="BG26" i="6" s="1"/>
  <c r="BH26" i="6" s="1"/>
  <c r="AZ56" i="1"/>
  <c r="BF52" i="1"/>
  <c r="BG52" i="1" s="1"/>
  <c r="L37" i="6"/>
  <c r="AC27" i="6"/>
  <c r="BE27" i="6" s="1"/>
  <c r="F40" i="12" l="1"/>
  <c r="G40" i="12" s="1"/>
  <c r="AG53" i="1"/>
  <c r="Z58" i="1"/>
  <c r="AA61" i="6" s="1"/>
  <c r="G36" i="13"/>
  <c r="AC54" i="1"/>
  <c r="AC56" i="1" s="1"/>
  <c r="AA28" i="6"/>
  <c r="Z30" i="6"/>
  <c r="Y24" i="11"/>
  <c r="BD24" i="11" s="1"/>
  <c r="BD7" i="11"/>
  <c r="F41" i="12"/>
  <c r="P71" i="6"/>
  <c r="P65" i="6"/>
  <c r="O66" i="6"/>
  <c r="N60" i="6"/>
  <c r="O59" i="6"/>
  <c r="N53" i="6"/>
  <c r="M54" i="6"/>
  <c r="AZ57" i="1"/>
  <c r="AZ7" i="11"/>
  <c r="AZ24" i="11" s="1"/>
  <c r="M37" i="6"/>
  <c r="AD27" i="6"/>
  <c r="AG40" i="11" l="1"/>
  <c r="H40" i="12"/>
  <c r="C41" i="12" s="1"/>
  <c r="AA58" i="1"/>
  <c r="AB61" i="6" s="1"/>
  <c r="AC57" i="1"/>
  <c r="AC7" i="11"/>
  <c r="AC24" i="11" s="1"/>
  <c r="AC41" i="11"/>
  <c r="H36" i="13"/>
  <c r="C37" i="13" s="1"/>
  <c r="H37" i="13" s="1"/>
  <c r="C38" i="13" s="1"/>
  <c r="H38" i="13" s="1"/>
  <c r="C39" i="13" s="1"/>
  <c r="H39" i="13" s="1"/>
  <c r="AB28" i="6"/>
  <c r="AA30" i="6"/>
  <c r="AH53" i="1"/>
  <c r="AH56" i="1" s="1"/>
  <c r="G41" i="12"/>
  <c r="AH40" i="11" s="1"/>
  <c r="P75" i="6"/>
  <c r="O60" i="1" s="1"/>
  <c r="Q71" i="6"/>
  <c r="P66" i="6"/>
  <c r="Q65" i="6"/>
  <c r="P59" i="6"/>
  <c r="O60" i="6"/>
  <c r="O53" i="6"/>
  <c r="N54" i="6"/>
  <c r="N37" i="6"/>
  <c r="AE27" i="6"/>
  <c r="AB58" i="1" l="1"/>
  <c r="AC61" i="6" s="1"/>
  <c r="C40" i="13"/>
  <c r="F40" i="13"/>
  <c r="AC28" i="6"/>
  <c r="AB30" i="6"/>
  <c r="AH7" i="11"/>
  <c r="AH24" i="11" s="1"/>
  <c r="AH57" i="1"/>
  <c r="H41" i="12"/>
  <c r="C42" i="12" s="1"/>
  <c r="H42" i="12" s="1"/>
  <c r="C43" i="12" s="1"/>
  <c r="H43" i="12" s="1"/>
  <c r="R71" i="6"/>
  <c r="Q66" i="6"/>
  <c r="R65" i="6"/>
  <c r="Q59" i="6"/>
  <c r="P60" i="6"/>
  <c r="P53" i="6"/>
  <c r="O54" i="6"/>
  <c r="O37" i="6"/>
  <c r="AF27" i="6"/>
  <c r="AC58" i="1" l="1"/>
  <c r="AD61" i="6" s="1"/>
  <c r="C44" i="12"/>
  <c r="F44" i="12"/>
  <c r="BE28" i="6"/>
  <c r="BE30" i="6" s="1"/>
  <c r="AC30" i="6"/>
  <c r="AD28" i="6"/>
  <c r="AG54" i="1"/>
  <c r="G40" i="13"/>
  <c r="AG41" i="11" s="1"/>
  <c r="F45" i="12"/>
  <c r="R75" i="6"/>
  <c r="Q60" i="1" s="1"/>
  <c r="S71" i="6"/>
  <c r="S65" i="6"/>
  <c r="R66" i="6"/>
  <c r="Q60" i="6"/>
  <c r="R59" i="6"/>
  <c r="Q53" i="6"/>
  <c r="P54" i="6"/>
  <c r="P37" i="6"/>
  <c r="BD37" i="6" s="1"/>
  <c r="AG27" i="6"/>
  <c r="AD58" i="1" l="1"/>
  <c r="AE61" i="6" s="1"/>
  <c r="H40" i="13"/>
  <c r="C41" i="13" s="1"/>
  <c r="H41" i="13" s="1"/>
  <c r="C42" i="13" s="1"/>
  <c r="H42" i="13" s="1"/>
  <c r="C43" i="13" s="1"/>
  <c r="H43" i="13" s="1"/>
  <c r="C44" i="13" s="1"/>
  <c r="AG56" i="1"/>
  <c r="G44" i="12"/>
  <c r="AK40" i="11" s="1"/>
  <c r="AK53" i="1"/>
  <c r="AE28" i="6"/>
  <c r="AD30" i="6"/>
  <c r="G45" i="12"/>
  <c r="AL53" i="1"/>
  <c r="S75" i="6"/>
  <c r="R60" i="1" s="1"/>
  <c r="T71" i="6"/>
  <c r="T65" i="6"/>
  <c r="S66" i="6"/>
  <c r="S59" i="6"/>
  <c r="R60" i="6"/>
  <c r="R53" i="6"/>
  <c r="Q54" i="6"/>
  <c r="Q37" i="6"/>
  <c r="AH27" i="6"/>
  <c r="AE58" i="1" l="1"/>
  <c r="AF61" i="6" s="1"/>
  <c r="H44" i="12"/>
  <c r="C45" i="12" s="1"/>
  <c r="H45" i="12" s="1"/>
  <c r="C46" i="12" s="1"/>
  <c r="H46" i="12" s="1"/>
  <c r="C47" i="12" s="1"/>
  <c r="H47" i="12" s="1"/>
  <c r="C48" i="12" s="1"/>
  <c r="H48" i="12" s="1"/>
  <c r="F44" i="13"/>
  <c r="G44" i="13" s="1"/>
  <c r="AK41" i="11" s="1"/>
  <c r="AF28" i="6"/>
  <c r="AE30" i="6"/>
  <c r="AG57" i="1"/>
  <c r="AG7" i="11"/>
  <c r="AG24" i="11" s="1"/>
  <c r="AL40" i="11"/>
  <c r="BE40" i="11" s="1"/>
  <c r="BE53" i="1"/>
  <c r="T75" i="6"/>
  <c r="U71" i="6"/>
  <c r="V71" i="6" s="1"/>
  <c r="T66" i="6"/>
  <c r="U65" i="6"/>
  <c r="T59" i="6"/>
  <c r="S60" i="6"/>
  <c r="S53" i="6"/>
  <c r="R54" i="6"/>
  <c r="R37" i="6"/>
  <c r="AI27" i="6"/>
  <c r="AF58" i="1" l="1"/>
  <c r="AG61" i="6" s="1"/>
  <c r="AK54" i="1"/>
  <c r="H44" i="13"/>
  <c r="AG28" i="6"/>
  <c r="AF30" i="6"/>
  <c r="F49" i="12"/>
  <c r="C49" i="12"/>
  <c r="S60" i="1"/>
  <c r="V75" i="6"/>
  <c r="U60" i="1" s="1"/>
  <c r="W71" i="6"/>
  <c r="U66" i="6"/>
  <c r="V65" i="6"/>
  <c r="T60" i="6"/>
  <c r="U59" i="6"/>
  <c r="T53" i="6"/>
  <c r="S54" i="6"/>
  <c r="S37" i="6"/>
  <c r="AJ27" i="6"/>
  <c r="C45" i="13" l="1"/>
  <c r="F45" i="13"/>
  <c r="AG58" i="1"/>
  <c r="AH61" i="6" s="1"/>
  <c r="AK56" i="1"/>
  <c r="AK57" i="1" s="1"/>
  <c r="AH28" i="6"/>
  <c r="AG30" i="6"/>
  <c r="G49" i="12"/>
  <c r="AP53" i="1"/>
  <c r="W75" i="6"/>
  <c r="V60" i="1" s="1"/>
  <c r="X71" i="6"/>
  <c r="W65" i="6"/>
  <c r="V66" i="6"/>
  <c r="U60" i="6"/>
  <c r="V59" i="6"/>
  <c r="U53" i="6"/>
  <c r="T54" i="6"/>
  <c r="T37" i="6"/>
  <c r="AK27" i="6"/>
  <c r="G45" i="13" l="1"/>
  <c r="AL41" i="11" s="1"/>
  <c r="BE41" i="11" s="1"/>
  <c r="AL54" i="1"/>
  <c r="H45" i="13"/>
  <c r="C46" i="13" s="1"/>
  <c r="H46" i="13" s="1"/>
  <c r="C47" i="13" s="1"/>
  <c r="H47" i="13" s="1"/>
  <c r="C48" i="13" s="1"/>
  <c r="H48" i="13" s="1"/>
  <c r="AH58" i="1"/>
  <c r="AI61" i="6" s="1"/>
  <c r="AK7" i="11"/>
  <c r="AK24" i="11" s="1"/>
  <c r="AI28" i="6"/>
  <c r="AH30" i="6"/>
  <c r="H49" i="12"/>
  <c r="C50" i="12" s="1"/>
  <c r="H50" i="12" s="1"/>
  <c r="C51" i="12" s="1"/>
  <c r="H51" i="12" s="1"/>
  <c r="C52" i="12" s="1"/>
  <c r="H52" i="12" s="1"/>
  <c r="AP40" i="11"/>
  <c r="X75" i="6"/>
  <c r="W60" i="1" s="1"/>
  <c r="Y71" i="6"/>
  <c r="X65" i="6"/>
  <c r="W66" i="6"/>
  <c r="W59" i="6"/>
  <c r="V60" i="6"/>
  <c r="V37" i="6" s="1"/>
  <c r="V53" i="6"/>
  <c r="U54" i="6"/>
  <c r="U37" i="6"/>
  <c r="F54" i="13"/>
  <c r="AL27" i="6"/>
  <c r="C49" i="13" l="1"/>
  <c r="F49" i="13"/>
  <c r="AL56" i="1"/>
  <c r="BE54" i="1"/>
  <c r="BE56" i="1" s="1"/>
  <c r="BE57" i="1" s="1"/>
  <c r="AI58" i="1"/>
  <c r="AJ61" i="6" s="1"/>
  <c r="C53" i="12"/>
  <c r="F53" i="12"/>
  <c r="AJ28" i="6"/>
  <c r="AI30" i="6"/>
  <c r="F54" i="12"/>
  <c r="Y75" i="6"/>
  <c r="X60" i="1" s="1"/>
  <c r="Z71" i="6"/>
  <c r="X66" i="6"/>
  <c r="Y65" i="6"/>
  <c r="X59" i="6"/>
  <c r="W60" i="6"/>
  <c r="W37" i="6" s="1"/>
  <c r="W53" i="6"/>
  <c r="V54" i="6"/>
  <c r="G54" i="13"/>
  <c r="AU54" i="1"/>
  <c r="AM27" i="6"/>
  <c r="AL7" i="11" l="1"/>
  <c r="AL57" i="1"/>
  <c r="G49" i="13"/>
  <c r="AP54" i="1"/>
  <c r="AP56" i="1" s="1"/>
  <c r="AJ58" i="1"/>
  <c r="AK61" i="6" s="1"/>
  <c r="G53" i="12"/>
  <c r="AT40" i="11" s="1"/>
  <c r="AT53" i="1"/>
  <c r="AK28" i="6"/>
  <c r="AJ30" i="6"/>
  <c r="G54" i="12"/>
  <c r="AU40" i="11" s="1"/>
  <c r="AU53" i="1"/>
  <c r="AU56" i="1" s="1"/>
  <c r="AA71" i="6"/>
  <c r="Y66" i="6"/>
  <c r="Z65" i="6"/>
  <c r="X60" i="6"/>
  <c r="X37" i="6" s="1"/>
  <c r="Y59" i="6"/>
  <c r="X53" i="6"/>
  <c r="W54" i="6"/>
  <c r="AU41" i="11"/>
  <c r="AN27" i="6"/>
  <c r="AP57" i="1" l="1"/>
  <c r="AP7" i="11"/>
  <c r="AP24" i="11" s="1"/>
  <c r="AP41" i="11"/>
  <c r="H49" i="13"/>
  <c r="C50" i="13" s="1"/>
  <c r="H50" i="13" s="1"/>
  <c r="C51" i="13" s="1"/>
  <c r="H51" i="13" s="1"/>
  <c r="C52" i="13" s="1"/>
  <c r="H52" i="13" s="1"/>
  <c r="AL24" i="11"/>
  <c r="BE24" i="11" s="1"/>
  <c r="BE7" i="11"/>
  <c r="AK58" i="1"/>
  <c r="AL61" i="6" s="1"/>
  <c r="AL28" i="6"/>
  <c r="AK30" i="6"/>
  <c r="H53" i="12"/>
  <c r="C54" i="12" s="1"/>
  <c r="H54" i="12" s="1"/>
  <c r="C55" i="12" s="1"/>
  <c r="H55" i="12" s="1"/>
  <c r="C56" i="12" s="1"/>
  <c r="H56" i="12" s="1"/>
  <c r="AU57" i="1"/>
  <c r="AU7" i="11"/>
  <c r="AU24" i="11" s="1"/>
  <c r="AA75" i="6"/>
  <c r="Z60" i="1" s="1"/>
  <c r="AB71" i="6"/>
  <c r="AA65" i="6"/>
  <c r="Z66" i="6"/>
  <c r="Y60" i="6"/>
  <c r="Y37" i="6" s="1"/>
  <c r="Z59" i="6"/>
  <c r="Y53" i="6"/>
  <c r="X54" i="6"/>
  <c r="AO27" i="6"/>
  <c r="F53" i="13" l="1"/>
  <c r="C53" i="13"/>
  <c r="AL58" i="1"/>
  <c r="AM61" i="6" s="1"/>
  <c r="AM28" i="6"/>
  <c r="AL30" i="6"/>
  <c r="C57" i="12"/>
  <c r="F57" i="12"/>
  <c r="F58" i="12"/>
  <c r="AB75" i="6"/>
  <c r="AA60" i="1" s="1"/>
  <c r="AC71" i="6"/>
  <c r="AB65" i="6"/>
  <c r="AA66" i="6"/>
  <c r="Z60" i="6"/>
  <c r="Z37" i="6" s="1"/>
  <c r="AA59" i="6"/>
  <c r="Z53" i="6"/>
  <c r="Y54" i="6"/>
  <c r="AP27" i="6"/>
  <c r="BF27" i="6" s="1"/>
  <c r="G53" i="13" l="1"/>
  <c r="AT54" i="1"/>
  <c r="AT56" i="1" s="1"/>
  <c r="AM58" i="1"/>
  <c r="AN61" i="6" s="1"/>
  <c r="AX53" i="1"/>
  <c r="AX56" i="1" s="1"/>
  <c r="G57" i="12"/>
  <c r="AX40" i="11" s="1"/>
  <c r="AN28" i="6"/>
  <c r="AM30" i="6"/>
  <c r="AY53" i="1"/>
  <c r="G58" i="12"/>
  <c r="AD71" i="6"/>
  <c r="AB66" i="6"/>
  <c r="AC65" i="6"/>
  <c r="AB59" i="6"/>
  <c r="AA60" i="6"/>
  <c r="AA37" i="6" s="1"/>
  <c r="AA53" i="6"/>
  <c r="Z54" i="6"/>
  <c r="AQ27" i="6"/>
  <c r="AT57" i="1" l="1"/>
  <c r="AT7" i="11"/>
  <c r="AT24" i="11" s="1"/>
  <c r="AT41" i="11"/>
  <c r="H53" i="13"/>
  <c r="C54" i="13" s="1"/>
  <c r="H54" i="13" s="1"/>
  <c r="C55" i="13" s="1"/>
  <c r="H55" i="13" s="1"/>
  <c r="C56" i="13" s="1"/>
  <c r="H56" i="13" s="1"/>
  <c r="C57" i="13" s="1"/>
  <c r="H57" i="13" s="1"/>
  <c r="AN58" i="1"/>
  <c r="AO61" i="6" s="1"/>
  <c r="AX7" i="11"/>
  <c r="AX24" i="11" s="1"/>
  <c r="AX57" i="1"/>
  <c r="AO28" i="6"/>
  <c r="AN30" i="6"/>
  <c r="H57" i="12"/>
  <c r="C58" i="12" s="1"/>
  <c r="H58" i="12" s="1"/>
  <c r="C59" i="12" s="1"/>
  <c r="H59" i="12" s="1"/>
  <c r="C60" i="12" s="1"/>
  <c r="H60" i="12" s="1"/>
  <c r="AY40" i="11"/>
  <c r="AE71" i="6"/>
  <c r="AC66" i="6"/>
  <c r="AD65" i="6"/>
  <c r="AB60" i="6"/>
  <c r="AB37" i="6" s="1"/>
  <c r="AC59" i="6"/>
  <c r="AB53" i="6"/>
  <c r="AA54" i="6"/>
  <c r="AR27" i="6"/>
  <c r="F58" i="13" l="1"/>
  <c r="C58" i="13"/>
  <c r="AO58" i="1"/>
  <c r="AP61" i="6" s="1"/>
  <c r="C61" i="12"/>
  <c r="F61" i="12"/>
  <c r="AP28" i="6"/>
  <c r="AO30" i="6"/>
  <c r="AE75" i="6"/>
  <c r="AD60" i="1" s="1"/>
  <c r="AF71" i="6"/>
  <c r="AE65" i="6"/>
  <c r="AD66" i="6"/>
  <c r="AC60" i="6"/>
  <c r="AD59" i="6"/>
  <c r="AC53" i="6"/>
  <c r="AB54" i="6"/>
  <c r="AS27" i="6"/>
  <c r="G58" i="13" l="1"/>
  <c r="AY54" i="1"/>
  <c r="AP58" i="1"/>
  <c r="AQ61" i="6" s="1"/>
  <c r="BF28" i="6"/>
  <c r="BF30" i="6" s="1"/>
  <c r="AQ28" i="6"/>
  <c r="AP30" i="6"/>
  <c r="BB53" i="1"/>
  <c r="G61" i="12"/>
  <c r="BB40" i="11" s="1"/>
  <c r="BF40" i="11" s="1"/>
  <c r="BG40" i="11" s="1"/>
  <c r="AF75" i="6"/>
  <c r="AE60" i="1" s="1"/>
  <c r="AG71" i="6"/>
  <c r="AF65" i="6"/>
  <c r="AE66" i="6"/>
  <c r="AD60" i="6"/>
  <c r="AD37" i="6" s="1"/>
  <c r="AE59" i="6"/>
  <c r="AD53" i="6"/>
  <c r="AC54" i="6"/>
  <c r="AC37" i="6"/>
  <c r="BE37" i="6" s="1"/>
  <c r="AT27" i="6"/>
  <c r="BF54" i="1" l="1"/>
  <c r="BG54" i="1" s="1"/>
  <c r="AY56" i="1"/>
  <c r="H58" i="13"/>
  <c r="C59" i="13" s="1"/>
  <c r="H59" i="13" s="1"/>
  <c r="C60" i="13" s="1"/>
  <c r="H60" i="13" s="1"/>
  <c r="C61" i="13" s="1"/>
  <c r="H61" i="13" s="1"/>
  <c r="AY41" i="11"/>
  <c r="BF41" i="11" s="1"/>
  <c r="BG41" i="11" s="1"/>
  <c r="AQ58" i="1"/>
  <c r="AR61" i="6" s="1"/>
  <c r="BB56" i="1"/>
  <c r="BF53" i="1"/>
  <c r="H61" i="12"/>
  <c r="AR28" i="6"/>
  <c r="AQ30" i="6"/>
  <c r="AG75" i="6"/>
  <c r="AH71" i="6"/>
  <c r="AI71" i="6" s="1"/>
  <c r="AF66" i="6"/>
  <c r="AG65" i="6"/>
  <c r="AF59" i="6"/>
  <c r="AE60" i="6"/>
  <c r="AE37" i="6" s="1"/>
  <c r="AE53" i="6"/>
  <c r="AD54" i="6"/>
  <c r="AU27" i="6"/>
  <c r="AY7" i="11" l="1"/>
  <c r="AY24" i="11" s="1"/>
  <c r="AY57" i="1"/>
  <c r="AR58" i="1"/>
  <c r="AS61" i="6" s="1"/>
  <c r="AS28" i="6"/>
  <c r="AR30" i="6"/>
  <c r="BG53" i="1"/>
  <c r="BG56" i="1" s="1"/>
  <c r="BG57" i="1" s="1"/>
  <c r="BF56" i="1"/>
  <c r="BF57" i="1" s="1"/>
  <c r="BB7" i="11"/>
  <c r="BB57" i="1"/>
  <c r="AF60" i="1"/>
  <c r="AI75" i="6"/>
  <c r="AH60" i="1" s="1"/>
  <c r="AJ71" i="6"/>
  <c r="AG66" i="6"/>
  <c r="AH65" i="6"/>
  <c r="AF60" i="6"/>
  <c r="AF37" i="6" s="1"/>
  <c r="AG59" i="6"/>
  <c r="AF53" i="6"/>
  <c r="AE54" i="6"/>
  <c r="AV27" i="6"/>
  <c r="AS58" i="1" l="1"/>
  <c r="AT61" i="6" s="1"/>
  <c r="BB24" i="11"/>
  <c r="BF24" i="11" s="1"/>
  <c r="BG24" i="11" s="1"/>
  <c r="BF7" i="11"/>
  <c r="BG7" i="11" s="1"/>
  <c r="AT28" i="6"/>
  <c r="AS30" i="6"/>
  <c r="AJ75" i="6"/>
  <c r="AI60" i="1" s="1"/>
  <c r="AK71" i="6"/>
  <c r="AT58" i="1"/>
  <c r="AU61" i="6" s="1"/>
  <c r="AI65" i="6"/>
  <c r="AH66" i="6"/>
  <c r="AG60" i="6"/>
  <c r="AG37" i="6" s="1"/>
  <c r="AH59" i="6"/>
  <c r="AG53" i="6"/>
  <c r="AF54" i="6"/>
  <c r="AW27" i="6"/>
  <c r="AU28" i="6" l="1"/>
  <c r="AT30" i="6"/>
  <c r="AK75" i="6"/>
  <c r="AJ60" i="1" s="1"/>
  <c r="AL71" i="6"/>
  <c r="AU58" i="1"/>
  <c r="AJ65" i="6"/>
  <c r="AI66" i="6"/>
  <c r="AH60" i="6"/>
  <c r="AH37" i="6" s="1"/>
  <c r="AI59" i="6"/>
  <c r="AH53" i="6"/>
  <c r="AG54" i="6"/>
  <c r="AX27" i="6"/>
  <c r="AV28" i="6" l="1"/>
  <c r="AU30" i="6"/>
  <c r="AL75" i="6"/>
  <c r="AK60" i="1" s="1"/>
  <c r="AM71" i="6"/>
  <c r="AV61" i="6"/>
  <c r="AV58" i="1"/>
  <c r="AW61" i="6" s="1"/>
  <c r="AJ66" i="6"/>
  <c r="AK65" i="6"/>
  <c r="AJ59" i="6"/>
  <c r="AI60" i="6"/>
  <c r="AI37" i="6" s="1"/>
  <c r="AI53" i="6"/>
  <c r="AH54" i="6"/>
  <c r="AY27" i="6"/>
  <c r="AW28" i="6" l="1"/>
  <c r="AV30" i="6"/>
  <c r="AN71" i="6"/>
  <c r="AW58" i="1"/>
  <c r="AX61" i="6" s="1"/>
  <c r="AK66" i="6"/>
  <c r="AL65" i="6"/>
  <c r="AJ60" i="6"/>
  <c r="AJ37" i="6" s="1"/>
  <c r="AK59" i="6"/>
  <c r="AJ53" i="6"/>
  <c r="AI54" i="6"/>
  <c r="AZ27" i="6"/>
  <c r="AX28" i="6" l="1"/>
  <c r="AW30" i="6"/>
  <c r="AN75" i="6"/>
  <c r="AM60" i="1" s="1"/>
  <c r="AO71" i="6"/>
  <c r="AX58" i="1"/>
  <c r="AY61" i="6" s="1"/>
  <c r="AM65" i="6"/>
  <c r="AL66" i="6"/>
  <c r="AK60" i="6"/>
  <c r="AK37" i="6" s="1"/>
  <c r="AL59" i="6"/>
  <c r="AK53" i="6"/>
  <c r="AJ54" i="6"/>
  <c r="BA27" i="6"/>
  <c r="AY28" i="6" l="1"/>
  <c r="AX30" i="6"/>
  <c r="AO75" i="6"/>
  <c r="AN60" i="1" s="1"/>
  <c r="AP71" i="6"/>
  <c r="AY58" i="1"/>
  <c r="AZ61" i="6" s="1"/>
  <c r="AN65" i="6"/>
  <c r="AM66" i="6"/>
  <c r="AM59" i="6"/>
  <c r="AL60" i="6"/>
  <c r="AL37" i="6" s="1"/>
  <c r="AL53" i="6"/>
  <c r="AK54" i="6"/>
  <c r="BB27" i="6"/>
  <c r="AZ28" i="6" l="1"/>
  <c r="AY30" i="6"/>
  <c r="AQ71" i="6"/>
  <c r="AZ58" i="1"/>
  <c r="BA61" i="6" s="1"/>
  <c r="AN66" i="6"/>
  <c r="AO65" i="6"/>
  <c r="AN59" i="6"/>
  <c r="AM60" i="6"/>
  <c r="AM37" i="6" s="1"/>
  <c r="AM53" i="6"/>
  <c r="AL54" i="6"/>
  <c r="BC27" i="6"/>
  <c r="BA28" i="6" l="1"/>
  <c r="AZ30" i="6"/>
  <c r="AR71" i="6"/>
  <c r="BA58" i="1"/>
  <c r="BB61" i="6" s="1"/>
  <c r="AO66" i="6"/>
  <c r="AP65" i="6"/>
  <c r="AN60" i="6"/>
  <c r="AO59" i="6"/>
  <c r="AN53" i="6"/>
  <c r="AM54" i="6"/>
  <c r="BG27" i="6"/>
  <c r="BB28" i="6" l="1"/>
  <c r="BA30" i="6"/>
  <c r="AR75" i="6"/>
  <c r="AQ60" i="1" s="1"/>
  <c r="AS71" i="6"/>
  <c r="BB58" i="1"/>
  <c r="BC61" i="6" s="1"/>
  <c r="AQ65" i="6"/>
  <c r="AP66" i="6"/>
  <c r="AO60" i="6"/>
  <c r="AO37" i="6" s="1"/>
  <c r="AP59" i="6"/>
  <c r="AO53" i="6"/>
  <c r="AN54" i="6"/>
  <c r="AN37" i="6"/>
  <c r="BH27" i="6"/>
  <c r="BC28" i="6" l="1"/>
  <c r="BB30" i="6"/>
  <c r="AS75" i="6"/>
  <c r="AR60" i="1" s="1"/>
  <c r="AT71" i="6"/>
  <c r="AR65" i="6"/>
  <c r="AQ66" i="6"/>
  <c r="AP60" i="6"/>
  <c r="AQ59" i="6"/>
  <c r="AP53" i="6"/>
  <c r="AO54" i="6"/>
  <c r="C16" i="1"/>
  <c r="BG28" i="6" l="1"/>
  <c r="BC30" i="6"/>
  <c r="AT75" i="6"/>
  <c r="AS60" i="1" s="1"/>
  <c r="AU71" i="6"/>
  <c r="AV71" i="6" s="1"/>
  <c r="AV75" i="6" s="1"/>
  <c r="AR66" i="6"/>
  <c r="AS65" i="6"/>
  <c r="AR59" i="6"/>
  <c r="AQ60" i="6"/>
  <c r="AP54" i="6"/>
  <c r="AQ53" i="6"/>
  <c r="AP37" i="6"/>
  <c r="BF37" i="6" s="1"/>
  <c r="C59" i="1"/>
  <c r="BH28" i="6" l="1"/>
  <c r="BH30" i="6" s="1"/>
  <c r="BG30" i="6"/>
  <c r="AU60" i="1"/>
  <c r="AW71" i="6"/>
  <c r="AW75" i="6" s="1"/>
  <c r="AV60" i="1" s="1"/>
  <c r="D73" i="6"/>
  <c r="AS66" i="6"/>
  <c r="AT65" i="6"/>
  <c r="AR60" i="6"/>
  <c r="AS59" i="6"/>
  <c r="AR53" i="6"/>
  <c r="AQ54" i="6"/>
  <c r="C8" i="11"/>
  <c r="C25" i="11" s="1"/>
  <c r="AX71" i="6" l="1"/>
  <c r="AX75" i="6" s="1"/>
  <c r="AW60" i="1" s="1"/>
  <c r="D74" i="6"/>
  <c r="AU65" i="6"/>
  <c r="AT66" i="6"/>
  <c r="AS60" i="6"/>
  <c r="AT59" i="6"/>
  <c r="AS53" i="6"/>
  <c r="AR54" i="6"/>
  <c r="C62" i="1"/>
  <c r="C6" i="11"/>
  <c r="BC16" i="1"/>
  <c r="BG16" i="1"/>
  <c r="N16" i="1"/>
  <c r="BE16" i="1"/>
  <c r="BF16" i="1"/>
  <c r="BB16" i="1"/>
  <c r="V16" i="1"/>
  <c r="K16" i="1"/>
  <c r="AI16" i="1"/>
  <c r="AG16" i="1"/>
  <c r="O16" i="1"/>
  <c r="AK16" i="1"/>
  <c r="AN16" i="1"/>
  <c r="AS16" i="1"/>
  <c r="BD16" i="1"/>
  <c r="AR16" i="1"/>
  <c r="AU16" i="1"/>
  <c r="BA16" i="1"/>
  <c r="AT16" i="1"/>
  <c r="AP16" i="1"/>
  <c r="AH16" i="1"/>
  <c r="X16" i="1"/>
  <c r="G16" i="1"/>
  <c r="P16" i="1"/>
  <c r="S16" i="1"/>
  <c r="AY16" i="1"/>
  <c r="U16" i="1"/>
  <c r="AF16" i="1"/>
  <c r="I16" i="1"/>
  <c r="AD16" i="1"/>
  <c r="Q16" i="1"/>
  <c r="AO16" i="1"/>
  <c r="AW16" i="1"/>
  <c r="AV16" i="1"/>
  <c r="Z16" i="1"/>
  <c r="AX16" i="1"/>
  <c r="AC16" i="1"/>
  <c r="H16" i="1"/>
  <c r="AE16" i="1"/>
  <c r="M16" i="1"/>
  <c r="F16" i="1"/>
  <c r="AJ16" i="1"/>
  <c r="E16" i="1"/>
  <c r="AQ16" i="1"/>
  <c r="AL16" i="1"/>
  <c r="J16" i="1"/>
  <c r="AZ16" i="1"/>
  <c r="Y16" i="1"/>
  <c r="L16" i="1"/>
  <c r="R16" i="1"/>
  <c r="AB16" i="1"/>
  <c r="AM16" i="1"/>
  <c r="W16" i="1"/>
  <c r="AA16" i="1"/>
  <c r="T16" i="1"/>
  <c r="D16" i="1"/>
  <c r="AY71" i="6" l="1"/>
  <c r="AY75" i="6" s="1"/>
  <c r="AX60" i="1" s="1"/>
  <c r="D75" i="6"/>
  <c r="AV65" i="6"/>
  <c r="AU66" i="6"/>
  <c r="AT60" i="6"/>
  <c r="AU59" i="6"/>
  <c r="AT53" i="6"/>
  <c r="AS54" i="6"/>
  <c r="AO14" i="11"/>
  <c r="AC14" i="11"/>
  <c r="BF12" i="6"/>
  <c r="L14" i="11"/>
  <c r="V14" i="11"/>
  <c r="AY14" i="11"/>
  <c r="AZ14" i="11"/>
  <c r="J14" i="11"/>
  <c r="I14" i="11"/>
  <c r="N14" i="11"/>
  <c r="BB14" i="11"/>
  <c r="AW14" i="11"/>
  <c r="AL14" i="11"/>
  <c r="R14" i="11"/>
  <c r="AQ14" i="11"/>
  <c r="AS14" i="11"/>
  <c r="C60" i="1" l="1"/>
  <c r="C61" i="1" s="1"/>
  <c r="D23" i="6" s="1"/>
  <c r="D24" i="6" s="1"/>
  <c r="D76" i="6"/>
  <c r="D38" i="6" s="1"/>
  <c r="E76" i="6"/>
  <c r="E38" i="6" s="1"/>
  <c r="F76" i="6"/>
  <c r="F38" i="6" s="1"/>
  <c r="G76" i="6"/>
  <c r="G38" i="6" s="1"/>
  <c r="AZ71" i="6"/>
  <c r="BA71" i="6" s="1"/>
  <c r="BA75" i="6" s="1"/>
  <c r="AV66" i="6"/>
  <c r="AW65" i="6"/>
  <c r="AV59" i="6"/>
  <c r="AU60" i="6"/>
  <c r="AU53" i="6"/>
  <c r="AT54" i="6"/>
  <c r="AF14" i="11"/>
  <c r="Y14" i="11"/>
  <c r="T14" i="11"/>
  <c r="AN14" i="11"/>
  <c r="G14" i="11"/>
  <c r="Z14" i="11"/>
  <c r="AB14" i="11"/>
  <c r="AD14" i="11"/>
  <c r="AA14" i="11"/>
  <c r="AH14" i="11"/>
  <c r="O14" i="11"/>
  <c r="AX14" i="11"/>
  <c r="F14" i="11"/>
  <c r="AJ14" i="11"/>
  <c r="AM14" i="11"/>
  <c r="AR14" i="11"/>
  <c r="S14" i="11"/>
  <c r="AV14" i="11"/>
  <c r="AG14" i="11"/>
  <c r="W14" i="11"/>
  <c r="AK14" i="11"/>
  <c r="U14" i="11"/>
  <c r="K14" i="11"/>
  <c r="AE14" i="11"/>
  <c r="AI14" i="11"/>
  <c r="P14" i="11"/>
  <c r="AP14" i="11"/>
  <c r="Q14" i="11"/>
  <c r="X14" i="11"/>
  <c r="AU14" i="11"/>
  <c r="C14" i="11"/>
  <c r="D14" i="11"/>
  <c r="E14" i="11"/>
  <c r="H14" i="11"/>
  <c r="BA14" i="11"/>
  <c r="AT14" i="11"/>
  <c r="M14" i="11"/>
  <c r="BF17" i="11"/>
  <c r="BG12" i="6"/>
  <c r="BD12" i="6"/>
  <c r="D59" i="1"/>
  <c r="BE12" i="6"/>
  <c r="E8" i="11"/>
  <c r="E25" i="11" s="1"/>
  <c r="D8" i="11"/>
  <c r="D25" i="11" s="1"/>
  <c r="D34" i="11" l="1"/>
  <c r="D43" i="11" s="1"/>
  <c r="C34" i="11"/>
  <c r="C43" i="11" s="1"/>
  <c r="E34" i="11"/>
  <c r="E43" i="11" s="1"/>
  <c r="F34" i="11"/>
  <c r="F43" i="11" s="1"/>
  <c r="AZ60" i="1"/>
  <c r="D61" i="1"/>
  <c r="E23" i="6" s="1"/>
  <c r="E24" i="6" s="1"/>
  <c r="E73" i="6"/>
  <c r="BB71" i="6"/>
  <c r="AW66" i="6"/>
  <c r="AX65" i="6"/>
  <c r="AV60" i="6"/>
  <c r="AW59" i="6"/>
  <c r="AV53" i="6"/>
  <c r="AU54" i="6"/>
  <c r="BF15" i="11"/>
  <c r="BF16" i="11"/>
  <c r="BC17" i="11"/>
  <c r="BD15" i="11"/>
  <c r="BE15" i="11"/>
  <c r="BD16" i="11"/>
  <c r="BE16" i="11"/>
  <c r="BC15" i="11"/>
  <c r="BD17" i="11"/>
  <c r="BE17" i="11"/>
  <c r="BC16" i="11"/>
  <c r="BH12" i="6"/>
  <c r="E59" i="1"/>
  <c r="F73" i="6" s="1"/>
  <c r="BC14" i="11"/>
  <c r="BE14" i="11"/>
  <c r="D62" i="1"/>
  <c r="D6" i="11"/>
  <c r="BF14" i="11"/>
  <c r="BD14" i="11"/>
  <c r="E74" i="6" l="1"/>
  <c r="BC71" i="6"/>
  <c r="E6" i="11"/>
  <c r="E61" i="1"/>
  <c r="F23" i="6" s="1"/>
  <c r="AY65" i="6"/>
  <c r="AX66" i="6"/>
  <c r="AW60" i="6"/>
  <c r="AX59" i="6"/>
  <c r="AW53" i="6"/>
  <c r="AV54" i="6"/>
  <c r="BG16" i="11"/>
  <c r="BG15" i="11"/>
  <c r="BG17" i="11"/>
  <c r="E62" i="1"/>
  <c r="F59" i="1"/>
  <c r="F8" i="11"/>
  <c r="F25" i="11" s="1"/>
  <c r="BG14" i="11"/>
  <c r="F24" i="6" l="1"/>
  <c r="F74" i="6"/>
  <c r="F61" i="1"/>
  <c r="G23" i="6" s="1"/>
  <c r="G73" i="6"/>
  <c r="AZ65" i="6"/>
  <c r="AY66" i="6"/>
  <c r="AX60" i="6"/>
  <c r="AY59" i="6"/>
  <c r="AX53" i="6"/>
  <c r="AW54" i="6"/>
  <c r="G59" i="1"/>
  <c r="G8" i="11"/>
  <c r="G25" i="11" s="1"/>
  <c r="F62" i="1"/>
  <c r="F6" i="11"/>
  <c r="G24" i="6" l="1"/>
  <c r="G74" i="6"/>
  <c r="H73" i="6"/>
  <c r="AZ66" i="6"/>
  <c r="BA65" i="6"/>
  <c r="AZ59" i="6"/>
  <c r="AY60" i="6"/>
  <c r="AY53" i="6"/>
  <c r="AX54" i="6"/>
  <c r="I59" i="1"/>
  <c r="I8" i="11"/>
  <c r="I25" i="11" s="1"/>
  <c r="G62" i="1"/>
  <c r="G6" i="11"/>
  <c r="H59" i="1"/>
  <c r="H8" i="11"/>
  <c r="H25" i="11" s="1"/>
  <c r="H74" i="6" l="1"/>
  <c r="H61" i="1"/>
  <c r="I73" i="6"/>
  <c r="I61" i="1"/>
  <c r="J73" i="6"/>
  <c r="BA66" i="6"/>
  <c r="BB65" i="6"/>
  <c r="AZ60" i="6"/>
  <c r="BA59" i="6"/>
  <c r="AZ53" i="6"/>
  <c r="AY54" i="6"/>
  <c r="K59" i="1"/>
  <c r="K8" i="11"/>
  <c r="K25" i="11" s="1"/>
  <c r="H6" i="11"/>
  <c r="H62" i="1"/>
  <c r="I6" i="11"/>
  <c r="I62" i="1"/>
  <c r="J59" i="1"/>
  <c r="J8" i="11"/>
  <c r="J25" i="11" s="1"/>
  <c r="H75" i="6" l="1"/>
  <c r="G60" i="1" s="1"/>
  <c r="G61" i="1" s="1"/>
  <c r="H23" i="6" s="1"/>
  <c r="H76" i="6"/>
  <c r="H38" i="6" s="1"/>
  <c r="I76" i="6"/>
  <c r="I38" i="6" s="1"/>
  <c r="J76" i="6"/>
  <c r="J38" i="6" s="1"/>
  <c r="K76" i="6"/>
  <c r="K38" i="6" s="1"/>
  <c r="L76" i="6"/>
  <c r="L38" i="6" s="1"/>
  <c r="M38" i="6"/>
  <c r="N38" i="6"/>
  <c r="I74" i="6"/>
  <c r="K61" i="1"/>
  <c r="L73" i="6"/>
  <c r="J61" i="1"/>
  <c r="K73" i="6"/>
  <c r="BC65" i="6"/>
  <c r="BB66" i="6"/>
  <c r="BA60" i="6"/>
  <c r="BB59" i="6"/>
  <c r="BA53" i="6"/>
  <c r="AZ54" i="6"/>
  <c r="J62" i="1"/>
  <c r="J6" i="11"/>
  <c r="L59" i="1"/>
  <c r="L8" i="11"/>
  <c r="L25" i="11" s="1"/>
  <c r="K6" i="11"/>
  <c r="K62" i="1"/>
  <c r="M34" i="11" l="1"/>
  <c r="M43" i="11" s="1"/>
  <c r="G34" i="11"/>
  <c r="G43" i="11" s="1"/>
  <c r="H34" i="11"/>
  <c r="H43" i="11" s="1"/>
  <c r="I34" i="11"/>
  <c r="I43" i="11" s="1"/>
  <c r="K34" i="11"/>
  <c r="K43" i="11" s="1"/>
  <c r="J34" i="11"/>
  <c r="J43" i="11" s="1"/>
  <c r="J74" i="6"/>
  <c r="K74" i="6" s="1"/>
  <c r="L74" i="6" s="1"/>
  <c r="I23" i="6"/>
  <c r="H24" i="6"/>
  <c r="M73" i="6"/>
  <c r="BC66" i="6"/>
  <c r="BC59" i="6"/>
  <c r="BB60" i="6"/>
  <c r="BB53" i="6"/>
  <c r="BA54" i="6"/>
  <c r="L62" i="1"/>
  <c r="L6" i="11"/>
  <c r="M59" i="1"/>
  <c r="M8" i="11"/>
  <c r="M25" i="11" s="1"/>
  <c r="N59" i="1"/>
  <c r="N8" i="11"/>
  <c r="N25" i="11" s="1"/>
  <c r="J23" i="6" l="1"/>
  <c r="I24" i="6"/>
  <c r="M74" i="6"/>
  <c r="M75" i="6" s="1"/>
  <c r="O73" i="6"/>
  <c r="M61" i="1"/>
  <c r="N73" i="6"/>
  <c r="BC60" i="6"/>
  <c r="BC53" i="6"/>
  <c r="BB54" i="6"/>
  <c r="M6" i="11"/>
  <c r="M62" i="1"/>
  <c r="N6" i="11"/>
  <c r="N62" i="1"/>
  <c r="O59" i="1"/>
  <c r="O8" i="11"/>
  <c r="BC58" i="1"/>
  <c r="BC59" i="1" s="1"/>
  <c r="L60" i="1" l="1"/>
  <c r="N74" i="6"/>
  <c r="O74" i="6" s="1"/>
  <c r="O75" i="6" s="1"/>
  <c r="N60" i="1" s="1"/>
  <c r="N61" i="1" s="1"/>
  <c r="K23" i="6"/>
  <c r="J24" i="6"/>
  <c r="O61" i="1"/>
  <c r="P73" i="6"/>
  <c r="BC62" i="1"/>
  <c r="BC54" i="6"/>
  <c r="BC8" i="11"/>
  <c r="O25" i="11"/>
  <c r="P59" i="1"/>
  <c r="P8" i="11"/>
  <c r="P25" i="11" s="1"/>
  <c r="O62" i="1"/>
  <c r="O6" i="11"/>
  <c r="L61" i="1" l="1"/>
  <c r="L34" i="11"/>
  <c r="P76" i="6"/>
  <c r="P38" i="6" s="1"/>
  <c r="O76" i="6"/>
  <c r="O38" i="6" s="1"/>
  <c r="N34" i="11" s="1"/>
  <c r="N43" i="11" s="1"/>
  <c r="BC60" i="1"/>
  <c r="BC61" i="1" s="1"/>
  <c r="L23" i="6"/>
  <c r="K24" i="6"/>
  <c r="P74" i="6"/>
  <c r="Q73" i="6"/>
  <c r="BC6" i="11"/>
  <c r="Q59" i="1"/>
  <c r="Q8" i="11"/>
  <c r="Q25" i="11" s="1"/>
  <c r="P62" i="1"/>
  <c r="P6" i="11"/>
  <c r="BD38" i="6" l="1"/>
  <c r="O34" i="11"/>
  <c r="O43" i="11" s="1"/>
  <c r="L43" i="11"/>
  <c r="M23" i="6"/>
  <c r="L24" i="6"/>
  <c r="Q74" i="6"/>
  <c r="Q75" i="6" s="1"/>
  <c r="Q61" i="1"/>
  <c r="R73" i="6"/>
  <c r="R59" i="1"/>
  <c r="R8" i="11"/>
  <c r="R25" i="11" s="1"/>
  <c r="Q6" i="11"/>
  <c r="Q62" i="1"/>
  <c r="BC34" i="11" l="1"/>
  <c r="BC43" i="11" s="1"/>
  <c r="P60" i="1"/>
  <c r="P61" i="1" s="1"/>
  <c r="T76" i="6"/>
  <c r="T38" i="6" s="1"/>
  <c r="Q76" i="6"/>
  <c r="Q38" i="6" s="1"/>
  <c r="R76" i="6"/>
  <c r="R38" i="6" s="1"/>
  <c r="S76" i="6"/>
  <c r="S38" i="6" s="1"/>
  <c r="R74" i="6"/>
  <c r="N23" i="6"/>
  <c r="M24" i="6"/>
  <c r="R61" i="1"/>
  <c r="S73" i="6"/>
  <c r="BC22" i="11"/>
  <c r="S59" i="1"/>
  <c r="S8" i="11"/>
  <c r="S25" i="11" s="1"/>
  <c r="R6" i="11"/>
  <c r="R62" i="1"/>
  <c r="P34" i="11" l="1"/>
  <c r="P43" i="11" s="1"/>
  <c r="Q34" i="11"/>
  <c r="Q43" i="11" s="1"/>
  <c r="R34" i="11"/>
  <c r="R43" i="11" s="1"/>
  <c r="S34" i="11"/>
  <c r="S43" i="11" s="1"/>
  <c r="S74" i="6"/>
  <c r="O23" i="6"/>
  <c r="N24" i="6"/>
  <c r="S61" i="1"/>
  <c r="T73" i="6"/>
  <c r="T59" i="1"/>
  <c r="T8" i="11"/>
  <c r="T25" i="11" s="1"/>
  <c r="S6" i="11"/>
  <c r="S62" i="1"/>
  <c r="BC25" i="11"/>
  <c r="T74" i="6" l="1"/>
  <c r="P23" i="6"/>
  <c r="O24" i="6"/>
  <c r="U73" i="6"/>
  <c r="U59" i="1"/>
  <c r="U8" i="11"/>
  <c r="U25" i="11" s="1"/>
  <c r="T62" i="1"/>
  <c r="T6" i="11"/>
  <c r="U74" i="6" l="1"/>
  <c r="U75" i="6" s="1"/>
  <c r="T60" i="1" s="1"/>
  <c r="T61" i="1" s="1"/>
  <c r="U76" i="6"/>
  <c r="U38" i="6" s="1"/>
  <c r="V76" i="6"/>
  <c r="V38" i="6" s="1"/>
  <c r="W76" i="6"/>
  <c r="W38" i="6" s="1"/>
  <c r="X76" i="6"/>
  <c r="X38" i="6" s="1"/>
  <c r="Y76" i="6"/>
  <c r="Y38" i="6" s="1"/>
  <c r="AG38" i="6"/>
  <c r="Q23" i="6"/>
  <c r="P24" i="6"/>
  <c r="BD23" i="6"/>
  <c r="BD24" i="6" s="1"/>
  <c r="U61" i="1"/>
  <c r="V73" i="6"/>
  <c r="V59" i="1"/>
  <c r="V8" i="11"/>
  <c r="V25" i="11" s="1"/>
  <c r="U6" i="11"/>
  <c r="U62" i="1"/>
  <c r="V74" i="6" l="1"/>
  <c r="U34" i="11"/>
  <c r="U43" i="11" s="1"/>
  <c r="V34" i="11"/>
  <c r="V43" i="11" s="1"/>
  <c r="W34" i="11"/>
  <c r="W43" i="11" s="1"/>
  <c r="X34" i="11"/>
  <c r="X43" i="11" s="1"/>
  <c r="T34" i="11"/>
  <c r="R23" i="6"/>
  <c r="Q24" i="6"/>
  <c r="V61" i="1"/>
  <c r="W73" i="6"/>
  <c r="W59" i="1"/>
  <c r="W8" i="11"/>
  <c r="W25" i="11" s="1"/>
  <c r="V6" i="11"/>
  <c r="V62" i="1"/>
  <c r="W74" i="6" l="1"/>
  <c r="T43" i="11"/>
  <c r="S23" i="6"/>
  <c r="R24" i="6"/>
  <c r="W61" i="1"/>
  <c r="X73" i="6"/>
  <c r="X59" i="1"/>
  <c r="X8" i="11"/>
  <c r="X25" i="11" s="1"/>
  <c r="W6" i="11"/>
  <c r="W62" i="1"/>
  <c r="X74" i="6" l="1"/>
  <c r="T23" i="6"/>
  <c r="S24" i="6"/>
  <c r="X61" i="1"/>
  <c r="Y73" i="6"/>
  <c r="Y59" i="1"/>
  <c r="Y8" i="11"/>
  <c r="Y25" i="11" s="1"/>
  <c r="X62" i="1"/>
  <c r="X6" i="11"/>
  <c r="Y74" i="6" l="1"/>
  <c r="U23" i="6"/>
  <c r="T24" i="6"/>
  <c r="Z73" i="6"/>
  <c r="Z59" i="1"/>
  <c r="Z8" i="11"/>
  <c r="Z25" i="11" s="1"/>
  <c r="Y62" i="1"/>
  <c r="Y6" i="11"/>
  <c r="Z74" i="6" l="1"/>
  <c r="Z75" i="6" s="1"/>
  <c r="Y60" i="1" s="1"/>
  <c r="Z76" i="6"/>
  <c r="Z38" i="6" s="1"/>
  <c r="AA76" i="6"/>
  <c r="AA38" i="6" s="1"/>
  <c r="AB76" i="6"/>
  <c r="AB38" i="6" s="1"/>
  <c r="V23" i="6"/>
  <c r="U24" i="6"/>
  <c r="Z61" i="1"/>
  <c r="AA73" i="6"/>
  <c r="AA59" i="1"/>
  <c r="AA8" i="11"/>
  <c r="AA25" i="11" s="1"/>
  <c r="Z6" i="11"/>
  <c r="Z62" i="1"/>
  <c r="AA74" i="6" l="1"/>
  <c r="Z34" i="11"/>
  <c r="Z43" i="11" s="1"/>
  <c r="AA34" i="11"/>
  <c r="AA43" i="11" s="1"/>
  <c r="Y34" i="11"/>
  <c r="Y43" i="11" s="1"/>
  <c r="Y61" i="1"/>
  <c r="W23" i="6"/>
  <c r="V24" i="6"/>
  <c r="AA61" i="1"/>
  <c r="AB73" i="6"/>
  <c r="AB59" i="1"/>
  <c r="AB8" i="11"/>
  <c r="AA62" i="1"/>
  <c r="AA6" i="11"/>
  <c r="BD58" i="1"/>
  <c r="BD59" i="1" s="1"/>
  <c r="AB74" i="6" l="1"/>
  <c r="X23" i="6"/>
  <c r="W24" i="6"/>
  <c r="AC73" i="6"/>
  <c r="BD62" i="1"/>
  <c r="BD8" i="11"/>
  <c r="AB25" i="11"/>
  <c r="AC59" i="1"/>
  <c r="AC8" i="11"/>
  <c r="AC25" i="11" s="1"/>
  <c r="AB6" i="11"/>
  <c r="AB62" i="1"/>
  <c r="AC74" i="6" l="1"/>
  <c r="AC75" i="6" s="1"/>
  <c r="AB60" i="1" s="1"/>
  <c r="AC76" i="6"/>
  <c r="AC38" i="6" s="1"/>
  <c r="Y23" i="6"/>
  <c r="X24" i="6"/>
  <c r="AD73" i="6"/>
  <c r="AD59" i="1"/>
  <c r="AD8" i="11"/>
  <c r="AD25" i="11" s="1"/>
  <c r="BD6" i="11"/>
  <c r="AC62" i="1"/>
  <c r="AC6" i="11"/>
  <c r="AD74" i="6" l="1"/>
  <c r="AD75" i="6" s="1"/>
  <c r="AC60" i="1" s="1"/>
  <c r="AC61" i="1" s="1"/>
  <c r="BE38" i="6"/>
  <c r="AB34" i="11"/>
  <c r="AF76" i="6"/>
  <c r="AF38" i="6" s="1"/>
  <c r="AD76" i="6"/>
  <c r="AD38" i="6" s="1"/>
  <c r="AE76" i="6"/>
  <c r="AE38" i="6" s="1"/>
  <c r="BD60" i="1"/>
  <c r="BD61" i="1" s="1"/>
  <c r="AB61" i="1"/>
  <c r="Z23" i="6"/>
  <c r="Y24" i="6"/>
  <c r="AD61" i="1"/>
  <c r="AE73" i="6"/>
  <c r="AE59" i="1"/>
  <c r="AE8" i="11"/>
  <c r="AE25" i="11" s="1"/>
  <c r="AD62" i="1"/>
  <c r="AD6" i="11"/>
  <c r="AE74" i="6" l="1"/>
  <c r="AC34" i="11"/>
  <c r="AC43" i="11" s="1"/>
  <c r="AE34" i="11"/>
  <c r="AE43" i="11" s="1"/>
  <c r="AF34" i="11"/>
  <c r="AF43" i="11" s="1"/>
  <c r="AB43" i="11"/>
  <c r="BD34" i="11"/>
  <c r="AD34" i="11"/>
  <c r="AD43" i="11" s="1"/>
  <c r="AA23" i="6"/>
  <c r="Z24" i="6"/>
  <c r="AE61" i="1"/>
  <c r="AF73" i="6"/>
  <c r="BD22" i="11"/>
  <c r="AF59" i="1"/>
  <c r="AF8" i="11"/>
  <c r="AF25" i="11" s="1"/>
  <c r="AE6" i="11"/>
  <c r="AE62" i="1"/>
  <c r="BD25" i="11"/>
  <c r="AF74" i="6" l="1"/>
  <c r="BD43" i="11"/>
  <c r="AB23" i="6"/>
  <c r="AA24" i="6"/>
  <c r="AF61" i="1"/>
  <c r="AG73" i="6"/>
  <c r="AG59" i="1"/>
  <c r="AG8" i="11"/>
  <c r="AG25" i="11" s="1"/>
  <c r="AF62" i="1"/>
  <c r="AF6" i="11"/>
  <c r="AG74" i="6" l="1"/>
  <c r="AC23" i="6"/>
  <c r="AB24" i="6"/>
  <c r="AH73" i="6"/>
  <c r="AH59" i="1"/>
  <c r="AH8" i="11"/>
  <c r="AH25" i="11" s="1"/>
  <c r="AG62" i="1"/>
  <c r="AG6" i="11"/>
  <c r="AH74" i="6" l="1"/>
  <c r="AH75" i="6" s="1"/>
  <c r="AG60" i="1" s="1"/>
  <c r="AG61" i="1" s="1"/>
  <c r="AH76" i="6"/>
  <c r="AH38" i="6" s="1"/>
  <c r="AI76" i="6"/>
  <c r="AI38" i="6" s="1"/>
  <c r="AJ76" i="6"/>
  <c r="AJ38" i="6" s="1"/>
  <c r="AK76" i="6"/>
  <c r="AK38" i="6" s="1"/>
  <c r="AL76" i="6"/>
  <c r="AL38" i="6" s="1"/>
  <c r="AN38" i="6"/>
  <c r="AM38" i="6"/>
  <c r="AO38" i="6"/>
  <c r="AD23" i="6"/>
  <c r="AC24" i="6"/>
  <c r="BE23" i="6"/>
  <c r="BE24" i="6" s="1"/>
  <c r="AH61" i="1"/>
  <c r="AI73" i="6"/>
  <c r="AI59" i="1"/>
  <c r="AI8" i="11"/>
  <c r="AI25" i="11" s="1"/>
  <c r="AH62" i="1"/>
  <c r="AH6" i="11"/>
  <c r="AI74" i="6" l="1"/>
  <c r="AJ34" i="11"/>
  <c r="AJ43" i="11" s="1"/>
  <c r="AI34" i="11"/>
  <c r="AI43" i="11" s="1"/>
  <c r="AH34" i="11"/>
  <c r="AH43" i="11" s="1"/>
  <c r="AM34" i="11"/>
  <c r="AM43" i="11" s="1"/>
  <c r="AN34" i="11"/>
  <c r="AN43" i="11" s="1"/>
  <c r="AK34" i="11"/>
  <c r="AK43" i="11" s="1"/>
  <c r="AG34" i="11"/>
  <c r="AE23" i="6"/>
  <c r="AD24" i="6"/>
  <c r="AI61" i="1"/>
  <c r="AJ73" i="6"/>
  <c r="AJ59" i="1"/>
  <c r="AJ8" i="11"/>
  <c r="AJ25" i="11" s="1"/>
  <c r="AI6" i="11"/>
  <c r="AI62" i="1"/>
  <c r="AJ74" i="6" l="1"/>
  <c r="AG43" i="11"/>
  <c r="AF23" i="6"/>
  <c r="AE24" i="6"/>
  <c r="AJ61" i="1"/>
  <c r="AK73" i="6"/>
  <c r="AJ6" i="11"/>
  <c r="AJ62" i="1"/>
  <c r="AK59" i="1"/>
  <c r="AK8" i="11"/>
  <c r="AK25" i="11" s="1"/>
  <c r="AK74" i="6" l="1"/>
  <c r="AG23" i="6"/>
  <c r="AF24" i="6"/>
  <c r="AK61" i="1"/>
  <c r="AL73" i="6"/>
  <c r="AL59" i="1"/>
  <c r="AL8" i="11"/>
  <c r="AL25" i="11" s="1"/>
  <c r="AK62" i="1"/>
  <c r="AK6" i="11"/>
  <c r="AL74" i="6" l="1"/>
  <c r="AH23" i="6"/>
  <c r="AG24" i="6"/>
  <c r="AM73" i="6"/>
  <c r="AM59" i="1"/>
  <c r="AM8" i="11"/>
  <c r="AM25" i="11" s="1"/>
  <c r="AL62" i="1"/>
  <c r="AL6" i="11"/>
  <c r="AM74" i="6" l="1"/>
  <c r="AM75" i="6" s="1"/>
  <c r="AL60" i="1" s="1"/>
  <c r="AL34" i="11" s="1"/>
  <c r="AI23" i="6"/>
  <c r="AH24" i="6"/>
  <c r="AM61" i="1"/>
  <c r="AN73" i="6"/>
  <c r="AN59" i="1"/>
  <c r="AN8" i="11"/>
  <c r="AN25" i="11" s="1"/>
  <c r="BE58" i="1"/>
  <c r="BE59" i="1" s="1"/>
  <c r="AM6" i="11"/>
  <c r="AM62" i="1"/>
  <c r="AN74" i="6" l="1"/>
  <c r="AL61" i="1"/>
  <c r="AL43" i="11"/>
  <c r="AJ23" i="6"/>
  <c r="AI24" i="6"/>
  <c r="AN61" i="1"/>
  <c r="AO73" i="6"/>
  <c r="BE62" i="1"/>
  <c r="AN6" i="11"/>
  <c r="AN62" i="1"/>
  <c r="BF39" i="6"/>
  <c r="AO59" i="1"/>
  <c r="AO8" i="11"/>
  <c r="AO74" i="6" l="1"/>
  <c r="AK23" i="6"/>
  <c r="AJ24" i="6"/>
  <c r="AP73" i="6"/>
  <c r="BE8" i="11"/>
  <c r="AO25" i="11"/>
  <c r="BE25" i="11" s="1"/>
  <c r="BE22" i="11"/>
  <c r="AP59" i="1"/>
  <c r="AP8" i="11"/>
  <c r="AO62" i="1"/>
  <c r="AO6" i="11"/>
  <c r="AP74" i="6" l="1"/>
  <c r="AP75" i="6" s="1"/>
  <c r="AO60" i="1" s="1"/>
  <c r="AP76" i="6"/>
  <c r="AP38" i="6" s="1"/>
  <c r="AL23" i="6"/>
  <c r="AK24" i="6"/>
  <c r="AQ73" i="6"/>
  <c r="AT11" i="11"/>
  <c r="AI10" i="11"/>
  <c r="AF11" i="11"/>
  <c r="AN10" i="11"/>
  <c r="AV10" i="11"/>
  <c r="AY10" i="11"/>
  <c r="T10" i="11"/>
  <c r="AJ11" i="11"/>
  <c r="AH10" i="11"/>
  <c r="AD10" i="11"/>
  <c r="AI11" i="11"/>
  <c r="AL11" i="11"/>
  <c r="AD11" i="11"/>
  <c r="AF10" i="11"/>
  <c r="T11" i="11"/>
  <c r="Y10" i="11"/>
  <c r="AE11" i="11"/>
  <c r="W10" i="11"/>
  <c r="W11" i="11"/>
  <c r="AO10" i="11"/>
  <c r="U10" i="11"/>
  <c r="AS11" i="11"/>
  <c r="AW10" i="11"/>
  <c r="AX10" i="11"/>
  <c r="AM10" i="11"/>
  <c r="AJ10" i="11"/>
  <c r="U11" i="11"/>
  <c r="AG11" i="11"/>
  <c r="AW11" i="11"/>
  <c r="AQ10" i="11"/>
  <c r="AH11" i="11"/>
  <c r="AT10" i="11"/>
  <c r="X11" i="11"/>
  <c r="AG10" i="11"/>
  <c r="X10" i="11"/>
  <c r="AU10" i="11"/>
  <c r="AC11" i="11"/>
  <c r="AQ11" i="11"/>
  <c r="V11" i="11"/>
  <c r="Z10" i="11"/>
  <c r="AK10" i="11"/>
  <c r="AV11" i="11"/>
  <c r="AU11" i="11"/>
  <c r="AX11" i="11"/>
  <c r="AA11" i="11"/>
  <c r="AB11" i="11"/>
  <c r="AK11" i="11"/>
  <c r="AP10" i="11"/>
  <c r="Z11" i="11"/>
  <c r="AR11" i="11"/>
  <c r="AO11" i="11"/>
  <c r="AM11" i="11"/>
  <c r="AC10" i="11"/>
  <c r="AA10" i="11"/>
  <c r="AN11" i="11"/>
  <c r="AP11" i="11"/>
  <c r="AS10" i="11"/>
  <c r="V10" i="11"/>
  <c r="AE10" i="11"/>
  <c r="AB10" i="11"/>
  <c r="AL10" i="11"/>
  <c r="AR10" i="11"/>
  <c r="Y11" i="11"/>
  <c r="AZ11" i="11"/>
  <c r="BB11" i="11"/>
  <c r="AZ10" i="11"/>
  <c r="BA10" i="11"/>
  <c r="AY11" i="11"/>
  <c r="BA11" i="11"/>
  <c r="BB10" i="11"/>
  <c r="BE6" i="11"/>
  <c r="AP62" i="1"/>
  <c r="AP6" i="11"/>
  <c r="AQ59" i="1"/>
  <c r="AQ8" i="11"/>
  <c r="AQ74" i="6" l="1"/>
  <c r="AQ75" i="6" s="1"/>
  <c r="AP60" i="1" s="1"/>
  <c r="AP61" i="1" s="1"/>
  <c r="BF38" i="6"/>
  <c r="AO34" i="11"/>
  <c r="BE60" i="1"/>
  <c r="BE61" i="1" s="1"/>
  <c r="AO61" i="1"/>
  <c r="AT76" i="6"/>
  <c r="AT38" i="6" s="1"/>
  <c r="AQ76" i="6"/>
  <c r="AQ38" i="6" s="1"/>
  <c r="AR76" i="6"/>
  <c r="AR38" i="6" s="1"/>
  <c r="AS76" i="6"/>
  <c r="AS38" i="6" s="1"/>
  <c r="AM23" i="6"/>
  <c r="AL24" i="6"/>
  <c r="AQ61" i="1"/>
  <c r="AR73" i="6"/>
  <c r="BE11" i="11"/>
  <c r="BE10" i="11"/>
  <c r="BF10" i="11"/>
  <c r="BF11" i="11"/>
  <c r="AR59" i="1"/>
  <c r="AR8" i="11"/>
  <c r="AQ62" i="1"/>
  <c r="AQ6" i="11"/>
  <c r="AR74" i="6" l="1"/>
  <c r="AP34" i="11"/>
  <c r="AP43" i="11" s="1"/>
  <c r="AR34" i="11"/>
  <c r="AR43" i="11" s="1"/>
  <c r="AQ34" i="11"/>
  <c r="AQ43" i="11" s="1"/>
  <c r="AS34" i="11"/>
  <c r="AS43" i="11" s="1"/>
  <c r="AO43" i="11"/>
  <c r="BE34" i="11"/>
  <c r="R10" i="11"/>
  <c r="O10" i="11"/>
  <c r="Q10" i="11"/>
  <c r="L11" i="11"/>
  <c r="H11" i="11"/>
  <c r="M10" i="11"/>
  <c r="E11" i="11"/>
  <c r="D10" i="11"/>
  <c r="K11" i="11"/>
  <c r="G10" i="11"/>
  <c r="P10" i="11"/>
  <c r="S11" i="11"/>
  <c r="K10" i="11"/>
  <c r="F10" i="11"/>
  <c r="F11" i="11"/>
  <c r="O11" i="11"/>
  <c r="R11" i="11"/>
  <c r="M11" i="11"/>
  <c r="S10" i="11"/>
  <c r="N11" i="11"/>
  <c r="I11" i="11"/>
  <c r="L10" i="11"/>
  <c r="I10" i="11"/>
  <c r="J10" i="11"/>
  <c r="C10" i="11"/>
  <c r="Q11" i="11"/>
  <c r="N10" i="11"/>
  <c r="H10" i="11"/>
  <c r="D11" i="11"/>
  <c r="P11" i="11"/>
  <c r="E10" i="11"/>
  <c r="G11" i="11"/>
  <c r="J11" i="11"/>
  <c r="C11" i="11"/>
  <c r="AN23" i="6"/>
  <c r="AM24" i="6"/>
  <c r="AR61" i="1"/>
  <c r="AS73" i="6"/>
  <c r="AS74" i="6" s="1"/>
  <c r="AS59" i="1"/>
  <c r="AS8" i="11"/>
  <c r="AR62" i="1"/>
  <c r="AR6" i="11"/>
  <c r="BE43" i="11" l="1"/>
  <c r="BD11" i="11"/>
  <c r="BD10" i="11"/>
  <c r="D8" i="6"/>
  <c r="E8" i="6" s="1"/>
  <c r="F8" i="6" s="1"/>
  <c r="G8" i="6" s="1"/>
  <c r="H8" i="6" s="1"/>
  <c r="I8" i="6" s="1"/>
  <c r="J8" i="6" s="1"/>
  <c r="K8" i="6" s="1"/>
  <c r="L8" i="6" s="1"/>
  <c r="M8" i="6" s="1"/>
  <c r="N8" i="6" s="1"/>
  <c r="O8" i="6" s="1"/>
  <c r="P8" i="6" s="1"/>
  <c r="BC11" i="11"/>
  <c r="D7" i="6"/>
  <c r="BC10" i="11"/>
  <c r="AO23" i="6"/>
  <c r="AN24" i="6"/>
  <c r="AS61" i="1"/>
  <c r="AT73" i="6"/>
  <c r="AT74" i="6" s="1"/>
  <c r="BD39" i="6"/>
  <c r="AT59" i="1"/>
  <c r="AT8" i="11"/>
  <c r="AS62" i="1"/>
  <c r="AS6" i="11"/>
  <c r="BG10" i="11" l="1"/>
  <c r="BG11" i="11"/>
  <c r="E7" i="6"/>
  <c r="D10" i="6"/>
  <c r="Q8" i="6"/>
  <c r="R8" i="6" s="1"/>
  <c r="S8" i="6" s="1"/>
  <c r="T8" i="6" s="1"/>
  <c r="U8" i="6" s="1"/>
  <c r="V8" i="6" s="1"/>
  <c r="W8" i="6" s="1"/>
  <c r="X8" i="6" s="1"/>
  <c r="Y8" i="6" s="1"/>
  <c r="Z8" i="6" s="1"/>
  <c r="AA8" i="6" s="1"/>
  <c r="AB8" i="6" s="1"/>
  <c r="AC8" i="6" s="1"/>
  <c r="BD8" i="6"/>
  <c r="AP23" i="6"/>
  <c r="AO24" i="6"/>
  <c r="AU73" i="6"/>
  <c r="AU74" i="6" s="1"/>
  <c r="AU75" i="6" s="1"/>
  <c r="AT62" i="1"/>
  <c r="AT6" i="11"/>
  <c r="AU59" i="1"/>
  <c r="AU8" i="11"/>
  <c r="AD8" i="6" l="1"/>
  <c r="AE8" i="6" s="1"/>
  <c r="AF8" i="6" s="1"/>
  <c r="AG8" i="6" s="1"/>
  <c r="AH8" i="6" s="1"/>
  <c r="AI8" i="6" s="1"/>
  <c r="AJ8" i="6" s="1"/>
  <c r="AK8" i="6" s="1"/>
  <c r="AL8" i="6" s="1"/>
  <c r="AM8" i="6" s="1"/>
  <c r="AN8" i="6" s="1"/>
  <c r="AO8" i="6" s="1"/>
  <c r="AP8" i="6" s="1"/>
  <c r="BE8" i="6"/>
  <c r="F7" i="6"/>
  <c r="E10" i="6"/>
  <c r="AU76" i="6"/>
  <c r="AU38" i="6" s="1"/>
  <c r="AV76" i="6"/>
  <c r="AV38" i="6" s="1"/>
  <c r="AW76" i="6"/>
  <c r="AW38" i="6" s="1"/>
  <c r="AX76" i="6"/>
  <c r="AX38" i="6" s="1"/>
  <c r="AY76" i="6"/>
  <c r="AY38" i="6" s="1"/>
  <c r="AT60" i="1"/>
  <c r="AQ23" i="6"/>
  <c r="AP24" i="6"/>
  <c r="BF23" i="6"/>
  <c r="BF24" i="6" s="1"/>
  <c r="AU61" i="1"/>
  <c r="AV73" i="6"/>
  <c r="AV74" i="6" s="1"/>
  <c r="AV59" i="1"/>
  <c r="AV8" i="11"/>
  <c r="AU6" i="11"/>
  <c r="AU62" i="1"/>
  <c r="AT34" i="11" l="1"/>
  <c r="AT43" i="11" s="1"/>
  <c r="AX34" i="11"/>
  <c r="AX43" i="11" s="1"/>
  <c r="AV34" i="11"/>
  <c r="AV43" i="11" s="1"/>
  <c r="AW34" i="11"/>
  <c r="AW43" i="11" s="1"/>
  <c r="AU34" i="11"/>
  <c r="AU43" i="11" s="1"/>
  <c r="BF8" i="6"/>
  <c r="AQ8" i="6"/>
  <c r="AR8" i="6" s="1"/>
  <c r="AS8" i="6" s="1"/>
  <c r="AT8" i="6" s="1"/>
  <c r="AU8" i="6" s="1"/>
  <c r="AV8" i="6" s="1"/>
  <c r="AW8" i="6" s="1"/>
  <c r="AX8" i="6" s="1"/>
  <c r="AY8" i="6" s="1"/>
  <c r="AZ8" i="6" s="1"/>
  <c r="BA8" i="6" s="1"/>
  <c r="BB8" i="6" s="1"/>
  <c r="BC8" i="6" s="1"/>
  <c r="BG8" i="6" s="1"/>
  <c r="BH8" i="6" s="1"/>
  <c r="G7" i="6"/>
  <c r="F10" i="6"/>
  <c r="AT61" i="1"/>
  <c r="AR23" i="6"/>
  <c r="AQ24" i="6"/>
  <c r="AV61" i="1"/>
  <c r="AW73" i="6"/>
  <c r="AW74" i="6" s="1"/>
  <c r="AW59" i="1"/>
  <c r="AW8" i="11"/>
  <c r="AV6" i="11"/>
  <c r="AV62" i="1"/>
  <c r="H7" i="6" l="1"/>
  <c r="G10" i="6"/>
  <c r="AS23" i="6"/>
  <c r="AR24" i="6"/>
  <c r="AW61" i="1"/>
  <c r="AX73" i="6"/>
  <c r="AX74" i="6" s="1"/>
  <c r="AX59" i="1"/>
  <c r="AX8" i="11"/>
  <c r="AW6" i="11"/>
  <c r="AW62" i="1"/>
  <c r="I7" i="6" l="1"/>
  <c r="H10" i="6"/>
  <c r="AT23" i="6"/>
  <c r="AS24" i="6"/>
  <c r="AX61" i="1"/>
  <c r="AY73" i="6"/>
  <c r="AY74" i="6" s="1"/>
  <c r="AY59" i="1"/>
  <c r="AY8" i="11"/>
  <c r="AX6" i="11"/>
  <c r="AX62" i="1"/>
  <c r="J7" i="6" l="1"/>
  <c r="I10" i="6"/>
  <c r="AU23" i="6"/>
  <c r="AT24" i="6"/>
  <c r="AZ73" i="6"/>
  <c r="AZ74" i="6" s="1"/>
  <c r="AZ75" i="6" s="1"/>
  <c r="AZ59" i="1"/>
  <c r="AZ8" i="11"/>
  <c r="AY62" i="1"/>
  <c r="AY6" i="11"/>
  <c r="K7" i="6" l="1"/>
  <c r="J10" i="6"/>
  <c r="AY60" i="1"/>
  <c r="AZ76" i="6"/>
  <c r="AZ38" i="6" s="1"/>
  <c r="BA76" i="6"/>
  <c r="BA38" i="6" s="1"/>
  <c r="AV23" i="6"/>
  <c r="AU24" i="6"/>
  <c r="AZ61" i="1"/>
  <c r="BA73" i="6"/>
  <c r="BA74" i="6" s="1"/>
  <c r="AZ6" i="11"/>
  <c r="AZ62" i="1"/>
  <c r="BA59" i="1"/>
  <c r="BA8" i="11"/>
  <c r="AY34" i="11" l="1"/>
  <c r="AY43" i="11" s="1"/>
  <c r="AZ34" i="11"/>
  <c r="AZ43" i="11" s="1"/>
  <c r="L7" i="6"/>
  <c r="K10" i="6"/>
  <c r="AY61" i="1"/>
  <c r="AW23" i="6"/>
  <c r="AV24" i="6"/>
  <c r="BB73" i="6"/>
  <c r="BB74" i="6" s="1"/>
  <c r="BB75" i="6" s="1"/>
  <c r="BF22" i="11"/>
  <c r="BG22" i="11" s="1"/>
  <c r="BB59" i="1"/>
  <c r="BB8" i="11"/>
  <c r="BA6" i="11"/>
  <c r="BA62" i="1"/>
  <c r="BF58" i="1"/>
  <c r="BA60" i="1" l="1"/>
  <c r="BA61" i="1" s="1"/>
  <c r="BB76" i="6"/>
  <c r="BB38" i="6" s="1"/>
  <c r="BA34" i="11" s="1"/>
  <c r="BA43" i="11" s="1"/>
  <c r="M7" i="6"/>
  <c r="L10" i="6"/>
  <c r="AX23" i="6"/>
  <c r="AW24" i="6"/>
  <c r="BC73" i="6"/>
  <c r="BC74" i="6" s="1"/>
  <c r="BC75" i="6" s="1"/>
  <c r="BF8" i="11"/>
  <c r="BG8" i="11" s="1"/>
  <c r="BF59" i="1"/>
  <c r="BG58" i="1"/>
  <c r="BB62" i="1"/>
  <c r="BB6" i="11"/>
  <c r="N7" i="6" l="1"/>
  <c r="M10" i="6"/>
  <c r="BB60" i="1"/>
  <c r="BC76" i="6"/>
  <c r="BC38" i="6" s="1"/>
  <c r="AY23" i="6"/>
  <c r="AX24" i="6"/>
  <c r="BF62" i="1"/>
  <c r="AQ37" i="6"/>
  <c r="AP25" i="11" s="1"/>
  <c r="AR37" i="6"/>
  <c r="AS37" i="6"/>
  <c r="AT37" i="6"/>
  <c r="AU37" i="6"/>
  <c r="AV37" i="6"/>
  <c r="AW37" i="6"/>
  <c r="AX37" i="6"/>
  <c r="AY37" i="6"/>
  <c r="AZ37" i="6"/>
  <c r="BA37" i="6"/>
  <c r="BB37" i="6"/>
  <c r="BC37" i="6"/>
  <c r="BF6" i="11"/>
  <c r="BG59" i="1"/>
  <c r="BG38" i="6" l="1"/>
  <c r="BH38" i="6" s="1"/>
  <c r="BB34" i="11"/>
  <c r="O7" i="6"/>
  <c r="N10" i="6"/>
  <c r="BF60" i="1"/>
  <c r="BB61" i="1"/>
  <c r="AZ23" i="6"/>
  <c r="AY24" i="6"/>
  <c r="AY25" i="11"/>
  <c r="AU25" i="11"/>
  <c r="AQ25" i="11"/>
  <c r="AH67" i="6"/>
  <c r="AX67" i="6"/>
  <c r="AK67" i="6"/>
  <c r="F67" i="6"/>
  <c r="Z67" i="6"/>
  <c r="R67" i="6"/>
  <c r="AL67" i="6"/>
  <c r="AC67" i="6"/>
  <c r="AO67" i="6"/>
  <c r="U67" i="6"/>
  <c r="AD67" i="6"/>
  <c r="Y67" i="6"/>
  <c r="BA67" i="6"/>
  <c r="BB67" i="6"/>
  <c r="AF67" i="6"/>
  <c r="V67" i="6"/>
  <c r="AG67" i="6"/>
  <c r="AN67" i="6"/>
  <c r="AJ67" i="6"/>
  <c r="H67" i="6"/>
  <c r="J67" i="6"/>
  <c r="I67" i="6"/>
  <c r="AY67" i="6"/>
  <c r="P67" i="6"/>
  <c r="AV67" i="6"/>
  <c r="AS67" i="6"/>
  <c r="AT67" i="6"/>
  <c r="AP67" i="6"/>
  <c r="N67" i="6"/>
  <c r="AW67" i="6"/>
  <c r="E67" i="6"/>
  <c r="Q67" i="6"/>
  <c r="M67" i="6"/>
  <c r="X67" i="6"/>
  <c r="S67" i="6"/>
  <c r="AQ67" i="6"/>
  <c r="AI67" i="6"/>
  <c r="L67" i="6"/>
  <c r="G67" i="6"/>
  <c r="AU67" i="6"/>
  <c r="O67" i="6"/>
  <c r="W67" i="6"/>
  <c r="AA67" i="6"/>
  <c r="K67" i="6"/>
  <c r="AZ67" i="6"/>
  <c r="AB67" i="6"/>
  <c r="AM67" i="6"/>
  <c r="T67" i="6"/>
  <c r="AE67" i="6"/>
  <c r="AR67" i="6"/>
  <c r="BC67" i="6"/>
  <c r="F56" i="6"/>
  <c r="E56" i="6"/>
  <c r="AB56" i="6"/>
  <c r="AG56" i="6"/>
  <c r="M56" i="6"/>
  <c r="G56" i="6"/>
  <c r="L56" i="6"/>
  <c r="Q56" i="6"/>
  <c r="V56" i="6"/>
  <c r="AJ56" i="6"/>
  <c r="AO56" i="6"/>
  <c r="AP56" i="6"/>
  <c r="I56" i="6"/>
  <c r="AI56" i="6"/>
  <c r="P56" i="6"/>
  <c r="N56" i="6"/>
  <c r="AF56" i="6"/>
  <c r="Y56" i="6"/>
  <c r="AE56" i="6"/>
  <c r="BB56" i="6"/>
  <c r="K56" i="6"/>
  <c r="AD56" i="6"/>
  <c r="AR56" i="6"/>
  <c r="W56" i="6"/>
  <c r="AL56" i="6"/>
  <c r="AN56" i="6"/>
  <c r="H56" i="6"/>
  <c r="Z56" i="6"/>
  <c r="AS56" i="6"/>
  <c r="AK56" i="6"/>
  <c r="S56" i="6"/>
  <c r="U56" i="6"/>
  <c r="AM56" i="6"/>
  <c r="R56" i="6"/>
  <c r="AQ56" i="6"/>
  <c r="AH56" i="6"/>
  <c r="X56" i="6"/>
  <c r="AC56" i="6"/>
  <c r="T56" i="6"/>
  <c r="J56" i="6"/>
  <c r="O56" i="6"/>
  <c r="AA56" i="6"/>
  <c r="AY56" i="6"/>
  <c r="AW56" i="6"/>
  <c r="AX56" i="6"/>
  <c r="BC56" i="6"/>
  <c r="AT56" i="6"/>
  <c r="AZ56" i="6"/>
  <c r="AU56" i="6"/>
  <c r="BA56" i="6"/>
  <c r="AV56" i="6"/>
  <c r="AZ25" i="11"/>
  <c r="AV25" i="11"/>
  <c r="AR25" i="11"/>
  <c r="E51" i="6"/>
  <c r="F51" i="6"/>
  <c r="BC51" i="6"/>
  <c r="N51" i="6"/>
  <c r="AB51" i="6"/>
  <c r="AA51" i="6"/>
  <c r="AF51" i="6"/>
  <c r="P51" i="6"/>
  <c r="AS51" i="6"/>
  <c r="AM51" i="6"/>
  <c r="T51" i="6"/>
  <c r="S51" i="6"/>
  <c r="AO51" i="6"/>
  <c r="AR51" i="6"/>
  <c r="Y51" i="6"/>
  <c r="R51" i="6"/>
  <c r="K51" i="6"/>
  <c r="Q51" i="6"/>
  <c r="M51" i="6"/>
  <c r="AL51" i="6"/>
  <c r="AH51" i="6"/>
  <c r="O51" i="6"/>
  <c r="X51" i="6"/>
  <c r="H51" i="6"/>
  <c r="AE51" i="6"/>
  <c r="G51" i="6"/>
  <c r="AJ51" i="6"/>
  <c r="J51" i="6"/>
  <c r="L51" i="6"/>
  <c r="V51" i="6"/>
  <c r="AD51" i="6"/>
  <c r="AP51" i="6"/>
  <c r="AQ51" i="6"/>
  <c r="AI51" i="6"/>
  <c r="Z51" i="6"/>
  <c r="W51" i="6"/>
  <c r="AC51" i="6"/>
  <c r="I51" i="6"/>
  <c r="U51" i="6"/>
  <c r="AK51" i="6"/>
  <c r="AG51" i="6"/>
  <c r="AV51" i="6"/>
  <c r="AY51" i="6"/>
  <c r="AU51" i="6"/>
  <c r="AW51" i="6"/>
  <c r="BB51" i="6"/>
  <c r="AX51" i="6"/>
  <c r="AZ51" i="6"/>
  <c r="AN51" i="6"/>
  <c r="BA51" i="6"/>
  <c r="AT51" i="6"/>
  <c r="BA25" i="11"/>
  <c r="AW25" i="11"/>
  <c r="AS25" i="11"/>
  <c r="AX25" i="11"/>
  <c r="AT25" i="11"/>
  <c r="BG62" i="1"/>
  <c r="D67" i="6"/>
  <c r="D35" i="6" s="1"/>
  <c r="C20" i="11" s="1"/>
  <c r="D51" i="6"/>
  <c r="D56" i="6"/>
  <c r="BG37" i="6"/>
  <c r="BH37" i="6" s="1"/>
  <c r="BB25" i="11"/>
  <c r="BG6" i="11"/>
  <c r="P33" i="6" l="1"/>
  <c r="J33" i="6"/>
  <c r="AA33" i="6"/>
  <c r="AO33" i="6"/>
  <c r="V33" i="6"/>
  <c r="AU33" i="6"/>
  <c r="S33" i="6"/>
  <c r="AR33" i="6"/>
  <c r="AY33" i="6"/>
  <c r="AL33" i="6"/>
  <c r="X33" i="6"/>
  <c r="AH33" i="6"/>
  <c r="AD33" i="6"/>
  <c r="M33" i="6"/>
  <c r="BA33" i="6"/>
  <c r="AV33" i="6"/>
  <c r="AQ33" i="6"/>
  <c r="K33" i="6"/>
  <c r="I33" i="6"/>
  <c r="AM33" i="6"/>
  <c r="T33" i="6"/>
  <c r="Q33" i="6"/>
  <c r="O33" i="6"/>
  <c r="AE33" i="6"/>
  <c r="AK33" i="6"/>
  <c r="Y33" i="6"/>
  <c r="N33" i="6"/>
  <c r="Z33" i="6"/>
  <c r="U33" i="6"/>
  <c r="AG33" i="6"/>
  <c r="AZ33" i="6"/>
  <c r="BB33" i="6"/>
  <c r="BC33" i="6"/>
  <c r="AW33" i="6"/>
  <c r="AJ33" i="6"/>
  <c r="W33" i="6"/>
  <c r="H33" i="6"/>
  <c r="R33" i="6"/>
  <c r="AS33" i="6"/>
  <c r="AN33" i="6"/>
  <c r="AB33" i="6"/>
  <c r="G33" i="6"/>
  <c r="D33" i="6"/>
  <c r="C18" i="11" s="1"/>
  <c r="E33" i="6"/>
  <c r="AX33" i="6"/>
  <c r="AF33" i="6"/>
  <c r="AI33" i="6"/>
  <c r="L33" i="6"/>
  <c r="AP33" i="6"/>
  <c r="BF33" i="6" s="1"/>
  <c r="AT33" i="6"/>
  <c r="AC33" i="6"/>
  <c r="F33" i="6"/>
  <c r="AQ35" i="6"/>
  <c r="BB43" i="11"/>
  <c r="BF34" i="11"/>
  <c r="P7" i="6"/>
  <c r="O10" i="6"/>
  <c r="BG60" i="1"/>
  <c r="BG61" i="1" s="1"/>
  <c r="BF61" i="1"/>
  <c r="BA23" i="6"/>
  <c r="AZ24" i="6"/>
  <c r="AP35" i="6"/>
  <c r="BF35" i="6" s="1"/>
  <c r="BF25" i="11"/>
  <c r="BG25" i="11" s="1"/>
  <c r="AY34" i="6"/>
  <c r="AZ34" i="6"/>
  <c r="BA34" i="6"/>
  <c r="BB34" i="6"/>
  <c r="BC34" i="6"/>
  <c r="AP34" i="6"/>
  <c r="AQ34" i="6"/>
  <c r="AR34" i="6"/>
  <c r="AS34" i="6"/>
  <c r="AT34" i="6"/>
  <c r="AU34" i="6"/>
  <c r="AV34" i="6"/>
  <c r="AW34" i="6"/>
  <c r="AX34" i="6"/>
  <c r="X35" i="6"/>
  <c r="Z35" i="6"/>
  <c r="Y35" i="6"/>
  <c r="V35" i="6"/>
  <c r="W35" i="6"/>
  <c r="I35" i="6"/>
  <c r="J35" i="6"/>
  <c r="K35" i="6"/>
  <c r="L35" i="6"/>
  <c r="O35" i="6"/>
  <c r="P35" i="6"/>
  <c r="M35" i="6"/>
  <c r="Q35" i="6"/>
  <c r="N35" i="6"/>
  <c r="BB35" i="6"/>
  <c r="BC35" i="6"/>
  <c r="BA35" i="6"/>
  <c r="AW35" i="6"/>
  <c r="AX35" i="6"/>
  <c r="AY35" i="6"/>
  <c r="AV35" i="6"/>
  <c r="AZ35" i="6"/>
  <c r="G34" i="6"/>
  <c r="K34" i="6"/>
  <c r="O34" i="6"/>
  <c r="D34" i="6"/>
  <c r="C19" i="11" s="1"/>
  <c r="H34" i="6"/>
  <c r="L34" i="6"/>
  <c r="E34" i="6"/>
  <c r="I34" i="6"/>
  <c r="M34" i="6"/>
  <c r="F34" i="6"/>
  <c r="J34" i="6"/>
  <c r="N34" i="6"/>
  <c r="U35" i="6"/>
  <c r="R35" i="6"/>
  <c r="S35" i="6"/>
  <c r="T35" i="6"/>
  <c r="AG35" i="6"/>
  <c r="AH35" i="6"/>
  <c r="AE35" i="6"/>
  <c r="AF35" i="6"/>
  <c r="H35" i="6"/>
  <c r="E35" i="6"/>
  <c r="D20" i="11" s="1"/>
  <c r="F35" i="6"/>
  <c r="G35" i="6"/>
  <c r="AR35" i="6"/>
  <c r="AS35" i="6"/>
  <c r="AT35" i="6"/>
  <c r="AU35" i="6"/>
  <c r="AI34" i="6"/>
  <c r="AM34" i="6"/>
  <c r="AJ34" i="6"/>
  <c r="AN34" i="6"/>
  <c r="AK34" i="6"/>
  <c r="AO34" i="6"/>
  <c r="AH34" i="6"/>
  <c r="AL34" i="6"/>
  <c r="AB34" i="6"/>
  <c r="AF34" i="6"/>
  <c r="Y34" i="6"/>
  <c r="AC34" i="6"/>
  <c r="AG34" i="6"/>
  <c r="Z34" i="6"/>
  <c r="AD34" i="6"/>
  <c r="AA34" i="6"/>
  <c r="AE34" i="6"/>
  <c r="P34" i="6"/>
  <c r="T34" i="6"/>
  <c r="X34" i="6"/>
  <c r="Q34" i="6"/>
  <c r="U34" i="6"/>
  <c r="R34" i="6"/>
  <c r="V34" i="6"/>
  <c r="S34" i="6"/>
  <c r="W34" i="6"/>
  <c r="AI35" i="6"/>
  <c r="AJ35" i="6"/>
  <c r="AM35" i="6"/>
  <c r="AK35" i="6"/>
  <c r="AL35" i="6"/>
  <c r="AC35" i="6"/>
  <c r="AD35" i="6"/>
  <c r="AA35" i="6"/>
  <c r="AB35" i="6"/>
  <c r="AO35" i="6"/>
  <c r="AN35" i="6"/>
  <c r="AM20" i="11" s="1"/>
  <c r="K19" i="11" l="1"/>
  <c r="G19" i="11"/>
  <c r="AQ20" i="11"/>
  <c r="BF43" i="11"/>
  <c r="BG34" i="11"/>
  <c r="BG43" i="11" s="1"/>
  <c r="Q7" i="6"/>
  <c r="BD7" i="6"/>
  <c r="BD10" i="6" s="1"/>
  <c r="P10" i="6"/>
  <c r="BB23" i="6"/>
  <c r="BA24" i="6"/>
  <c r="AW18" i="11"/>
  <c r="R18" i="11"/>
  <c r="AP18" i="11"/>
  <c r="L18" i="11"/>
  <c r="U18" i="11"/>
  <c r="H18" i="11"/>
  <c r="AZ18" i="11"/>
  <c r="Q20" i="11"/>
  <c r="AM18" i="11"/>
  <c r="AL18" i="11"/>
  <c r="AP20" i="11"/>
  <c r="AD18" i="11"/>
  <c r="AC18" i="11"/>
  <c r="Y18" i="11"/>
  <c r="AU18" i="11"/>
  <c r="AT18" i="11"/>
  <c r="T18" i="11"/>
  <c r="I18" i="11"/>
  <c r="J18" i="11"/>
  <c r="P18" i="11"/>
  <c r="AE19" i="11"/>
  <c r="AK19" i="11"/>
  <c r="AW19" i="11"/>
  <c r="Y19" i="11"/>
  <c r="AH18" i="11"/>
  <c r="Z20" i="11"/>
  <c r="P19" i="11"/>
  <c r="AI20" i="11"/>
  <c r="AJ18" i="11"/>
  <c r="E19" i="11"/>
  <c r="F20" i="11"/>
  <c r="AE20" i="11"/>
  <c r="S20" i="11"/>
  <c r="V18" i="11"/>
  <c r="W18" i="11"/>
  <c r="E18" i="11"/>
  <c r="Y20" i="11"/>
  <c r="P20" i="11"/>
  <c r="AH20" i="11"/>
  <c r="AE18" i="11"/>
  <c r="AX20" i="11"/>
  <c r="V19" i="11"/>
  <c r="L19" i="11"/>
  <c r="Q19" i="11"/>
  <c r="S19" i="11"/>
  <c r="Z19" i="11"/>
  <c r="AM19" i="11"/>
  <c r="AR19" i="11"/>
  <c r="AY19" i="11"/>
  <c r="AI19" i="11"/>
  <c r="AU19" i="11"/>
  <c r="AR20" i="11"/>
  <c r="E20" i="11"/>
  <c r="G20" i="11"/>
  <c r="AF20" i="11"/>
  <c r="T20" i="11"/>
  <c r="F19" i="11"/>
  <c r="L20" i="11"/>
  <c r="J20" i="11"/>
  <c r="AR18" i="11"/>
  <c r="Q18" i="11"/>
  <c r="X20" i="11"/>
  <c r="AT20" i="11"/>
  <c r="AA18" i="11"/>
  <c r="X18" i="11"/>
  <c r="R20" i="11"/>
  <c r="I19" i="11"/>
  <c r="D19" i="11"/>
  <c r="AV20" i="11"/>
  <c r="M18" i="11"/>
  <c r="AP19" i="11"/>
  <c r="AS20" i="11"/>
  <c r="C23" i="11"/>
  <c r="C26" i="11" s="1"/>
  <c r="C44" i="11" s="1"/>
  <c r="C46" i="11" s="1"/>
  <c r="AB20" i="11"/>
  <c r="BE35" i="6"/>
  <c r="BB20" i="11"/>
  <c r="BG35" i="6"/>
  <c r="BH35" i="6" s="1"/>
  <c r="AA20" i="11"/>
  <c r="AK20" i="11"/>
  <c r="T19" i="11"/>
  <c r="BD34" i="6"/>
  <c r="O19" i="11"/>
  <c r="AC19" i="11"/>
  <c r="X19" i="11"/>
  <c r="AG19" i="11"/>
  <c r="AS19" i="11"/>
  <c r="BB18" i="11"/>
  <c r="BG33" i="6"/>
  <c r="BH33" i="6" s="1"/>
  <c r="BB19" i="11"/>
  <c r="BG34" i="6"/>
  <c r="BH34" i="6" s="1"/>
  <c r="AS18" i="11"/>
  <c r="M19" i="11"/>
  <c r="H19" i="11"/>
  <c r="AN18" i="11"/>
  <c r="BA18" i="11"/>
  <c r="AW20" i="11"/>
  <c r="BA20" i="11"/>
  <c r="O20" i="11"/>
  <c r="BD35" i="6"/>
  <c r="I20" i="11"/>
  <c r="D18" i="11"/>
  <c r="S18" i="11"/>
  <c r="K18" i="11"/>
  <c r="AB19" i="11"/>
  <c r="BE34" i="6"/>
  <c r="AJ20" i="11"/>
  <c r="R19" i="11"/>
  <c r="AN19" i="11"/>
  <c r="AL19" i="11"/>
  <c r="AO19" i="11"/>
  <c r="BF34" i="6"/>
  <c r="AQ19" i="11"/>
  <c r="AX19" i="11"/>
  <c r="F18" i="11"/>
  <c r="Z18" i="11"/>
  <c r="AV18" i="11"/>
  <c r="AD20" i="11"/>
  <c r="N19" i="11"/>
  <c r="G18" i="11"/>
  <c r="N18" i="11"/>
  <c r="AY20" i="11"/>
  <c r="M20" i="11"/>
  <c r="N20" i="11"/>
  <c r="H20" i="11"/>
  <c r="AI18" i="11"/>
  <c r="AX18" i="11"/>
  <c r="U20" i="11"/>
  <c r="AN20" i="11"/>
  <c r="AO20" i="11"/>
  <c r="AC20" i="11"/>
  <c r="AL20" i="11"/>
  <c r="BD33" i="6"/>
  <c r="O18" i="11"/>
  <c r="U19" i="11"/>
  <c r="W19" i="11"/>
  <c r="AD19" i="11"/>
  <c r="AF19" i="11"/>
  <c r="AA19" i="11"/>
  <c r="AQ18" i="11"/>
  <c r="AJ19" i="11"/>
  <c r="AH19" i="11"/>
  <c r="AV19" i="11"/>
  <c r="AT19" i="11"/>
  <c r="AF18" i="11"/>
  <c r="AZ19" i="11"/>
  <c r="BA19" i="11"/>
  <c r="AK18" i="11"/>
  <c r="AG20" i="11"/>
  <c r="J19" i="11"/>
  <c r="AO18" i="11"/>
  <c r="AG18" i="11"/>
  <c r="AU20" i="11"/>
  <c r="AZ20" i="11"/>
  <c r="K20" i="11"/>
  <c r="V20" i="11"/>
  <c r="W20" i="11"/>
  <c r="AB18" i="11"/>
  <c r="BE33" i="6"/>
  <c r="AY18" i="11"/>
  <c r="AP23" i="11" l="1"/>
  <c r="AP26" i="11" s="1"/>
  <c r="AP44" i="11" s="1"/>
  <c r="AR23" i="11"/>
  <c r="AR26" i="11" s="1"/>
  <c r="AR44" i="11" s="1"/>
  <c r="R7" i="6"/>
  <c r="Q10" i="6"/>
  <c r="BC23" i="6"/>
  <c r="BB24" i="6"/>
  <c r="AM23" i="11"/>
  <c r="AM26" i="11" s="1"/>
  <c r="AM44" i="11" s="1"/>
  <c r="Q23" i="11"/>
  <c r="Q26" i="11" s="1"/>
  <c r="Q44" i="11" s="1"/>
  <c r="Y23" i="11"/>
  <c r="Y26" i="11" s="1"/>
  <c r="Y44" i="11" s="1"/>
  <c r="V23" i="11"/>
  <c r="V26" i="11" s="1"/>
  <c r="V44" i="11" s="1"/>
  <c r="Z23" i="11"/>
  <c r="Z26" i="11" s="1"/>
  <c r="Z44" i="11" s="1"/>
  <c r="AE23" i="11"/>
  <c r="AE26" i="11" s="1"/>
  <c r="AE44" i="11" s="1"/>
  <c r="S23" i="11"/>
  <c r="S26" i="11" s="1"/>
  <c r="S44" i="11" s="1"/>
  <c r="E23" i="11"/>
  <c r="E26" i="11" s="1"/>
  <c r="E44" i="11" s="1"/>
  <c r="AI23" i="11"/>
  <c r="AI26" i="11" s="1"/>
  <c r="AI44" i="11" s="1"/>
  <c r="AQ23" i="11"/>
  <c r="AQ26" i="11" s="1"/>
  <c r="AQ44" i="11" s="1"/>
  <c r="AJ23" i="11"/>
  <c r="AJ26" i="11" s="1"/>
  <c r="AJ44" i="11" s="1"/>
  <c r="AK23" i="11"/>
  <c r="AK26" i="11" s="1"/>
  <c r="AK44" i="11" s="1"/>
  <c r="AO23" i="11"/>
  <c r="AO26" i="11" s="1"/>
  <c r="AO44" i="11" s="1"/>
  <c r="I23" i="11"/>
  <c r="I26" i="11" s="1"/>
  <c r="I44" i="11" s="1"/>
  <c r="AW23" i="11"/>
  <c r="AW26" i="11" s="1"/>
  <c r="AW44" i="11" s="1"/>
  <c r="AT23" i="11"/>
  <c r="AT26" i="11" s="1"/>
  <c r="AT44" i="11" s="1"/>
  <c r="F23" i="11"/>
  <c r="F26" i="11" s="1"/>
  <c r="F44" i="11" s="1"/>
  <c r="T23" i="11"/>
  <c r="T26" i="11" s="1"/>
  <c r="T44" i="11" s="1"/>
  <c r="J23" i="11"/>
  <c r="J26" i="11" s="1"/>
  <c r="J44" i="11" s="1"/>
  <c r="L23" i="11"/>
  <c r="L26" i="11" s="1"/>
  <c r="L44" i="11" s="1"/>
  <c r="P23" i="11"/>
  <c r="P26" i="11" s="1"/>
  <c r="P44" i="11" s="1"/>
  <c r="AH23" i="11"/>
  <c r="AH26" i="11" s="1"/>
  <c r="AH44" i="11" s="1"/>
  <c r="D23" i="11"/>
  <c r="D26" i="11" s="1"/>
  <c r="D44" i="11" s="1"/>
  <c r="H23" i="11"/>
  <c r="H26" i="11" s="1"/>
  <c r="H44" i="11" s="1"/>
  <c r="AD23" i="11"/>
  <c r="AD26" i="11" s="1"/>
  <c r="AD44" i="11" s="1"/>
  <c r="U23" i="11"/>
  <c r="U26" i="11" s="1"/>
  <c r="U44" i="11" s="1"/>
  <c r="AS23" i="11"/>
  <c r="AS26" i="11" s="1"/>
  <c r="AS44" i="11" s="1"/>
  <c r="AB23" i="11"/>
  <c r="AB26" i="11" s="1"/>
  <c r="AB44" i="11" s="1"/>
  <c r="R23" i="11"/>
  <c r="R26" i="11" s="1"/>
  <c r="R44" i="11" s="1"/>
  <c r="AY23" i="11"/>
  <c r="AY26" i="11" s="1"/>
  <c r="AY44" i="11" s="1"/>
  <c r="AA23" i="11"/>
  <c r="AA26" i="11" s="1"/>
  <c r="AA44" i="11" s="1"/>
  <c r="G23" i="11"/>
  <c r="G26" i="11" s="1"/>
  <c r="G44" i="11" s="1"/>
  <c r="X23" i="11"/>
  <c r="X26" i="11" s="1"/>
  <c r="X44" i="11" s="1"/>
  <c r="BF20" i="11"/>
  <c r="AG23" i="11"/>
  <c r="AG26" i="11" s="1"/>
  <c r="AG44" i="11" s="1"/>
  <c r="O23" i="11"/>
  <c r="O26" i="11" s="1"/>
  <c r="O44" i="11" s="1"/>
  <c r="AX23" i="11"/>
  <c r="AX26" i="11" s="1"/>
  <c r="AX44" i="11" s="1"/>
  <c r="M23" i="11"/>
  <c r="M26" i="11" s="1"/>
  <c r="M44" i="11" s="1"/>
  <c r="W23" i="11"/>
  <c r="W26" i="11" s="1"/>
  <c r="W44" i="11" s="1"/>
  <c r="AL23" i="11"/>
  <c r="AL26" i="11" s="1"/>
  <c r="AL44" i="11" s="1"/>
  <c r="AZ23" i="11"/>
  <c r="AZ26" i="11" s="1"/>
  <c r="AZ44" i="11" s="1"/>
  <c r="BF19" i="11"/>
  <c r="BC19" i="11"/>
  <c r="BD20" i="11"/>
  <c r="AF23" i="11"/>
  <c r="AF26" i="11" s="1"/>
  <c r="AF44" i="11" s="1"/>
  <c r="BD19" i="11"/>
  <c r="K23" i="11"/>
  <c r="K26" i="11" s="1"/>
  <c r="K44" i="11" s="1"/>
  <c r="BA23" i="11"/>
  <c r="BA26" i="11" s="1"/>
  <c r="BA44" i="11" s="1"/>
  <c r="BE19" i="11"/>
  <c r="BF18" i="11"/>
  <c r="D32" i="6"/>
  <c r="D40" i="6" s="1"/>
  <c r="D41" i="6" s="1"/>
  <c r="D16" i="6"/>
  <c r="AU23" i="11"/>
  <c r="AU26" i="11" s="1"/>
  <c r="AU44" i="11" s="1"/>
  <c r="BC18" i="11"/>
  <c r="BE20" i="11"/>
  <c r="BC20" i="11"/>
  <c r="N23" i="11"/>
  <c r="N26" i="11" s="1"/>
  <c r="N44" i="11" s="1"/>
  <c r="AV23" i="11"/>
  <c r="AV26" i="11" s="1"/>
  <c r="AV44" i="11" s="1"/>
  <c r="BB23" i="11"/>
  <c r="BB26" i="11" s="1"/>
  <c r="BB44" i="11" s="1"/>
  <c r="BE18" i="11"/>
  <c r="BD18" i="11"/>
  <c r="AN23" i="11"/>
  <c r="AN26" i="11" s="1"/>
  <c r="AN44" i="11" s="1"/>
  <c r="AC23" i="11"/>
  <c r="AC26" i="11" s="1"/>
  <c r="AC44" i="11" s="1"/>
  <c r="BF23" i="11" l="1"/>
  <c r="BF26" i="11" s="1"/>
  <c r="BF44" i="11" s="1"/>
  <c r="S7" i="6"/>
  <c r="R10" i="6"/>
  <c r="BC24" i="6"/>
  <c r="BG23" i="6"/>
  <c r="BD23" i="11"/>
  <c r="BD26" i="11" s="1"/>
  <c r="BD44" i="11" s="1"/>
  <c r="BG19" i="11"/>
  <c r="BE23" i="11"/>
  <c r="BE26" i="11" s="1"/>
  <c r="BE44" i="11" s="1"/>
  <c r="BG18" i="11"/>
  <c r="BC23" i="11"/>
  <c r="BC26" i="11" s="1"/>
  <c r="BC44" i="11" s="1"/>
  <c r="BC46" i="11" s="1"/>
  <c r="BD45" i="11" s="1"/>
  <c r="BG20" i="11"/>
  <c r="D45" i="11"/>
  <c r="D46" i="11" s="1"/>
  <c r="D17" i="6"/>
  <c r="D18" i="6" s="1"/>
  <c r="D42" i="6" s="1"/>
  <c r="T7" i="6" l="1"/>
  <c r="S10" i="6"/>
  <c r="BG24" i="6"/>
  <c r="BH23" i="6"/>
  <c r="BH24" i="6" s="1"/>
  <c r="BD46" i="11"/>
  <c r="BE45" i="11" s="1"/>
  <c r="BE46" i="11" s="1"/>
  <c r="BF45" i="11" s="1"/>
  <c r="BF46" i="11" s="1"/>
  <c r="E32" i="6"/>
  <c r="E40" i="6" s="1"/>
  <c r="E41" i="6" s="1"/>
  <c r="E16" i="6"/>
  <c r="BG23" i="11"/>
  <c r="BG26" i="11" s="1"/>
  <c r="BG44" i="11" s="1"/>
  <c r="BG46" i="11" s="1"/>
  <c r="U7" i="6" l="1"/>
  <c r="T10" i="6"/>
  <c r="E17" i="6"/>
  <c r="E18" i="6" s="1"/>
  <c r="E42" i="6" s="1"/>
  <c r="E45" i="11"/>
  <c r="E46" i="11" s="1"/>
  <c r="V7" i="6" l="1"/>
  <c r="U10" i="6"/>
  <c r="F32" i="6"/>
  <c r="F40" i="6" s="1"/>
  <c r="F41" i="6" s="1"/>
  <c r="F16" i="6"/>
  <c r="W7" i="6" l="1"/>
  <c r="V10" i="6"/>
  <c r="F17" i="6"/>
  <c r="F18" i="6" s="1"/>
  <c r="F42" i="6" s="1"/>
  <c r="F45" i="11"/>
  <c r="F46" i="11" s="1"/>
  <c r="X7" i="6" l="1"/>
  <c r="W10" i="6"/>
  <c r="G32" i="6"/>
  <c r="G40" i="6" s="1"/>
  <c r="G41" i="6" s="1"/>
  <c r="G16" i="6"/>
  <c r="Y7" i="6" l="1"/>
  <c r="X10" i="6"/>
  <c r="G45" i="11"/>
  <c r="G46" i="11" s="1"/>
  <c r="G17" i="6"/>
  <c r="G18" i="6" s="1"/>
  <c r="G42" i="6" s="1"/>
  <c r="Z7" i="6" l="1"/>
  <c r="Y10" i="6"/>
  <c r="H32" i="6"/>
  <c r="H40" i="6" s="1"/>
  <c r="H41" i="6" s="1"/>
  <c r="H16" i="6"/>
  <c r="AA7" i="6" l="1"/>
  <c r="Z10" i="6"/>
  <c r="H17" i="6"/>
  <c r="H18" i="6" s="1"/>
  <c r="H42" i="6" s="1"/>
  <c r="H45" i="11"/>
  <c r="H46" i="11" s="1"/>
  <c r="AB7" i="6" l="1"/>
  <c r="AA10" i="6"/>
  <c r="I32" i="6"/>
  <c r="I40" i="6" s="1"/>
  <c r="I41" i="6" s="1"/>
  <c r="I16" i="6"/>
  <c r="AC7" i="6" l="1"/>
  <c r="AB10" i="6"/>
  <c r="I17" i="6"/>
  <c r="I18" i="6" s="1"/>
  <c r="I42" i="6" s="1"/>
  <c r="I45" i="11"/>
  <c r="I46" i="11" s="1"/>
  <c r="AD7" i="6" l="1"/>
  <c r="AC10" i="6"/>
  <c r="BE7" i="6"/>
  <c r="BE10" i="6" s="1"/>
  <c r="J16" i="6"/>
  <c r="J32" i="6"/>
  <c r="J40" i="6" s="1"/>
  <c r="J41" i="6" s="1"/>
  <c r="AE7" i="6" l="1"/>
  <c r="AD10" i="6"/>
  <c r="J45" i="11"/>
  <c r="J46" i="11" s="1"/>
  <c r="J17" i="6"/>
  <c r="J18" i="6" s="1"/>
  <c r="J42" i="6" s="1"/>
  <c r="AF7" i="6" l="1"/>
  <c r="AE10" i="6"/>
  <c r="K16" i="6"/>
  <c r="K32" i="6"/>
  <c r="K40" i="6" s="1"/>
  <c r="K41" i="6" s="1"/>
  <c r="AG7" i="6" l="1"/>
  <c r="AF10" i="6"/>
  <c r="K17" i="6"/>
  <c r="K18" i="6" s="1"/>
  <c r="K42" i="6" s="1"/>
  <c r="K45" i="11"/>
  <c r="K46" i="11" s="1"/>
  <c r="AH7" i="6" l="1"/>
  <c r="AG10" i="6"/>
  <c r="L16" i="6"/>
  <c r="L32" i="6"/>
  <c r="L40" i="6" s="1"/>
  <c r="L41" i="6" s="1"/>
  <c r="AI7" i="6" l="1"/>
  <c r="AH10" i="6"/>
  <c r="L17" i="6"/>
  <c r="L18" i="6" s="1"/>
  <c r="L42" i="6" s="1"/>
  <c r="L45" i="11"/>
  <c r="L46" i="11" s="1"/>
  <c r="AJ7" i="6" l="1"/>
  <c r="AI10" i="6"/>
  <c r="M32" i="6"/>
  <c r="M40" i="6" s="1"/>
  <c r="M41" i="6" s="1"/>
  <c r="M16" i="6"/>
  <c r="AK7" i="6" l="1"/>
  <c r="AJ10" i="6"/>
  <c r="M45" i="11"/>
  <c r="M46" i="11" s="1"/>
  <c r="M17" i="6"/>
  <c r="M18" i="6" s="1"/>
  <c r="M42" i="6" s="1"/>
  <c r="AL7" i="6" l="1"/>
  <c r="AK10" i="6"/>
  <c r="N32" i="6"/>
  <c r="N40" i="6" s="1"/>
  <c r="N41" i="6" s="1"/>
  <c r="N16" i="6"/>
  <c r="AM7" i="6" l="1"/>
  <c r="AL10" i="6"/>
  <c r="N45" i="11"/>
  <c r="N46" i="11" s="1"/>
  <c r="N17" i="6"/>
  <c r="N18" i="6" s="1"/>
  <c r="N42" i="6" s="1"/>
  <c r="AN7" i="6" l="1"/>
  <c r="AM10" i="6"/>
  <c r="O32" i="6"/>
  <c r="O40" i="6" s="1"/>
  <c r="O41" i="6" s="1"/>
  <c r="O16" i="6"/>
  <c r="AO7" i="6" l="1"/>
  <c r="AN10" i="6"/>
  <c r="O45" i="11"/>
  <c r="O46" i="11" s="1"/>
  <c r="O17" i="6"/>
  <c r="O18" i="6" s="1"/>
  <c r="O42" i="6" s="1"/>
  <c r="AP7" i="6" l="1"/>
  <c r="AO10" i="6"/>
  <c r="P32" i="6"/>
  <c r="P16" i="6"/>
  <c r="AQ7" i="6" l="1"/>
  <c r="AP10" i="6"/>
  <c r="BF7" i="6"/>
  <c r="BF10" i="6" s="1"/>
  <c r="P17" i="6"/>
  <c r="P18" i="6" s="1"/>
  <c r="P45" i="11"/>
  <c r="P46" i="11" s="1"/>
  <c r="BD16" i="6"/>
  <c r="BD17" i="6" s="1"/>
  <c r="BD18" i="6" s="1"/>
  <c r="P40" i="6"/>
  <c r="P41" i="6" s="1"/>
  <c r="BD32" i="6"/>
  <c r="BD40" i="6" s="1"/>
  <c r="BD41" i="6" s="1"/>
  <c r="AR7" i="6" l="1"/>
  <c r="AQ10" i="6"/>
  <c r="BD42" i="6"/>
  <c r="Q16" i="6"/>
  <c r="Q32" i="6"/>
  <c r="Q40" i="6" s="1"/>
  <c r="Q41" i="6" s="1"/>
  <c r="P42" i="6"/>
  <c r="AS7" i="6" l="1"/>
  <c r="AR10" i="6"/>
  <c r="Q45" i="11"/>
  <c r="Q46" i="11" s="1"/>
  <c r="Q17" i="6"/>
  <c r="Q18" i="6" s="1"/>
  <c r="Q42" i="6" s="1"/>
  <c r="AT7" i="6" l="1"/>
  <c r="AS10" i="6"/>
  <c r="R32" i="6"/>
  <c r="R40" i="6" s="1"/>
  <c r="R41" i="6" s="1"/>
  <c r="R16" i="6"/>
  <c r="AU7" i="6" l="1"/>
  <c r="AT10" i="6"/>
  <c r="R45" i="11"/>
  <c r="R46" i="11" s="1"/>
  <c r="R17" i="6"/>
  <c r="R18" i="6" s="1"/>
  <c r="R42" i="6" s="1"/>
  <c r="AV7" i="6" l="1"/>
  <c r="AU10" i="6"/>
  <c r="S32" i="6"/>
  <c r="S40" i="6" s="1"/>
  <c r="S41" i="6" s="1"/>
  <c r="S16" i="6"/>
  <c r="AW7" i="6" l="1"/>
  <c r="AV10" i="6"/>
  <c r="S45" i="11"/>
  <c r="S46" i="11" s="1"/>
  <c r="S17" i="6"/>
  <c r="S18" i="6" s="1"/>
  <c r="S42" i="6" s="1"/>
  <c r="AX7" i="6" l="1"/>
  <c r="AW10" i="6"/>
  <c r="T32" i="6"/>
  <c r="T40" i="6" s="1"/>
  <c r="T41" i="6" s="1"/>
  <c r="T16" i="6"/>
  <c r="AY7" i="6" l="1"/>
  <c r="AX10" i="6"/>
  <c r="T45" i="11"/>
  <c r="T46" i="11" s="1"/>
  <c r="T17" i="6"/>
  <c r="T18" i="6" s="1"/>
  <c r="T42" i="6" s="1"/>
  <c r="AZ7" i="6" l="1"/>
  <c r="AY10" i="6"/>
  <c r="U32" i="6"/>
  <c r="U40" i="6" s="1"/>
  <c r="U41" i="6" s="1"/>
  <c r="U16" i="6"/>
  <c r="BA7" i="6" l="1"/>
  <c r="AZ10" i="6"/>
  <c r="U45" i="11"/>
  <c r="U46" i="11" s="1"/>
  <c r="U17" i="6"/>
  <c r="U18" i="6" s="1"/>
  <c r="U42" i="6" s="1"/>
  <c r="BB7" i="6" l="1"/>
  <c r="BA10" i="6"/>
  <c r="V32" i="6"/>
  <c r="V40" i="6" s="1"/>
  <c r="V41" i="6" s="1"/>
  <c r="V16" i="6"/>
  <c r="BC7" i="6" l="1"/>
  <c r="BB10" i="6"/>
  <c r="V45" i="11"/>
  <c r="V46" i="11" s="1"/>
  <c r="V17" i="6"/>
  <c r="V18" i="6" s="1"/>
  <c r="V42" i="6" s="1"/>
  <c r="BC10" i="6" l="1"/>
  <c r="BG7" i="6"/>
  <c r="W32" i="6"/>
  <c r="W40" i="6" s="1"/>
  <c r="W41" i="6" s="1"/>
  <c r="W16" i="6"/>
  <c r="BH7" i="6" l="1"/>
  <c r="BH10" i="6" s="1"/>
  <c r="BG10" i="6"/>
  <c r="W45" i="11"/>
  <c r="W46" i="11" s="1"/>
  <c r="W17" i="6"/>
  <c r="W18" i="6" s="1"/>
  <c r="W42" i="6" s="1"/>
  <c r="X16" i="6" l="1"/>
  <c r="X32" i="6"/>
  <c r="X40" i="6" s="1"/>
  <c r="X41" i="6" s="1"/>
  <c r="X45" i="11" l="1"/>
  <c r="X46" i="11" s="1"/>
  <c r="X17" i="6"/>
  <c r="X18" i="6" s="1"/>
  <c r="X42" i="6" s="1"/>
  <c r="Y32" i="6" l="1"/>
  <c r="Y40" i="6" s="1"/>
  <c r="Y41" i="6" s="1"/>
  <c r="Y16" i="6"/>
  <c r="Y45" i="11" l="1"/>
  <c r="Y46" i="11" s="1"/>
  <c r="Y17" i="6"/>
  <c r="Y18" i="6" s="1"/>
  <c r="Y42" i="6" s="1"/>
  <c r="Z32" i="6" l="1"/>
  <c r="Z40" i="6" s="1"/>
  <c r="Z41" i="6" s="1"/>
  <c r="Z16" i="6"/>
  <c r="Z45" i="11" l="1"/>
  <c r="Z46" i="11" s="1"/>
  <c r="Z17" i="6"/>
  <c r="Z18" i="6" s="1"/>
  <c r="Z42" i="6" s="1"/>
  <c r="AA32" i="6" l="1"/>
  <c r="AA40" i="6" s="1"/>
  <c r="AA41" i="6" s="1"/>
  <c r="AA16" i="6"/>
  <c r="AA45" i="11" l="1"/>
  <c r="AA46" i="11" s="1"/>
  <c r="AA17" i="6"/>
  <c r="AA18" i="6" s="1"/>
  <c r="AA42" i="6" s="1"/>
  <c r="AB32" i="6" l="1"/>
  <c r="AB40" i="6" s="1"/>
  <c r="AB41" i="6" s="1"/>
  <c r="AB16" i="6"/>
  <c r="AB45" i="11" l="1"/>
  <c r="AB46" i="11" s="1"/>
  <c r="AB17" i="6"/>
  <c r="AB18" i="6" s="1"/>
  <c r="AB42" i="6" s="1"/>
  <c r="AC32" i="6" l="1"/>
  <c r="AC16" i="6"/>
  <c r="AC40" i="6" l="1"/>
  <c r="AC41" i="6" s="1"/>
  <c r="BE32" i="6"/>
  <c r="BE40" i="6" s="1"/>
  <c r="BE41" i="6" s="1"/>
  <c r="AC45" i="11"/>
  <c r="AC46" i="11" s="1"/>
  <c r="AC17" i="6"/>
  <c r="AC18" i="6" s="1"/>
  <c r="BE16" i="6"/>
  <c r="BE17" i="6" s="1"/>
  <c r="BE18" i="6" s="1"/>
  <c r="BE42" i="6" l="1"/>
  <c r="AC42" i="6"/>
  <c r="AD32" i="6"/>
  <c r="AD40" i="6" s="1"/>
  <c r="AD41" i="6" s="1"/>
  <c r="AD16" i="6"/>
  <c r="AD45" i="11" l="1"/>
  <c r="AD46" i="11" s="1"/>
  <c r="AD17" i="6"/>
  <c r="AD18" i="6" s="1"/>
  <c r="AD42" i="6" s="1"/>
  <c r="AE32" i="6" l="1"/>
  <c r="AE40" i="6" s="1"/>
  <c r="AE41" i="6" s="1"/>
  <c r="AE16" i="6"/>
  <c r="AE45" i="11" l="1"/>
  <c r="AE46" i="11" s="1"/>
  <c r="AE17" i="6"/>
  <c r="AE18" i="6" s="1"/>
  <c r="AE42" i="6" s="1"/>
  <c r="AF32" i="6" l="1"/>
  <c r="AF40" i="6" s="1"/>
  <c r="AF41" i="6" s="1"/>
  <c r="AF16" i="6"/>
  <c r="AF45" i="11" l="1"/>
  <c r="AF46" i="11" s="1"/>
  <c r="AF17" i="6"/>
  <c r="AF18" i="6" s="1"/>
  <c r="AF42" i="6" s="1"/>
  <c r="AG32" i="6" l="1"/>
  <c r="AG40" i="6" s="1"/>
  <c r="AG41" i="6" s="1"/>
  <c r="AG16" i="6"/>
  <c r="AG45" i="11" l="1"/>
  <c r="AG46" i="11" s="1"/>
  <c r="AG17" i="6"/>
  <c r="AG18" i="6" s="1"/>
  <c r="AG42" i="6" s="1"/>
  <c r="AH32" i="6" l="1"/>
  <c r="AH40" i="6" s="1"/>
  <c r="AH41" i="6" s="1"/>
  <c r="AH16" i="6"/>
  <c r="AH45" i="11" l="1"/>
  <c r="AH46" i="11" s="1"/>
  <c r="AH17" i="6"/>
  <c r="AH18" i="6" s="1"/>
  <c r="AH42" i="6" s="1"/>
  <c r="AI32" i="6" l="1"/>
  <c r="AI40" i="6" s="1"/>
  <c r="AI41" i="6" s="1"/>
  <c r="AI16" i="6"/>
  <c r="AI45" i="11" l="1"/>
  <c r="AI46" i="11" s="1"/>
  <c r="AI17" i="6"/>
  <c r="AI18" i="6" s="1"/>
  <c r="AI42" i="6" s="1"/>
  <c r="AJ32" i="6" l="1"/>
  <c r="AJ40" i="6" s="1"/>
  <c r="AJ41" i="6" s="1"/>
  <c r="AJ16" i="6"/>
  <c r="AJ45" i="11" l="1"/>
  <c r="AJ46" i="11" s="1"/>
  <c r="AJ17" i="6"/>
  <c r="AJ18" i="6" s="1"/>
  <c r="AJ42" i="6" s="1"/>
  <c r="AK32" i="6" l="1"/>
  <c r="AK40" i="6" s="1"/>
  <c r="AK41" i="6" s="1"/>
  <c r="AK16" i="6"/>
  <c r="AK45" i="11" l="1"/>
  <c r="AK46" i="11" s="1"/>
  <c r="AK17" i="6"/>
  <c r="AK18" i="6" s="1"/>
  <c r="AK42" i="6" s="1"/>
  <c r="AL32" i="6" l="1"/>
  <c r="AL40" i="6" s="1"/>
  <c r="AL41" i="6" s="1"/>
  <c r="AL16" i="6"/>
  <c r="AL45" i="11" l="1"/>
  <c r="AL46" i="11" s="1"/>
  <c r="AL17" i="6"/>
  <c r="AL18" i="6" s="1"/>
  <c r="AL42" i="6" s="1"/>
  <c r="AM32" i="6" l="1"/>
  <c r="AM40" i="6" s="1"/>
  <c r="AM41" i="6" s="1"/>
  <c r="AM16" i="6"/>
  <c r="AM45" i="11" l="1"/>
  <c r="AM46" i="11" s="1"/>
  <c r="AM17" i="6"/>
  <c r="AM18" i="6" s="1"/>
  <c r="AM42" i="6" s="1"/>
  <c r="AN32" i="6" l="1"/>
  <c r="AN40" i="6" s="1"/>
  <c r="AN41" i="6" s="1"/>
  <c r="AN16" i="6"/>
  <c r="AN45" i="11" l="1"/>
  <c r="AN46" i="11" s="1"/>
  <c r="AN17" i="6"/>
  <c r="AN18" i="6" s="1"/>
  <c r="AN42" i="6" s="1"/>
  <c r="AO32" i="6" l="1"/>
  <c r="AO40" i="6" s="1"/>
  <c r="AO41" i="6" s="1"/>
  <c r="AO16" i="6"/>
  <c r="AO45" i="11" l="1"/>
  <c r="AO46" i="11" s="1"/>
  <c r="AO17" i="6"/>
  <c r="AO18" i="6" s="1"/>
  <c r="AO42" i="6" s="1"/>
  <c r="AP32" i="6" l="1"/>
  <c r="AP16" i="6"/>
  <c r="BF16" i="6" l="1"/>
  <c r="BF17" i="6" s="1"/>
  <c r="BF18" i="6" s="1"/>
  <c r="AP45" i="11"/>
  <c r="AP46" i="11" s="1"/>
  <c r="AP17" i="6"/>
  <c r="AP18" i="6" s="1"/>
  <c r="AP40" i="6"/>
  <c r="AP41" i="6" s="1"/>
  <c r="BF32" i="6"/>
  <c r="BF40" i="6" s="1"/>
  <c r="BF41" i="6" s="1"/>
  <c r="AP42" i="6" l="1"/>
  <c r="AQ16" i="6"/>
  <c r="AQ32" i="6"/>
  <c r="AQ40" i="6" s="1"/>
  <c r="AQ41" i="6" s="1"/>
  <c r="BF42" i="6"/>
  <c r="AQ45" i="11" l="1"/>
  <c r="AQ46" i="11" s="1"/>
  <c r="AQ17" i="6"/>
  <c r="AQ18" i="6" s="1"/>
  <c r="AQ42" i="6" s="1"/>
  <c r="AR32" i="6" l="1"/>
  <c r="AR40" i="6" s="1"/>
  <c r="AR41" i="6" s="1"/>
  <c r="AR16" i="6"/>
  <c r="AR45" i="11" l="1"/>
  <c r="AR46" i="11" s="1"/>
  <c r="AR17" i="6"/>
  <c r="AR18" i="6" s="1"/>
  <c r="AR42" i="6" s="1"/>
  <c r="AS32" i="6" l="1"/>
  <c r="AS40" i="6" s="1"/>
  <c r="AS41" i="6" s="1"/>
  <c r="AS16" i="6"/>
  <c r="AS45" i="11" l="1"/>
  <c r="AS46" i="11" s="1"/>
  <c r="AS17" i="6"/>
  <c r="AS18" i="6" s="1"/>
  <c r="AS42" i="6" s="1"/>
  <c r="AT32" i="6" l="1"/>
  <c r="AT40" i="6" s="1"/>
  <c r="AT41" i="6" s="1"/>
  <c r="AT16" i="6"/>
  <c r="AT45" i="11" l="1"/>
  <c r="AT46" i="11" s="1"/>
  <c r="AT17" i="6"/>
  <c r="AT18" i="6" s="1"/>
  <c r="AT42" i="6" s="1"/>
  <c r="AU32" i="6" l="1"/>
  <c r="AU40" i="6" s="1"/>
  <c r="AU41" i="6" s="1"/>
  <c r="AU16" i="6"/>
  <c r="AU45" i="11" l="1"/>
  <c r="AU46" i="11" s="1"/>
  <c r="AU17" i="6"/>
  <c r="AU18" i="6" s="1"/>
  <c r="AU42" i="6" s="1"/>
  <c r="AV32" i="6" l="1"/>
  <c r="AV40" i="6" s="1"/>
  <c r="AV41" i="6" s="1"/>
  <c r="AV16" i="6"/>
  <c r="AV45" i="11" l="1"/>
  <c r="AV46" i="11" s="1"/>
  <c r="AV17" i="6"/>
  <c r="AV18" i="6" s="1"/>
  <c r="AV42" i="6" s="1"/>
  <c r="AW32" i="6" l="1"/>
  <c r="AW40" i="6" s="1"/>
  <c r="AW41" i="6" s="1"/>
  <c r="AW16" i="6"/>
  <c r="AW45" i="11" l="1"/>
  <c r="AW46" i="11" s="1"/>
  <c r="AW17" i="6"/>
  <c r="AW18" i="6" s="1"/>
  <c r="AW42" i="6" s="1"/>
  <c r="AX32" i="6" l="1"/>
  <c r="AX40" i="6" s="1"/>
  <c r="AX41" i="6" s="1"/>
  <c r="AX16" i="6"/>
  <c r="AX45" i="11" l="1"/>
  <c r="AX46" i="11" s="1"/>
  <c r="AX17" i="6"/>
  <c r="AX18" i="6" s="1"/>
  <c r="AX42" i="6" s="1"/>
  <c r="AY32" i="6" l="1"/>
  <c r="AY40" i="6" s="1"/>
  <c r="AY41" i="6" s="1"/>
  <c r="AY16" i="6"/>
  <c r="AY45" i="11" l="1"/>
  <c r="AY46" i="11" s="1"/>
  <c r="AY17" i="6"/>
  <c r="AY18" i="6" s="1"/>
  <c r="AY42" i="6" s="1"/>
  <c r="AZ32" i="6" l="1"/>
  <c r="AZ40" i="6" s="1"/>
  <c r="AZ41" i="6" s="1"/>
  <c r="AZ16" i="6"/>
  <c r="AZ45" i="11" l="1"/>
  <c r="AZ46" i="11" s="1"/>
  <c r="AZ17" i="6"/>
  <c r="AZ18" i="6" s="1"/>
  <c r="AZ42" i="6" s="1"/>
  <c r="BA32" i="6" l="1"/>
  <c r="BA40" i="6" s="1"/>
  <c r="BA41" i="6" s="1"/>
  <c r="BA16" i="6"/>
  <c r="BA45" i="11" l="1"/>
  <c r="BA46" i="11" s="1"/>
  <c r="BA17" i="6"/>
  <c r="BA18" i="6" s="1"/>
  <c r="BA42" i="6" s="1"/>
  <c r="BB32" i="6" l="1"/>
  <c r="BB40" i="6" s="1"/>
  <c r="BB41" i="6" s="1"/>
  <c r="BB16" i="6"/>
  <c r="BB45" i="11" l="1"/>
  <c r="BB46" i="11" s="1"/>
  <c r="BB17" i="6"/>
  <c r="BB18" i="6" s="1"/>
  <c r="BB42" i="6" s="1"/>
  <c r="BC32" i="6" l="1"/>
  <c r="BC16" i="6"/>
  <c r="BG16" i="6" l="1"/>
  <c r="BC17" i="6"/>
  <c r="BC18" i="6" s="1"/>
  <c r="BC40" i="6"/>
  <c r="BC41" i="6" s="1"/>
  <c r="BG32" i="6"/>
  <c r="BH32" i="6" l="1"/>
  <c r="BH40" i="6" s="1"/>
  <c r="BH41" i="6" s="1"/>
  <c r="BG40" i="6"/>
  <c r="BG41" i="6" s="1"/>
  <c r="BC42" i="6"/>
  <c r="BG17" i="6"/>
  <c r="BG18" i="6" s="1"/>
  <c r="BH16" i="6"/>
  <c r="BH17" i="6" s="1"/>
  <c r="BH18" i="6" s="1"/>
  <c r="BH42" i="6" l="1"/>
  <c r="BG42" i="6"/>
</calcChain>
</file>

<file path=xl/sharedStrings.xml><?xml version="1.0" encoding="utf-8"?>
<sst xmlns="http://schemas.openxmlformats.org/spreadsheetml/2006/main" count="732" uniqueCount="464">
  <si>
    <t>Shareholders' Contributions</t>
  </si>
  <si>
    <t>Turnover</t>
  </si>
  <si>
    <t>Gross Profit %</t>
  </si>
  <si>
    <t>Accounting Fees</t>
  </si>
  <si>
    <t>Bank Charges</t>
  </si>
  <si>
    <t>Computer Expenses</t>
  </si>
  <si>
    <t>Uniforms</t>
  </si>
  <si>
    <t>Electricity &amp; Water</t>
  </si>
  <si>
    <t xml:space="preserve">Entertainment </t>
  </si>
  <si>
    <t>Insurance</t>
  </si>
  <si>
    <t>Printing &amp; Stationery</t>
  </si>
  <si>
    <t>Rent</t>
  </si>
  <si>
    <t>Security</t>
  </si>
  <si>
    <t>Subscriptions</t>
  </si>
  <si>
    <t>Telephone &amp; Fax</t>
  </si>
  <si>
    <t>Advertising &amp; Marketing</t>
  </si>
  <si>
    <t>Cleaning Expenses</t>
  </si>
  <si>
    <t>Professional Fees</t>
  </si>
  <si>
    <t>Postage</t>
  </si>
  <si>
    <t>Motor Vehicle Expenses</t>
  </si>
  <si>
    <t>Equipment Hire</t>
  </si>
  <si>
    <t>Repairs &amp; Maintenance</t>
  </si>
  <si>
    <t>Consumables</t>
  </si>
  <si>
    <t>Legal Fees</t>
  </si>
  <si>
    <t>Training</t>
  </si>
  <si>
    <t>Inventory</t>
  </si>
  <si>
    <t>Working Capital</t>
  </si>
  <si>
    <t>www.excel-skills.com</t>
  </si>
  <si>
    <t>Help &amp; Customization</t>
  </si>
  <si>
    <t>Debtors Days</t>
  </si>
  <si>
    <t>Creditors Days</t>
  </si>
  <si>
    <t>Inventory Days</t>
  </si>
  <si>
    <t>Income Tax %</t>
  </si>
  <si>
    <t>Interest Rate</t>
  </si>
  <si>
    <t>Current Assets</t>
  </si>
  <si>
    <t>Retained Earnings</t>
  </si>
  <si>
    <t>Current Liabilities</t>
  </si>
  <si>
    <t>Taxation</t>
  </si>
  <si>
    <t>Repayment Term</t>
  </si>
  <si>
    <t>Interest Only</t>
  </si>
  <si>
    <t>No</t>
  </si>
  <si>
    <t>Interest</t>
  </si>
  <si>
    <t>Loan Repayment</t>
  </si>
  <si>
    <t>Opening Balance</t>
  </si>
  <si>
    <t>Closing Balance</t>
  </si>
  <si>
    <t>Start Date</t>
  </si>
  <si>
    <t>Instructions</t>
  </si>
  <si>
    <t>Loan Terms</t>
  </si>
  <si>
    <t>Property, Plant &amp; Equipment</t>
  </si>
  <si>
    <t>Capital Repayment</t>
  </si>
  <si>
    <t>© www.excel-skills.com</t>
  </si>
  <si>
    <t>Repayment Term (in years)</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</si>
  <si>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</si>
  <si>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Business Name</t>
  </si>
  <si>
    <t>Cash Flow Projections - Assumptions</t>
  </si>
  <si>
    <t>Cash Flow Projections - Income Statement</t>
  </si>
  <si>
    <t>Profit / (Loss) for the year</t>
  </si>
  <si>
    <t>Profit / (Loss) %</t>
  </si>
  <si>
    <t>Depreciation</t>
  </si>
  <si>
    <t>Cash Flow Projections - Cash Flow Statement</t>
  </si>
  <si>
    <t>Cash Flow Projections - Balance Sheet</t>
  </si>
  <si>
    <t>Cash flows from operating activities</t>
  </si>
  <si>
    <t>Adjustment for non-cash expenses:</t>
  </si>
  <si>
    <t>Changes in operating assets &amp; liabilities</t>
  </si>
  <si>
    <t>Cash generated from operations</t>
  </si>
  <si>
    <t>Interest paid</t>
  </si>
  <si>
    <t>Taxation paid</t>
  </si>
  <si>
    <t>Net cash from operating activities</t>
  </si>
  <si>
    <t>Cash flows from investing activities</t>
  </si>
  <si>
    <t>Purchases of property, plant &amp; equipment</t>
  </si>
  <si>
    <t>Net cash used in investing activities</t>
  </si>
  <si>
    <t>Cash flows from financing activities</t>
  </si>
  <si>
    <t>Proceeds from shareholders' contributions</t>
  </si>
  <si>
    <t>Net cash from financing activities</t>
  </si>
  <si>
    <t>Increase / (Decrease) in cash equivalents</t>
  </si>
  <si>
    <t>Cash &amp; cash equivalents at beginning of year</t>
  </si>
  <si>
    <t>Cash &amp; cash equivalents at end of year</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</si>
  <si>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</si>
  <si>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</si>
  <si>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Total Q1</t>
  </si>
  <si>
    <t>Total Q2</t>
  </si>
  <si>
    <t>Total Q3</t>
  </si>
  <si>
    <t>Total Q4</t>
  </si>
  <si>
    <t>Profit / (Loss) for the period</t>
  </si>
  <si>
    <t>Repayment Date</t>
  </si>
  <si>
    <t>Week End Date</t>
  </si>
  <si>
    <t>Repayment Day</t>
  </si>
  <si>
    <t>Repayment Number</t>
  </si>
  <si>
    <t>Quarters</t>
  </si>
  <si>
    <t>Quarter 1 : Number of Weeks</t>
  </si>
  <si>
    <t>Quarter 2 : Number of Weeks</t>
  </si>
  <si>
    <t>Quarter 3 : Number of Weeks</t>
  </si>
  <si>
    <t>Quarter 4 : Number of Weeks</t>
  </si>
  <si>
    <t>Q1</t>
  </si>
  <si>
    <t>Q2</t>
  </si>
  <si>
    <t>Q3</t>
  </si>
  <si>
    <t>Q4</t>
  </si>
  <si>
    <t>Q0</t>
  </si>
  <si>
    <t>Number of days in period</t>
  </si>
  <si>
    <t>Weekly turnover projections need to be entered on the IncState worksheet.</t>
  </si>
  <si>
    <t>Weekly gross profit percentages need to be entered on the IncState worksheet.</t>
  </si>
  <si>
    <t>Excel Skills | Weekly Cash Flow Projection Template</t>
  </si>
  <si>
    <t>Product Sales</t>
  </si>
  <si>
    <t>Income From Services</t>
  </si>
  <si>
    <t>Total Turnover</t>
  </si>
  <si>
    <t>Products</t>
  </si>
  <si>
    <t>Services</t>
  </si>
  <si>
    <t>Total Cost of Sales</t>
  </si>
  <si>
    <t>Total Gross Profit</t>
  </si>
  <si>
    <t>Operating Expenses</t>
  </si>
  <si>
    <t>Total Operating Expenses</t>
  </si>
  <si>
    <t>Staff Costs</t>
  </si>
  <si>
    <t>Salaries</t>
  </si>
  <si>
    <t>Wages</t>
  </si>
  <si>
    <t>Total Staff Costs</t>
  </si>
  <si>
    <t>Depreciation &amp; Amortization</t>
  </si>
  <si>
    <t>V1C1</t>
  </si>
  <si>
    <t>V1C0</t>
  </si>
  <si>
    <t>PAY</t>
  </si>
  <si>
    <t>DEP</t>
  </si>
  <si>
    <t>AMT</t>
  </si>
  <si>
    <t>Amortization</t>
  </si>
  <si>
    <t>Total Depreciation &amp; Amortization</t>
  </si>
  <si>
    <t>Profit / (Loss) before interest &amp; tax</t>
  </si>
  <si>
    <t>Interest Paid</t>
  </si>
  <si>
    <t>INT</t>
  </si>
  <si>
    <t>Interest - Loans 1</t>
  </si>
  <si>
    <t>Interest - Loans 2</t>
  </si>
  <si>
    <t>Interest - Loans 3</t>
  </si>
  <si>
    <t>Interest - Leases</t>
  </si>
  <si>
    <t>Total Interest Paid</t>
  </si>
  <si>
    <t>Profit / (Loss) before tax</t>
  </si>
  <si>
    <t>TAX</t>
  </si>
  <si>
    <t>Loans 1</t>
  </si>
  <si>
    <t>Loans 2</t>
  </si>
  <si>
    <t>Loans 3</t>
  </si>
  <si>
    <t>Leases</t>
  </si>
  <si>
    <t>Balance Sheet Opening Balances</t>
  </si>
  <si>
    <t>PPE</t>
  </si>
  <si>
    <t>INA</t>
  </si>
  <si>
    <t>Intangible Assets</t>
  </si>
  <si>
    <t>INV</t>
  </si>
  <si>
    <t>Investments</t>
  </si>
  <si>
    <t>ADV</t>
  </si>
  <si>
    <t>Loans &amp; Advances</t>
  </si>
  <si>
    <t>STC</t>
  </si>
  <si>
    <t>DEB</t>
  </si>
  <si>
    <t>Trade Receivables</t>
  </si>
  <si>
    <t>ODB</t>
  </si>
  <si>
    <t>Other Receivables</t>
  </si>
  <si>
    <t>CSH</t>
  </si>
  <si>
    <t>Cash &amp; Cash Equivalents</t>
  </si>
  <si>
    <t>CAP</t>
  </si>
  <si>
    <t>RES</t>
  </si>
  <si>
    <t>Reserves</t>
  </si>
  <si>
    <t>EAR</t>
  </si>
  <si>
    <t>LT1</t>
  </si>
  <si>
    <t>Long Term Loans 1</t>
  </si>
  <si>
    <t>LT2</t>
  </si>
  <si>
    <t>Long Term Loans 2</t>
  </si>
  <si>
    <t>LT3</t>
  </si>
  <si>
    <t>Long Term Loans 3</t>
  </si>
  <si>
    <t>FIN</t>
  </si>
  <si>
    <t>Finance Leases</t>
  </si>
  <si>
    <t>OVD</t>
  </si>
  <si>
    <t>Bank Overdraft</t>
  </si>
  <si>
    <t>CRE</t>
  </si>
  <si>
    <t>Trade Payables</t>
  </si>
  <si>
    <t>VAT</t>
  </si>
  <si>
    <t>Sales Tax</t>
  </si>
  <si>
    <t>Payroll Accruals</t>
  </si>
  <si>
    <t>ACC</t>
  </si>
  <si>
    <t>Accruals</t>
  </si>
  <si>
    <t>Provision For Taxation</t>
  </si>
  <si>
    <t>OPV</t>
  </si>
  <si>
    <t>Other Provisions</t>
  </si>
  <si>
    <t>Cash Flow Projections - Repayment Schedule - Loans 1</t>
  </si>
  <si>
    <t>Cash Flow Projections - Repayment Schedule - Loans 2</t>
  </si>
  <si>
    <t>Cash Flow Projections - Repayment Schedule - Loans 3</t>
  </si>
  <si>
    <t>Cash Flow Projections - Repayment Schedule - Finance Leases</t>
  </si>
  <si>
    <t>Income Tax</t>
  </si>
  <si>
    <t>Assessed Loss Carried Over</t>
  </si>
  <si>
    <t>Payment Frequency (Months)</t>
  </si>
  <si>
    <t>First Payment Month</t>
  </si>
  <si>
    <t>Current Or Subsequent</t>
  </si>
  <si>
    <t>Current</t>
  </si>
  <si>
    <t>ASSETS</t>
  </si>
  <si>
    <t>Non-Current Assets</t>
  </si>
  <si>
    <t>Total Assets</t>
  </si>
  <si>
    <t>EQUITY &amp; LIABILITIES</t>
  </si>
  <si>
    <t>Equity</t>
  </si>
  <si>
    <t>Non-Current Liabilities</t>
  </si>
  <si>
    <t>Other Accruals</t>
  </si>
  <si>
    <t>Total Equity &amp; Liabilities</t>
  </si>
  <si>
    <t>Purchases of intangible assets</t>
  </si>
  <si>
    <t>Purchases of investments</t>
  </si>
  <si>
    <t>Proceeds from loans 1</t>
  </si>
  <si>
    <t>Proceeds from loans 2</t>
  </si>
  <si>
    <t>Proceeds from loans 3</t>
  </si>
  <si>
    <t>Proceeds from finance leases</t>
  </si>
  <si>
    <t>Repayment of loans 1</t>
  </si>
  <si>
    <t>Repayment of loans 2</t>
  </si>
  <si>
    <t>Repayment of loans 3</t>
  </si>
  <si>
    <t>Repayment of finance leases</t>
  </si>
  <si>
    <t>Sales Tax:</t>
  </si>
  <si>
    <t>Income Tax:</t>
  </si>
  <si>
    <t>Payroll Accrual:</t>
  </si>
  <si>
    <t>Accrual %</t>
  </si>
  <si>
    <t>Financial Assumptions - Income Statement</t>
  </si>
  <si>
    <t>Automatically calculated on the IncState worksheet.</t>
  </si>
  <si>
    <t>Weekly operating expense projections need to be entered on the IncState worksheet.</t>
  </si>
  <si>
    <t>Weekly staff cost projections need to be entered on the IncState worksheet.</t>
  </si>
  <si>
    <t>Weekly depreciation &amp; amortization need to be entered on the IncState worksheet.</t>
  </si>
  <si>
    <t>Financial Assumptions - Balance Sheet</t>
  </si>
  <si>
    <t>in column A indicate that you need to enter a negative value to increase the appropriate balance sheet balance.</t>
  </si>
  <si>
    <t>Loans 1 (only the proceeds from loans)</t>
  </si>
  <si>
    <t>Loans 2 (only the proceeds from loans)</t>
  </si>
  <si>
    <t>Loans 3 (only the proceeds from loans)</t>
  </si>
  <si>
    <t>Finance Leases (only the proceeds)</t>
  </si>
  <si>
    <t>The following balance sheet balances are calculated based on the assumptions that are entered on this sheet:</t>
  </si>
  <si>
    <t xml:space="preserve">The following balance sheet balances are projected by entering the appropriate weekly movements on the cash flow statement. Red codes </t>
  </si>
  <si>
    <t>Subsequent</t>
  </si>
  <si>
    <t>Rates</t>
  </si>
  <si>
    <t>Standard</t>
  </si>
  <si>
    <t>Secondary</t>
  </si>
  <si>
    <t>Zero Rated</t>
  </si>
  <si>
    <t>Exempt</t>
  </si>
  <si>
    <t>Projected loan repayments and interest are calculated based on the below terms (each on a separate sheet).</t>
  </si>
  <si>
    <t>The below section can be used to include balance sheet opening balances for existing businesses.</t>
  </si>
  <si>
    <t>Weekly COS</t>
  </si>
  <si>
    <t>Weekly Turnover (Inclusive)</t>
  </si>
  <si>
    <t>Weekly Payables (Inclusive)</t>
  </si>
  <si>
    <t>Weekly Output Total</t>
  </si>
  <si>
    <t>Weekly Input Total</t>
  </si>
  <si>
    <t>Weekly Total</t>
  </si>
  <si>
    <t>Workings: (Not Printed)</t>
  </si>
  <si>
    <t>Payment Week?</t>
  </si>
  <si>
    <t>Week Index</t>
  </si>
  <si>
    <t>Payment Day</t>
  </si>
  <si>
    <t>Date 1</t>
  </si>
  <si>
    <t>Date 2</t>
  </si>
  <si>
    <t>Date 3</t>
  </si>
  <si>
    <t>Date 4</t>
  </si>
  <si>
    <t>Date 5</t>
  </si>
  <si>
    <t>Date 6</t>
  </si>
  <si>
    <t>Date 7</t>
  </si>
  <si>
    <t>Date 8</t>
  </si>
  <si>
    <t>Date 9</t>
  </si>
  <si>
    <t>Date 10</t>
  </si>
  <si>
    <t>Date 11</t>
  </si>
  <si>
    <t>Date 12</t>
  </si>
  <si>
    <t>Date 13</t>
  </si>
  <si>
    <t>Date 14</t>
  </si>
  <si>
    <t>Date 15</t>
  </si>
  <si>
    <t>Date 0</t>
  </si>
  <si>
    <t>PayMonthEnd</t>
  </si>
  <si>
    <t>Index</t>
  </si>
  <si>
    <t>PayDate</t>
  </si>
  <si>
    <t>Prev Payment Date</t>
  </si>
  <si>
    <t>Payroll</t>
  </si>
  <si>
    <t>Other Income</t>
  </si>
  <si>
    <t>DIV</t>
  </si>
  <si>
    <t>Dividends</t>
  </si>
  <si>
    <t>Retained earnings for the year</t>
  </si>
  <si>
    <t>Dividends paid</t>
  </si>
  <si>
    <t>Dividends Payable</t>
  </si>
  <si>
    <t>Dividend %</t>
  </si>
  <si>
    <t>Next</t>
  </si>
  <si>
    <t>Dividends:</t>
  </si>
  <si>
    <t>Dividend Expense</t>
  </si>
  <si>
    <t>Dividend Accrual</t>
  </si>
  <si>
    <t>Expense Week?</t>
  </si>
  <si>
    <t>Weekly Dividend Value</t>
  </si>
  <si>
    <t>ExpDate</t>
  </si>
  <si>
    <t>Prev Expense Date</t>
  </si>
  <si>
    <t>Accrual Status</t>
  </si>
  <si>
    <t>Cash or Next</t>
  </si>
  <si>
    <t>Example (Pty) Limited</t>
  </si>
  <si>
    <t>Additional Loans</t>
  </si>
  <si>
    <t>Interest Charges</t>
  </si>
  <si>
    <t>V1</t>
  </si>
  <si>
    <t>V2</t>
  </si>
  <si>
    <t>V3</t>
  </si>
  <si>
    <t>V4</t>
  </si>
  <si>
    <t>V4C0</t>
  </si>
  <si>
    <t>This unique template enables users to create weekly cash flow projections for any user defined 52 week period. The template includes a weekly income statement, cash flow statement and balance sheet with quarterly &amp; annual totals. The cash flow projections are based on weekly turnover, gross profit and expense values that are entered by the user as well as a number of default assumptions which are used to create an automated balance sheet. These assumptions include opening balance sheet balances, working capital ratios, payroll accruals, sales tax, income tax, dividends and loans. The weekly reporting periods are based on a user defined start date and the number of weeks in each quarter can also be specified by the user.</t>
  </si>
  <si>
    <t>Note: Our unique range of templates also includes a Business Plan Forecast template, Annual Cash Flow Projection template, Monthly Cash Flow Projection template and weekly &amp; monthly Forecast vs Actual Cash Flow templates. Visit the Templates pages of our website for sample &amp; trial versions of all of these cash flow templates.</t>
  </si>
  <si>
    <t>The template includes the following sheets:</t>
  </si>
  <si>
    <t>Note: If you do not want to include any of the line items that are listed on the income statement, cash flow statement or balance sheet, we recommend hiding these items instead of deleting them. If you delete items which are used in other calculations, these calculations will result in errors which you then need to fix or remove.</t>
  </si>
  <si>
    <t>Setup</t>
  </si>
  <si>
    <t>Business Name &amp; Reporting Periods</t>
  </si>
  <si>
    <t>User Input</t>
  </si>
  <si>
    <t>The business name and the start date for the cash flow projections need to be entered at the top of the Assumptions sheet. The business name is included as a heading on all the sheets and the 52 week reporting period which is included in the template is determined based on the start date that is specified. This date is used as the first week and 51 subsequent weeks are added to form the 52 week projection period.</t>
  </si>
  <si>
    <t>The number of weeks that need to be included in each of the quarterly totals on the income statement, cash flow statement and balance sheet can be specified on the Assumptions sheet. The number of weeks for quarter 4 is calculated based on the input in the other 3 cells (total number of weeks for quarters 1 to 3 deducted from 52).</t>
  </si>
  <si>
    <t>The income statement, cash flow statement and balance sheet also include the appropriate quarter numbers in the row above the column headings.</t>
  </si>
  <si>
    <t>The income statement, cash flow statement and balance sheet only require user input where there is yellow highlighting in column A. All rows without yellow highlighting are automatically calculated as detailed in these instructions. Note that the quarterly and annual totals contain formulas which should not be replaced with values.</t>
  </si>
  <si>
    <t>Income Statement</t>
  </si>
  <si>
    <t>Turnover &amp; Gross Profits</t>
  </si>
  <si>
    <t>The template includes two default lines in each of these sections - one for a typical product based item and one for a typical service based item. The template can therefore be used for both service and trade based businesses. There are no cost of sales and gross profit values in service based businesses and a gross profit percentage of 100% can therefore be specified. You can also hide the cost of sales and gross profit sections if you do not want to include them in your cash flow projections.</t>
  </si>
  <si>
    <t>Note: You can insert as many additional line items as required by inserting the required number of items in each section and then entering the appropriate values where user input is required or copying the formulas from one of the existing lines. We recommend inserting additional line items between the two existing default line items.</t>
  </si>
  <si>
    <t>Note: The codes in column A are used in the sales tax and trade receivables calculations. The first two characters represent the sales tax code and the last two characters represent the payment status. Refer to the Balance Sheet - Sales Tax and Balance Sheet - Trade Receivables sections for more information on these codes.</t>
  </si>
  <si>
    <t>Note: The codes in column A are used in the sales tax and trade payables calculations. The first two characters represent the sales tax code and the last two characters represent the payment status. Refer to the Balance Sheet - Sales Tax and Balance Sheet - Trade Payables sections for more information on these codes.</t>
  </si>
  <si>
    <t>Note: Staff costs have been included in a separate section on the income statement in order to be able to calculate payroll accruals. If you do not need to include payroll accruals in your cash flow projections, we recommend entering nil values and hiding these rows. If you delete the section, some of the payroll accrual formulas may result in errors and you therefore may need to delete them as well.</t>
  </si>
  <si>
    <t>We also realize that some users may want to include depreciation and amortization as part of their operating expenses. We have therefore provided for this in that the depreciation and amortization calculations on the cash flow statement are based on the default code which is included in column A. You can therefore enter nil values in the depreciation &amp; amortization section on the income statement, hide the section and include these line items in the operating expenses section and as long as you also include the default codes in column A, the cash flow statement values for depreciation and amortization will be calculated correctly.</t>
  </si>
  <si>
    <t>All interest paid calculations are automated and based on the amortization tables on the Loans1 to Loans3 and Leases sheets. The template accommodates the inclusion of loans &amp; leases based on four different sets of loan repayment terms which need to be specified on the Assumptions sheet.</t>
  </si>
  <si>
    <t xml:space="preserve">Opening loan balances are based on the balance sheet opening balances section on the Assumptions sheet and additional loan amounts can be entered in the proceeds from loans section of the cash flow statement and will then automatically be included in the appropriate amortization table. </t>
  </si>
  <si>
    <t>You do not need to use all four loan amortization sheets - if you only need to include loans based on one set of repayment terms, you can delete the other loan amortization sheets, delete the other interest paid rows on the income statement, delete the other proceeds from loans rows on the cash flow statement, delete the other repayment of loans rows on the cash flow statement and delete the other loan balances from the balance sheet.</t>
  </si>
  <si>
    <t>The template provides for four sets of loan repayment terms - the same amortization table can basically be used for all loans with the same repayment terms by adding additional loan amounts as proceeds to the cash flow statement in order to add new loans to the appropriate amortization table.</t>
  </si>
  <si>
    <t>If you need to add more than four sets of loan repayment terms, you will need to copy one of the amortization sheets, change it to reflect the appropriate loan terms and then change the formulas in the amortization table to be based on the correct loan repayment terms at the top of the sheet. This means that you need to add another set of repayment terms to the Assumptions sheet and link the fields at the top of the new amortization table to the appropriate cells on the Assumptions sheet.</t>
  </si>
  <si>
    <t>If there is an opening balance for the required additional loan terms, you need to include a new code in the balance sheet opening balances section on the Assumptions sheet and base the opening balance calculation in the first period of the amortization schedule on this code. You also need to add new rows to the interest paid section on the income statement, the loan proceeds section on the cash flow statement, the loan repayment section on the cash flow statement and the loan balances section on the balance sheet. The appropriate formulas can be copied from one of the existing items and the sheet reference in the copied formula can then just be replaced by the sheet name of the new amortization table that you've added.</t>
  </si>
  <si>
    <t>The taxation line item on the income statement is automatically calculated based on the profit before tax and the income tax assumptions which are specified on the Assumptions sheet. If you do not want to include income tax in the cash flow projections, simply enter an income tax rate of 0%. This will result in no income tax being calculated.</t>
  </si>
  <si>
    <t>You also need to specify the payment frequency in months and the first calendar month in which a payment needs to be included. The template automatically provides for income tax based on what is due and includes the income statement amount and a provision for taxation on the balance sheet. The payment frequency and month of payment assumptions are then used to determine when the income tax liability will be settled which will result in the appropriate cash outflow being recorded on the cash flow statement and the provision for taxation being reduced.</t>
  </si>
  <si>
    <t>The template can accommodate income tax calculations based on current and subsequent month payments. If you select the Current option, the income tax payment amount will be calculated based on all amounts that have accrued up to and including the month of payment. If you select the Subsequent option, the income tax payment amount will only be calculated based on all amounts which have accrued up to the previous month end.</t>
  </si>
  <si>
    <t>Example: If you select the Current option in the Income Tax section of the Assumptions sheet, all income tax amounts up to and including the current month will be included in the income tax payment amount. This means that the provision for taxation at the end of the particular month will be nil. The Current setting is therefore usually appropriate for provisional taxpayers.</t>
  </si>
  <si>
    <t>Example: If you select the Subsequent option, all amounts up to and including the previous month end will be included in the income tax payment amount. The provision for taxation balance on the balance sheet will therefore not be nil at the end of the month of payment and include the current month's income tax charge.</t>
  </si>
  <si>
    <t>The template also includes automated dividends calculations. If you do not want to include any dividends in your cash flow projections, you can simply specify a dividend percentage of zero percent.</t>
  </si>
  <si>
    <t>If you want to include dividend calculations, you need to specify a dividend percentage which will be applied to the profit for the period in order to calculate the dividend value. You also need to specify the frequency in months of dividend payments and the first payment month. The frequency of dividends determines when the dividends are included on the income statement and the first month of payment determines when the dividend payment is included on the cash flow statement (only has an effect if the dividend payment option is Subsequent).</t>
  </si>
  <si>
    <t>You can also specify whether the dividend is paid in the month of calculation (Cash option), the month after calculation (Next option) or in a subsequent month. When you elect the subsequent month option, the payment of the dividend will be included based on the relative position of the first month of payment in relation to the year-end period (which is determined based on the template start date at the top of the Assumptions sheet).</t>
  </si>
  <si>
    <t>Example: If you want to include a dividend in the last month of each financial year, select a payment frequency of 12 months and month 12 as the first payment month. Then select the Cash option in order to include both the dividend on the income statement and the payment in the last month of the year.</t>
  </si>
  <si>
    <t>Balance Sheet</t>
  </si>
  <si>
    <t>All the calculations on the balance sheet are automated and no user input is therefore required.</t>
  </si>
  <si>
    <t>Opening Balances</t>
  </si>
  <si>
    <t>If you need to compile cash flow projections for an existing business, you will need to include the opening balance sheet balances at the start of the cash flow projection period. This is facilitated in the Balance Sheet Opening Balances section on the Assumptions sheet. The opening balances that are entered here are included in the first column on the balance sheet.</t>
  </si>
  <si>
    <t>You can use the trial balance as at the end of the period immediately before the start of the cash flow projection period for this purpose. All assets should have positive balances and all equity &amp; liabilities should have negative balances. The opening balances should also balance to a total of nil as with any accounting system trial balance. If you enter balances and the total of all balances is not nil, the entire opening balances section on the Assumptions sheet will be highlighted in orange.</t>
  </si>
  <si>
    <t>You then need to fix the imbalance by adjusting the opening balances so that the total comes to a total of nil. The orange highlighting will then be removed automatically. Also note that the cash flow projection balance sheet cannot balance if the opening balances do not balance.</t>
  </si>
  <si>
    <t>Note: If you are preparing a cash flow projection for a new business, you can include zero balances for all the balance sheet items in the opening balances section.</t>
  </si>
  <si>
    <t>Intangible assets balances are calculated in much the same way by adding the purchases of intangible assets as per the cash flow statement and deducting the amortization charges which need to be entered on the income statement. The calculation of the investments balances on the balance sheet is a bit simpler in that only the purchases of new investments as per the cash flow statement is added to the previous month's balance and there is no depreciation or amortization on investments.</t>
  </si>
  <si>
    <t>Note: Purchases of property, plant &amp; equipment, intangible assets and investments all need to be entered as negative values on the cash flow statement.</t>
  </si>
  <si>
    <t>Current Assets - Inventory</t>
  </si>
  <si>
    <t>Note: If your business does not carry inventory, you can simply enter a nil value in the inventory days assumption on the Assumptions sheet. The inventory line on the balance sheet will then also contain nil values.</t>
  </si>
  <si>
    <t>Current Assets - Trade Receivables</t>
  </si>
  <si>
    <t>The trade receivables calculation will also only include lines that are coded with a sales tax rate code (in the first two characters) and a "C1" at the end of the code. The C1 part of the code refers to credit sales while the inclusion of a C0 code at the end refers to cash sales. Cash sales do not need to be included in the trade receivables calculation and turnover lines with C0 or no code in column A are therefore ignored when calculating trade receivable balances.</t>
  </si>
  <si>
    <t>Example: If the standard rate sales tax code is V1 and the appropriate turnover line needs to be included in the calculation of trade receivables, the code V1C1 needs to be added in column A of the appropriate turnover line on the income statement. If you do not want to add sales tax in the trade receivables calculation but you do want a trade receivables line to be included in the balance sheet, you can add a code which refers to a 0% sales tax calculation as well as the C1 credit sales indicator.</t>
  </si>
  <si>
    <t>Example: If you do not want a particular turnover line to be included in the trade receivables calculation, you can include any sales tax rate followed by C0 in order to exclude the line in the trade receivables calculations. For example, a turnover line with a code of V1C0 would not form part of the trade receivables calculations.</t>
  </si>
  <si>
    <t>Note: If your business has no trade receivables, you can simply enter a nil value in the debtors days assumption on the Assumptions sheet. The trade receivables line on the balance sheet will then also contain nil values.</t>
  </si>
  <si>
    <t>Current Assets - Loans &amp; Advances, Other Receivables</t>
  </si>
  <si>
    <t>Current Assets - Cash &amp; Cash Equivalents</t>
  </si>
  <si>
    <t>The cash &amp; cash equivalents balances on the balance sheet are linked to the closing cash balances on the cash flow statement. If the resulting cash &amp; cash equivalents balance has a negative value, it will automatically be included in the bank overdraft line in the Current Liabilities section of the balance sheet.</t>
  </si>
  <si>
    <t>Equity - Shareholders Contributions, Reserves</t>
  </si>
  <si>
    <t>Note: The shareholders contribution line on the cash flow statement can be found under the cash flow from financing activities and the reserves line on the cash flow statement under the non-cash adjustments.</t>
  </si>
  <si>
    <t>Equity - Retained Earnings</t>
  </si>
  <si>
    <t>The retained earnings balances on the balance sheet are linked to the retained earnings for the year which is calculated on the income statement.</t>
  </si>
  <si>
    <t>Non-Current Liabilities - Loans 1 to 3, Leases</t>
  </si>
  <si>
    <t>The template provides for loans &amp; leases to be included based on 4 different sets of loan repayment terms. Loans with the same repayment terms can be grouped together in the appropriate line item. There is no difference between the treatment of loans 1 to 3 and leases. If you do not have finance leases and have loans with 4 different sets of repayment terms, you can use the Leases sheet and rename the appropriate line items accordingly.</t>
  </si>
  <si>
    <t>Note: The loan repayment period in years is limited to a maximum period of 30 years. If you want to include a loan repayment period which exceeds this period, you need to change the data validation settings in the appropriate input cell by selecting the data validation feature from the Data tab on the Excel ribbon and editing the maximum value of 30 which has been set in the loan repayment period cells.</t>
  </si>
  <si>
    <t>Note: A set of loan terms can be specified as interest-only by selecting the "Yes" option from the interest-only drop-down list in the appropriate loan terms on the Assumptions sheet. If this selection is made, the loan will be interest only and not include any loan repayments.</t>
  </si>
  <si>
    <t>All the calculations on the amortization sheets are fully automated. The loan terms are taken from the Assumptions sheet and the opening balances in the first row of the amortization table are based on the opening balances that are entered in the balance sheet opening balances section of the Assumptions sheet.</t>
  </si>
  <si>
    <t>The loan repayments, interest charged and capital repayments are calculated based on the outstanding balances at the beginning of each period. Additional loans can be added to the appropriate amortization table by entering the appropriate values in the proceeds from loans section on the cash flow statement (under the cash flow from financing activities section).</t>
  </si>
  <si>
    <t>Current Liabilities - Bank Overdraft</t>
  </si>
  <si>
    <t>Current Liabilities - Trade Payables</t>
  </si>
  <si>
    <t>The trade payables balances on the balance sheet are calculated based on the creditors days assumption which is specified on the Assumptions sheet. The number of days that are included here can be determined based on the average trading terms which has been negotiated with suppliers.</t>
  </si>
  <si>
    <t>Example: The expense codes in column A for all line items that need to be included in the trade payables calculation and which need to be subject to sales tax at a standard rate should be V1C1. If the expense item is settled on a cash basis and also subject to the standard sales tax rate, the code in column A should be V1C0 which will then result in the item not being included in the trade payables calculation.</t>
  </si>
  <si>
    <t>If you want to also include purchases of property, plant &amp; equipment in the trade payables calculation, the standard code of PPE in column A on the cash flow statement needs to be amended to the appropriate code which starts with the sales tax code and ends with C1. For standard sales tax, the code will therefore be V1C1.</t>
  </si>
  <si>
    <t>The trade payables calculation will also only include lines that are coded with a sales tax rate code (in the first two characters) and a "C1" at the end of the code. The C1 part of the code refers to purchases on credit while the inclusion of a C0 code at the end refers to cash purchases. Cash purchases do not need to be included in the trade payables calculation and cost of sales &amp; expense lines with C0 or no code in column A are therefore ignored when calculating trade payables balances.</t>
  </si>
  <si>
    <t>Example: If the standard rate sales tax code is V1 and the appropriate cost of sales or expense line needs to be included in the calculation of trade payables, the code V1C1 needs to be added in column A of the appropriate line on the income statement. If you do not want to add sales tax in the trade payables calculation but you do want a trade payables line to be included in the balance sheet, you can add a code which refers to a 0% sales tax calculation as well as the C1 credit purchases indicator.</t>
  </si>
  <si>
    <t>Example: If you do not want a particular cost of sales or expense line to be included in the trade payables calculation, you can include any sales tax rate followed by C0 in order to exclude the line in the trade payables calculations. For example, an expense or cost of sales line item with a code of V1C0 in column A on the income statement would not form part of the trade payables calculations.</t>
  </si>
  <si>
    <t>Note: If your business has no trade payables, you can simply enter a nil value in the creditors days assumption on the Assumptions sheet. The trade payables line on the balance sheet will then also contain nil values.</t>
  </si>
  <si>
    <t>Current Liabilities - Sales Tax</t>
  </si>
  <si>
    <t>The template accommodates the inclusion of sales tax in all relevant calculations based on four default sales tax calculation codes and any sales tax period. All income statement and cash flow statement items need to be entered exclusive of any sales tax that may be applicable and the trade receivables and trade payables balances on the balance sheet will be calculated inclusive of sales tax. The net sales tax liability is included in the Sales Tax line on the balance sheet.</t>
  </si>
  <si>
    <t>The template can be used for general sales tax (GST) and value added tax (VAT) purposes. Where there is no sales tax input which reduces the sales tax liability, the codes in column A on the income statement can simply be changed to contain a sales tax code (in the first two characters of the code) which has a zero percentage. Only the sales tax codes that are included next to the turnover lines will then be included in sales tax calculations (as required by some general sales tax calculations).</t>
  </si>
  <si>
    <t>The appropriate sales tax percentages can be entered in the Sales Tax section of the Assumptions sheet. The template provides for 4 default sales tax codes, each with its own sales tax percentage. The sales tax codes are numbered from V1 to V4.</t>
  </si>
  <si>
    <t>The income statement contains codes in column A which affects the calculations of sales tax and trade receivables or trade payables. The first two characters of these codes determine which sales tax percentage is used in the sales tax calculations. If an income statement item needs to be excluded from sales tax calculations, you should use a sales tax code with a zero percentage on the Assumptions sheet.</t>
  </si>
  <si>
    <t>Note: Each line on the income statement can therefore only be linked to one sales tax percentage. If more than one sales tax percentage needs to be applied to the same income statement item, you need to split the income statement amount into two lines and enter the appropriate sales tax codes in column A for each of the lines.</t>
  </si>
  <si>
    <t>Note: If you are preparing cash flow projections for a business which is not subject to sales tax, simply enter zero percentages for all four sales tax codes.</t>
  </si>
  <si>
    <t>The sales tax assumptions that need to be specified on the Assumptions sheet also include the frequency of sales tax payments (in months) and the calendar month of the first payment period. You can therefore calculate sales tax based on any period frequency from one to twelve months.</t>
  </si>
  <si>
    <t>Example: If your business is subject to sales tax payments of every two months and the first payment is due in February, a frequency of 2 needs to be specified and the first payment month should be set to 2 for February. Similarly, if your business is subject to sales tax payments of every 6 months with payments due in March and August, the frequency should be set to 6 and the first payment month should be set to 3. If your business is subject to monthly sales tax payment periods, the frequency should be 1 and the first payment month should also be 1.</t>
  </si>
  <si>
    <t>The Current or Subsequent setting in the Sales Tax section on the Assumptions sheet determines how the calculated sales tax amounts of the current period are handled. If you select the Current option, the sales tax amounts of the current period will be included in the calculation of the payment amount which is due in the particular month and the sales tax liability at the end of the payment month will be nil.</t>
  </si>
  <si>
    <t>If you select the Subsequent setting, the sales tax amount of the current period is not included in the calculation of the payment amount and the sales tax liability at the end of the appropriate payment month will always include at least one month.</t>
  </si>
  <si>
    <t>Note: The Subsequent setting is usually the appropriate setting to use for sales tax purposes. The Current settings is more applicable to tax types which are subject to provisional tax.</t>
  </si>
  <si>
    <t>Example: If you set a payment frequency of 1 month, first payment month of 1 and select the Current option, the sales tax liability on the balance sheet will always be nil because the current month's sales tax will be included in the sales tax payment. If you have the same period settings and select the Subsequent option, the sales tax liability on the balance sheet will always include the current month's sales tax because the payment amount will be based on the previous month's sales tax.</t>
  </si>
  <si>
    <t>Note: The first payment month setting refers to the month of payment and not the sales tax period end. There is a difference - a sales tax period may end in February with payment in March which means that the first payment month of the calendar year is actually January or month 1 (if the payment frequency is two months).</t>
  </si>
  <si>
    <t>Current Liabilities - Payroll Accruals</t>
  </si>
  <si>
    <t>The payroll accrual on the balance sheet is based on the payroll accrual assumptions in the Working Capital section of the Assumptions sheet and the amounts in the staff costs section of the income statement. If payroll deductions are paid in the same month as they are incurred, you can set the payroll accrual percentage to zero and the payroll accrual balances on the balance sheet will also be zero.</t>
  </si>
  <si>
    <t>Staff costs have been included in a separate section on the income statement to make it easier to calculate payroll accrual balances. You can however include staff costs in operating expenses but you need to ensure that you also include the "PAY" code in column A for all the staff costs that you want to include in the payroll accrual calculations.</t>
  </si>
  <si>
    <t>You also need to specify the appropriate percentage of staff costs which needs to be included in your payroll accruals. This percentage should be based on the percentage of staff costs which are paid in a subsequent month and is based on the current month's staff costs. Payroll accruals usually consist of salary &amp; wage deductions which need to be paid over to third parties and differ from entity to entity. You therefore need to calculate the appropriate payroll accrual percentage based on the composition of the salary or wage structures of all employees.</t>
  </si>
  <si>
    <t>The payroll accrual assumptions that need to be specified on the Assumptions sheet also include the frequency of payroll accrual payment periods (in months) and the payment month of the first payroll accrual period. You can therefore calculate payroll accruals based on any payment period frequency from one to twelve months. The calculated payroll accruals are added together in the payroll accrual balance until the month of payment.</t>
  </si>
  <si>
    <t>Example: If you need to settle payroll accruals every two months and the first payment is due in February, a frequency of 2 needs to be specified and the first payment month should be set to 2 for February. Similarly, if you settle payroll accruals every 6 months with payments due in March and August, the frequency should be set to 6 and the first payment month should be set to 3. If you settle payroll accruals on a monthly basis, the frequency should be 1 and the first payment month should also be 1.</t>
  </si>
  <si>
    <t>The Current or Subsequent setting in the Payroll Accruals section on the Assumptions sheet determines how the calculated payroll accrual amounts of the current period are handled. If you select the Current option, the payroll accrual amounts of the current period will be included in the calculation of the payment amount which is due in the particular month and the payroll accrual balance at the end of the payment month will be nil.</t>
  </si>
  <si>
    <t>If you select the Subsequent setting, the payroll accrual amounts of the current period are not included in the calculation of the payment amount and the payroll accrual balances on the balance sheet at the end of the appropriate payment month will always include at least one month.</t>
  </si>
  <si>
    <t>Note: The Subsequent setting is usually the appropriate setting to use for payroll accrual purposes. The Current setting is more applicable to tax types which are subject to provisional tax payments where payment occurs in the same month as the tax calculation.</t>
  </si>
  <si>
    <t>Note: The first payment month setting refers to the month of payment and not the payroll accrual period end. There is a difference - a payroll accrual period may end in February with payment in March which means that the first payment month of the calendar year is actually January or month 1 (if the payment frequency is two months).</t>
  </si>
  <si>
    <t>Current Liabilities - Other Accruals, Other Provisions</t>
  </si>
  <si>
    <t>Current Liabilities - Provision for Taxation</t>
  </si>
  <si>
    <t>The calculation of income tax on the income statement is based on the profit before tax on the income statement and the assumptions that are specified in the Income Tax section on the Assumptions sheet.</t>
  </si>
  <si>
    <t>The template also makes provision for the inclusion of an assessed loss which has been carried over from previous financial periods and income tax will only be calculated after the assessed loss has been fully reduced by profits in the projection periods.</t>
  </si>
  <si>
    <t>The income tax assumptions on the Assumptions sheet also include the frequency of payment of income tax (in months) and the calendar month of the first income tax payment. You can therefore calculate a provision for income tax based on any payment period frequency from one to twelve months. The calculated income tax amounts are added together in the provision for income tax balance on the balance sheet until the month of payment.</t>
  </si>
  <si>
    <t>Example: If you need to settle income tax liabilities every six months and the income tax payments are due in February and August of each year, a frequency of 6 needs to be specified and the first calendar month should be set to 2 for February. Similarly, if you settle income tax liabilities at the end of each quarter with payments due in March, June, September and December, the frequency should be set to 3 and the first payment month should also be set to 3. If you need to settle income tax liabilities 9 months after each year-end and the cash flow projection year-end is February, the frequency should be set to 12 months and the first payment month should be set to 11.</t>
  </si>
  <si>
    <t>The Current or Subsequent setting in the Income Tax section on the Assumptions sheet determines how the income tax amounts of the current period are handled. If you select the Current option, the income tax amounts of the current period will be included in the calculation of the payment amount which is due in the particular month and the provision for income tax balance on the balance sheet at the end of the payment month will be nil.</t>
  </si>
  <si>
    <t>If you select the Subsequent setting, the income tax amounts of the current period are not included in the calculation of the payment amount and the provision for income tax balance on the balance sheet at the end of the appropriate payment month will always include income tax for at least one month.</t>
  </si>
  <si>
    <t>Note: The Current setting is usually the appropriate setting to use for income tax purposes if the entity is a provisional taxpayer which effectively means that income tax is paid in advance. If the entity is not a provisional taxpayer, the Subsequent setting should be used because income tax will be settled after being incurred.</t>
  </si>
  <si>
    <t>Current Liabilities - Dividends Payable</t>
  </si>
  <si>
    <t>The calculation of dividends on the income statement is based on the profit for the year on the income statement and the assumptions that are specified in the Dividends section on the Assumptions sheet. Dividends will only be calculated if you enter a dividend percentage on the Assumptions sheet - if you therefore do not want to include dividends in your cash flow projections, you can simply enter a zero value as the dividend percentage.</t>
  </si>
  <si>
    <t>The dividends assumptions on the Assumptions sheet also include the frequency of payment of dividends (in months) and the first calendar month of the dividend payment. You can therefore calculate dividends based on any payment period frequency from one to twelve months (although 6 or 12 months is the norm). The calculated dividends amounts are added together in the dividends payable balance on the balance sheet until the month of payment.</t>
  </si>
  <si>
    <t>Example: If dividends are declared every six months, you need to specify a frequency of 6 months on the Assumptions sheet and then select the appropriate payment basis. Dividends will be reflected on the income statement every 6 months and the dividends payable balances on the balance sheet will be determined based on the first payment month and the payment option which is selected (Cash, Next or Subsequent). Similarly, if the payment frequency is set to 12 months, dividends will be included on the income statement every 12 months and the dividends payable balance will be determined based on the first payment month and the payment option.</t>
  </si>
  <si>
    <t>The Cash, Next or Subsequent setting in the Dividends section on the Assumptions sheet determines how the dividends payable balances on the balance sheet are calculated and therefore also when the dividend payment will be included on the cash flow statement.</t>
  </si>
  <si>
    <t>If you select the Cash option, the dividend payable balances on the balance sheet will always be nil and what this means is that the dividend payment is effectively included in the same month as the month in which the dividend is declared. The month in which the declared dividend is included is based on the payment frequency (in months) and the cash flow projection year-end.</t>
  </si>
  <si>
    <t>If you select the Next option, the dividend payment will be included in the month after the month in which the dividend amount is included on the income statement. The dividend payable balance on the balance sheet will therefore only contain a balance in the dividend declaration month.</t>
  </si>
  <si>
    <t>Example: If you set the dividend payment frequency to 12 months, a dividend amount will be included on the income statement in the last month of the appropriate cash flow projection year. If the payment option is set to Cash, no dividend payable amount will be included on the balance sheet and the dividend payment will be included on the cash flow statement in the same month.</t>
  </si>
  <si>
    <t>Example: If you set the dividend payment frequency to 12 months and the payment option is set to Next, the dividend will be included on the income statement in the last month of the appropriate cash flow projection year, the dividend payable at the end of the financial year will equal the income statement amount and the dividend payment will be included in the first month of the next financial year.</t>
  </si>
  <si>
    <t>Example: If you set the dividend payment frequency to 12 months and the payment option is set to Subsequent, the dividend will be included on the income statement in the last month of the appropriate cash flow projection year and the dividend payable at the end of the financial year and all subsequent months in the new financial year until the first payment month is reached will equal the income statement amount. The dividend payment will be included in the first payment month as set on the Assumptions sheet but in the year after inclusion on the income statement.</t>
  </si>
  <si>
    <t>If the cash flow projection year-end as per the above example is February, the first payment month is set to 9 for September and the Subsequent payment option is selected, the dividend will be included in February on the income statement and the same amount will be included as a dividend payable on the balance sheet from February to August of the next financial year. The dividend payment will then be included in September on the cash flow statement and the dividend payable at the end of September will be nil.</t>
  </si>
  <si>
    <t>Balance Sheet Errors</t>
  </si>
  <si>
    <t xml:space="preserve">If you see an imbalance on the balance sheet, you therefore need to check the opening balance sheet balances on the Assumptions sheet and ensure that the total of all the opening balances in this section is nil. </t>
  </si>
  <si>
    <t>If fixing the opening balances does not resolve your imbalance, you can e-mail our Support function and let us know what changes you have made to the formulas in the template so that we can assist you. If you have made a lot of changes, you may need to start over with the downloaded copy of the template.</t>
  </si>
  <si>
    <t>Balance Sheet Workings</t>
  </si>
  <si>
    <t>Cash Flow Statement</t>
  </si>
  <si>
    <t>Loan Amortization Tables (Loans1 to Loans3 &amp; Leases sheets)</t>
  </si>
  <si>
    <t>The template makes provision for including loans with up to four different sets of repayment terms in the cash flow projections. The amortization tables that are used to calculate the interest charges, additional loan amounts, loan repayments and outstanding balances have been included on the Loans1, Loans2, Loans3 and Leases sheets. No user input is required on these sheets.</t>
  </si>
  <si>
    <t>Note: Refer to the instructions in the income statement - interest paid section and the balance sheet - non-current liabilities section for guidance on how these amortization tables have been compiled and where to include user input for each of these amortization tables.</t>
  </si>
  <si>
    <t>All weekly income statement projections need to be entered exclusive of any sales tax that may be applicable.</t>
  </si>
  <si>
    <t>If you want to include variable weekly inventory days, you can do so by changing the inventory days assumption in the Workings section of the balance sheet which has been included below the section with the ratios. Simply replace the formula which links the inventory days assumption to the value on the Assumptions sheet by overwriting it with the appropriate inventory days value.</t>
  </si>
  <si>
    <t>Where sales tax is applicable, the appropriate sales tax value relating to weekly turnover will be added to the trade receivables balance. Sales tax codes are defined on the Assumptions sheet and the codes in column A next to the turnover amounts on the income statement are used to determine the appropriate rate of sales tax to be used.</t>
  </si>
  <si>
    <t>If you want to include variable weekly debtors days, you can do so by changing the debtors days assumption in the Workings section of the balance sheet which has been included below the section with the ratios. Simply replace the formula which links the debtors days assumption to the value on the Assumptions sheet by overwriting it with the appropriate debtors days value.</t>
  </si>
  <si>
    <t>The outstanding loan or lease balances at the end of each weekly period are then included in the appropriate lines on the balance sheet.</t>
  </si>
  <si>
    <t>The bank overdraft as well as cash &amp; cash equivalents are based on the closing cash balances which are calculated on the cash flow statement. If the appropriate weekly closing balance is negative, the balance is included as a bank overdraft and if it is positive, it is included as cash under current assets on the balance sheet.</t>
  </si>
  <si>
    <t>The weekly cost of sales, operating expenses and staff costs on the income statement are added together in order to determine a weekly value on which the trade payables calculations should be based. Expenses and costs which are paid on a cash basis can be excluded from the trade payables calculation by entering a code which ends in C0 in column A on the income statement. The codes in column A start with the appropriate two character sales tax code and end with the two character payables code.</t>
  </si>
  <si>
    <t>Where sales tax is applicable, the appropriate sales tax value relating to weekly cost of sales &amp; expenses will be added to the trade payables balance. Sales tax codes are defined on the Assumptions sheet and the code in column A next to the cost of sales &amp; expense amounts on the income statement are used to determine the appropriate rate of sales tax to be used.</t>
  </si>
  <si>
    <t>If you want to include variable weekly creditors days, you can do so by changing the creditors days assumption in the Workings section of the balance sheet which has been included below the section with the ratios. Simply replace the formula which links the creditors days assumption to the value on the Assumptions sheet by overwriting it with the appropriate creditors days value.</t>
  </si>
  <si>
    <t>If you want to include payroll accruals based on variable weekly payroll accrual percentages, you can do so by changing the payroll accrual percentage assumption in the Workings section of the balance sheet which has been included below the section with the ratios. Simply replace the formula which links the payroll accrual percentage assumption to the value on the Assumptions sheet by overwriting it with the appropriate payment accrual percentage.</t>
  </si>
  <si>
    <t>The profit before tax amount is multiplied by the income tax percentage on the Assumptions sheet in order to calculate the weekly income tax value. If there is a loss before tax on the income statement, no income tax will be calculated but if there were profits before the period with the loss, the income tax that was calculated in previous periods will be reversed in the period with the loss.</t>
  </si>
  <si>
    <t>If the balance sheet for any weekly period does not balance, the amount of the imbalance will be included in the row below the total equities &amp; liabilities and displayed in red. The template has been designed in such a way that the balance sheet should always be in balance as long as the total of the balance sheet opening balances which are included on the Assumptions sheet is nil.</t>
  </si>
  <si>
    <t>Weekly projections for depreciation and amortization need to be calculated independently of the template and included in this section. We unfortunately cannot include default depreciation or amortization calculations because some businesses may have very different asset bases than others with existing assets which may already have been depreciated over a number of years. Any calculation which is based on a percentage of the balance sheet asset value may therefore not be accurate.</t>
  </si>
  <si>
    <t>The complexity of the calculations that are included in the template necessitate including the quarterly totals after all the weekly periods. You should not attempt to change the default layout of the template. If you want to print the forecast for a specific quarter together with the quarterly totals, you need to hide all the weekly totals that do not form part of the appropriate quarter and change the page setup to print the totals on the same page.</t>
  </si>
  <si>
    <t>The number of weeks that are included in each quarter can be specified on the Assumptions sheet. The quarter which is displayed above the week end dates in row 4 will automatically be updated.</t>
  </si>
  <si>
    <t>Weekly turnover values need to be entered on the IncState sheet for all 52 weeks (excluding the quarterly and annual totals in the columns with dark blue column headings). The projected weekly gross profit percentages also need to be entered on this sheet and are used in order to calculate the gross profit values. The weekly cost of sales projections are calculated by simply deducting the gross profit values from the weekly turnover values.</t>
  </si>
  <si>
    <t>All the weekly operating expense projections need to be entered in the operating expenses section of the income statement. The template contains 22 default operating expense line items but you can add as many additional items as required or delete the line items that you do not need. When adding additional line items, remember to copy the formulas in the quarterly and annual total columns from one of the existing line items.</t>
  </si>
  <si>
    <t>All the weekly staff cost projections need to be entered in the staff costs section of the income statement. The template contains 2 default staff cost line items but you can add as many additional items as required or delete the line items that you do not need. When adding additional line items, remember to copy the formulas in the quarterly and annual total columns from one of the existing line items.</t>
  </si>
  <si>
    <t>Note: Loan repayments &amp; interest charges are calculated based on monthly periods because most business loans are repaid on a monthly basis. You therefore also need to specify a repayment day as part of the loan assumptions on the Assumptions sheet and the loan repayments are included in the weekly amortization tables based on the repayment day that is specified.</t>
  </si>
  <si>
    <t>Note: Income tax payments are included in the appropriate weekly period based on the payment day that is specified on the Assumptions sheet.</t>
  </si>
  <si>
    <t>Example: If you enter an inventory days assumption of 30 days, the entire cost of sales value for four weeks will be included in the inventory balance. After including the four weeks, there is a difference of 2 days between the 30 days assumption and the total days in four weeks. The week 5 cost of sales balance will therefore be used, divided by 7 days and multiplied by the 2 remaining days.</t>
  </si>
  <si>
    <t>The inventory balances on the balance sheet are calculated based on the inventory days assumption which is specified on the Assumptions sheet. The number of days that are entered here is applied to the weekly cost of sales in order to calculate the appropriate inventory balance. This calculation is based on the number of days in a week and the difference between the days in the assumption and full week days.</t>
  </si>
  <si>
    <t>Note: The above calculation principle is applied regardless of the number of days which are entered as the inventory days assumption on the Assumptions sheet even if the value of the inventory days assumption requires the inclusion of multiple weeks. This method of calculation is the most accurate way of projecting inventory balances even for businesses where there is significant sales volatility.</t>
  </si>
  <si>
    <t>Note: The above calculation principle is applied regardless of the number of days which are entered as the debtors days assumption on the Assumptions sheet even if the value of the debtors days assumption requires the inclusion of multiple weeks. This method of calculation is the most accurate way of projecting trade receivable balances even for businesses where there is significant sales volatility.</t>
  </si>
  <si>
    <t>The loans and advances &amp; other receivables balances cannot be calculated by basing them on specific income statement items and they are therefore calculated by adding the movements in these balances as per the cash flow statement to the balances of the previous week. If you therefore want to increase or decrease these balances, you need to add the amount of the increase or decrease to the line with a matching description on the cash flow statement (under the changes in operating assets section).</t>
  </si>
  <si>
    <t>The shareholders contributions &amp; reserves balances cannot be calculated by basing them on income statement items and they are therefore calculated by adding the movements in these balances as per the cash flow statement to the balances of the previous week. If you therefore want to increase or decrease these balances, you need to add the amount of the increase or decrease to the line with a matching description on the cash flow statement.</t>
  </si>
  <si>
    <t>Like the calculation of inventory and trade receivables balances, the trade payables balances are based on a number of full weeks with total days of less than the creditors days and part of the previous week's days.</t>
  </si>
  <si>
    <t>Example: If you enter a creditors days assumption of 30 days, the entire cost of sales &amp; expense value for four weeks will be included in the inventory balance. After including the four weeks, there is a difference of 2 days between the 30 days assumption and the total days in four weeks. The week 5 cost of sales &amp; expense value balance will therefore be used, divided by 7 days and multiplied by the 2 remaining days.</t>
  </si>
  <si>
    <t>Note: The above calculation principle is applied regardless of the number of days which are entered as the creditors days assumption on the Assumptions sheet even if the value of the creditors days assumption requires the inclusion of multiple weeks. This method of calculation is the most accurate way of projecting trade payables balances even for businesses where there is significant sales or expense volatility.</t>
  </si>
  <si>
    <t>Note: Sales tax payments are included in the appropriate weekly period based on the payment day that is specified on the Assumptions sheet.</t>
  </si>
  <si>
    <t>Note: Payroll accrual related payments are included in the appropriate weekly period based on the payment day that is specified on the Assumptions sheet.</t>
  </si>
  <si>
    <t>The other accrual &amp; other provisions balances cannot be calculated by basing them on specific income statement items and they are therefore calculated by adding the movements in these balances as per the cash flow statement to the balances of the previous week. If you therefore want to increase or decrease these balances, you need to add the amount of the increase or decrease to the line with a matching description on the cash flow statement (under the changes in operating assets section).</t>
  </si>
  <si>
    <t>Note: Dividend payments are included in the appropriate weekly period based on the payment day that is specified on the Assumptions sheet.</t>
  </si>
  <si>
    <t>Monthly other income projections need to be entered on the IncState worksheet.</t>
  </si>
  <si>
    <t>Interest, Taxation &amp; Dividends</t>
  </si>
  <si>
    <r>
      <t xml:space="preserve">Assumptions - </t>
    </r>
    <r>
      <rPr>
        <sz val="10"/>
        <rFont val="Arial"/>
        <family val="2"/>
      </rPr>
      <t>this sheet includes the default assumptions on which the weekly cash flow projections are based.</t>
    </r>
  </si>
  <si>
    <r>
      <t xml:space="preserve">IncState - </t>
    </r>
    <r>
      <rPr>
        <sz val="10"/>
        <rFont val="Arial"/>
        <family val="2"/>
      </rPr>
      <t>this sheet includes a detailed weekly income statement for a 52 week period. All the rows that are highlighted in yellow in column A require user input and the codes in column A are mainly used in the sales tax, receivables &amp; payables calculations. The rows that do not contain yellow highlighting in column A contain formulas and are therefore calculated automatically.</t>
    </r>
  </si>
  <si>
    <r>
      <t xml:space="preserve">CashFlow - </t>
    </r>
    <r>
      <rPr>
        <sz val="10"/>
        <rFont val="Arial"/>
        <family val="2"/>
      </rPr>
      <t>as with the income statement, only the rows with yellow highlighting in column A require user input. All the other rows contain formulas and are therefore calculated automatically.</t>
    </r>
  </si>
  <si>
    <r>
      <t>BalanceSheet</t>
    </r>
    <r>
      <rPr>
        <sz val="10"/>
        <rFont val="Arial"/>
        <family val="2"/>
      </rPr>
      <t xml:space="preserve"> - all balance sheet calculations are based on the template assumptions and the weekly income statement &amp; cash flow statement calculations. No user input is therefore required on this sheet.</t>
    </r>
  </si>
  <si>
    <r>
      <t xml:space="preserve">Loans1 to Loans3 &amp; Leases - </t>
    </r>
    <r>
      <rPr>
        <sz val="10"/>
        <rFont val="Arial"/>
        <family val="2"/>
      </rPr>
      <t>these sheets include detailed amortization tables which are used to calculate the monthly interest and capital repayment amounts that are included on the weekly income statement and cash flow statement. Each sheet provides for a different set of loan repayment terms to be specified.</t>
    </r>
  </si>
  <si>
    <t>Weekly projections of other income should be entered in this row. Other income may consist of items like interest or dividends received and this line item is  not included in trade receivables and sales tax calculations. If you want to include other income in the trade receivables or sales tax calculations, you need to add the income to the Turnover section as an additional line item.</t>
  </si>
  <si>
    <t>If you already have a sheet which is used for depreciation or amortization calculations, you can include it in this template and add formulas in the depreciation &amp; amortization section of the income statement to include your calculations in these line items.</t>
  </si>
  <si>
    <t>If you do want to include income tax calculations, the income tax percentage needs to be entered in the Income Tax section on the Assumptions sheet. You can also enter a value for an assessed loss (as a positive value) which may have been carried over from a previous tax year which would result in income tax only being calculated after profits exceed the value of the assessed loss.</t>
  </si>
  <si>
    <t>Example: If you want to include a dividend in the last month of each financial year but delay payment to the first month of the next financial year, select a payment frequency of 12 months and month 12 as the first payment month. Then select the Next option to include the dividend on the income statement in the last month of the financial year and the payment in the first month of the next financial year. A dividend payable amount will then automatically be included on the balance sheet at year-end.</t>
  </si>
  <si>
    <t>The property, plant &amp; equipment balances are calculated by adding the purchases of property, plant &amp; equipment as entered on the cash flow statement and deducting the depreciation charges that are included on the income statement.</t>
  </si>
  <si>
    <t>The trade receivables balances on the balance sheet are calculated based on the debtors days assumption which is specified on the Assumptions sheet. The debtors days number can be determined based on the average trading terms which has been negotiated with customers. The debtors days is applied to the weekly turnover to calculate the trade receivables balance. This calculation is based on the number of days in a week and the difference between the days in the assumption and full week days.</t>
  </si>
  <si>
    <t>Example: If you enter a debtors days assumption of 30 days, the entire turnover value for four weeks will be included in the inventory balance. After including the four weeks, there is a difference of 2 days between the 30 days assumption and the total days in four weeks. The week 5 turnover balance will be used, divided by 7 days and multiplied by the 2 remaining days.</t>
  </si>
  <si>
    <t>Each of the loan repayment terms can be specified in the Loan Terms section on the Assumptions sheet. The loan terms include the annual interest rate, repayment period in years and a selection field which can be used to indicate interest-only loans. These loan repayment terms are then included at the top of the loan amortization sheet on the Loans1 to Loans3 and Leases sheets.</t>
  </si>
  <si>
    <t>Example: If you set a payment frequency of 1 month, first payment month of 1 and select the Current option, the payroll accruals will always be nil because the current month's payroll accruals will be included in the payment calculation. If you have the same period settings and select the Subsequent option, the payroll accruals on the balance sheet will always include the current month's payroll accrual because the payment amount will be based on the previous month's payroll accrual.</t>
  </si>
  <si>
    <t>The dividend percentage specified on the Assumptions sheet is applied to the profit for the year on the income statement which can be found directly above the dividends line. Dividends will also only be calculated if there is a cumulative profit for the year.</t>
  </si>
  <si>
    <t>If you select the Subsequent option, dividends will be included on the income statement based on the frequency setting on the Assumptions sheet and the payment of the dividend will be delayed until the first payment month is reached. A dividends payable balance will be reflected on the balance sheet in all months until the payment month is reached.</t>
  </si>
  <si>
    <t>We have included all the calculations which form part of the calculation of balance sheet balances in the Workings section below the balance sheet ratios. These workings will not be printed and are for information purposes only. You can hide this section if you do not want to see it on the sheet but do not delete any of these formulas because it will result in calculation errors if you do!</t>
  </si>
  <si>
    <t>All the rows which require user input are indicated with yellow highlighting in column A. All the other rows contain formulas which automate the calculations of these items which are all based on income statement or balance sheet values.</t>
  </si>
  <si>
    <t>The input rows on the cash flow statement are all related to balance sheet items where the calculations on the balance sheet are based on adding the movement on the cash flow statement to the previous week's balance on the balance sheet. If you need more guidance on any of these items, refer to the appropriate section for the particular item under the Balance Sheet section.</t>
  </si>
  <si>
    <t>Note: The colour of the codes in column A on the cash flow statement indicate whether positive or negative values need to be entered in order to increase the appropriate balance sheet item's balance. If the code is green, positive input values increase the balance sheet balance and if the code is red, you need to enter negative values to increase the balance sheet balances.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</si>
</sst>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 #,##0.00_ ;_ * \-#,##0.00_ ;_ * &quot;-&quot;??_ ;_ @_ "/>
    <numFmt numFmtId="165" formatCode="0.0%"/>
    <numFmt numFmtId="166" formatCode="_(* #,##0_);_(* \(#,##0\);_(* &quot;-&quot;??_);_(@_)"/>
    <numFmt numFmtId="167" formatCode="_(* #,##0.0%_);_(* \(#,##0.0%\);_(* &quot;-&quot;_);_(@_)"/>
    <numFmt numFmtId="168" formatCode="_(* #,##0.0_);_(* \(#,##0.0\);_(* &quot;-&quot;??_);_(@_)"/>
    <numFmt numFmtId="169" formatCode="_ * #,##0_ ;_ * \-#,##0_ ;_ * &quot;-&quot;??_ ;_ @_ "/>
    <numFmt numFmtId="170" formatCode="_(* #,##0.0000_);_(* \(#,##0.0000\);_(* &quot;-&quot;??_);_(@_)"/>
  </numFmts>
  <fonts count="32" x14ac:knownFonts="1">
    <font>
      <sz val="10"/>
      <name val="Century Gothic"/>
      <family val="2"/>
      <scheme val="minor"/>
    </font>
    <font>
      <sz val="10"/>
      <name val="Arial"/>
      <family val="2"/>
    </font>
    <font>
      <u/>
      <sz val="10"/>
      <color indexed="12"/>
      <name val="Arial"/>
      <family val="2"/>
    </font>
    <font>
      <sz val="8"/>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u/>
      <sz val="10"/>
      <color indexed="17"/>
      <name val="Century Gothic"/>
      <family val="2"/>
      <scheme val="minor"/>
    </font>
    <font>
      <b/>
      <sz val="10"/>
      <color indexed="8"/>
      <name val="Century Gothic"/>
      <family val="2"/>
      <scheme val="minor"/>
    </font>
    <font>
      <b/>
      <sz val="12"/>
      <name val="Century Gothic"/>
      <family val="2"/>
      <scheme val="minor"/>
    </font>
    <font>
      <sz val="10"/>
      <color rgb="FFFF0000"/>
      <name val="Century Gothic"/>
      <family val="2"/>
      <scheme val="minor"/>
    </font>
    <font>
      <sz val="10"/>
      <color theme="0"/>
      <name val="Century Gothic"/>
      <family val="2"/>
      <scheme val="minor"/>
    </font>
    <font>
      <i/>
      <sz val="10"/>
      <color indexed="9"/>
      <name val="Century Gothic"/>
      <family val="2"/>
      <scheme val="minor"/>
    </font>
    <font>
      <b/>
      <i/>
      <sz val="10"/>
      <name val="Century Gothic"/>
      <family val="2"/>
      <scheme val="minor"/>
    </font>
    <font>
      <b/>
      <sz val="10"/>
      <color indexed="9"/>
      <name val="Century Gothic"/>
      <family val="2"/>
      <scheme val="minor"/>
    </font>
    <font>
      <b/>
      <i/>
      <sz val="10"/>
      <color indexed="8"/>
      <name val="Century Gothic"/>
      <family val="2"/>
      <scheme val="minor"/>
    </font>
    <font>
      <sz val="10"/>
      <color indexed="8"/>
      <name val="Century Gothic"/>
      <family val="2"/>
      <scheme val="minor"/>
    </font>
    <font>
      <b/>
      <sz val="10"/>
      <color rgb="FFFF0000"/>
      <name val="Century Gothic"/>
      <family val="2"/>
      <scheme val="minor"/>
    </font>
    <font>
      <sz val="10"/>
      <color indexed="12"/>
      <name val="Century Gothic"/>
      <family val="2"/>
      <scheme val="minor"/>
    </font>
    <font>
      <sz val="9"/>
      <color rgb="FF00B050"/>
      <name val="Century Gothic"/>
      <family val="2"/>
      <scheme val="minor"/>
    </font>
    <font>
      <b/>
      <sz val="9"/>
      <color rgb="FF00B050"/>
      <name val="Century Gothic"/>
      <family val="2"/>
      <scheme val="minor"/>
    </font>
    <font>
      <sz val="9"/>
      <color rgb="FFFF0000"/>
      <name val="Century Gothic"/>
      <family val="2"/>
      <scheme val="minor"/>
    </font>
    <font>
      <sz val="9"/>
      <name val="Century Gothic"/>
      <family val="2"/>
      <scheme val="minor"/>
    </font>
    <font>
      <i/>
      <sz val="9"/>
      <color rgb="FF00B050"/>
      <name val="Century Gothic"/>
      <family val="2"/>
      <scheme val="minor"/>
    </font>
    <font>
      <i/>
      <sz val="9"/>
      <name val="Century Gothic"/>
      <family val="2"/>
      <scheme val="minor"/>
    </font>
    <font>
      <b/>
      <sz val="10"/>
      <name val="Arial"/>
      <family val="2"/>
    </font>
    <font>
      <i/>
      <sz val="10"/>
      <name val="Arial"/>
      <family val="2"/>
    </font>
    <font>
      <b/>
      <u/>
      <sz val="10"/>
      <color theme="4" tint="-0.249977111117893"/>
      <name val="Arial"/>
      <family val="2"/>
    </font>
    <font>
      <b/>
      <u/>
      <sz val="10"/>
      <color indexed="17"/>
      <name val="Arial"/>
      <family val="2"/>
    </font>
    <font>
      <b/>
      <sz val="10"/>
      <color indexed="8"/>
      <name val="Arial"/>
      <family val="2"/>
    </font>
    <font>
      <b/>
      <sz val="12"/>
      <name val="Arial"/>
      <family val="2"/>
    </font>
  </fonts>
  <fills count="7">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56"/>
        <bgColor indexed="64"/>
      </patternFill>
    </fill>
    <fill>
      <patternFill patternType="solid">
        <fgColor rgb="FFFFFF99"/>
        <bgColor indexed="64"/>
      </patternFill>
    </fill>
    <fill>
      <patternFill patternType="solid">
        <fgColor rgb="FFCCFFFF"/>
        <bgColor indexed="64"/>
      </patternFill>
    </fill>
  </fills>
  <borders count="15">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double">
        <color indexed="64"/>
      </bottom>
      <diagonal/>
    </border>
  </borders>
  <cellStyleXfs count="4">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208">
    <xf numFmtId="0" fontId="0" fillId="0" borderId="0" xfId="0"/>
    <xf numFmtId="0" fontId="4" fillId="0" borderId="0" xfId="0" applyFont="1"/>
    <xf numFmtId="0" fontId="5" fillId="0" borderId="0" xfId="0" applyNumberFormat="1" applyFont="1" applyProtection="1">
      <protection hidden="1"/>
    </xf>
    <xf numFmtId="166" fontId="5" fillId="0" borderId="0" xfId="1" applyNumberFormat="1" applyFont="1" applyProtection="1">
      <protection hidden="1"/>
    </xf>
    <xf numFmtId="43" fontId="6" fillId="0" borderId="0" xfId="1" applyFont="1" applyProtection="1">
      <protection hidden="1"/>
    </xf>
    <xf numFmtId="0" fontId="6" fillId="0" borderId="0" xfId="0" applyFont="1" applyProtection="1">
      <protection hidden="1"/>
    </xf>
    <xf numFmtId="0" fontId="7" fillId="0" borderId="0" xfId="0" applyNumberFormat="1" applyFont="1" applyProtection="1">
      <protection hidden="1"/>
    </xf>
    <xf numFmtId="14" fontId="6" fillId="2" borderId="9" xfId="1" applyNumberFormat="1" applyFont="1" applyFill="1" applyBorder="1" applyAlignment="1" applyProtection="1">
      <alignment horizontal="center"/>
      <protection hidden="1"/>
    </xf>
    <xf numFmtId="43" fontId="5" fillId="0" borderId="0" xfId="1" applyFont="1" applyAlignment="1" applyProtection="1">
      <alignment horizontal="center"/>
      <protection hidden="1"/>
    </xf>
    <xf numFmtId="43" fontId="5" fillId="0" borderId="0" xfId="1" applyFont="1" applyProtection="1">
      <protection hidden="1"/>
    </xf>
    <xf numFmtId="0" fontId="5" fillId="0" borderId="0" xfId="0" applyFont="1" applyProtection="1">
      <protection hidden="1"/>
    </xf>
    <xf numFmtId="14" fontId="6" fillId="0" borderId="0" xfId="1" applyNumberFormat="1" applyFont="1" applyFill="1" applyBorder="1" applyAlignment="1" applyProtection="1">
      <alignment horizontal="center"/>
      <protection hidden="1"/>
    </xf>
    <xf numFmtId="0" fontId="6" fillId="0" borderId="0" xfId="0" applyNumberFormat="1" applyFont="1" applyProtection="1">
      <protection hidden="1"/>
    </xf>
    <xf numFmtId="166" fontId="6" fillId="2" borderId="2" xfId="1" applyNumberFormat="1" applyFont="1" applyFill="1" applyBorder="1" applyProtection="1">
      <protection hidden="1"/>
    </xf>
    <xf numFmtId="166" fontId="6" fillId="6" borderId="2" xfId="1" applyNumberFormat="1" applyFont="1" applyFill="1" applyBorder="1" applyProtection="1">
      <protection hidden="1"/>
    </xf>
    <xf numFmtId="166" fontId="6" fillId="0" borderId="0" xfId="1" applyNumberFormat="1" applyFont="1" applyFill="1" applyBorder="1" applyProtection="1">
      <protection hidden="1"/>
    </xf>
    <xf numFmtId="166" fontId="6" fillId="0" borderId="0" xfId="1" applyNumberFormat="1" applyFont="1" applyProtection="1">
      <protection hidden="1"/>
    </xf>
    <xf numFmtId="165" fontId="6" fillId="0" borderId="0" xfId="1" applyNumberFormat="1" applyFont="1" applyFill="1" applyBorder="1" applyAlignment="1" applyProtection="1">
      <alignment horizontal="center"/>
      <protection hidden="1"/>
    </xf>
    <xf numFmtId="0" fontId="11" fillId="0" borderId="0" xfId="0" applyNumberFormat="1" applyFont="1" applyProtection="1">
      <protection hidden="1"/>
    </xf>
    <xf numFmtId="0" fontId="7" fillId="0" borderId="0" xfId="0" applyFont="1" applyProtection="1">
      <protection hidden="1"/>
    </xf>
    <xf numFmtId="165" fontId="6" fillId="2" borderId="2" xfId="3" applyNumberFormat="1" applyFont="1" applyFill="1" applyBorder="1" applyAlignment="1" applyProtection="1">
      <alignment horizontal="center"/>
      <protection hidden="1"/>
    </xf>
    <xf numFmtId="3" fontId="6" fillId="2" borderId="2" xfId="1" applyNumberFormat="1" applyFont="1" applyFill="1" applyBorder="1" applyAlignment="1" applyProtection="1">
      <alignment horizontal="center"/>
      <protection hidden="1"/>
    </xf>
    <xf numFmtId="0" fontId="12" fillId="0" borderId="0" xfId="1" applyNumberFormat="1" applyFont="1" applyAlignment="1" applyProtection="1">
      <alignment horizontal="center"/>
      <protection hidden="1"/>
    </xf>
    <xf numFmtId="0" fontId="6" fillId="2" borderId="2" xfId="1" applyNumberFormat="1" applyFont="1" applyFill="1" applyBorder="1" applyAlignment="1" applyProtection="1">
      <alignment horizontal="center"/>
      <protection hidden="1"/>
    </xf>
    <xf numFmtId="14" fontId="6" fillId="0" borderId="0" xfId="1" applyNumberFormat="1" applyFont="1" applyAlignment="1" applyProtection="1">
      <alignment horizontal="center"/>
      <protection hidden="1"/>
    </xf>
    <xf numFmtId="166" fontId="7" fillId="0" borderId="0" xfId="1" applyNumberFormat="1" applyFont="1" applyAlignment="1" applyProtection="1">
      <alignment horizontal="center"/>
      <protection hidden="1"/>
    </xf>
    <xf numFmtId="43" fontId="7" fillId="0" borderId="0" xfId="1" applyFont="1" applyAlignment="1" applyProtection="1">
      <alignment horizontal="center"/>
      <protection hidden="1"/>
    </xf>
    <xf numFmtId="43" fontId="7" fillId="0" borderId="0" xfId="1" applyFont="1" applyProtection="1">
      <protection hidden="1"/>
    </xf>
    <xf numFmtId="0" fontId="6" fillId="5" borderId="2" xfId="0" applyNumberFormat="1" applyFont="1" applyFill="1" applyBorder="1" applyProtection="1">
      <protection hidden="1"/>
    </xf>
    <xf numFmtId="165" fontId="6" fillId="5" borderId="2" xfId="3" applyNumberFormat="1" applyFont="1" applyFill="1" applyBorder="1" applyAlignment="1" applyProtection="1">
      <alignment horizontal="center"/>
      <protection hidden="1"/>
    </xf>
    <xf numFmtId="166" fontId="5" fillId="0" borderId="0" xfId="1" applyNumberFormat="1" applyFont="1" applyFill="1" applyBorder="1" applyAlignment="1" applyProtection="1">
      <alignment horizontal="center"/>
      <protection hidden="1"/>
    </xf>
    <xf numFmtId="0" fontId="6" fillId="0" borderId="0" xfId="0" applyNumberFormat="1" applyFont="1" applyFill="1" applyBorder="1" applyProtection="1">
      <protection hidden="1"/>
    </xf>
    <xf numFmtId="10" fontId="6" fillId="2" borderId="2" xfId="3" applyNumberFormat="1" applyFont="1" applyFill="1" applyBorder="1" applyProtection="1">
      <protection hidden="1"/>
    </xf>
    <xf numFmtId="168" fontId="6" fillId="2" borderId="2" xfId="1" applyNumberFormat="1" applyFont="1" applyFill="1" applyBorder="1" applyProtection="1">
      <protection hidden="1"/>
    </xf>
    <xf numFmtId="166" fontId="6" fillId="2" borderId="2" xfId="1" applyNumberFormat="1" applyFont="1" applyFill="1" applyBorder="1" applyAlignment="1" applyProtection="1">
      <alignment horizontal="right"/>
      <protection hidden="1"/>
    </xf>
    <xf numFmtId="0" fontId="7" fillId="0" borderId="0" xfId="0" applyNumberFormat="1" applyFont="1" applyFill="1" applyBorder="1" applyProtection="1">
      <protection hidden="1"/>
    </xf>
    <xf numFmtId="166" fontId="7" fillId="0" borderId="0" xfId="1" applyNumberFormat="1" applyFont="1" applyFill="1" applyBorder="1" applyProtection="1">
      <protection hidden="1"/>
    </xf>
    <xf numFmtId="43" fontId="12" fillId="0" borderId="0" xfId="1" applyFont="1" applyProtection="1">
      <protection hidden="1"/>
    </xf>
    <xf numFmtId="0" fontId="13" fillId="0" borderId="0" xfId="0" applyNumberFormat="1" applyFont="1" applyAlignment="1" applyProtection="1">
      <alignment horizontal="center"/>
      <protection hidden="1"/>
    </xf>
    <xf numFmtId="166" fontId="14" fillId="0" borderId="0" xfId="0" applyNumberFormat="1" applyFont="1" applyAlignment="1" applyProtection="1">
      <alignment horizontal="center"/>
      <protection hidden="1"/>
    </xf>
    <xf numFmtId="0" fontId="14" fillId="0" borderId="0" xfId="0" applyFont="1" applyAlignment="1" applyProtection="1">
      <alignment horizontal="center"/>
      <protection hidden="1"/>
    </xf>
    <xf numFmtId="0" fontId="7" fillId="0" borderId="0" xfId="0" applyFont="1" applyAlignment="1" applyProtection="1">
      <alignment horizontal="center"/>
      <protection hidden="1"/>
    </xf>
    <xf numFmtId="14" fontId="6" fillId="3" borderId="2" xfId="0" applyNumberFormat="1" applyFont="1" applyFill="1" applyBorder="1" applyAlignment="1" applyProtection="1">
      <alignment vertical="center" wrapText="1"/>
      <protection hidden="1"/>
    </xf>
    <xf numFmtId="14" fontId="5" fillId="3" borderId="2" xfId="1" applyNumberFormat="1" applyFont="1" applyFill="1" applyBorder="1" applyAlignment="1" applyProtection="1">
      <alignment horizontal="center" vertical="center" wrapText="1"/>
      <protection hidden="1"/>
    </xf>
    <xf numFmtId="14" fontId="15" fillId="4" borderId="2" xfId="1" applyNumberFormat="1" applyFont="1" applyFill="1" applyBorder="1" applyAlignment="1" applyProtection="1">
      <alignment horizontal="center" vertical="center" wrapText="1"/>
      <protection hidden="1"/>
    </xf>
    <xf numFmtId="14" fontId="6" fillId="0" borderId="0" xfId="0" applyNumberFormat="1" applyFont="1" applyAlignment="1" applyProtection="1">
      <alignment vertical="center" wrapText="1"/>
      <protection hidden="1"/>
    </xf>
    <xf numFmtId="0" fontId="6" fillId="0" borderId="0" xfId="1" applyNumberFormat="1" applyFont="1" applyBorder="1" applyProtection="1">
      <protection hidden="1"/>
    </xf>
    <xf numFmtId="166" fontId="6" fillId="0" borderId="3" xfId="1" applyNumberFormat="1" applyFont="1" applyFill="1" applyBorder="1" applyProtection="1">
      <protection hidden="1"/>
    </xf>
    <xf numFmtId="166" fontId="6" fillId="0" borderId="3" xfId="1" applyNumberFormat="1" applyFont="1" applyBorder="1" applyProtection="1">
      <protection hidden="1"/>
    </xf>
    <xf numFmtId="166" fontId="5" fillId="0" borderId="3" xfId="1" applyNumberFormat="1" applyFont="1" applyBorder="1" applyProtection="1">
      <protection hidden="1"/>
    </xf>
    <xf numFmtId="166" fontId="6" fillId="0" borderId="4" xfId="1" applyNumberFormat="1" applyFont="1" applyFill="1" applyBorder="1" applyProtection="1">
      <protection hidden="1"/>
    </xf>
    <xf numFmtId="166" fontId="6" fillId="0" borderId="4" xfId="1" applyNumberFormat="1" applyFont="1" applyBorder="1" applyProtection="1">
      <protection hidden="1"/>
    </xf>
    <xf numFmtId="166" fontId="5" fillId="0" borderId="4" xfId="1" applyNumberFormat="1" applyFont="1" applyBorder="1" applyProtection="1">
      <protection hidden="1"/>
    </xf>
    <xf numFmtId="0" fontId="5" fillId="0" borderId="0" xfId="1" applyNumberFormat="1" applyFont="1" applyBorder="1" applyProtection="1">
      <protection hidden="1"/>
    </xf>
    <xf numFmtId="166" fontId="5" fillId="0" borderId="13" xfId="1" applyNumberFormat="1" applyFont="1" applyFill="1" applyBorder="1" applyProtection="1">
      <protection hidden="1"/>
    </xf>
    <xf numFmtId="0" fontId="6" fillId="0" borderId="0" xfId="1" applyNumberFormat="1" applyFont="1" applyProtection="1">
      <protection hidden="1"/>
    </xf>
    <xf numFmtId="0" fontId="5" fillId="0" borderId="0" xfId="1" applyNumberFormat="1" applyFont="1" applyProtection="1">
      <protection hidden="1"/>
    </xf>
    <xf numFmtId="166" fontId="5" fillId="0" borderId="13" xfId="1" applyNumberFormat="1" applyFont="1" applyBorder="1" applyProtection="1">
      <protection hidden="1"/>
    </xf>
    <xf numFmtId="165" fontId="7" fillId="0" borderId="0" xfId="3" applyNumberFormat="1" applyFont="1" applyProtection="1">
      <protection hidden="1"/>
    </xf>
    <xf numFmtId="165" fontId="7" fillId="0" borderId="4" xfId="3" applyNumberFormat="1" applyFont="1" applyBorder="1" applyProtection="1">
      <protection hidden="1"/>
    </xf>
    <xf numFmtId="165" fontId="14" fillId="0" borderId="4" xfId="3" applyNumberFormat="1" applyFont="1" applyBorder="1" applyProtection="1">
      <protection hidden="1"/>
    </xf>
    <xf numFmtId="165" fontId="16" fillId="0" borderId="0" xfId="3" applyNumberFormat="1" applyFont="1" applyBorder="1" applyProtection="1">
      <protection hidden="1"/>
    </xf>
    <xf numFmtId="165" fontId="16" fillId="0" borderId="13" xfId="3" applyNumberFormat="1" applyFont="1" applyFill="1" applyBorder="1" applyProtection="1">
      <protection hidden="1"/>
    </xf>
    <xf numFmtId="0" fontId="6" fillId="0" borderId="4" xfId="0" applyFont="1" applyBorder="1" applyProtection="1">
      <protection hidden="1"/>
    </xf>
    <xf numFmtId="0" fontId="5" fillId="0" borderId="4" xfId="0" applyFont="1" applyBorder="1" applyProtection="1">
      <protection hidden="1"/>
    </xf>
    <xf numFmtId="166" fontId="5" fillId="0" borderId="5" xfId="1" applyNumberFormat="1" applyFont="1" applyBorder="1" applyProtection="1">
      <protection hidden="1"/>
    </xf>
    <xf numFmtId="167" fontId="7" fillId="0" borderId="4" xfId="3" applyNumberFormat="1" applyFont="1" applyBorder="1" applyProtection="1">
      <protection hidden="1"/>
    </xf>
    <xf numFmtId="167" fontId="14" fillId="0" borderId="4" xfId="3" applyNumberFormat="1" applyFont="1" applyBorder="1" applyProtection="1">
      <protection hidden="1"/>
    </xf>
    <xf numFmtId="166" fontId="6" fillId="0" borderId="6" xfId="1" applyNumberFormat="1" applyFont="1" applyBorder="1" applyProtection="1">
      <protection hidden="1"/>
    </xf>
    <xf numFmtId="0" fontId="6" fillId="0" borderId="6" xfId="0" applyFont="1" applyBorder="1" applyProtection="1">
      <protection hidden="1"/>
    </xf>
    <xf numFmtId="0" fontId="5" fillId="0" borderId="6" xfId="0" applyFont="1" applyBorder="1" applyProtection="1">
      <protection hidden="1"/>
    </xf>
    <xf numFmtId="166" fontId="6" fillId="0" borderId="0" xfId="0" applyNumberFormat="1" applyFont="1" applyProtection="1">
      <protection hidden="1"/>
    </xf>
    <xf numFmtId="166" fontId="5" fillId="0" borderId="0" xfId="0" applyNumberFormat="1" applyFont="1" applyProtection="1">
      <protection hidden="1"/>
    </xf>
    <xf numFmtId="0" fontId="13" fillId="0" borderId="0" xfId="0" applyNumberFormat="1" applyFont="1" applyProtection="1">
      <protection hidden="1"/>
    </xf>
    <xf numFmtId="166" fontId="14" fillId="0" borderId="0" xfId="0" applyNumberFormat="1" applyFont="1" applyProtection="1">
      <protection hidden="1"/>
    </xf>
    <xf numFmtId="166" fontId="6" fillId="0" borderId="3" xfId="0" applyNumberFormat="1" applyFont="1" applyBorder="1" applyProtection="1">
      <protection hidden="1"/>
    </xf>
    <xf numFmtId="166" fontId="5" fillId="0" borderId="3" xfId="0" applyNumberFormat="1" applyFont="1" applyBorder="1" applyProtection="1">
      <protection hidden="1"/>
    </xf>
    <xf numFmtId="166" fontId="7" fillId="0" borderId="4" xfId="0" applyNumberFormat="1" applyFont="1" applyBorder="1" applyProtection="1">
      <protection hidden="1"/>
    </xf>
    <xf numFmtId="166" fontId="14" fillId="0" borderId="4" xfId="0" applyNumberFormat="1" applyFont="1" applyBorder="1" applyProtection="1">
      <protection hidden="1"/>
    </xf>
    <xf numFmtId="166" fontId="6" fillId="0" borderId="4" xfId="0" applyNumberFormat="1" applyFont="1" applyBorder="1" applyProtection="1">
      <protection hidden="1"/>
    </xf>
    <xf numFmtId="166" fontId="6" fillId="0" borderId="8" xfId="1" applyNumberFormat="1" applyFont="1" applyBorder="1" applyProtection="1">
      <protection hidden="1"/>
    </xf>
    <xf numFmtId="166" fontId="5" fillId="0" borderId="8" xfId="1" applyNumberFormat="1" applyFont="1" applyBorder="1" applyProtection="1">
      <protection hidden="1"/>
    </xf>
    <xf numFmtId="166" fontId="7" fillId="0" borderId="4" xfId="1" applyNumberFormat="1" applyFont="1" applyBorder="1" applyProtection="1">
      <protection hidden="1"/>
    </xf>
    <xf numFmtId="166" fontId="14" fillId="0" borderId="4" xfId="1" applyNumberFormat="1" applyFont="1" applyBorder="1" applyProtection="1">
      <protection hidden="1"/>
    </xf>
    <xf numFmtId="166" fontId="7" fillId="0" borderId="0" xfId="1" applyNumberFormat="1" applyFont="1" applyProtection="1">
      <protection hidden="1"/>
    </xf>
    <xf numFmtId="166" fontId="7" fillId="0" borderId="13" xfId="1" applyNumberFormat="1" applyFont="1" applyBorder="1" applyProtection="1">
      <protection hidden="1"/>
    </xf>
    <xf numFmtId="166" fontId="14" fillId="0" borderId="13" xfId="1" applyNumberFormat="1" applyFont="1" applyBorder="1" applyProtection="1">
      <protection hidden="1"/>
    </xf>
    <xf numFmtId="0" fontId="7" fillId="0" borderId="0" xfId="1" applyNumberFormat="1" applyFont="1" applyProtection="1">
      <protection hidden="1"/>
    </xf>
    <xf numFmtId="166" fontId="5" fillId="0" borderId="7" xfId="1" applyNumberFormat="1" applyFont="1" applyBorder="1" applyProtection="1">
      <protection hidden="1"/>
    </xf>
    <xf numFmtId="0" fontId="8" fillId="0" borderId="0" xfId="2" applyFont="1" applyAlignment="1" applyProtection="1">
      <alignment horizontal="right"/>
      <protection hidden="1"/>
    </xf>
    <xf numFmtId="166" fontId="5" fillId="0" borderId="3" xfId="1" applyNumberFormat="1" applyFont="1" applyFill="1" applyBorder="1" applyProtection="1">
      <protection hidden="1"/>
    </xf>
    <xf numFmtId="0" fontId="5" fillId="0" borderId="3" xfId="0" applyFont="1" applyBorder="1" applyProtection="1">
      <protection hidden="1"/>
    </xf>
    <xf numFmtId="166" fontId="5" fillId="0" borderId="4" xfId="1" applyNumberFormat="1" applyFont="1" applyFill="1" applyBorder="1" applyProtection="1">
      <protection hidden="1"/>
    </xf>
    <xf numFmtId="166" fontId="6" fillId="0" borderId="13" xfId="1" applyNumberFormat="1" applyFont="1" applyBorder="1" applyProtection="1">
      <protection hidden="1"/>
    </xf>
    <xf numFmtId="0" fontId="5" fillId="0" borderId="0" xfId="0" applyNumberFormat="1" applyFont="1" applyFill="1" applyBorder="1" applyProtection="1">
      <protection hidden="1"/>
    </xf>
    <xf numFmtId="169" fontId="6" fillId="0" borderId="4" xfId="1" applyNumberFormat="1" applyFont="1" applyBorder="1" applyProtection="1">
      <protection hidden="1"/>
    </xf>
    <xf numFmtId="166" fontId="5" fillId="0" borderId="14" xfId="1" applyNumberFormat="1" applyFont="1" applyBorder="1" applyProtection="1">
      <protection hidden="1"/>
    </xf>
    <xf numFmtId="0" fontId="17" fillId="0" borderId="0" xfId="0" applyNumberFormat="1" applyFont="1" applyProtection="1">
      <protection hidden="1"/>
    </xf>
    <xf numFmtId="166" fontId="17" fillId="0" borderId="4" xfId="1" applyNumberFormat="1" applyFont="1" applyBorder="1" applyProtection="1">
      <protection hidden="1"/>
    </xf>
    <xf numFmtId="166" fontId="9" fillId="0" borderId="4" xfId="1" applyNumberFormat="1" applyFont="1" applyBorder="1" applyProtection="1">
      <protection hidden="1"/>
    </xf>
    <xf numFmtId="0" fontId="17" fillId="0" borderId="0" xfId="0" applyFont="1" applyProtection="1">
      <protection hidden="1"/>
    </xf>
    <xf numFmtId="166" fontId="17" fillId="0" borderId="13" xfId="1" applyNumberFormat="1" applyFont="1" applyBorder="1" applyProtection="1">
      <protection hidden="1"/>
    </xf>
    <xf numFmtId="166" fontId="9" fillId="0" borderId="13" xfId="1" applyNumberFormat="1" applyFont="1" applyBorder="1" applyProtection="1">
      <protection hidden="1"/>
    </xf>
    <xf numFmtId="0" fontId="6" fillId="0" borderId="0" xfId="0" applyNumberFormat="1" applyFont="1" applyBorder="1" applyProtection="1">
      <protection hidden="1"/>
    </xf>
    <xf numFmtId="0" fontId="6" fillId="0" borderId="0" xfId="0" applyFont="1" applyBorder="1" applyProtection="1">
      <protection hidden="1"/>
    </xf>
    <xf numFmtId="166" fontId="11" fillId="0" borderId="0" xfId="1" applyNumberFormat="1" applyFont="1" applyProtection="1">
      <protection hidden="1"/>
    </xf>
    <xf numFmtId="166" fontId="18" fillId="0" borderId="0" xfId="1" applyNumberFormat="1" applyFont="1" applyProtection="1">
      <protection hidden="1"/>
    </xf>
    <xf numFmtId="0" fontId="11" fillId="0" borderId="0" xfId="0" applyFont="1" applyProtection="1">
      <protection hidden="1"/>
    </xf>
    <xf numFmtId="166" fontId="14" fillId="0" borderId="0" xfId="1" applyNumberFormat="1" applyFont="1" applyProtection="1">
      <protection hidden="1"/>
    </xf>
    <xf numFmtId="164" fontId="7" fillId="0" borderId="0" xfId="1" applyNumberFormat="1" applyFont="1" applyProtection="1">
      <protection hidden="1"/>
    </xf>
    <xf numFmtId="164" fontId="14" fillId="0" borderId="0" xfId="1" applyNumberFormat="1" applyFont="1" applyProtection="1">
      <protection hidden="1"/>
    </xf>
    <xf numFmtId="167" fontId="7" fillId="0" borderId="0" xfId="0" applyNumberFormat="1" applyFont="1" applyProtection="1">
      <protection hidden="1"/>
    </xf>
    <xf numFmtId="43" fontId="7" fillId="0" borderId="0" xfId="1" applyNumberFormat="1" applyFont="1" applyProtection="1">
      <protection hidden="1"/>
    </xf>
    <xf numFmtId="43" fontId="14" fillId="0" borderId="0" xfId="1" applyNumberFormat="1" applyFont="1" applyProtection="1">
      <protection hidden="1"/>
    </xf>
    <xf numFmtId="170" fontId="7" fillId="0" borderId="0" xfId="1" applyNumberFormat="1" applyFont="1" applyProtection="1">
      <protection hidden="1"/>
    </xf>
    <xf numFmtId="169" fontId="7" fillId="0" borderId="0" xfId="1" applyNumberFormat="1" applyFont="1" applyProtection="1">
      <protection hidden="1"/>
    </xf>
    <xf numFmtId="164" fontId="7" fillId="0" borderId="0" xfId="1" applyNumberFormat="1" applyFont="1" applyAlignment="1" applyProtection="1">
      <alignment horizontal="center"/>
      <protection hidden="1"/>
    </xf>
    <xf numFmtId="164" fontId="14" fillId="0" borderId="0" xfId="1" applyNumberFormat="1" applyFont="1" applyAlignment="1" applyProtection="1">
      <alignment horizontal="center"/>
      <protection hidden="1"/>
    </xf>
    <xf numFmtId="3" fontId="7" fillId="0" borderId="0" xfId="1" applyNumberFormat="1" applyFont="1" applyAlignment="1" applyProtection="1">
      <alignment horizontal="center"/>
      <protection hidden="1"/>
    </xf>
    <xf numFmtId="3" fontId="14" fillId="0" borderId="0" xfId="1" applyNumberFormat="1" applyFont="1" applyAlignment="1" applyProtection="1">
      <alignment horizontal="center"/>
      <protection hidden="1"/>
    </xf>
    <xf numFmtId="0" fontId="7" fillId="0" borderId="0" xfId="1" applyNumberFormat="1" applyFont="1" applyAlignment="1" applyProtection="1">
      <alignment horizontal="center"/>
      <protection hidden="1"/>
    </xf>
    <xf numFmtId="169" fontId="14" fillId="0" borderId="0" xfId="1" applyNumberFormat="1" applyFont="1" applyProtection="1">
      <protection hidden="1"/>
    </xf>
    <xf numFmtId="14" fontId="7" fillId="0" borderId="0" xfId="0" applyNumberFormat="1" applyFont="1" applyProtection="1">
      <protection hidden="1"/>
    </xf>
    <xf numFmtId="14" fontId="7" fillId="0" borderId="0" xfId="1" applyNumberFormat="1" applyFont="1" applyProtection="1">
      <protection hidden="1"/>
    </xf>
    <xf numFmtId="14" fontId="14" fillId="0" borderId="0" xfId="1" applyNumberFormat="1" applyFont="1" applyProtection="1">
      <protection hidden="1"/>
    </xf>
    <xf numFmtId="0" fontId="14" fillId="0" borderId="0" xfId="1" applyNumberFormat="1" applyFont="1" applyAlignment="1" applyProtection="1">
      <alignment horizontal="center"/>
      <protection hidden="1"/>
    </xf>
    <xf numFmtId="165" fontId="14" fillId="0" borderId="0" xfId="3" applyNumberFormat="1" applyFont="1" applyProtection="1">
      <protection hidden="1"/>
    </xf>
    <xf numFmtId="165" fontId="7" fillId="0" borderId="0" xfId="3" applyNumberFormat="1" applyFont="1" applyAlignment="1" applyProtection="1">
      <alignment horizontal="center"/>
      <protection hidden="1"/>
    </xf>
    <xf numFmtId="0" fontId="14" fillId="0" borderId="0" xfId="0" applyFont="1" applyProtection="1">
      <protection hidden="1"/>
    </xf>
    <xf numFmtId="14" fontId="14" fillId="0" borderId="0" xfId="0" applyNumberFormat="1" applyFont="1" applyProtection="1">
      <protection hidden="1"/>
    </xf>
    <xf numFmtId="0" fontId="7" fillId="0" borderId="0" xfId="0" applyNumberFormat="1" applyFont="1" applyAlignment="1" applyProtection="1">
      <alignment horizontal="left"/>
      <protection hidden="1"/>
    </xf>
    <xf numFmtId="166" fontId="5" fillId="0" borderId="0" xfId="1" applyNumberFormat="1" applyFont="1" applyAlignment="1" applyProtection="1">
      <alignment horizontal="center"/>
      <protection hidden="1"/>
    </xf>
    <xf numFmtId="3" fontId="6" fillId="0" borderId="0" xfId="1" applyNumberFormat="1" applyFont="1" applyAlignment="1" applyProtection="1">
      <alignment horizontal="center"/>
      <protection hidden="1"/>
    </xf>
    <xf numFmtId="14" fontId="7" fillId="0" borderId="0" xfId="0" applyNumberFormat="1" applyFont="1" applyAlignment="1" applyProtection="1">
      <alignment horizontal="left"/>
      <protection hidden="1"/>
    </xf>
    <xf numFmtId="166" fontId="6" fillId="0" borderId="0" xfId="1" applyNumberFormat="1" applyFont="1" applyAlignment="1" applyProtection="1">
      <alignment horizontal="center"/>
      <protection hidden="1"/>
    </xf>
    <xf numFmtId="14" fontId="17" fillId="0" borderId="0" xfId="0" applyNumberFormat="1" applyFont="1" applyAlignment="1" applyProtection="1">
      <alignment horizontal="left"/>
      <protection hidden="1"/>
    </xf>
    <xf numFmtId="10" fontId="6" fillId="3" borderId="2" xfId="3" applyNumberFormat="1" applyFont="1" applyFill="1" applyBorder="1" applyAlignment="1" applyProtection="1">
      <alignment horizontal="right"/>
      <protection hidden="1"/>
    </xf>
    <xf numFmtId="165" fontId="6" fillId="0" borderId="0" xfId="3" applyNumberFormat="1" applyFont="1" applyFill="1" applyBorder="1" applyProtection="1">
      <protection hidden="1"/>
    </xf>
    <xf numFmtId="14" fontId="17" fillId="0" borderId="0" xfId="0" applyNumberFormat="1" applyFont="1" applyFill="1" applyBorder="1" applyAlignment="1" applyProtection="1">
      <alignment horizontal="left"/>
      <protection hidden="1"/>
    </xf>
    <xf numFmtId="168" fontId="6" fillId="3" borderId="2" xfId="1" applyNumberFormat="1" applyFont="1" applyFill="1" applyBorder="1" applyAlignment="1" applyProtection="1">
      <alignment horizontal="right"/>
      <protection hidden="1"/>
    </xf>
    <xf numFmtId="168" fontId="6" fillId="0" borderId="0" xfId="1" applyNumberFormat="1" applyFont="1" applyFill="1" applyBorder="1" applyProtection="1">
      <protection hidden="1"/>
    </xf>
    <xf numFmtId="168" fontId="6" fillId="0" borderId="0" xfId="1" applyNumberFormat="1" applyFont="1" applyFill="1" applyBorder="1" applyAlignment="1" applyProtection="1">
      <alignment horizontal="right"/>
      <protection hidden="1"/>
    </xf>
    <xf numFmtId="14" fontId="6" fillId="0" borderId="0" xfId="0" applyNumberFormat="1" applyFont="1" applyAlignment="1" applyProtection="1">
      <alignment horizontal="left"/>
      <protection hidden="1"/>
    </xf>
    <xf numFmtId="14" fontId="13" fillId="0" borderId="0" xfId="0" applyNumberFormat="1" applyFont="1" applyAlignment="1" applyProtection="1">
      <alignment horizontal="center"/>
      <protection hidden="1"/>
    </xf>
    <xf numFmtId="14" fontId="9" fillId="3" borderId="2" xfId="0" applyNumberFormat="1" applyFont="1" applyFill="1" applyBorder="1" applyAlignment="1" applyProtection="1">
      <alignment horizontal="left" vertical="center" wrapText="1"/>
      <protection hidden="1"/>
    </xf>
    <xf numFmtId="14" fontId="9" fillId="3" borderId="2" xfId="0" applyNumberFormat="1" applyFont="1" applyFill="1" applyBorder="1" applyAlignment="1" applyProtection="1">
      <alignment horizontal="center" vertical="center" wrapText="1"/>
      <protection hidden="1"/>
    </xf>
    <xf numFmtId="166" fontId="5" fillId="3" borderId="2" xfId="1" applyNumberFormat="1" applyFont="1" applyFill="1" applyBorder="1" applyAlignment="1" applyProtection="1">
      <alignment horizontal="center" vertical="center" wrapText="1"/>
      <protection hidden="1"/>
    </xf>
    <xf numFmtId="3" fontId="5" fillId="3" borderId="2" xfId="1" applyNumberFormat="1" applyFont="1" applyFill="1" applyBorder="1" applyAlignment="1" applyProtection="1">
      <alignment horizontal="center" vertical="center" wrapText="1"/>
      <protection hidden="1"/>
    </xf>
    <xf numFmtId="166" fontId="6" fillId="0" borderId="0" xfId="1" applyNumberFormat="1" applyFont="1" applyAlignment="1" applyProtection="1">
      <alignment vertical="center" wrapText="1"/>
      <protection hidden="1"/>
    </xf>
    <xf numFmtId="0" fontId="6" fillId="0" borderId="0" xfId="0" applyFont="1" applyAlignment="1" applyProtection="1">
      <alignment vertical="center" wrapText="1"/>
      <protection hidden="1"/>
    </xf>
    <xf numFmtId="14" fontId="17" fillId="0" borderId="0" xfId="0" applyNumberFormat="1" applyFont="1" applyAlignment="1" applyProtection="1">
      <alignment horizontal="center"/>
      <protection hidden="1"/>
    </xf>
    <xf numFmtId="166" fontId="17" fillId="0" borderId="0" xfId="1" applyNumberFormat="1" applyFont="1" applyProtection="1">
      <protection hidden="1"/>
    </xf>
    <xf numFmtId="166" fontId="17" fillId="0" borderId="0" xfId="1" applyNumberFormat="1" applyFont="1" applyAlignment="1" applyProtection="1">
      <alignment horizontal="right"/>
      <protection hidden="1"/>
    </xf>
    <xf numFmtId="166" fontId="6" fillId="0" borderId="0" xfId="1" applyNumberFormat="1" applyFont="1" applyFill="1" applyBorder="1" applyAlignment="1" applyProtection="1">
      <alignment horizontal="right"/>
      <protection hidden="1"/>
    </xf>
    <xf numFmtId="3" fontId="17" fillId="0" borderId="0" xfId="1" applyNumberFormat="1" applyFont="1" applyAlignment="1" applyProtection="1">
      <alignment horizontal="center"/>
      <protection hidden="1"/>
    </xf>
    <xf numFmtId="166" fontId="19" fillId="0" borderId="0" xfId="1" applyNumberFormat="1" applyFont="1" applyProtection="1">
      <protection hidden="1"/>
    </xf>
    <xf numFmtId="0" fontId="19" fillId="0" borderId="0" xfId="0" applyFont="1" applyProtection="1">
      <protection hidden="1"/>
    </xf>
    <xf numFmtId="14" fontId="5" fillId="0" borderId="0" xfId="0" applyNumberFormat="1" applyFont="1" applyAlignment="1" applyProtection="1">
      <alignment horizontal="center"/>
      <protection hidden="1"/>
    </xf>
    <xf numFmtId="0" fontId="5" fillId="0" borderId="0" xfId="0" applyFont="1" applyAlignment="1" applyProtection="1">
      <alignment horizontal="center"/>
      <protection hidden="1"/>
    </xf>
    <xf numFmtId="14" fontId="6" fillId="0" borderId="0" xfId="0" applyNumberFormat="1" applyFont="1" applyAlignment="1" applyProtection="1">
      <alignment horizontal="center"/>
      <protection hidden="1"/>
    </xf>
    <xf numFmtId="3" fontId="6" fillId="0" borderId="0" xfId="0" applyNumberFormat="1" applyFont="1" applyAlignment="1" applyProtection="1">
      <alignment horizontal="center"/>
      <protection hidden="1"/>
    </xf>
    <xf numFmtId="0" fontId="6" fillId="0" borderId="0" xfId="0" applyFont="1" applyAlignment="1" applyProtection="1">
      <alignment horizontal="center"/>
      <protection hidden="1"/>
    </xf>
    <xf numFmtId="14" fontId="10" fillId="0" borderId="0" xfId="0" applyNumberFormat="1" applyFont="1" applyAlignment="1" applyProtection="1">
      <alignment horizontal="left"/>
      <protection hidden="1"/>
    </xf>
    <xf numFmtId="0" fontId="10" fillId="0" borderId="0" xfId="0" applyNumberFormat="1" applyFont="1" applyProtection="1">
      <protection hidden="1"/>
    </xf>
    <xf numFmtId="0" fontId="20" fillId="0" borderId="0" xfId="0" applyNumberFormat="1" applyFont="1" applyProtection="1">
      <protection hidden="1"/>
    </xf>
    <xf numFmtId="0" fontId="21" fillId="0" borderId="0" xfId="0" applyNumberFormat="1" applyFont="1" applyProtection="1">
      <protection hidden="1"/>
    </xf>
    <xf numFmtId="0" fontId="22" fillId="0" borderId="0" xfId="0" applyNumberFormat="1" applyFont="1" applyProtection="1">
      <protection hidden="1"/>
    </xf>
    <xf numFmtId="0" fontId="23" fillId="0" borderId="0" xfId="0" applyFont="1" applyProtection="1">
      <protection hidden="1"/>
    </xf>
    <xf numFmtId="0" fontId="20" fillId="0" borderId="0" xfId="0" applyNumberFormat="1" applyFont="1" applyAlignment="1" applyProtection="1">
      <alignment horizontal="left"/>
      <protection hidden="1"/>
    </xf>
    <xf numFmtId="0" fontId="24" fillId="0" borderId="0" xfId="0" applyNumberFormat="1" applyFont="1" applyAlignment="1" applyProtection="1">
      <alignment horizontal="left"/>
      <protection hidden="1"/>
    </xf>
    <xf numFmtId="0" fontId="20" fillId="0" borderId="0" xfId="0" applyNumberFormat="1" applyFont="1" applyAlignment="1" applyProtection="1">
      <alignment horizontal="left" vertical="center" wrapText="1"/>
      <protection hidden="1"/>
    </xf>
    <xf numFmtId="0" fontId="20" fillId="2" borderId="1" xfId="1" applyNumberFormat="1" applyFont="1" applyFill="1" applyBorder="1" applyAlignment="1" applyProtection="1">
      <alignment horizontal="left"/>
      <protection hidden="1"/>
    </xf>
    <xf numFmtId="0" fontId="20" fillId="0" borderId="0" xfId="1" applyNumberFormat="1" applyFont="1" applyAlignment="1" applyProtection="1">
      <alignment horizontal="left"/>
      <protection hidden="1"/>
    </xf>
    <xf numFmtId="165" fontId="20" fillId="2" borderId="1" xfId="3" applyNumberFormat="1" applyFont="1" applyFill="1" applyBorder="1" applyAlignment="1" applyProtection="1">
      <alignment horizontal="left"/>
      <protection hidden="1"/>
    </xf>
    <xf numFmtId="165" fontId="20" fillId="0" borderId="0" xfId="3" applyNumberFormat="1" applyFont="1" applyAlignment="1" applyProtection="1">
      <alignment horizontal="left"/>
      <protection hidden="1"/>
    </xf>
    <xf numFmtId="0" fontId="21" fillId="0" borderId="0" xfId="0" applyNumberFormat="1" applyFont="1" applyAlignment="1" applyProtection="1">
      <alignment horizontal="left"/>
      <protection hidden="1"/>
    </xf>
    <xf numFmtId="0" fontId="21" fillId="0" borderId="0" xfId="1" applyNumberFormat="1" applyFont="1" applyAlignment="1" applyProtection="1">
      <alignment horizontal="left"/>
      <protection hidden="1"/>
    </xf>
    <xf numFmtId="0" fontId="24" fillId="0" borderId="0" xfId="3" applyNumberFormat="1" applyFont="1" applyAlignment="1" applyProtection="1">
      <alignment horizontal="left"/>
      <protection hidden="1"/>
    </xf>
    <xf numFmtId="0" fontId="22" fillId="2" borderId="1" xfId="1" applyNumberFormat="1" applyFont="1" applyFill="1" applyBorder="1" applyAlignment="1" applyProtection="1">
      <alignment horizontal="left"/>
      <protection hidden="1"/>
    </xf>
    <xf numFmtId="0" fontId="24" fillId="0" borderId="0" xfId="1" applyNumberFormat="1" applyFont="1" applyAlignment="1" applyProtection="1">
      <alignment horizontal="left"/>
      <protection hidden="1"/>
    </xf>
    <xf numFmtId="0" fontId="24" fillId="0" borderId="0" xfId="0" applyNumberFormat="1" applyFont="1" applyProtection="1">
      <protection hidden="1"/>
    </xf>
    <xf numFmtId="0" fontId="20" fillId="0" borderId="0" xfId="0" applyNumberFormat="1" applyFont="1" applyAlignment="1" applyProtection="1">
      <alignment vertical="center" wrapText="1"/>
      <protection hidden="1"/>
    </xf>
    <xf numFmtId="0" fontId="20" fillId="0" borderId="0" xfId="0" applyNumberFormat="1" applyFont="1" applyBorder="1" applyProtection="1">
      <protection hidden="1"/>
    </xf>
    <xf numFmtId="0" fontId="25" fillId="0" borderId="0" xfId="0" applyNumberFormat="1" applyFont="1" applyProtection="1">
      <protection hidden="1"/>
    </xf>
    <xf numFmtId="0" fontId="25" fillId="0" borderId="0" xfId="1" applyNumberFormat="1" applyFont="1" applyProtection="1">
      <protection hidden="1"/>
    </xf>
    <xf numFmtId="14" fontId="25" fillId="0" borderId="0" xfId="0" applyNumberFormat="1" applyFont="1" applyProtection="1">
      <protection hidden="1"/>
    </xf>
    <xf numFmtId="14" fontId="24" fillId="0" borderId="0" xfId="0" applyNumberFormat="1" applyFont="1" applyProtection="1">
      <protection hidden="1"/>
    </xf>
    <xf numFmtId="0" fontId="25" fillId="0" borderId="0" xfId="0" applyNumberFormat="1" applyFont="1" applyAlignment="1" applyProtection="1">
      <alignment horizontal="left"/>
      <protection hidden="1"/>
    </xf>
    <xf numFmtId="0" fontId="25" fillId="0" borderId="0" xfId="0" applyNumberFormat="1" applyFont="1" applyAlignment="1" applyProtection="1">
      <alignment horizontal="center"/>
      <protection hidden="1"/>
    </xf>
    <xf numFmtId="0" fontId="1" fillId="0" borderId="0" xfId="0" applyFont="1" applyAlignment="1" applyProtection="1">
      <alignment horizontal="justify"/>
      <protection hidden="1"/>
    </xf>
    <xf numFmtId="0" fontId="27" fillId="0" borderId="0" xfId="0" applyFont="1" applyAlignment="1" applyProtection="1">
      <alignment horizontal="left" wrapText="1"/>
      <protection hidden="1"/>
    </xf>
    <xf numFmtId="0" fontId="29" fillId="0" borderId="0" xfId="2" applyFont="1" applyAlignment="1" applyProtection="1">
      <alignment horizontal="right" wrapText="1"/>
      <protection hidden="1"/>
    </xf>
    <xf numFmtId="0" fontId="1" fillId="0" borderId="0" xfId="0" applyNumberFormat="1" applyFont="1" applyAlignment="1" applyProtection="1">
      <alignment horizontal="justify" wrapText="1"/>
      <protection hidden="1"/>
    </xf>
    <xf numFmtId="0" fontId="27" fillId="0" borderId="0" xfId="0" applyNumberFormat="1" applyFont="1" applyAlignment="1" applyProtection="1">
      <alignment horizontal="justify" wrapText="1"/>
      <protection hidden="1"/>
    </xf>
    <xf numFmtId="0" fontId="1" fillId="0" borderId="0" xfId="0" applyFont="1" applyAlignment="1" applyProtection="1">
      <alignment horizontal="justify" wrapText="1"/>
      <protection hidden="1"/>
    </xf>
    <xf numFmtId="0" fontId="26" fillId="0" borderId="0" xfId="0" applyFont="1" applyAlignment="1" applyProtection="1">
      <alignment horizontal="justify" wrapText="1"/>
      <protection hidden="1"/>
    </xf>
    <xf numFmtId="0" fontId="27" fillId="0" borderId="0" xfId="0" applyFont="1" applyAlignment="1" applyProtection="1">
      <alignment horizontal="justify" wrapText="1"/>
      <protection hidden="1"/>
    </xf>
    <xf numFmtId="0" fontId="27" fillId="0" borderId="0" xfId="0" applyFont="1" applyAlignment="1" applyProtection="1">
      <alignment horizontal="justify"/>
      <protection hidden="1"/>
    </xf>
    <xf numFmtId="0" fontId="1" fillId="0" borderId="0" xfId="0" applyFont="1" applyAlignment="1" applyProtection="1">
      <alignment wrapText="1"/>
      <protection hidden="1"/>
    </xf>
    <xf numFmtId="0" fontId="30" fillId="0" borderId="0" xfId="0" applyFont="1" applyAlignment="1" applyProtection="1">
      <alignment horizontal="justify" wrapText="1"/>
      <protection hidden="1"/>
    </xf>
    <xf numFmtId="0" fontId="31" fillId="0" borderId="0" xfId="0" applyFont="1" applyAlignment="1" applyProtection="1">
      <alignment horizontal="left" wrapText="1"/>
      <protection hidden="1"/>
    </xf>
    <xf numFmtId="0" fontId="28" fillId="0" borderId="0" xfId="2" applyFont="1" applyAlignment="1" applyProtection="1">
      <alignment horizontal="left" vertical="center" wrapText="1"/>
    </xf>
    <xf numFmtId="0" fontId="6" fillId="5" borderId="10" xfId="1" applyNumberFormat="1" applyFont="1" applyFill="1" applyBorder="1" applyAlignment="1" applyProtection="1">
      <alignment horizontal="left"/>
      <protection hidden="1"/>
    </xf>
    <xf numFmtId="0" fontId="6" fillId="5" borderId="11" xfId="1" applyNumberFormat="1" applyFont="1" applyFill="1" applyBorder="1" applyAlignment="1" applyProtection="1">
      <alignment horizontal="left"/>
      <protection hidden="1"/>
    </xf>
    <xf numFmtId="0" fontId="6" fillId="5" borderId="12" xfId="1" applyNumberFormat="1" applyFont="1" applyFill="1" applyBorder="1" applyAlignment="1" applyProtection="1">
      <alignment horizontal="left"/>
      <protection hidden="1"/>
    </xf>
    <xf numFmtId="0" fontId="5" fillId="6" borderId="10" xfId="0" applyFont="1" applyFill="1" applyBorder="1" applyAlignment="1" applyProtection="1">
      <alignment horizontal="center"/>
      <protection hidden="1"/>
    </xf>
    <xf numFmtId="0" fontId="5" fillId="6" borderId="11" xfId="0" applyFont="1" applyFill="1" applyBorder="1" applyAlignment="1" applyProtection="1">
      <alignment horizontal="center"/>
      <protection hidden="1"/>
    </xf>
    <xf numFmtId="0" fontId="5" fillId="6" borderId="12" xfId="0" applyFont="1" applyFill="1" applyBorder="1" applyAlignment="1" applyProtection="1">
      <alignment horizontal="center"/>
      <protection hidden="1"/>
    </xf>
  </cellXfs>
  <cellStyles count="4">
    <cellStyle name="Comma" xfId="1" builtinId="3"/>
    <cellStyle name="Hyperlink" xfId="2" builtinId="8"/>
    <cellStyle name="Normal" xfId="0" builtinId="0" customBuiltin="1"/>
    <cellStyle name="Percent" xfId="3" builtinId="5"/>
  </cellStyles>
  <dxfs count="2">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lor theme="0"/>
      </font>
      <fill>
        <patternFill>
          <bgColor rgb="FFFF6600"/>
        </patternFill>
      </fill>
      <border>
        <left style="thin">
          <color indexed="64"/>
        </left>
        <right style="thin">
          <color indexed="64"/>
        </right>
        <top style="thin">
          <color indexed="64"/>
        </top>
        <bottom style="thin">
          <color indexed="64"/>
        </bottom>
      </border>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excel-skills.com/macro.php?tempno=41"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weekly-cash-flow-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B8AF9460-088F-4356-AA74-1A8EBBA3C5BE}"/>
            </a:ext>
          </a:extLst>
        </xdr:cNvPr>
        <xdr:cNvGrpSpPr/>
      </xdr:nvGrpSpPr>
      <xdr:grpSpPr>
        <a:xfrm>
          <a:off x="22860" y="22860"/>
          <a:ext cx="9038640" cy="4391700"/>
          <a:chOff x="17134" y="17145"/>
          <a:chExt cx="9252000" cy="3671610"/>
        </a:xfrm>
      </xdr:grpSpPr>
      <xdr:sp macro="" textlink="" fLocksText="0">
        <xdr:nvSpPr>
          <xdr:cNvPr id="5" name="Rectangle 1">
            <a:extLst>
              <a:ext uri="{FF2B5EF4-FFF2-40B4-BE49-F238E27FC236}">
                <a16:creationId xmlns:a16="http://schemas.microsoft.com/office/drawing/2014/main" id="{858DA507-4772-4FD5-981B-0E0C255AEE68}"/>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How to activate our trial version</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Enable our 100% secure trial version macro to display the full version of the template. You should see a security warning message indicating that macros have been disabled - the trail version can be activated by enabling the macro content. Once you enable the macro, all the sheets included in the full version will be visible and you will be able to test the template features.</a:t>
            </a:r>
          </a:p>
          <a:p>
            <a:pPr marL="0" algn="just" rtl="0">
              <a:lnSpc>
                <a:spcPct val="100000"/>
              </a:lnSpc>
              <a:spcBef>
                <a:spcPts val="300"/>
              </a:spcBef>
              <a:spcAft>
                <a:spcPts val="300"/>
              </a:spcAft>
              <a:defRPr sz="1000"/>
            </a:pPr>
            <a:r>
              <a:rPr lang="en-US" sz="1200" b="1" i="0" u="none" strike="noStrike" baseline="0">
                <a:solidFill>
                  <a:srgbClr val="FFFFFF"/>
                </a:solidFill>
                <a:latin typeface="+mn-lt"/>
                <a:cs typeface="Arial" panose="020B0604020202020204" pitchFamily="34" charset="0"/>
              </a:rPr>
              <a:t>Trial version restrictions</a:t>
            </a:r>
          </a:p>
          <a:p>
            <a:pPr marL="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The trial version includes all the functionality of the full version but you cannot save the template or print any of the worksheets. You will also not be able to move or copy any of the worksheets. The aim of the trial version is to illustrate the functionality which is included in the full version and the trial can therefore only be used to try out the template functionality for one session at a time. We only use macros for the trial versions of our templates - none of the full versions of our templates contain any macros!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DA7B4CEC-B06C-4C43-B03E-A069A9331915}"/>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Go</a:t>
            </a:r>
            <a:r>
              <a:rPr lang="en-ZA" sz="1400" b="1" u="none" baseline="0">
                <a:solidFill>
                  <a:schemeClr val="bg1"/>
                </a:solidFill>
                <a:latin typeface="+mn-lt"/>
              </a:rPr>
              <a:t> to step-by-step macro instructions</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49D3EC1F-BD10-4826-B825-CCB66F3A96B2}"/>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F3B65718-F31C-491A-9C56-4B7AA4DD3456}"/>
            </a:ext>
          </a:extLst>
        </xdr:cNvPr>
        <xdr:cNvGrpSpPr/>
      </xdr:nvGrpSpPr>
      <xdr:grpSpPr>
        <a:xfrm>
          <a:off x="22860" y="22860"/>
          <a:ext cx="9038640" cy="4391700"/>
          <a:chOff x="17134" y="17145"/>
          <a:chExt cx="9252000" cy="3671610"/>
        </a:xfrm>
      </xdr:grpSpPr>
      <xdr:sp macro="" textlink="" fLocksText="0">
        <xdr:nvSpPr>
          <xdr:cNvPr id="5" name="Rectangle 1">
            <a:extLst>
              <a:ext uri="{FF2B5EF4-FFF2-40B4-BE49-F238E27FC236}">
                <a16:creationId xmlns:a16="http://schemas.microsoft.com/office/drawing/2014/main" id="{5931D6CB-82D3-4AC3-A4EA-05207DDF04DE}"/>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CASH FLOW PROJECTION - WEEKLY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unique template enables users to create weekly cash flow projections for any user defined 52 week period. The template includes a weekly income statement, cash flow statement and balance sheet with quarterly &amp; annual totals. The cash flow projections are based on weekly turnover, gross profit and expense values that are entered by the user as well as a number of default assumptions which are used to create an automated balance sheet. These assumptions include opening balance sheet balances, working capital ratios, payroll accruals, sales tax, income tax, dividends and loans.</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functionality!</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a trial version of the template created to enable you to try out the template functionality. You will not be able to save or print any of your changes. Get the full version for a fully unprotected version of the template where you have full access to all the template functionality.</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C50269E3-A40C-4952-AEB5-4CE61713F865}"/>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13556A29-7AF3-4B4D-8FB7-B0589DFB5639}"/>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5C7B70E2-7C14-4983-B2E2-2FE0CFE37BA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3.xml><?xml version="1.0" encoding="utf-8"?>
<xdr:wsDr xmlns:xdr="http://schemas.openxmlformats.org/drawingml/2006/spreadsheetDrawing" xmlns:a="http://schemas.openxmlformats.org/drawingml/2006/main">
  <xdr:oneCellAnchor>
    <xdr:from>
      <xdr:col>1</xdr:col>
      <xdr:colOff>320040</xdr:colOff>
      <xdr:row>4</xdr:row>
      <xdr:rowOff>256200</xdr:rowOff>
    </xdr:from>
    <xdr:ext cx="2758440" cy="1114490"/>
    <xdr:sp macro="" textlink="">
      <xdr:nvSpPr>
        <xdr:cNvPr id="10" name="Rectangle 17">
          <a:extLst>
            <a:ext uri="{FF2B5EF4-FFF2-40B4-BE49-F238E27FC236}">
              <a16:creationId xmlns:a16="http://schemas.microsoft.com/office/drawing/2014/main" id="{C00CF2A9-513E-4539-930C-7157C05C3588}"/>
            </a:ext>
          </a:extLst>
        </xdr:cNvPr>
        <xdr:cNvSpPr>
          <a:spLocks noChangeArrowheads="1"/>
        </xdr:cNvSpPr>
      </xdr:nvSpPr>
      <xdr:spPr bwMode="auto">
        <a:xfrm>
          <a:off x="7848600" y="1002960"/>
          <a:ext cx="275844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3</xdr:col>
      <xdr:colOff>120315</xdr:colOff>
      <xdr:row>4</xdr:row>
      <xdr:rowOff>80357</xdr:rowOff>
    </xdr:from>
    <xdr:ext cx="6392779" cy="1692982"/>
    <xdr:sp macro="" textlink="">
      <xdr:nvSpPr>
        <xdr:cNvPr id="3" name="Rectangle 17">
          <a:extLst>
            <a:ext uri="{FF2B5EF4-FFF2-40B4-BE49-F238E27FC236}">
              <a16:creationId xmlns:a16="http://schemas.microsoft.com/office/drawing/2014/main" id="{1E8E3882-262C-454D-8CB6-33D706EF9B0B}"/>
            </a:ext>
          </a:extLst>
        </xdr:cNvPr>
        <xdr:cNvSpPr>
          <a:spLocks noChangeArrowheads="1"/>
        </xdr:cNvSpPr>
      </xdr:nvSpPr>
      <xdr:spPr bwMode="auto">
        <a:xfrm>
          <a:off x="4026568" y="882462"/>
          <a:ext cx="6392779"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input values on this sheet are used to automate some of the weekly cash flow projection calculations. The reporting periods included on the weekly income statement, cash flow statement and balance sheet are determined based on the start date specified at the top of this sheet. Other assumptions on this sheet include inventory, trade receivables, trade payables, payroll accruals, sales tax, income tax, loan terms, balance sheet opening balances and dividends.</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3</xdr:col>
      <xdr:colOff>48127</xdr:colOff>
      <xdr:row>10</xdr:row>
      <xdr:rowOff>48417</xdr:rowOff>
    </xdr:from>
    <xdr:ext cx="6184232" cy="1885342"/>
    <xdr:sp macro="" textlink="">
      <xdr:nvSpPr>
        <xdr:cNvPr id="3" name="Rectangle 17">
          <a:extLst>
            <a:ext uri="{FF2B5EF4-FFF2-40B4-BE49-F238E27FC236}">
              <a16:creationId xmlns:a16="http://schemas.microsoft.com/office/drawing/2014/main" id="{E211120F-C798-4556-8944-2C11F16BE126}"/>
            </a:ext>
          </a:extLst>
        </xdr:cNvPr>
        <xdr:cNvSpPr>
          <a:spLocks noChangeArrowheads="1"/>
        </xdr:cNvSpPr>
      </xdr:nvSpPr>
      <xdr:spPr bwMode="auto">
        <a:xfrm>
          <a:off x="4211053" y="2085764"/>
          <a:ext cx="6184232"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 weekly income statement for a 52 week period. All the rows with yellow highlighting in column A require user input and all other rows are calculated automatically. Additional turnover &amp; expense rows can be added if required and the template is suitable for both service &amp; trade based businesses. The codes in column A apply to automated balance sheet calculations for sales tax, trade receivables and trade payables. The weekly reporting periods are determined based on the start date specified at the top of the “Assumptions” sheet.</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3</xdr:col>
      <xdr:colOff>80210</xdr:colOff>
      <xdr:row>9</xdr:row>
      <xdr:rowOff>40177</xdr:rowOff>
    </xdr:from>
    <xdr:ext cx="5895474" cy="1308261"/>
    <xdr:sp macro="" textlink="">
      <xdr:nvSpPr>
        <xdr:cNvPr id="3" name="Rectangle 17">
          <a:extLst>
            <a:ext uri="{FF2B5EF4-FFF2-40B4-BE49-F238E27FC236}">
              <a16:creationId xmlns:a16="http://schemas.microsoft.com/office/drawing/2014/main" id="{84EB5BAB-58E8-4F09-B5CF-B51F5698A910}"/>
            </a:ext>
          </a:extLst>
        </xdr:cNvPr>
        <xdr:cNvSpPr>
          <a:spLocks noChangeArrowheads="1"/>
        </xdr:cNvSpPr>
      </xdr:nvSpPr>
      <xdr:spPr bwMode="auto">
        <a:xfrm>
          <a:off x="3986463" y="1796788"/>
          <a:ext cx="5895474"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a weekly cash flow statement for a 52 week period. All the rows with yellow highlighting in column A require user input and all other rows are calculated automatically. The weekly reporting periods are determined based on the start date specified at the top of the “Assumptions” sheet.</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3</xdr:col>
      <xdr:colOff>40106</xdr:colOff>
      <xdr:row>11</xdr:row>
      <xdr:rowOff>144</xdr:rowOff>
    </xdr:from>
    <xdr:ext cx="5943600" cy="1500622"/>
    <xdr:sp macro="" textlink="">
      <xdr:nvSpPr>
        <xdr:cNvPr id="3" name="Rectangle 17">
          <a:extLst>
            <a:ext uri="{FF2B5EF4-FFF2-40B4-BE49-F238E27FC236}">
              <a16:creationId xmlns:a16="http://schemas.microsoft.com/office/drawing/2014/main" id="{DC7FAD62-F0C2-4A38-AAC8-F2397A202D24}"/>
            </a:ext>
          </a:extLst>
        </xdr:cNvPr>
        <xdr:cNvSpPr>
          <a:spLocks noChangeArrowheads="1"/>
        </xdr:cNvSpPr>
      </xdr:nvSpPr>
      <xdr:spPr bwMode="auto">
        <a:xfrm>
          <a:off x="3914274" y="2238018"/>
          <a:ext cx="5943600"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 weekly balance sheet for a 52 week period. All the calculations on this sheet are automated and no user input is required. The entire balance sheet is calculated based on the values on the weekly income statement and cash flow statement. The weekly reporting periods are determined based on the start date specified at the top of the “Assumptions” sheet.</a:t>
          </a: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oneCellAnchor>
    <xdr:from>
      <xdr:col>1</xdr:col>
      <xdr:colOff>938463</xdr:colOff>
      <xdr:row>10</xdr:row>
      <xdr:rowOff>40396</xdr:rowOff>
    </xdr:from>
    <xdr:ext cx="6553200" cy="1885342"/>
    <xdr:sp macro="" textlink="">
      <xdr:nvSpPr>
        <xdr:cNvPr id="3" name="Rectangle 17">
          <a:extLst>
            <a:ext uri="{FF2B5EF4-FFF2-40B4-BE49-F238E27FC236}">
              <a16:creationId xmlns:a16="http://schemas.microsoft.com/office/drawing/2014/main" id="{AECB8537-D7C7-446E-855A-09C9CDE51FBA}"/>
            </a:ext>
          </a:extLst>
        </xdr:cNvPr>
        <xdr:cNvSpPr>
          <a:spLocks noChangeArrowheads="1"/>
        </xdr:cNvSpPr>
      </xdr:nvSpPr>
      <xdr:spPr bwMode="auto">
        <a:xfrm>
          <a:off x="2013284" y="2165975"/>
          <a:ext cx="6553200"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is the first of four amortization tables calculated based on the balance sheet opening balances and loan terms specified in the template assumptions as well as the additional loan amounts entered on the weekly cash flow statement. The interest charges and capital repayment amounts of each amortization table are automatically included on the weekly income statement and cash flow statement. No user input is required on these sheets. The template therefore accommodates automated loan calculations based on four different sets of loan repayment terms.</a:t>
          </a:r>
        </a:p>
      </xdr:txBody>
    </xdr:sp>
    <xdr:clientData fLocksWithSheet="0" fPrintsWithSheet="0"/>
  </xdr:one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excel-skills.com/"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abSelected="1" workbookViewId="0">
      <selection activeCell="B2" sqref="B2"/>
    </sheetView>
  </sheetViews>
  <sheetFormatPr defaultColWidth="8.85546875" defaultRowHeight="16.5" x14ac:dyDescent="0.3"/>
  <cols>
    <col min="1" max="14" width="15.7109375" style="1" customWidth="1"/>
    <col min="15" max="16384" width="8.85546875" style="1"/>
  </cols>
  <sheetData/>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M165"/>
  <sheetViews>
    <sheetView zoomScale="95" workbookViewId="0">
      <pane ySplit="8" topLeftCell="A9" activePane="bottomLeft" state="frozen"/>
      <selection pane="bottomLeft" activeCell="A8" sqref="A8"/>
    </sheetView>
  </sheetViews>
  <sheetFormatPr defaultColWidth="9.140625" defaultRowHeight="16.149999999999999" customHeight="1" x14ac:dyDescent="0.25"/>
  <cols>
    <col min="1" max="1" width="15.7109375" style="142" customWidth="1"/>
    <col min="2" max="2" width="15.7109375" style="150" customWidth="1"/>
    <col min="3" max="8" width="13.7109375" style="16" customWidth="1"/>
    <col min="9" max="9" width="13.7109375" style="132" customWidth="1"/>
    <col min="10" max="13" width="15.7109375" style="16" customWidth="1"/>
    <col min="14" max="18" width="15.7109375" style="5" customWidth="1"/>
    <col min="19" max="16384" width="9.140625" style="5"/>
  </cols>
  <sheetData>
    <row r="1" spans="1:13" ht="16.149999999999999" customHeight="1" x14ac:dyDescent="0.25">
      <c r="A1" s="162" t="str">
        <f>IF(ISBLANK(Assumptions!$C$4),"Example Limited",Assumptions!$C$4)</f>
        <v>Example (Pty) Limited</v>
      </c>
      <c r="B1" s="131"/>
      <c r="D1" s="3"/>
      <c r="H1" s="89"/>
    </row>
    <row r="2" spans="1:13" ht="16.149999999999999" customHeight="1" x14ac:dyDescent="0.25">
      <c r="A2" s="133" t="s">
        <v>178</v>
      </c>
      <c r="B2" s="134"/>
    </row>
    <row r="3" spans="1:13" ht="16.149999999999999" customHeight="1" x14ac:dyDescent="0.25">
      <c r="A3" s="133"/>
      <c r="B3" s="134"/>
    </row>
    <row r="4" spans="1:13" ht="16.149999999999999" customHeight="1" x14ac:dyDescent="0.25">
      <c r="A4" s="135" t="s">
        <v>33</v>
      </c>
      <c r="B4" s="136">
        <f>Assumptions!$E$76</f>
        <v>0.125</v>
      </c>
      <c r="D4" s="137"/>
    </row>
    <row r="5" spans="1:13" ht="16.149999999999999" customHeight="1" x14ac:dyDescent="0.25">
      <c r="A5" s="138" t="s">
        <v>38</v>
      </c>
      <c r="B5" s="139">
        <f>Assumptions!$E$77</f>
        <v>5</v>
      </c>
      <c r="D5" s="140"/>
    </row>
    <row r="6" spans="1:13" ht="16.149999999999999" customHeight="1" x14ac:dyDescent="0.25">
      <c r="A6" s="138" t="s">
        <v>39</v>
      </c>
      <c r="B6" s="139" t="str">
        <f>Assumptions!$E$78</f>
        <v>No</v>
      </c>
      <c r="D6" s="141"/>
    </row>
    <row r="7" spans="1:13" ht="16.149999999999999" customHeight="1" x14ac:dyDescent="0.25">
      <c r="B7" s="143" t="s">
        <v>50</v>
      </c>
    </row>
    <row r="8" spans="1:13" s="149" customFormat="1" ht="25.5" x14ac:dyDescent="0.25">
      <c r="A8" s="144" t="s">
        <v>85</v>
      </c>
      <c r="B8" s="145" t="s">
        <v>84</v>
      </c>
      <c r="C8" s="146" t="s">
        <v>43</v>
      </c>
      <c r="D8" s="146" t="s">
        <v>278</v>
      </c>
      <c r="E8" s="146" t="s">
        <v>42</v>
      </c>
      <c r="F8" s="146" t="s">
        <v>279</v>
      </c>
      <c r="G8" s="146" t="s">
        <v>49</v>
      </c>
      <c r="H8" s="146" t="s">
        <v>44</v>
      </c>
      <c r="I8" s="147" t="s">
        <v>87</v>
      </c>
      <c r="J8" s="148"/>
      <c r="K8" s="148"/>
      <c r="L8" s="148"/>
      <c r="M8" s="148"/>
    </row>
    <row r="9" spans="1:13" s="100" customFormat="1" ht="16.149999999999999" customHeight="1" x14ac:dyDescent="0.25">
      <c r="A9" s="135">
        <f ca="1">IF(ISBLANK(Assumptions!$C$5)=TRUE,DATE(YEAR(TODAY()),MONTH(TODAY()),1),DATE(YEAR(Assumptions!$C$5),MONTH(Assumptions!$C$5),DAY(Assumptions!$C$5)))</f>
        <v>44256</v>
      </c>
      <c r="B9" s="150">
        <f ca="1">IF(Assumptions!$E$79&gt;=DAY($A$9),DATE(YEAR(A9),MONTH(A9),IF(AND(MONTH($A$9)=2,Assumptions!$E$79&gt;28),28,Assumptions!$E$79)),DATE(YEAR(A9),MONTH(A9)+1,IF(AND(MONTH($A$9)=2,Assumptions!$E$79&gt;28),28,Assumptions!$E$79)))</f>
        <v>44256</v>
      </c>
      <c r="C9" s="151">
        <v>0</v>
      </c>
      <c r="D9" s="151">
        <f ca="1">-SUMIF(Assumptions!$A$81:$C$104,"LT3",Assumptions!$C$81:$C$104)</f>
        <v>0</v>
      </c>
      <c r="E9" s="151">
        <v>0</v>
      </c>
      <c r="F9" s="151">
        <v>0</v>
      </c>
      <c r="G9" s="152">
        <f t="shared" ref="G9:G61" si="0">IF($B$6="Yes",0,E9-F9)</f>
        <v>0</v>
      </c>
      <c r="H9" s="153">
        <f ca="1">IF(ROUND(SUM(C9:D9,-G9),0)=0,0,IF($B$6="Yes",SUM($D$9:D9),SUM(C9:D9,-G9)))</f>
        <v>0</v>
      </c>
      <c r="I9" s="132" t="str">
        <f>"-"</f>
        <v>-</v>
      </c>
      <c r="J9" s="151"/>
      <c r="K9" s="151"/>
      <c r="L9" s="151"/>
      <c r="M9" s="151"/>
    </row>
    <row r="10" spans="1:13" s="100" customFormat="1" ht="16.149999999999999" customHeight="1" x14ac:dyDescent="0.25">
      <c r="A10" s="135">
        <f ca="1">IF(ISBLANK(Assumptions!$C$5)=TRUE,DATE(YEAR(TODAY()),MONTH(TODAY()),7),DATE(YEAR(Assumptions!$C$5),MONTH(Assumptions!$C$5),DAY(Assumptions!$C$5)+6))</f>
        <v>44262</v>
      </c>
      <c r="B10" s="150">
        <f ca="1">IF(AND(B9&gt;A9,B9&lt;=A10),B9,DATE(YEAR(A10),MONTH(A10),IF(AND(MONTH(A10)=2,Assumptions!$E$79&gt;28),28,Assumptions!$E$79)))</f>
        <v>44256</v>
      </c>
      <c r="C10" s="151">
        <f ca="1">H9</f>
        <v>0</v>
      </c>
      <c r="D10" s="151">
        <f ca="1">IF(ISNA(MATCH($A10,Months,0))=TRUE,0,OFFSET(CashFlow!$B$37,0,MATCH($A10,Months,0),1,1))</f>
        <v>0</v>
      </c>
      <c r="E10" s="152">
        <f ca="1">IF(AND(B10&gt;A9,B10&lt;=A10),IF($B$6="Yes",0,IF(ROW(D10)-ROW($D$9)&gt;$B$5*52,-PMT($B$4/12,$B$5*12,SUM(OFFSET(D10,0,0,-$B$5*12,1)),0,0),-PMT($B$4/12,$B$5*12,SUM(OFFSET(D10,0,0,ROW($D$8)-ROW(D10),1)),0,0))),0)</f>
        <v>0</v>
      </c>
      <c r="F10" s="152">
        <f ca="1">IF(AND(B10&gt;A9,B10&lt;=A10),(H9+D10)*$B$4/12,0)</f>
        <v>0</v>
      </c>
      <c r="G10" s="152">
        <f t="shared" ca="1" si="0"/>
        <v>0</v>
      </c>
      <c r="H10" s="153">
        <f ca="1">IF(ROUND(SUM(C10:D10,-G10),0)=0,0,IF($B$6="Yes",SUM($D$9:D10),SUM(C10:D10,-G10)))</f>
        <v>0</v>
      </c>
      <c r="I10" s="154" t="str">
        <f ca="1">IF(E10&gt;0,MAX(I$9:I9)+1,"-")</f>
        <v>-</v>
      </c>
      <c r="J10" s="151"/>
      <c r="K10" s="151"/>
      <c r="L10" s="151"/>
      <c r="M10" s="151"/>
    </row>
    <row r="11" spans="1:13" s="100" customFormat="1" ht="16.149999999999999" customHeight="1" x14ac:dyDescent="0.25">
      <c r="A11" s="135">
        <f ca="1">DATE(YEAR(A10),MONTH(A10),DAY(A10)+7)</f>
        <v>44269</v>
      </c>
      <c r="B11" s="150">
        <f ca="1">IF(AND(B10&gt;A10,B10&lt;=A11),B10,DATE(YEAR(A11),MONTH(A11),IF(AND(MONTH(A11)=2,Assumptions!$E$79&gt;28),28,Assumptions!$E$79)))</f>
        <v>44256</v>
      </c>
      <c r="C11" s="151">
        <f t="shared" ref="C11:C61" ca="1" si="1">H10</f>
        <v>0</v>
      </c>
      <c r="D11" s="151">
        <f ca="1">IF(ISNA(MATCH($A11,Months,0))=TRUE,0,OFFSET(CashFlow!$B$37,0,MATCH($A11,Months,0),1,1))</f>
        <v>0</v>
      </c>
      <c r="E11" s="152">
        <f t="shared" ref="E11:E61" ca="1" si="2">IF(AND(B11&gt;A10,B11&lt;=A11),IF($B$6="Yes",0,IF(ROW(D11)-ROW($D$9)&gt;$B$5*52,-PMT($B$4/12,$B$5*12,SUM(OFFSET(D11,0,0,-$B$5*12,1)),0,0),-PMT($B$4/12,$B$5*12,SUM(OFFSET(D11,0,0,ROW($D$8)-ROW(D11),1)),0,0))),0)</f>
        <v>0</v>
      </c>
      <c r="F11" s="152">
        <f t="shared" ref="F11:F61" ca="1" si="3">IF(AND(B11&gt;A10,B11&lt;=A11),(H10+D11)*$B$4/12,0)</f>
        <v>0</v>
      </c>
      <c r="G11" s="152">
        <f t="shared" ca="1" si="0"/>
        <v>0</v>
      </c>
      <c r="H11" s="153">
        <f ca="1">IF(ROUND(SUM(C11:D11,-G11),0)=0,0,IF($B$6="Yes",SUM($D$9:D11),SUM(C11:D11,-G11)))</f>
        <v>0</v>
      </c>
      <c r="I11" s="154" t="str">
        <f ca="1">IF(E11&gt;0,MAX(I$9:I10)+1,"-")</f>
        <v>-</v>
      </c>
      <c r="J11" s="151"/>
      <c r="K11" s="151"/>
      <c r="L11" s="151"/>
      <c r="M11" s="151"/>
    </row>
    <row r="12" spans="1:13" s="100" customFormat="1" ht="16.149999999999999" customHeight="1" x14ac:dyDescent="0.25">
      <c r="A12" s="135">
        <f t="shared" ref="A12:A61" ca="1" si="4">DATE(YEAR(A11),MONTH(A11),DAY(A11)+7)</f>
        <v>44276</v>
      </c>
      <c r="B12" s="150">
        <f ca="1">IF(AND(B11&gt;A11,B11&lt;=A12),B11,DATE(YEAR(A12),MONTH(A12),IF(AND(MONTH(A12)=2,Assumptions!$E$79&gt;28),28,Assumptions!$E$79)))</f>
        <v>44256</v>
      </c>
      <c r="C12" s="151">
        <f t="shared" ca="1" si="1"/>
        <v>0</v>
      </c>
      <c r="D12" s="151">
        <f ca="1">IF(ISNA(MATCH($A12,Months,0))=TRUE,0,OFFSET(CashFlow!$B$37,0,MATCH($A12,Months,0),1,1))</f>
        <v>0</v>
      </c>
      <c r="E12" s="152">
        <f t="shared" ca="1" si="2"/>
        <v>0</v>
      </c>
      <c r="F12" s="152">
        <f t="shared" ca="1" si="3"/>
        <v>0</v>
      </c>
      <c r="G12" s="152">
        <f t="shared" ca="1" si="0"/>
        <v>0</v>
      </c>
      <c r="H12" s="153">
        <f ca="1">IF(ROUND(SUM(C12:D12,-G12),0)=0,0,IF($B$6="Yes",SUM($D$9:D12),SUM(C12:D12,-G12)))</f>
        <v>0</v>
      </c>
      <c r="I12" s="154" t="str">
        <f ca="1">IF(E12&gt;0,MAX(I$9:I11)+1,"-")</f>
        <v>-</v>
      </c>
      <c r="J12" s="151"/>
      <c r="K12" s="151"/>
      <c r="L12" s="151"/>
      <c r="M12" s="151"/>
    </row>
    <row r="13" spans="1:13" s="100" customFormat="1" ht="16.149999999999999" customHeight="1" x14ac:dyDescent="0.25">
      <c r="A13" s="135">
        <f t="shared" ca="1" si="4"/>
        <v>44283</v>
      </c>
      <c r="B13" s="150">
        <f ca="1">IF(AND(B12&gt;A12,B12&lt;=A13),B12,DATE(YEAR(A13),MONTH(A13),IF(AND(MONTH(A13)=2,Assumptions!$E$79&gt;28),28,Assumptions!$E$79)))</f>
        <v>44256</v>
      </c>
      <c r="C13" s="151">
        <f t="shared" ca="1" si="1"/>
        <v>0</v>
      </c>
      <c r="D13" s="151">
        <f ca="1">IF(ISNA(MATCH($A13,Months,0))=TRUE,0,OFFSET(CashFlow!$B$37,0,MATCH($A13,Months,0),1,1))</f>
        <v>0</v>
      </c>
      <c r="E13" s="152">
        <f t="shared" ca="1" si="2"/>
        <v>0</v>
      </c>
      <c r="F13" s="152">
        <f t="shared" ca="1" si="3"/>
        <v>0</v>
      </c>
      <c r="G13" s="152">
        <f t="shared" ca="1" si="0"/>
        <v>0</v>
      </c>
      <c r="H13" s="153">
        <f ca="1">IF(ROUND(SUM(C13:D13,-G13),0)=0,0,IF($B$6="Yes",SUM($D$9:D13),SUM(C13:D13,-G13)))</f>
        <v>0</v>
      </c>
      <c r="I13" s="154" t="str">
        <f ca="1">IF(E13&gt;0,MAX(I$9:I12)+1,"-")</f>
        <v>-</v>
      </c>
      <c r="J13" s="151"/>
      <c r="K13" s="151"/>
      <c r="L13" s="151"/>
      <c r="M13" s="151"/>
    </row>
    <row r="14" spans="1:13" s="100" customFormat="1" ht="16.149999999999999" customHeight="1" x14ac:dyDescent="0.25">
      <c r="A14" s="135">
        <f t="shared" ca="1" si="4"/>
        <v>44290</v>
      </c>
      <c r="B14" s="150">
        <f ca="1">IF(AND(B13&gt;A13,B13&lt;=A14),B13,DATE(YEAR(A14),MONTH(A14),IF(AND(MONTH(A14)=2,Assumptions!$E$79&gt;28),28,Assumptions!$E$79)))</f>
        <v>44287</v>
      </c>
      <c r="C14" s="151">
        <f t="shared" ca="1" si="1"/>
        <v>0</v>
      </c>
      <c r="D14" s="151">
        <f ca="1">IF(ISNA(MATCH($A14,Months,0))=TRUE,0,OFFSET(CashFlow!$B$37,0,MATCH($A14,Months,0),1,1))</f>
        <v>0</v>
      </c>
      <c r="E14" s="152">
        <f t="shared" ca="1" si="2"/>
        <v>0</v>
      </c>
      <c r="F14" s="152">
        <f t="shared" ca="1" si="3"/>
        <v>0</v>
      </c>
      <c r="G14" s="152">
        <f t="shared" ca="1" si="0"/>
        <v>0</v>
      </c>
      <c r="H14" s="153">
        <f ca="1">IF(ROUND(SUM(C14:D14,-G14),0)=0,0,IF($B$6="Yes",SUM($D$9:D14),SUM(C14:D14,-G14)))</f>
        <v>0</v>
      </c>
      <c r="I14" s="154" t="str">
        <f ca="1">IF(E14&gt;0,MAX(I$9:I13)+1,"-")</f>
        <v>-</v>
      </c>
      <c r="J14" s="151"/>
      <c r="K14" s="151"/>
      <c r="L14" s="151"/>
      <c r="M14" s="151"/>
    </row>
    <row r="15" spans="1:13" s="100" customFormat="1" ht="16.149999999999999" customHeight="1" x14ac:dyDescent="0.25">
      <c r="A15" s="135">
        <f t="shared" ca="1" si="4"/>
        <v>44297</v>
      </c>
      <c r="B15" s="150">
        <f ca="1">IF(AND(B14&gt;A14,B14&lt;=A15),B14,DATE(YEAR(A15),MONTH(A15),IF(AND(MONTH(A15)=2,Assumptions!$E$79&gt;28),28,Assumptions!$E$79)))</f>
        <v>44287</v>
      </c>
      <c r="C15" s="151">
        <f t="shared" ca="1" si="1"/>
        <v>0</v>
      </c>
      <c r="D15" s="151">
        <f ca="1">IF(ISNA(MATCH($A15,Months,0))=TRUE,0,OFFSET(CashFlow!$B$37,0,MATCH($A15,Months,0),1,1))</f>
        <v>0</v>
      </c>
      <c r="E15" s="152">
        <f t="shared" ca="1" si="2"/>
        <v>0</v>
      </c>
      <c r="F15" s="152">
        <f t="shared" ca="1" si="3"/>
        <v>0</v>
      </c>
      <c r="G15" s="152">
        <f t="shared" ca="1" si="0"/>
        <v>0</v>
      </c>
      <c r="H15" s="153">
        <f ca="1">IF(ROUND(SUM(C15:D15,-G15),0)=0,0,IF($B$6="Yes",SUM($D$9:D15),SUM(C15:D15,-G15)))</f>
        <v>0</v>
      </c>
      <c r="I15" s="154" t="str">
        <f ca="1">IF(E15&gt;0,MAX(I$9:I14)+1,"-")</f>
        <v>-</v>
      </c>
      <c r="J15" s="151"/>
      <c r="K15" s="151"/>
      <c r="L15" s="151"/>
      <c r="M15" s="151"/>
    </row>
    <row r="16" spans="1:13" s="100" customFormat="1" ht="16.149999999999999" customHeight="1" x14ac:dyDescent="0.25">
      <c r="A16" s="135">
        <f t="shared" ca="1" si="4"/>
        <v>44304</v>
      </c>
      <c r="B16" s="150">
        <f ca="1">IF(AND(B15&gt;A15,B15&lt;=A16),B15,DATE(YEAR(A16),MONTH(A16),IF(AND(MONTH(A16)=2,Assumptions!$E$79&gt;28),28,Assumptions!$E$79)))</f>
        <v>44287</v>
      </c>
      <c r="C16" s="151">
        <f t="shared" ca="1" si="1"/>
        <v>0</v>
      </c>
      <c r="D16" s="151">
        <f ca="1">IF(ISNA(MATCH($A16,Months,0))=TRUE,0,OFFSET(CashFlow!$B$37,0,MATCH($A16,Months,0),1,1))</f>
        <v>0</v>
      </c>
      <c r="E16" s="152">
        <f t="shared" ca="1" si="2"/>
        <v>0</v>
      </c>
      <c r="F16" s="152">
        <f t="shared" ca="1" si="3"/>
        <v>0</v>
      </c>
      <c r="G16" s="152">
        <f t="shared" ca="1" si="0"/>
        <v>0</v>
      </c>
      <c r="H16" s="153">
        <f ca="1">IF(ROUND(SUM(C16:D16,-G16),0)=0,0,IF($B$6="Yes",SUM($D$9:D16),SUM(C16:D16,-G16)))</f>
        <v>0</v>
      </c>
      <c r="I16" s="154" t="str">
        <f ca="1">IF(E16&gt;0,MAX(I$9:I15)+1,"-")</f>
        <v>-</v>
      </c>
      <c r="J16" s="151"/>
      <c r="K16" s="151"/>
      <c r="L16" s="151"/>
      <c r="M16" s="151"/>
    </row>
    <row r="17" spans="1:13" s="100" customFormat="1" ht="16.149999999999999" customHeight="1" x14ac:dyDescent="0.25">
      <c r="A17" s="135">
        <f t="shared" ca="1" si="4"/>
        <v>44311</v>
      </c>
      <c r="B17" s="150">
        <f ca="1">IF(AND(B16&gt;A16,B16&lt;=A17),B16,DATE(YEAR(A17),MONTH(A17),IF(AND(MONTH(A17)=2,Assumptions!$E$79&gt;28),28,Assumptions!$E$79)))</f>
        <v>44287</v>
      </c>
      <c r="C17" s="151">
        <f t="shared" ca="1" si="1"/>
        <v>0</v>
      </c>
      <c r="D17" s="151">
        <f ca="1">IF(ISNA(MATCH($A17,Months,0))=TRUE,0,OFFSET(CashFlow!$B$37,0,MATCH($A17,Months,0),1,1))</f>
        <v>0</v>
      </c>
      <c r="E17" s="152">
        <f t="shared" ca="1" si="2"/>
        <v>0</v>
      </c>
      <c r="F17" s="152">
        <f t="shared" ca="1" si="3"/>
        <v>0</v>
      </c>
      <c r="G17" s="152">
        <f t="shared" ca="1" si="0"/>
        <v>0</v>
      </c>
      <c r="H17" s="153">
        <f ca="1">IF(ROUND(SUM(C17:D17,-G17),0)=0,0,IF($B$6="Yes",SUM($D$9:D17),SUM(C17:D17,-G17)))</f>
        <v>0</v>
      </c>
      <c r="I17" s="154" t="str">
        <f ca="1">IF(E17&gt;0,MAX(I$9:I16)+1,"-")</f>
        <v>-</v>
      </c>
      <c r="J17" s="151"/>
      <c r="K17" s="151"/>
      <c r="L17" s="151"/>
      <c r="M17" s="151"/>
    </row>
    <row r="18" spans="1:13" s="100" customFormat="1" ht="16.149999999999999" customHeight="1" x14ac:dyDescent="0.25">
      <c r="A18" s="135">
        <f t="shared" ca="1" si="4"/>
        <v>44318</v>
      </c>
      <c r="B18" s="150">
        <f ca="1">IF(AND(B17&gt;A17,B17&lt;=A18),B17,DATE(YEAR(A18),MONTH(A18),IF(AND(MONTH(A18)=2,Assumptions!$E$79&gt;28),28,Assumptions!$E$79)))</f>
        <v>44317</v>
      </c>
      <c r="C18" s="151">
        <f t="shared" ca="1" si="1"/>
        <v>0</v>
      </c>
      <c r="D18" s="151">
        <f ca="1">IF(ISNA(MATCH($A18,Months,0))=TRUE,0,OFFSET(CashFlow!$B$37,0,MATCH($A18,Months,0),1,1))</f>
        <v>0</v>
      </c>
      <c r="E18" s="152">
        <f t="shared" ca="1" si="2"/>
        <v>0</v>
      </c>
      <c r="F18" s="152">
        <f t="shared" ca="1" si="3"/>
        <v>0</v>
      </c>
      <c r="G18" s="152">
        <f t="shared" ca="1" si="0"/>
        <v>0</v>
      </c>
      <c r="H18" s="153">
        <f ca="1">IF(ROUND(SUM(C18:D18,-G18),0)=0,0,IF($B$6="Yes",SUM($D$9:D18),SUM(C18:D18,-G18)))</f>
        <v>0</v>
      </c>
      <c r="I18" s="154" t="str">
        <f ca="1">IF(E18&gt;0,MAX(I$9:I17)+1,"-")</f>
        <v>-</v>
      </c>
      <c r="J18" s="151"/>
      <c r="K18" s="151"/>
      <c r="L18" s="151"/>
      <c r="M18" s="151"/>
    </row>
    <row r="19" spans="1:13" s="100" customFormat="1" ht="16.149999999999999" customHeight="1" x14ac:dyDescent="0.25">
      <c r="A19" s="135">
        <f t="shared" ca="1" si="4"/>
        <v>44325</v>
      </c>
      <c r="B19" s="150">
        <f ca="1">IF(AND(B18&gt;A18,B18&lt;=A19),B18,DATE(YEAR(A19),MONTH(A19),IF(AND(MONTH(A19)=2,Assumptions!$E$79&gt;28),28,Assumptions!$E$79)))</f>
        <v>44317</v>
      </c>
      <c r="C19" s="151">
        <f t="shared" ca="1" si="1"/>
        <v>0</v>
      </c>
      <c r="D19" s="151">
        <f ca="1">IF(ISNA(MATCH($A19,Months,0))=TRUE,0,OFFSET(CashFlow!$B$37,0,MATCH($A19,Months,0),1,1))</f>
        <v>0</v>
      </c>
      <c r="E19" s="152">
        <f t="shared" ca="1" si="2"/>
        <v>0</v>
      </c>
      <c r="F19" s="152">
        <f t="shared" ca="1" si="3"/>
        <v>0</v>
      </c>
      <c r="G19" s="152">
        <f t="shared" ca="1" si="0"/>
        <v>0</v>
      </c>
      <c r="H19" s="153">
        <f ca="1">IF(ROUND(SUM(C19:D19,-G19),0)=0,0,IF($B$6="Yes",SUM($D$9:D19),SUM(C19:D19,-G19)))</f>
        <v>0</v>
      </c>
      <c r="I19" s="154" t="str">
        <f ca="1">IF(E19&gt;0,MAX(I$9:I18)+1,"-")</f>
        <v>-</v>
      </c>
      <c r="J19" s="151"/>
      <c r="K19" s="151"/>
      <c r="L19" s="151"/>
      <c r="M19" s="151"/>
    </row>
    <row r="20" spans="1:13" ht="16.149999999999999" customHeight="1" x14ac:dyDescent="0.25">
      <c r="A20" s="135">
        <f t="shared" ca="1" si="4"/>
        <v>44332</v>
      </c>
      <c r="B20" s="150">
        <f ca="1">IF(AND(B19&gt;A19,B19&lt;=A20),B19,DATE(YEAR(A20),MONTH(A20),IF(AND(MONTH(A20)=2,Assumptions!$E$79&gt;28),28,Assumptions!$E$79)))</f>
        <v>44317</v>
      </c>
      <c r="C20" s="151">
        <f t="shared" ca="1" si="1"/>
        <v>0</v>
      </c>
      <c r="D20" s="151">
        <f ca="1">IF(ISNA(MATCH($A20,Months,0))=TRUE,0,OFFSET(CashFlow!$B$37,0,MATCH($A20,Months,0),1,1))</f>
        <v>0</v>
      </c>
      <c r="E20" s="152">
        <f t="shared" ca="1" si="2"/>
        <v>0</v>
      </c>
      <c r="F20" s="152">
        <f t="shared" ca="1" si="3"/>
        <v>0</v>
      </c>
      <c r="G20" s="152">
        <f t="shared" ca="1" si="0"/>
        <v>0</v>
      </c>
      <c r="H20" s="153">
        <f ca="1">IF(ROUND(SUM(C20:D20,-G20),0)=0,0,IF($B$6="Yes",SUM($D$9:D20),SUM(C20:D20,-G20)))</f>
        <v>0</v>
      </c>
      <c r="I20" s="154" t="str">
        <f ca="1">IF(E20&gt;0,MAX(I$9:I19)+1,"-")</f>
        <v>-</v>
      </c>
    </row>
    <row r="21" spans="1:13" ht="16.149999999999999" customHeight="1" x14ac:dyDescent="0.25">
      <c r="A21" s="135">
        <f t="shared" ca="1" si="4"/>
        <v>44339</v>
      </c>
      <c r="B21" s="150">
        <f ca="1">IF(AND(B20&gt;A20,B20&lt;=A21),B20,DATE(YEAR(A21),MONTH(A21),IF(AND(MONTH(A21)=2,Assumptions!$E$79&gt;28),28,Assumptions!$E$79)))</f>
        <v>44317</v>
      </c>
      <c r="C21" s="151">
        <f t="shared" ca="1" si="1"/>
        <v>0</v>
      </c>
      <c r="D21" s="151">
        <f ca="1">IF(ISNA(MATCH($A21,Months,0))=TRUE,0,OFFSET(CashFlow!$B$37,0,MATCH($A21,Months,0),1,1))</f>
        <v>0</v>
      </c>
      <c r="E21" s="152">
        <f t="shared" ca="1" si="2"/>
        <v>0</v>
      </c>
      <c r="F21" s="152">
        <f t="shared" ca="1" si="3"/>
        <v>0</v>
      </c>
      <c r="G21" s="152">
        <f t="shared" ca="1" si="0"/>
        <v>0</v>
      </c>
      <c r="H21" s="153">
        <f ca="1">IF(ROUND(SUM(C21:D21,-G21),0)=0,0,IF($B$6="Yes",SUM($D$9:D21),SUM(C21:D21,-G21)))</f>
        <v>0</v>
      </c>
      <c r="I21" s="154" t="str">
        <f ca="1">IF(E21&gt;0,MAX(I$9:I20)+1,"-")</f>
        <v>-</v>
      </c>
    </row>
    <row r="22" spans="1:13" ht="16.149999999999999" customHeight="1" x14ac:dyDescent="0.25">
      <c r="A22" s="135">
        <f t="shared" ca="1" si="4"/>
        <v>44346</v>
      </c>
      <c r="B22" s="150">
        <f ca="1">IF(AND(B21&gt;A21,B21&lt;=A22),B21,DATE(YEAR(A22),MONTH(A22),IF(AND(MONTH(A22)=2,Assumptions!$E$79&gt;28),28,Assumptions!$E$79)))</f>
        <v>44317</v>
      </c>
      <c r="C22" s="151">
        <f t="shared" ca="1" si="1"/>
        <v>0</v>
      </c>
      <c r="D22" s="151">
        <f ca="1">IF(ISNA(MATCH($A22,Months,0))=TRUE,0,OFFSET(CashFlow!$B$37,0,MATCH($A22,Months,0),1,1))</f>
        <v>0</v>
      </c>
      <c r="E22" s="152">
        <f t="shared" ca="1" si="2"/>
        <v>0</v>
      </c>
      <c r="F22" s="152">
        <f t="shared" ca="1" si="3"/>
        <v>0</v>
      </c>
      <c r="G22" s="152">
        <f t="shared" ca="1" si="0"/>
        <v>0</v>
      </c>
      <c r="H22" s="153">
        <f ca="1">IF(ROUND(SUM(C22:D22,-G22),0)=0,0,IF($B$6="Yes",SUM($D$9:D22),SUM(C22:D22,-G22)))</f>
        <v>0</v>
      </c>
      <c r="I22" s="154" t="str">
        <f ca="1">IF(E22&gt;0,MAX(I$9:I21)+1,"-")</f>
        <v>-</v>
      </c>
    </row>
    <row r="23" spans="1:13" s="156" customFormat="1" ht="16.149999999999999" customHeight="1" x14ac:dyDescent="0.25">
      <c r="A23" s="135">
        <f t="shared" ca="1" si="4"/>
        <v>44353</v>
      </c>
      <c r="B23" s="150">
        <f ca="1">IF(AND(B22&gt;A22,B22&lt;=A23),B22,DATE(YEAR(A23),MONTH(A23),IF(AND(MONTH(A23)=2,Assumptions!$E$79&gt;28),28,Assumptions!$E$79)))</f>
        <v>44348</v>
      </c>
      <c r="C23" s="151">
        <f t="shared" ca="1" si="1"/>
        <v>0</v>
      </c>
      <c r="D23" s="151">
        <f ca="1">IF(ISNA(MATCH($A23,Months,0))=TRUE,0,OFFSET(CashFlow!$B$37,0,MATCH($A23,Months,0),1,1))</f>
        <v>0</v>
      </c>
      <c r="E23" s="152">
        <f t="shared" ca="1" si="2"/>
        <v>0</v>
      </c>
      <c r="F23" s="152">
        <f t="shared" ca="1" si="3"/>
        <v>0</v>
      </c>
      <c r="G23" s="152">
        <f t="shared" ca="1" si="0"/>
        <v>0</v>
      </c>
      <c r="H23" s="153">
        <f ca="1">IF(ROUND(SUM(C23:D23,-G23),0)=0,0,IF($B$6="Yes",SUM($D$9:D23),SUM(C23:D23,-G23)))</f>
        <v>0</v>
      </c>
      <c r="I23" s="154" t="str">
        <f ca="1">IF(E23&gt;0,MAX(I$9:I22)+1,"-")</f>
        <v>-</v>
      </c>
      <c r="J23" s="155"/>
      <c r="K23" s="155"/>
      <c r="L23" s="155"/>
      <c r="M23" s="155"/>
    </row>
    <row r="24" spans="1:13" ht="16.149999999999999" customHeight="1" x14ac:dyDescent="0.25">
      <c r="A24" s="135">
        <f t="shared" ca="1" si="4"/>
        <v>44360</v>
      </c>
      <c r="B24" s="150">
        <f ca="1">IF(AND(B23&gt;A23,B23&lt;=A24),B23,DATE(YEAR(A24),MONTH(A24),IF(AND(MONTH(A24)=2,Assumptions!$E$79&gt;28),28,Assumptions!$E$79)))</f>
        <v>44348</v>
      </c>
      <c r="C24" s="151">
        <f t="shared" ca="1" si="1"/>
        <v>0</v>
      </c>
      <c r="D24" s="151">
        <f ca="1">IF(ISNA(MATCH($A24,Months,0))=TRUE,0,OFFSET(CashFlow!$B$37,0,MATCH($A24,Months,0),1,1))</f>
        <v>0</v>
      </c>
      <c r="E24" s="152">
        <f t="shared" ca="1" si="2"/>
        <v>0</v>
      </c>
      <c r="F24" s="152">
        <f t="shared" ca="1" si="3"/>
        <v>0</v>
      </c>
      <c r="G24" s="152">
        <f t="shared" ca="1" si="0"/>
        <v>0</v>
      </c>
      <c r="H24" s="153">
        <f ca="1">IF(ROUND(SUM(C24:D24,-G24),0)=0,0,IF($B$6="Yes",SUM($D$9:D24),SUM(C24:D24,-G24)))</f>
        <v>0</v>
      </c>
      <c r="I24" s="154" t="str">
        <f ca="1">IF(E24&gt;0,MAX(I$9:I23)+1,"-")</f>
        <v>-</v>
      </c>
    </row>
    <row r="25" spans="1:13" ht="16.149999999999999" customHeight="1" x14ac:dyDescent="0.25">
      <c r="A25" s="135">
        <f t="shared" ca="1" si="4"/>
        <v>44367</v>
      </c>
      <c r="B25" s="150">
        <f ca="1">IF(AND(B24&gt;A24,B24&lt;=A25),B24,DATE(YEAR(A25),MONTH(A25),IF(AND(MONTH(A25)=2,Assumptions!$E$79&gt;28),28,Assumptions!$E$79)))</f>
        <v>44348</v>
      </c>
      <c r="C25" s="151">
        <f t="shared" ca="1" si="1"/>
        <v>0</v>
      </c>
      <c r="D25" s="151">
        <f ca="1">IF(ISNA(MATCH($A25,Months,0))=TRUE,0,OFFSET(CashFlow!$B$37,0,MATCH($A25,Months,0),1,1))</f>
        <v>0</v>
      </c>
      <c r="E25" s="152">
        <f t="shared" ca="1" si="2"/>
        <v>0</v>
      </c>
      <c r="F25" s="152">
        <f t="shared" ca="1" si="3"/>
        <v>0</v>
      </c>
      <c r="G25" s="152">
        <f t="shared" ca="1" si="0"/>
        <v>0</v>
      </c>
      <c r="H25" s="153">
        <f ca="1">IF(ROUND(SUM(C25:D25,-G25),0)=0,0,IF($B$6="Yes",SUM($D$9:D25),SUM(C25:D25,-G25)))</f>
        <v>0</v>
      </c>
      <c r="I25" s="154" t="str">
        <f ca="1">IF(E25&gt;0,MAX(I$9:I24)+1,"-")</f>
        <v>-</v>
      </c>
    </row>
    <row r="26" spans="1:13" ht="16.149999999999999" customHeight="1" x14ac:dyDescent="0.25">
      <c r="A26" s="135">
        <f t="shared" ca="1" si="4"/>
        <v>44374</v>
      </c>
      <c r="B26" s="150">
        <f ca="1">IF(AND(B25&gt;A25,B25&lt;=A26),B25,DATE(YEAR(A26),MONTH(A26),IF(AND(MONTH(A26)=2,Assumptions!$E$79&gt;28),28,Assumptions!$E$79)))</f>
        <v>44348</v>
      </c>
      <c r="C26" s="151">
        <f t="shared" ca="1" si="1"/>
        <v>0</v>
      </c>
      <c r="D26" s="151">
        <f ca="1">IF(ISNA(MATCH($A26,Months,0))=TRUE,0,OFFSET(CashFlow!$B$37,0,MATCH($A26,Months,0),1,1))</f>
        <v>0</v>
      </c>
      <c r="E26" s="152">
        <f t="shared" ca="1" si="2"/>
        <v>0</v>
      </c>
      <c r="F26" s="152">
        <f t="shared" ca="1" si="3"/>
        <v>0</v>
      </c>
      <c r="G26" s="152">
        <f t="shared" ca="1" si="0"/>
        <v>0</v>
      </c>
      <c r="H26" s="153">
        <f ca="1">IF(ROUND(SUM(C26:D26,-G26),0)=0,0,IF($B$6="Yes",SUM($D$9:D26),SUM(C26:D26,-G26)))</f>
        <v>0</v>
      </c>
      <c r="I26" s="154" t="str">
        <f ca="1">IF(E26&gt;0,MAX(I$9:I25)+1,"-")</f>
        <v>-</v>
      </c>
    </row>
    <row r="27" spans="1:13" ht="16.149999999999999" customHeight="1" x14ac:dyDescent="0.25">
      <c r="A27" s="135">
        <f t="shared" ca="1" si="4"/>
        <v>44381</v>
      </c>
      <c r="B27" s="150">
        <f ca="1">IF(AND(B26&gt;A26,B26&lt;=A27),B26,DATE(YEAR(A27),MONTH(A27),IF(AND(MONTH(A27)=2,Assumptions!$E$79&gt;28),28,Assumptions!$E$79)))</f>
        <v>44378</v>
      </c>
      <c r="C27" s="151">
        <f t="shared" ca="1" si="1"/>
        <v>0</v>
      </c>
      <c r="D27" s="151">
        <f ca="1">IF(ISNA(MATCH($A27,Months,0))=TRUE,0,OFFSET(CashFlow!$B$37,0,MATCH($A27,Months,0),1,1))</f>
        <v>0</v>
      </c>
      <c r="E27" s="152">
        <f t="shared" ca="1" si="2"/>
        <v>0</v>
      </c>
      <c r="F27" s="152">
        <f t="shared" ca="1" si="3"/>
        <v>0</v>
      </c>
      <c r="G27" s="152">
        <f t="shared" ca="1" si="0"/>
        <v>0</v>
      </c>
      <c r="H27" s="153">
        <f ca="1">IF(ROUND(SUM(C27:D27,-G27),0)=0,0,IF($B$6="Yes",SUM($D$9:D27),SUM(C27:D27,-G27)))</f>
        <v>0</v>
      </c>
      <c r="I27" s="154" t="str">
        <f ca="1">IF(E27&gt;0,MAX(I$9:I26)+1,"-")</f>
        <v>-</v>
      </c>
    </row>
    <row r="28" spans="1:13" ht="16.149999999999999" customHeight="1" x14ac:dyDescent="0.25">
      <c r="A28" s="135">
        <f t="shared" ca="1" si="4"/>
        <v>44388</v>
      </c>
      <c r="B28" s="150">
        <f ca="1">IF(AND(B27&gt;A27,B27&lt;=A28),B27,DATE(YEAR(A28),MONTH(A28),IF(AND(MONTH(A28)=2,Assumptions!$E$79&gt;28),28,Assumptions!$E$79)))</f>
        <v>44378</v>
      </c>
      <c r="C28" s="151">
        <f t="shared" ca="1" si="1"/>
        <v>0</v>
      </c>
      <c r="D28" s="151">
        <f ca="1">IF(ISNA(MATCH($A28,Months,0))=TRUE,0,OFFSET(CashFlow!$B$37,0,MATCH($A28,Months,0),1,1))</f>
        <v>0</v>
      </c>
      <c r="E28" s="152">
        <f t="shared" ca="1" si="2"/>
        <v>0</v>
      </c>
      <c r="F28" s="152">
        <f t="shared" ca="1" si="3"/>
        <v>0</v>
      </c>
      <c r="G28" s="152">
        <f t="shared" ca="1" si="0"/>
        <v>0</v>
      </c>
      <c r="H28" s="153">
        <f ca="1">IF(ROUND(SUM(C28:D28,-G28),0)=0,0,IF($B$6="Yes",SUM($D$9:D28),SUM(C28:D28,-G28)))</f>
        <v>0</v>
      </c>
      <c r="I28" s="154" t="str">
        <f ca="1">IF(E28&gt;0,MAX(I$9:I27)+1,"-")</f>
        <v>-</v>
      </c>
    </row>
    <row r="29" spans="1:13" ht="16.149999999999999" customHeight="1" x14ac:dyDescent="0.25">
      <c r="A29" s="135">
        <f t="shared" ca="1" si="4"/>
        <v>44395</v>
      </c>
      <c r="B29" s="150">
        <f ca="1">IF(AND(B28&gt;A28,B28&lt;=A29),B28,DATE(YEAR(A29),MONTH(A29),IF(AND(MONTH(A29)=2,Assumptions!$E$79&gt;28),28,Assumptions!$E$79)))</f>
        <v>44378</v>
      </c>
      <c r="C29" s="151">
        <f t="shared" ca="1" si="1"/>
        <v>0</v>
      </c>
      <c r="D29" s="151">
        <f ca="1">IF(ISNA(MATCH($A29,Months,0))=TRUE,0,OFFSET(CashFlow!$B$37,0,MATCH($A29,Months,0),1,1))</f>
        <v>0</v>
      </c>
      <c r="E29" s="152">
        <f t="shared" ca="1" si="2"/>
        <v>0</v>
      </c>
      <c r="F29" s="152">
        <f t="shared" ca="1" si="3"/>
        <v>0</v>
      </c>
      <c r="G29" s="152">
        <f t="shared" ca="1" si="0"/>
        <v>0</v>
      </c>
      <c r="H29" s="153">
        <f ca="1">IF(ROUND(SUM(C29:D29,-G29),0)=0,0,IF($B$6="Yes",SUM($D$9:D29),SUM(C29:D29,-G29)))</f>
        <v>0</v>
      </c>
      <c r="I29" s="154" t="str">
        <f ca="1">IF(E29&gt;0,MAX(I$9:I28)+1,"-")</f>
        <v>-</v>
      </c>
    </row>
    <row r="30" spans="1:13" ht="16.149999999999999" customHeight="1" x14ac:dyDescent="0.25">
      <c r="A30" s="135">
        <f t="shared" ca="1" si="4"/>
        <v>44402</v>
      </c>
      <c r="B30" s="150">
        <f ca="1">IF(AND(B29&gt;A29,B29&lt;=A30),B29,DATE(YEAR(A30),MONTH(A30),IF(AND(MONTH(A30)=2,Assumptions!$E$79&gt;28),28,Assumptions!$E$79)))</f>
        <v>44378</v>
      </c>
      <c r="C30" s="151">
        <f t="shared" ca="1" si="1"/>
        <v>0</v>
      </c>
      <c r="D30" s="151">
        <f ca="1">IF(ISNA(MATCH($A30,Months,0))=TRUE,0,OFFSET(CashFlow!$B$37,0,MATCH($A30,Months,0),1,1))</f>
        <v>0</v>
      </c>
      <c r="E30" s="152">
        <f t="shared" ca="1" si="2"/>
        <v>0</v>
      </c>
      <c r="F30" s="152">
        <f t="shared" ca="1" si="3"/>
        <v>0</v>
      </c>
      <c r="G30" s="152">
        <f t="shared" ca="1" si="0"/>
        <v>0</v>
      </c>
      <c r="H30" s="153">
        <f ca="1">IF(ROUND(SUM(C30:D30,-G30),0)=0,0,IF($B$6="Yes",SUM($D$9:D30),SUM(C30:D30,-G30)))</f>
        <v>0</v>
      </c>
      <c r="I30" s="154" t="str">
        <f ca="1">IF(E30&gt;0,MAX(I$9:I29)+1,"-")</f>
        <v>-</v>
      </c>
    </row>
    <row r="31" spans="1:13" ht="16.149999999999999" customHeight="1" x14ac:dyDescent="0.25">
      <c r="A31" s="135">
        <f t="shared" ca="1" si="4"/>
        <v>44409</v>
      </c>
      <c r="B31" s="150">
        <f ca="1">IF(AND(B30&gt;A30,B30&lt;=A31),B30,DATE(YEAR(A31),MONTH(A31),IF(AND(MONTH(A31)=2,Assumptions!$E$79&gt;28),28,Assumptions!$E$79)))</f>
        <v>44409</v>
      </c>
      <c r="C31" s="151">
        <f t="shared" ca="1" si="1"/>
        <v>0</v>
      </c>
      <c r="D31" s="151">
        <f ca="1">IF(ISNA(MATCH($A31,Months,0))=TRUE,0,OFFSET(CashFlow!$B$37,0,MATCH($A31,Months,0),1,1))</f>
        <v>0</v>
      </c>
      <c r="E31" s="152">
        <f t="shared" ca="1" si="2"/>
        <v>0</v>
      </c>
      <c r="F31" s="152">
        <f t="shared" ca="1" si="3"/>
        <v>0</v>
      </c>
      <c r="G31" s="152">
        <f t="shared" ca="1" si="0"/>
        <v>0</v>
      </c>
      <c r="H31" s="153">
        <f ca="1">IF(ROUND(SUM(C31:D31,-G31),0)=0,0,IF($B$6="Yes",SUM($D$9:D31),SUM(C31:D31,-G31)))</f>
        <v>0</v>
      </c>
      <c r="I31" s="154" t="str">
        <f ca="1">IF(E31&gt;0,MAX(I$9:I30)+1,"-")</f>
        <v>-</v>
      </c>
    </row>
    <row r="32" spans="1:13" ht="16.149999999999999" customHeight="1" x14ac:dyDescent="0.25">
      <c r="A32" s="135">
        <f t="shared" ca="1" si="4"/>
        <v>44416</v>
      </c>
      <c r="B32" s="150">
        <f ca="1">IF(AND(B31&gt;A31,B31&lt;=A32),B31,DATE(YEAR(A32),MONTH(A32),IF(AND(MONTH(A32)=2,Assumptions!$E$79&gt;28),28,Assumptions!$E$79)))</f>
        <v>44409</v>
      </c>
      <c r="C32" s="151">
        <f t="shared" ca="1" si="1"/>
        <v>0</v>
      </c>
      <c r="D32" s="151">
        <f ca="1">IF(ISNA(MATCH($A32,Months,0))=TRUE,0,OFFSET(CashFlow!$B$37,0,MATCH($A32,Months,0),1,1))</f>
        <v>0</v>
      </c>
      <c r="E32" s="152">
        <f t="shared" ca="1" si="2"/>
        <v>0</v>
      </c>
      <c r="F32" s="152">
        <f t="shared" ca="1" si="3"/>
        <v>0</v>
      </c>
      <c r="G32" s="152">
        <f t="shared" ca="1" si="0"/>
        <v>0</v>
      </c>
      <c r="H32" s="153">
        <f ca="1">IF(ROUND(SUM(C32:D32,-G32),0)=0,0,IF($B$6="Yes",SUM($D$9:D32),SUM(C32:D32,-G32)))</f>
        <v>0</v>
      </c>
      <c r="I32" s="154" t="str">
        <f ca="1">IF(E32&gt;0,MAX(I$9:I31)+1,"-")</f>
        <v>-</v>
      </c>
    </row>
    <row r="33" spans="1:9" ht="16.149999999999999" customHeight="1" x14ac:dyDescent="0.25">
      <c r="A33" s="135">
        <f t="shared" ca="1" si="4"/>
        <v>44423</v>
      </c>
      <c r="B33" s="150">
        <f ca="1">IF(AND(B32&gt;A32,B32&lt;=A33),B32,DATE(YEAR(A33),MONTH(A33),IF(AND(MONTH(A33)=2,Assumptions!$E$79&gt;28),28,Assumptions!$E$79)))</f>
        <v>44409</v>
      </c>
      <c r="C33" s="151">
        <f t="shared" ca="1" si="1"/>
        <v>0</v>
      </c>
      <c r="D33" s="151">
        <f ca="1">IF(ISNA(MATCH($A33,Months,0))=TRUE,0,OFFSET(CashFlow!$B$37,0,MATCH($A33,Months,0),1,1))</f>
        <v>0</v>
      </c>
      <c r="E33" s="152">
        <f t="shared" ca="1" si="2"/>
        <v>0</v>
      </c>
      <c r="F33" s="152">
        <f t="shared" ca="1" si="3"/>
        <v>0</v>
      </c>
      <c r="G33" s="152">
        <f t="shared" ca="1" si="0"/>
        <v>0</v>
      </c>
      <c r="H33" s="153">
        <f ca="1">IF(ROUND(SUM(C33:D33,-G33),0)=0,0,IF($B$6="Yes",SUM($D$9:D33),SUM(C33:D33,-G33)))</f>
        <v>0</v>
      </c>
      <c r="I33" s="154" t="str">
        <f ca="1">IF(E33&gt;0,MAX(I$9:I32)+1,"-")</f>
        <v>-</v>
      </c>
    </row>
    <row r="34" spans="1:9" ht="16.149999999999999" customHeight="1" x14ac:dyDescent="0.25">
      <c r="A34" s="135">
        <f t="shared" ca="1" si="4"/>
        <v>44430</v>
      </c>
      <c r="B34" s="150">
        <f ca="1">IF(AND(B33&gt;A33,B33&lt;=A34),B33,DATE(YEAR(A34),MONTH(A34),IF(AND(MONTH(A34)=2,Assumptions!$E$79&gt;28),28,Assumptions!$E$79)))</f>
        <v>44409</v>
      </c>
      <c r="C34" s="151">
        <f t="shared" ca="1" si="1"/>
        <v>0</v>
      </c>
      <c r="D34" s="151">
        <f ca="1">IF(ISNA(MATCH($A34,Months,0))=TRUE,0,OFFSET(CashFlow!$B$37,0,MATCH($A34,Months,0),1,1))</f>
        <v>0</v>
      </c>
      <c r="E34" s="152">
        <f t="shared" ca="1" si="2"/>
        <v>0</v>
      </c>
      <c r="F34" s="152">
        <f t="shared" ca="1" si="3"/>
        <v>0</v>
      </c>
      <c r="G34" s="152">
        <f t="shared" ca="1" si="0"/>
        <v>0</v>
      </c>
      <c r="H34" s="153">
        <f ca="1">IF(ROUND(SUM(C34:D34,-G34),0)=0,0,IF($B$6="Yes",SUM($D$9:D34),SUM(C34:D34,-G34)))</f>
        <v>0</v>
      </c>
      <c r="I34" s="154" t="str">
        <f ca="1">IF(E34&gt;0,MAX(I$9:I33)+1,"-")</f>
        <v>-</v>
      </c>
    </row>
    <row r="35" spans="1:9" ht="16.149999999999999" customHeight="1" x14ac:dyDescent="0.25">
      <c r="A35" s="135">
        <f t="shared" ca="1" si="4"/>
        <v>44437</v>
      </c>
      <c r="B35" s="150">
        <f ca="1">IF(AND(B34&gt;A34,B34&lt;=A35),B34,DATE(YEAR(A35),MONTH(A35),IF(AND(MONTH(A35)=2,Assumptions!$E$79&gt;28),28,Assumptions!$E$79)))</f>
        <v>44409</v>
      </c>
      <c r="C35" s="151">
        <f t="shared" ca="1" si="1"/>
        <v>0</v>
      </c>
      <c r="D35" s="151">
        <f ca="1">IF(ISNA(MATCH($A35,Months,0))=TRUE,0,OFFSET(CashFlow!$B$37,0,MATCH($A35,Months,0),1,1))</f>
        <v>0</v>
      </c>
      <c r="E35" s="152">
        <f t="shared" ca="1" si="2"/>
        <v>0</v>
      </c>
      <c r="F35" s="152">
        <f t="shared" ca="1" si="3"/>
        <v>0</v>
      </c>
      <c r="G35" s="152">
        <f t="shared" ca="1" si="0"/>
        <v>0</v>
      </c>
      <c r="H35" s="153">
        <f ca="1">IF(ROUND(SUM(C35:D35,-G35),0)=0,0,IF($B$6="Yes",SUM($D$9:D35),SUM(C35:D35,-G35)))</f>
        <v>0</v>
      </c>
      <c r="I35" s="154" t="str">
        <f ca="1">IF(E35&gt;0,MAX(I$9:I34)+1,"-")</f>
        <v>-</v>
      </c>
    </row>
    <row r="36" spans="1:9" ht="16.149999999999999" customHeight="1" x14ac:dyDescent="0.25">
      <c r="A36" s="135">
        <f t="shared" ca="1" si="4"/>
        <v>44444</v>
      </c>
      <c r="B36" s="150">
        <f ca="1">IF(AND(B35&gt;A35,B35&lt;=A36),B35,DATE(YEAR(A36),MONTH(A36),IF(AND(MONTH(A36)=2,Assumptions!$E$79&gt;28),28,Assumptions!$E$79)))</f>
        <v>44440</v>
      </c>
      <c r="C36" s="151">
        <f t="shared" ca="1" si="1"/>
        <v>0</v>
      </c>
      <c r="D36" s="151">
        <f ca="1">IF(ISNA(MATCH($A36,Months,0))=TRUE,0,OFFSET(CashFlow!$B$37,0,MATCH($A36,Months,0),1,1))</f>
        <v>0</v>
      </c>
      <c r="E36" s="152">
        <f t="shared" ca="1" si="2"/>
        <v>0</v>
      </c>
      <c r="F36" s="152">
        <f t="shared" ca="1" si="3"/>
        <v>0</v>
      </c>
      <c r="G36" s="152">
        <f t="shared" ca="1" si="0"/>
        <v>0</v>
      </c>
      <c r="H36" s="153">
        <f ca="1">IF(ROUND(SUM(C36:D36,-G36),0)=0,0,IF($B$6="Yes",SUM($D$9:D36),SUM(C36:D36,-G36)))</f>
        <v>0</v>
      </c>
      <c r="I36" s="154" t="str">
        <f ca="1">IF(E36&gt;0,MAX(I$9:I35)+1,"-")</f>
        <v>-</v>
      </c>
    </row>
    <row r="37" spans="1:9" ht="16.149999999999999" customHeight="1" x14ac:dyDescent="0.25">
      <c r="A37" s="135">
        <f t="shared" ca="1" si="4"/>
        <v>44451</v>
      </c>
      <c r="B37" s="150">
        <f ca="1">IF(AND(B36&gt;A36,B36&lt;=A37),B36,DATE(YEAR(A37),MONTH(A37),IF(AND(MONTH(A37)=2,Assumptions!$E$79&gt;28),28,Assumptions!$E$79)))</f>
        <v>44440</v>
      </c>
      <c r="C37" s="151">
        <f t="shared" ca="1" si="1"/>
        <v>0</v>
      </c>
      <c r="D37" s="151">
        <f ca="1">IF(ISNA(MATCH($A37,Months,0))=TRUE,0,OFFSET(CashFlow!$B$37,0,MATCH($A37,Months,0),1,1))</f>
        <v>0</v>
      </c>
      <c r="E37" s="152">
        <f t="shared" ca="1" si="2"/>
        <v>0</v>
      </c>
      <c r="F37" s="152">
        <f t="shared" ca="1" si="3"/>
        <v>0</v>
      </c>
      <c r="G37" s="152">
        <f t="shared" ca="1" si="0"/>
        <v>0</v>
      </c>
      <c r="H37" s="153">
        <f ca="1">IF(ROUND(SUM(C37:D37,-G37),0)=0,0,IF($B$6="Yes",SUM($D$9:D37),SUM(C37:D37,-G37)))</f>
        <v>0</v>
      </c>
      <c r="I37" s="154" t="str">
        <f ca="1">IF(E37&gt;0,MAX(I$9:I36)+1,"-")</f>
        <v>-</v>
      </c>
    </row>
    <row r="38" spans="1:9" ht="16.149999999999999" customHeight="1" x14ac:dyDescent="0.25">
      <c r="A38" s="135">
        <f t="shared" ca="1" si="4"/>
        <v>44458</v>
      </c>
      <c r="B38" s="150">
        <f ca="1">IF(AND(B37&gt;A37,B37&lt;=A38),B37,DATE(YEAR(A38),MONTH(A38),IF(AND(MONTH(A38)=2,Assumptions!$E$79&gt;28),28,Assumptions!$E$79)))</f>
        <v>44440</v>
      </c>
      <c r="C38" s="151">
        <f t="shared" ca="1" si="1"/>
        <v>0</v>
      </c>
      <c r="D38" s="151">
        <f ca="1">IF(ISNA(MATCH($A38,Months,0))=TRUE,0,OFFSET(CashFlow!$B$37,0,MATCH($A38,Months,0),1,1))</f>
        <v>0</v>
      </c>
      <c r="E38" s="152">
        <f t="shared" ca="1" si="2"/>
        <v>0</v>
      </c>
      <c r="F38" s="152">
        <f t="shared" ca="1" si="3"/>
        <v>0</v>
      </c>
      <c r="G38" s="152">
        <f t="shared" ca="1" si="0"/>
        <v>0</v>
      </c>
      <c r="H38" s="153">
        <f ca="1">IF(ROUND(SUM(C38:D38,-G38),0)=0,0,IF($B$6="Yes",SUM($D$9:D38),SUM(C38:D38,-G38)))</f>
        <v>0</v>
      </c>
      <c r="I38" s="154" t="str">
        <f ca="1">IF(E38&gt;0,MAX(I$9:I37)+1,"-")</f>
        <v>-</v>
      </c>
    </row>
    <row r="39" spans="1:9" ht="16.149999999999999" customHeight="1" x14ac:dyDescent="0.25">
      <c r="A39" s="135">
        <f t="shared" ca="1" si="4"/>
        <v>44465</v>
      </c>
      <c r="B39" s="150">
        <f ca="1">IF(AND(B38&gt;A38,B38&lt;=A39),B38,DATE(YEAR(A39),MONTH(A39),IF(AND(MONTH(A39)=2,Assumptions!$E$79&gt;28),28,Assumptions!$E$79)))</f>
        <v>44440</v>
      </c>
      <c r="C39" s="151">
        <f t="shared" ca="1" si="1"/>
        <v>0</v>
      </c>
      <c r="D39" s="151">
        <f ca="1">IF(ISNA(MATCH($A39,Months,0))=TRUE,0,OFFSET(CashFlow!$B$37,0,MATCH($A39,Months,0),1,1))</f>
        <v>0</v>
      </c>
      <c r="E39" s="152">
        <f t="shared" ca="1" si="2"/>
        <v>0</v>
      </c>
      <c r="F39" s="152">
        <f t="shared" ca="1" si="3"/>
        <v>0</v>
      </c>
      <c r="G39" s="152">
        <f t="shared" ca="1" si="0"/>
        <v>0</v>
      </c>
      <c r="H39" s="153">
        <f ca="1">IF(ROUND(SUM(C39:D39,-G39),0)=0,0,IF($B$6="Yes",SUM($D$9:D39),SUM(C39:D39,-G39)))</f>
        <v>0</v>
      </c>
      <c r="I39" s="154" t="str">
        <f ca="1">IF(E39&gt;0,MAX(I$9:I38)+1,"-")</f>
        <v>-</v>
      </c>
    </row>
    <row r="40" spans="1:9" ht="16.149999999999999" customHeight="1" x14ac:dyDescent="0.25">
      <c r="A40" s="135">
        <f t="shared" ca="1" si="4"/>
        <v>44472</v>
      </c>
      <c r="B40" s="150">
        <f ca="1">IF(AND(B39&gt;A39,B39&lt;=A40),B39,DATE(YEAR(A40),MONTH(A40),IF(AND(MONTH(A40)=2,Assumptions!$E$79&gt;28),28,Assumptions!$E$79)))</f>
        <v>44470</v>
      </c>
      <c r="C40" s="151">
        <f t="shared" ca="1" si="1"/>
        <v>0</v>
      </c>
      <c r="D40" s="151">
        <f ca="1">IF(ISNA(MATCH($A40,Months,0))=TRUE,0,OFFSET(CashFlow!$B$37,0,MATCH($A40,Months,0),1,1))</f>
        <v>0</v>
      </c>
      <c r="E40" s="152">
        <f t="shared" ca="1" si="2"/>
        <v>0</v>
      </c>
      <c r="F40" s="152">
        <f t="shared" ca="1" si="3"/>
        <v>0</v>
      </c>
      <c r="G40" s="152">
        <f t="shared" ca="1" si="0"/>
        <v>0</v>
      </c>
      <c r="H40" s="153">
        <f ca="1">IF(ROUND(SUM(C40:D40,-G40),0)=0,0,IF($B$6="Yes",SUM($D$9:D40),SUM(C40:D40,-G40)))</f>
        <v>0</v>
      </c>
      <c r="I40" s="154" t="str">
        <f ca="1">IF(E40&gt;0,MAX(I$9:I39)+1,"-")</f>
        <v>-</v>
      </c>
    </row>
    <row r="41" spans="1:9" ht="16.149999999999999" customHeight="1" x14ac:dyDescent="0.25">
      <c r="A41" s="135">
        <f t="shared" ca="1" si="4"/>
        <v>44479</v>
      </c>
      <c r="B41" s="150">
        <f ca="1">IF(AND(B40&gt;A40,B40&lt;=A41),B40,DATE(YEAR(A41),MONTH(A41),IF(AND(MONTH(A41)=2,Assumptions!$E$79&gt;28),28,Assumptions!$E$79)))</f>
        <v>44470</v>
      </c>
      <c r="C41" s="151">
        <f t="shared" ca="1" si="1"/>
        <v>0</v>
      </c>
      <c r="D41" s="151">
        <f ca="1">IF(ISNA(MATCH($A41,Months,0))=TRUE,0,OFFSET(CashFlow!$B$37,0,MATCH($A41,Months,0),1,1))</f>
        <v>0</v>
      </c>
      <c r="E41" s="152">
        <f t="shared" ca="1" si="2"/>
        <v>0</v>
      </c>
      <c r="F41" s="152">
        <f t="shared" ca="1" si="3"/>
        <v>0</v>
      </c>
      <c r="G41" s="152">
        <f t="shared" ca="1" si="0"/>
        <v>0</v>
      </c>
      <c r="H41" s="153">
        <f ca="1">IF(ROUND(SUM(C41:D41,-G41),0)=0,0,IF($B$6="Yes",SUM($D$9:D41),SUM(C41:D41,-G41)))</f>
        <v>0</v>
      </c>
      <c r="I41" s="154" t="str">
        <f ca="1">IF(E41&gt;0,MAX(I$9:I40)+1,"-")</f>
        <v>-</v>
      </c>
    </row>
    <row r="42" spans="1:9" ht="16.149999999999999" customHeight="1" x14ac:dyDescent="0.25">
      <c r="A42" s="135">
        <f t="shared" ca="1" si="4"/>
        <v>44486</v>
      </c>
      <c r="B42" s="150">
        <f ca="1">IF(AND(B41&gt;A41,B41&lt;=A42),B41,DATE(YEAR(A42),MONTH(A42),IF(AND(MONTH(A42)=2,Assumptions!$E$79&gt;28),28,Assumptions!$E$79)))</f>
        <v>44470</v>
      </c>
      <c r="C42" s="151">
        <f t="shared" ca="1" si="1"/>
        <v>0</v>
      </c>
      <c r="D42" s="151">
        <f ca="1">IF(ISNA(MATCH($A42,Months,0))=TRUE,0,OFFSET(CashFlow!$B$37,0,MATCH($A42,Months,0),1,1))</f>
        <v>0</v>
      </c>
      <c r="E42" s="152">
        <f t="shared" ca="1" si="2"/>
        <v>0</v>
      </c>
      <c r="F42" s="152">
        <f t="shared" ca="1" si="3"/>
        <v>0</v>
      </c>
      <c r="G42" s="152">
        <f t="shared" ca="1" si="0"/>
        <v>0</v>
      </c>
      <c r="H42" s="153">
        <f ca="1">IF(ROUND(SUM(C42:D42,-G42),0)=0,0,IF($B$6="Yes",SUM($D$9:D42),SUM(C42:D42,-G42)))</f>
        <v>0</v>
      </c>
      <c r="I42" s="154" t="str">
        <f ca="1">IF(E42&gt;0,MAX(I$9:I41)+1,"-")</f>
        <v>-</v>
      </c>
    </row>
    <row r="43" spans="1:9" ht="16.149999999999999" customHeight="1" x14ac:dyDescent="0.25">
      <c r="A43" s="135">
        <f t="shared" ca="1" si="4"/>
        <v>44493</v>
      </c>
      <c r="B43" s="150">
        <f ca="1">IF(AND(B42&gt;A42,B42&lt;=A43),B42,DATE(YEAR(A43),MONTH(A43),IF(AND(MONTH(A43)=2,Assumptions!$E$79&gt;28),28,Assumptions!$E$79)))</f>
        <v>44470</v>
      </c>
      <c r="C43" s="151">
        <f t="shared" ca="1" si="1"/>
        <v>0</v>
      </c>
      <c r="D43" s="151">
        <f ca="1">IF(ISNA(MATCH($A43,Months,0))=TRUE,0,OFFSET(CashFlow!$B$37,0,MATCH($A43,Months,0),1,1))</f>
        <v>0</v>
      </c>
      <c r="E43" s="152">
        <f t="shared" ca="1" si="2"/>
        <v>0</v>
      </c>
      <c r="F43" s="152">
        <f t="shared" ca="1" si="3"/>
        <v>0</v>
      </c>
      <c r="G43" s="152">
        <f t="shared" ca="1" si="0"/>
        <v>0</v>
      </c>
      <c r="H43" s="153">
        <f ca="1">IF(ROUND(SUM(C43:D43,-G43),0)=0,0,IF($B$6="Yes",SUM($D$9:D43),SUM(C43:D43,-G43)))</f>
        <v>0</v>
      </c>
      <c r="I43" s="154" t="str">
        <f ca="1">IF(E43&gt;0,MAX(I$9:I42)+1,"-")</f>
        <v>-</v>
      </c>
    </row>
    <row r="44" spans="1:9" ht="16.149999999999999" customHeight="1" x14ac:dyDescent="0.25">
      <c r="A44" s="135">
        <f t="shared" ca="1" si="4"/>
        <v>44500</v>
      </c>
      <c r="B44" s="150">
        <f ca="1">IF(AND(B43&gt;A43,B43&lt;=A44),B43,DATE(YEAR(A44),MONTH(A44),IF(AND(MONTH(A44)=2,Assumptions!$E$79&gt;28),28,Assumptions!$E$79)))</f>
        <v>44470</v>
      </c>
      <c r="C44" s="151">
        <f t="shared" ca="1" si="1"/>
        <v>0</v>
      </c>
      <c r="D44" s="151">
        <f ca="1">IF(ISNA(MATCH($A44,Months,0))=TRUE,0,OFFSET(CashFlow!$B$37,0,MATCH($A44,Months,0),1,1))</f>
        <v>0</v>
      </c>
      <c r="E44" s="152">
        <f t="shared" ca="1" si="2"/>
        <v>0</v>
      </c>
      <c r="F44" s="152">
        <f t="shared" ca="1" si="3"/>
        <v>0</v>
      </c>
      <c r="G44" s="152">
        <f t="shared" ca="1" si="0"/>
        <v>0</v>
      </c>
      <c r="H44" s="153">
        <f ca="1">IF(ROUND(SUM(C44:D44,-G44),0)=0,0,IF($B$6="Yes",SUM($D$9:D44),SUM(C44:D44,-G44)))</f>
        <v>0</v>
      </c>
      <c r="I44" s="154" t="str">
        <f ca="1">IF(E44&gt;0,MAX(I$9:I43)+1,"-")</f>
        <v>-</v>
      </c>
    </row>
    <row r="45" spans="1:9" ht="16.149999999999999" customHeight="1" x14ac:dyDescent="0.25">
      <c r="A45" s="135">
        <f t="shared" ca="1" si="4"/>
        <v>44507</v>
      </c>
      <c r="B45" s="150">
        <f ca="1">IF(AND(B44&gt;A44,B44&lt;=A45),B44,DATE(YEAR(A45),MONTH(A45),IF(AND(MONTH(A45)=2,Assumptions!$E$79&gt;28),28,Assumptions!$E$79)))</f>
        <v>44501</v>
      </c>
      <c r="C45" s="151">
        <f t="shared" ca="1" si="1"/>
        <v>0</v>
      </c>
      <c r="D45" s="151">
        <f ca="1">IF(ISNA(MATCH($A45,Months,0))=TRUE,0,OFFSET(CashFlow!$B$37,0,MATCH($A45,Months,0),1,1))</f>
        <v>0</v>
      </c>
      <c r="E45" s="152">
        <f t="shared" ca="1" si="2"/>
        <v>0</v>
      </c>
      <c r="F45" s="152">
        <f t="shared" ca="1" si="3"/>
        <v>0</v>
      </c>
      <c r="G45" s="152">
        <f t="shared" ca="1" si="0"/>
        <v>0</v>
      </c>
      <c r="H45" s="153">
        <f ca="1">IF(ROUND(SUM(C45:D45,-G45),0)=0,0,IF($B$6="Yes",SUM($D$9:D45),SUM(C45:D45,-G45)))</f>
        <v>0</v>
      </c>
      <c r="I45" s="154" t="str">
        <f ca="1">IF(E45&gt;0,MAX(I$9:I44)+1,"-")</f>
        <v>-</v>
      </c>
    </row>
    <row r="46" spans="1:9" ht="16.149999999999999" customHeight="1" x14ac:dyDescent="0.25">
      <c r="A46" s="135">
        <f t="shared" ca="1" si="4"/>
        <v>44514</v>
      </c>
      <c r="B46" s="150">
        <f ca="1">IF(AND(B45&gt;A45,B45&lt;=A46),B45,DATE(YEAR(A46),MONTH(A46),IF(AND(MONTH(A46)=2,Assumptions!$E$79&gt;28),28,Assumptions!$E$79)))</f>
        <v>44501</v>
      </c>
      <c r="C46" s="151">
        <f t="shared" ca="1" si="1"/>
        <v>0</v>
      </c>
      <c r="D46" s="151">
        <f ca="1">IF(ISNA(MATCH($A46,Months,0))=TRUE,0,OFFSET(CashFlow!$B$37,0,MATCH($A46,Months,0),1,1))</f>
        <v>0</v>
      </c>
      <c r="E46" s="152">
        <f t="shared" ca="1" si="2"/>
        <v>0</v>
      </c>
      <c r="F46" s="152">
        <f t="shared" ca="1" si="3"/>
        <v>0</v>
      </c>
      <c r="G46" s="152">
        <f t="shared" ca="1" si="0"/>
        <v>0</v>
      </c>
      <c r="H46" s="153">
        <f ca="1">IF(ROUND(SUM(C46:D46,-G46),0)=0,0,IF($B$6="Yes",SUM($D$9:D46),SUM(C46:D46,-G46)))</f>
        <v>0</v>
      </c>
      <c r="I46" s="154" t="str">
        <f ca="1">IF(E46&gt;0,MAX(I$9:I45)+1,"-")</f>
        <v>-</v>
      </c>
    </row>
    <row r="47" spans="1:9" ht="16.149999999999999" customHeight="1" x14ac:dyDescent="0.25">
      <c r="A47" s="135">
        <f t="shared" ca="1" si="4"/>
        <v>44521</v>
      </c>
      <c r="B47" s="150">
        <f ca="1">IF(AND(B46&gt;A46,B46&lt;=A47),B46,DATE(YEAR(A47),MONTH(A47),IF(AND(MONTH(A47)=2,Assumptions!$E$79&gt;28),28,Assumptions!$E$79)))</f>
        <v>44501</v>
      </c>
      <c r="C47" s="151">
        <f t="shared" ca="1" si="1"/>
        <v>0</v>
      </c>
      <c r="D47" s="151">
        <f ca="1">IF(ISNA(MATCH($A47,Months,0))=TRUE,0,OFFSET(CashFlow!$B$37,0,MATCH($A47,Months,0),1,1))</f>
        <v>0</v>
      </c>
      <c r="E47" s="152">
        <f t="shared" ca="1" si="2"/>
        <v>0</v>
      </c>
      <c r="F47" s="152">
        <f t="shared" ca="1" si="3"/>
        <v>0</v>
      </c>
      <c r="G47" s="152">
        <f t="shared" ca="1" si="0"/>
        <v>0</v>
      </c>
      <c r="H47" s="153">
        <f ca="1">IF(ROUND(SUM(C47:D47,-G47),0)=0,0,IF($B$6="Yes",SUM($D$9:D47),SUM(C47:D47,-G47)))</f>
        <v>0</v>
      </c>
      <c r="I47" s="154" t="str">
        <f ca="1">IF(E47&gt;0,MAX(I$9:I46)+1,"-")</f>
        <v>-</v>
      </c>
    </row>
    <row r="48" spans="1:9" ht="16.149999999999999" customHeight="1" x14ac:dyDescent="0.25">
      <c r="A48" s="135">
        <f t="shared" ca="1" si="4"/>
        <v>44528</v>
      </c>
      <c r="B48" s="150">
        <f ca="1">IF(AND(B47&gt;A47,B47&lt;=A48),B47,DATE(YEAR(A48),MONTH(A48),IF(AND(MONTH(A48)=2,Assumptions!$E$79&gt;28),28,Assumptions!$E$79)))</f>
        <v>44501</v>
      </c>
      <c r="C48" s="151">
        <f t="shared" ca="1" si="1"/>
        <v>0</v>
      </c>
      <c r="D48" s="151">
        <f ca="1">IF(ISNA(MATCH($A48,Months,0))=TRUE,0,OFFSET(CashFlow!$B$37,0,MATCH($A48,Months,0),1,1))</f>
        <v>0</v>
      </c>
      <c r="E48" s="152">
        <f t="shared" ca="1" si="2"/>
        <v>0</v>
      </c>
      <c r="F48" s="152">
        <f t="shared" ca="1" si="3"/>
        <v>0</v>
      </c>
      <c r="G48" s="152">
        <f t="shared" ca="1" si="0"/>
        <v>0</v>
      </c>
      <c r="H48" s="153">
        <f ca="1">IF(ROUND(SUM(C48:D48,-G48),0)=0,0,IF($B$6="Yes",SUM($D$9:D48),SUM(C48:D48,-G48)))</f>
        <v>0</v>
      </c>
      <c r="I48" s="154" t="str">
        <f ca="1">IF(E48&gt;0,MAX(I$9:I47)+1,"-")</f>
        <v>-</v>
      </c>
    </row>
    <row r="49" spans="1:9" ht="16.149999999999999" customHeight="1" x14ac:dyDescent="0.25">
      <c r="A49" s="135">
        <f t="shared" ca="1" si="4"/>
        <v>44535</v>
      </c>
      <c r="B49" s="150">
        <f ca="1">IF(AND(B48&gt;A48,B48&lt;=A49),B48,DATE(YEAR(A49),MONTH(A49),IF(AND(MONTH(A49)=2,Assumptions!$E$79&gt;28),28,Assumptions!$E$79)))</f>
        <v>44531</v>
      </c>
      <c r="C49" s="151">
        <f t="shared" ca="1" si="1"/>
        <v>0</v>
      </c>
      <c r="D49" s="151">
        <f ca="1">IF(ISNA(MATCH($A49,Months,0))=TRUE,0,OFFSET(CashFlow!$B$37,0,MATCH($A49,Months,0),1,1))</f>
        <v>0</v>
      </c>
      <c r="E49" s="152">
        <f t="shared" ca="1" si="2"/>
        <v>0</v>
      </c>
      <c r="F49" s="152">
        <f t="shared" ca="1" si="3"/>
        <v>0</v>
      </c>
      <c r="G49" s="152">
        <f t="shared" ca="1" si="0"/>
        <v>0</v>
      </c>
      <c r="H49" s="153">
        <f ca="1">IF(ROUND(SUM(C49:D49,-G49),0)=0,0,IF($B$6="Yes",SUM($D$9:D49),SUM(C49:D49,-G49)))</f>
        <v>0</v>
      </c>
      <c r="I49" s="154" t="str">
        <f ca="1">IF(E49&gt;0,MAX(I$9:I48)+1,"-")</f>
        <v>-</v>
      </c>
    </row>
    <row r="50" spans="1:9" ht="16.149999999999999" customHeight="1" x14ac:dyDescent="0.25">
      <c r="A50" s="135">
        <f t="shared" ca="1" si="4"/>
        <v>44542</v>
      </c>
      <c r="B50" s="150">
        <f ca="1">IF(AND(B49&gt;A49,B49&lt;=A50),B49,DATE(YEAR(A50),MONTH(A50),IF(AND(MONTH(A50)=2,Assumptions!$E$79&gt;28),28,Assumptions!$E$79)))</f>
        <v>44531</v>
      </c>
      <c r="C50" s="151">
        <f t="shared" ca="1" si="1"/>
        <v>0</v>
      </c>
      <c r="D50" s="151">
        <f ca="1">IF(ISNA(MATCH($A50,Months,0))=TRUE,0,OFFSET(CashFlow!$B$37,0,MATCH($A50,Months,0),1,1))</f>
        <v>0</v>
      </c>
      <c r="E50" s="152">
        <f t="shared" ca="1" si="2"/>
        <v>0</v>
      </c>
      <c r="F50" s="152">
        <f t="shared" ca="1" si="3"/>
        <v>0</v>
      </c>
      <c r="G50" s="152">
        <f t="shared" ca="1" si="0"/>
        <v>0</v>
      </c>
      <c r="H50" s="153">
        <f ca="1">IF(ROUND(SUM(C50:D50,-G50),0)=0,0,IF($B$6="Yes",SUM($D$9:D50),SUM(C50:D50,-G50)))</f>
        <v>0</v>
      </c>
      <c r="I50" s="154" t="str">
        <f ca="1">IF(E50&gt;0,MAX(I$9:I49)+1,"-")</f>
        <v>-</v>
      </c>
    </row>
    <row r="51" spans="1:9" ht="16.149999999999999" customHeight="1" x14ac:dyDescent="0.25">
      <c r="A51" s="135">
        <f t="shared" ca="1" si="4"/>
        <v>44549</v>
      </c>
      <c r="B51" s="150">
        <f ca="1">IF(AND(B50&gt;A50,B50&lt;=A51),B50,DATE(YEAR(A51),MONTH(A51),IF(AND(MONTH(A51)=2,Assumptions!$E$79&gt;28),28,Assumptions!$E$79)))</f>
        <v>44531</v>
      </c>
      <c r="C51" s="151">
        <f t="shared" ca="1" si="1"/>
        <v>0</v>
      </c>
      <c r="D51" s="151">
        <f ca="1">IF(ISNA(MATCH($A51,Months,0))=TRUE,0,OFFSET(CashFlow!$B$37,0,MATCH($A51,Months,0),1,1))</f>
        <v>0</v>
      </c>
      <c r="E51" s="152">
        <f t="shared" ca="1" si="2"/>
        <v>0</v>
      </c>
      <c r="F51" s="152">
        <f t="shared" ca="1" si="3"/>
        <v>0</v>
      </c>
      <c r="G51" s="152">
        <f t="shared" ca="1" si="0"/>
        <v>0</v>
      </c>
      <c r="H51" s="153">
        <f ca="1">IF(ROUND(SUM(C51:D51,-G51),0)=0,0,IF($B$6="Yes",SUM($D$9:D51),SUM(C51:D51,-G51)))</f>
        <v>0</v>
      </c>
      <c r="I51" s="154" t="str">
        <f ca="1">IF(E51&gt;0,MAX(I$9:I50)+1,"-")</f>
        <v>-</v>
      </c>
    </row>
    <row r="52" spans="1:9" ht="16.149999999999999" customHeight="1" x14ac:dyDescent="0.25">
      <c r="A52" s="135">
        <f t="shared" ca="1" si="4"/>
        <v>44556</v>
      </c>
      <c r="B52" s="150">
        <f ca="1">IF(AND(B51&gt;A51,B51&lt;=A52),B51,DATE(YEAR(A52),MONTH(A52),IF(AND(MONTH(A52)=2,Assumptions!$E$79&gt;28),28,Assumptions!$E$79)))</f>
        <v>44531</v>
      </c>
      <c r="C52" s="151">
        <f t="shared" ca="1" si="1"/>
        <v>0</v>
      </c>
      <c r="D52" s="151">
        <f ca="1">IF(ISNA(MATCH($A52,Months,0))=TRUE,0,OFFSET(CashFlow!$B$37,0,MATCH($A52,Months,0),1,1))</f>
        <v>0</v>
      </c>
      <c r="E52" s="152">
        <f t="shared" ca="1" si="2"/>
        <v>0</v>
      </c>
      <c r="F52" s="152">
        <f t="shared" ca="1" si="3"/>
        <v>0</v>
      </c>
      <c r="G52" s="152">
        <f t="shared" ca="1" si="0"/>
        <v>0</v>
      </c>
      <c r="H52" s="153">
        <f ca="1">IF(ROUND(SUM(C52:D52,-G52),0)=0,0,IF($B$6="Yes",SUM($D$9:D52),SUM(C52:D52,-G52)))</f>
        <v>0</v>
      </c>
      <c r="I52" s="154" t="str">
        <f ca="1">IF(E52&gt;0,MAX(I$9:I51)+1,"-")</f>
        <v>-</v>
      </c>
    </row>
    <row r="53" spans="1:9" ht="16.149999999999999" customHeight="1" x14ac:dyDescent="0.25">
      <c r="A53" s="135">
        <f t="shared" ca="1" si="4"/>
        <v>44563</v>
      </c>
      <c r="B53" s="150">
        <f ca="1">IF(AND(B52&gt;A52,B52&lt;=A53),B52,DATE(YEAR(A53),MONTH(A53),IF(AND(MONTH(A53)=2,Assumptions!$E$79&gt;28),28,Assumptions!$E$79)))</f>
        <v>44562</v>
      </c>
      <c r="C53" s="151">
        <f t="shared" ca="1" si="1"/>
        <v>0</v>
      </c>
      <c r="D53" s="151">
        <f ca="1">IF(ISNA(MATCH($A53,Months,0))=TRUE,0,OFFSET(CashFlow!$B$37,0,MATCH($A53,Months,0),1,1))</f>
        <v>0</v>
      </c>
      <c r="E53" s="152">
        <f t="shared" ca="1" si="2"/>
        <v>0</v>
      </c>
      <c r="F53" s="152">
        <f t="shared" ca="1" si="3"/>
        <v>0</v>
      </c>
      <c r="G53" s="152">
        <f t="shared" ca="1" si="0"/>
        <v>0</v>
      </c>
      <c r="H53" s="153">
        <f ca="1">IF(ROUND(SUM(C53:D53,-G53),0)=0,0,IF($B$6="Yes",SUM($D$9:D53),SUM(C53:D53,-G53)))</f>
        <v>0</v>
      </c>
      <c r="I53" s="154" t="str">
        <f ca="1">IF(E53&gt;0,MAX(I$9:I52)+1,"-")</f>
        <v>-</v>
      </c>
    </row>
    <row r="54" spans="1:9" ht="16.149999999999999" customHeight="1" x14ac:dyDescent="0.25">
      <c r="A54" s="135">
        <f t="shared" ca="1" si="4"/>
        <v>44570</v>
      </c>
      <c r="B54" s="150">
        <f ca="1">IF(AND(B53&gt;A53,B53&lt;=A54),B53,DATE(YEAR(A54),MONTH(A54),IF(AND(MONTH(A54)=2,Assumptions!$E$79&gt;28),28,Assumptions!$E$79)))</f>
        <v>44562</v>
      </c>
      <c r="C54" s="151">
        <f t="shared" ca="1" si="1"/>
        <v>0</v>
      </c>
      <c r="D54" s="151">
        <f ca="1">IF(ISNA(MATCH($A54,Months,0))=TRUE,0,OFFSET(CashFlow!$B$37,0,MATCH($A54,Months,0),1,1))</f>
        <v>240000</v>
      </c>
      <c r="E54" s="152">
        <f t="shared" ca="1" si="2"/>
        <v>0</v>
      </c>
      <c r="F54" s="152">
        <f t="shared" ca="1" si="3"/>
        <v>0</v>
      </c>
      <c r="G54" s="152">
        <f t="shared" ca="1" si="0"/>
        <v>0</v>
      </c>
      <c r="H54" s="153">
        <f ca="1">IF(ROUND(SUM(C54:D54,-G54),0)=0,0,IF($B$6="Yes",SUM($D$9:D54),SUM(C54:D54,-G54)))</f>
        <v>240000</v>
      </c>
      <c r="I54" s="154" t="str">
        <f ca="1">IF(E54&gt;0,MAX(I$9:I53)+1,"-")</f>
        <v>-</v>
      </c>
    </row>
    <row r="55" spans="1:9" ht="16.149999999999999" customHeight="1" x14ac:dyDescent="0.25">
      <c r="A55" s="135">
        <f t="shared" ca="1" si="4"/>
        <v>44577</v>
      </c>
      <c r="B55" s="150">
        <f ca="1">IF(AND(B54&gt;A54,B54&lt;=A55),B54,DATE(YEAR(A55),MONTH(A55),IF(AND(MONTH(A55)=2,Assumptions!$E$79&gt;28),28,Assumptions!$E$79)))</f>
        <v>44562</v>
      </c>
      <c r="C55" s="151">
        <f t="shared" ca="1" si="1"/>
        <v>240000</v>
      </c>
      <c r="D55" s="151">
        <f ca="1">IF(ISNA(MATCH($A55,Months,0))=TRUE,0,OFFSET(CashFlow!$B$37,0,MATCH($A55,Months,0),1,1))</f>
        <v>0</v>
      </c>
      <c r="E55" s="152">
        <f t="shared" ca="1" si="2"/>
        <v>0</v>
      </c>
      <c r="F55" s="152">
        <f t="shared" ca="1" si="3"/>
        <v>0</v>
      </c>
      <c r="G55" s="152">
        <f t="shared" ca="1" si="0"/>
        <v>0</v>
      </c>
      <c r="H55" s="153">
        <f ca="1">IF(ROUND(SUM(C55:D55,-G55),0)=0,0,IF($B$6="Yes",SUM($D$9:D55),SUM(C55:D55,-G55)))</f>
        <v>240000</v>
      </c>
      <c r="I55" s="154" t="str">
        <f ca="1">IF(E55&gt;0,MAX(I$9:I54)+1,"-")</f>
        <v>-</v>
      </c>
    </row>
    <row r="56" spans="1:9" ht="16.149999999999999" customHeight="1" x14ac:dyDescent="0.25">
      <c r="A56" s="135">
        <f t="shared" ca="1" si="4"/>
        <v>44584</v>
      </c>
      <c r="B56" s="150">
        <f ca="1">IF(AND(B55&gt;A55,B55&lt;=A56),B55,DATE(YEAR(A56),MONTH(A56),IF(AND(MONTH(A56)=2,Assumptions!$E$79&gt;28),28,Assumptions!$E$79)))</f>
        <v>44562</v>
      </c>
      <c r="C56" s="151">
        <f t="shared" ca="1" si="1"/>
        <v>240000</v>
      </c>
      <c r="D56" s="151">
        <f ca="1">IF(ISNA(MATCH($A56,Months,0))=TRUE,0,OFFSET(CashFlow!$B$37,0,MATCH($A56,Months,0),1,1))</f>
        <v>0</v>
      </c>
      <c r="E56" s="152">
        <f t="shared" ca="1" si="2"/>
        <v>0</v>
      </c>
      <c r="F56" s="152">
        <f t="shared" ca="1" si="3"/>
        <v>0</v>
      </c>
      <c r="G56" s="152">
        <f t="shared" ca="1" si="0"/>
        <v>0</v>
      </c>
      <c r="H56" s="153">
        <f ca="1">IF(ROUND(SUM(C56:D56,-G56),0)=0,0,IF($B$6="Yes",SUM($D$9:D56),SUM(C56:D56,-G56)))</f>
        <v>240000</v>
      </c>
      <c r="I56" s="154" t="str">
        <f ca="1">IF(E56&gt;0,MAX(I$9:I55)+1,"-")</f>
        <v>-</v>
      </c>
    </row>
    <row r="57" spans="1:9" ht="16.149999999999999" customHeight="1" x14ac:dyDescent="0.25">
      <c r="A57" s="135">
        <f t="shared" ca="1" si="4"/>
        <v>44591</v>
      </c>
      <c r="B57" s="150">
        <f ca="1">IF(AND(B56&gt;A56,B56&lt;=A57),B56,DATE(YEAR(A57),MONTH(A57),IF(AND(MONTH(A57)=2,Assumptions!$E$79&gt;28),28,Assumptions!$E$79)))</f>
        <v>44562</v>
      </c>
      <c r="C57" s="151">
        <f t="shared" ca="1" si="1"/>
        <v>240000</v>
      </c>
      <c r="D57" s="151">
        <f ca="1">IF(ISNA(MATCH($A57,Months,0))=TRUE,0,OFFSET(CashFlow!$B$37,0,MATCH($A57,Months,0),1,1))</f>
        <v>0</v>
      </c>
      <c r="E57" s="152">
        <f t="shared" ca="1" si="2"/>
        <v>0</v>
      </c>
      <c r="F57" s="152">
        <f t="shared" ca="1" si="3"/>
        <v>0</v>
      </c>
      <c r="G57" s="152">
        <f t="shared" ca="1" si="0"/>
        <v>0</v>
      </c>
      <c r="H57" s="153">
        <f ca="1">IF(ROUND(SUM(C57:D57,-G57),0)=0,0,IF($B$6="Yes",SUM($D$9:D57),SUM(C57:D57,-G57)))</f>
        <v>240000</v>
      </c>
      <c r="I57" s="154" t="str">
        <f ca="1">IF(E57&gt;0,MAX(I$9:I56)+1,"-")</f>
        <v>-</v>
      </c>
    </row>
    <row r="58" spans="1:9" ht="16.149999999999999" customHeight="1" x14ac:dyDescent="0.25">
      <c r="A58" s="135">
        <f t="shared" ca="1" si="4"/>
        <v>44598</v>
      </c>
      <c r="B58" s="150">
        <f ca="1">IF(AND(B57&gt;A57,B57&lt;=A58),B57,DATE(YEAR(A58),MONTH(A58),IF(AND(MONTH(A58)=2,Assumptions!$E$79&gt;28),28,Assumptions!$E$79)))</f>
        <v>44593</v>
      </c>
      <c r="C58" s="151">
        <f t="shared" ca="1" si="1"/>
        <v>240000</v>
      </c>
      <c r="D58" s="151">
        <f ca="1">IF(ISNA(MATCH($A58,Months,0))=TRUE,0,OFFSET(CashFlow!$B$37,0,MATCH($A58,Months,0),1,1))</f>
        <v>0</v>
      </c>
      <c r="E58" s="152">
        <f t="shared" ca="1" si="2"/>
        <v>5399.5051740998015</v>
      </c>
      <c r="F58" s="152">
        <f t="shared" ca="1" si="3"/>
        <v>2500</v>
      </c>
      <c r="G58" s="152">
        <f t="shared" ca="1" si="0"/>
        <v>2899.5051740998015</v>
      </c>
      <c r="H58" s="153">
        <f ca="1">IF(ROUND(SUM(C58:D58,-G58),0)=0,0,IF($B$6="Yes",SUM($D$9:D58),SUM(C58:D58,-G58)))</f>
        <v>237100.49482590021</v>
      </c>
      <c r="I58" s="154">
        <f ca="1">IF(E58&gt;0,MAX(I$9:I57)+1,"-")</f>
        <v>1</v>
      </c>
    </row>
    <row r="59" spans="1:9" ht="16.149999999999999" customHeight="1" x14ac:dyDescent="0.25">
      <c r="A59" s="135">
        <f t="shared" ca="1" si="4"/>
        <v>44605</v>
      </c>
      <c r="B59" s="150">
        <f ca="1">IF(AND(B58&gt;A58,B58&lt;=A59),B58,DATE(YEAR(A59),MONTH(A59),IF(AND(MONTH(A59)=2,Assumptions!$E$79&gt;28),28,Assumptions!$E$79)))</f>
        <v>44593</v>
      </c>
      <c r="C59" s="151">
        <f t="shared" ca="1" si="1"/>
        <v>237100.49482590021</v>
      </c>
      <c r="D59" s="151">
        <f ca="1">IF(ISNA(MATCH($A59,Months,0))=TRUE,0,OFFSET(CashFlow!$B$37,0,MATCH($A59,Months,0),1,1))</f>
        <v>0</v>
      </c>
      <c r="E59" s="152">
        <f t="shared" ca="1" si="2"/>
        <v>0</v>
      </c>
      <c r="F59" s="152">
        <f t="shared" ca="1" si="3"/>
        <v>0</v>
      </c>
      <c r="G59" s="152">
        <f t="shared" ca="1" si="0"/>
        <v>0</v>
      </c>
      <c r="H59" s="153">
        <f ca="1">IF(ROUND(SUM(C59:D59,-G59),0)=0,0,IF($B$6="Yes",SUM($D$9:D59),SUM(C59:D59,-G59)))</f>
        <v>237100.49482590021</v>
      </c>
      <c r="I59" s="154" t="str">
        <f ca="1">IF(E59&gt;0,MAX(I$9:I58)+1,"-")</f>
        <v>-</v>
      </c>
    </row>
    <row r="60" spans="1:9" ht="16.149999999999999" customHeight="1" x14ac:dyDescent="0.25">
      <c r="A60" s="135">
        <f t="shared" ca="1" si="4"/>
        <v>44612</v>
      </c>
      <c r="B60" s="150">
        <f ca="1">IF(AND(B59&gt;A59,B59&lt;=A60),B59,DATE(YEAR(A60),MONTH(A60),IF(AND(MONTH(A60)=2,Assumptions!$E$79&gt;28),28,Assumptions!$E$79)))</f>
        <v>44593</v>
      </c>
      <c r="C60" s="151">
        <f t="shared" ca="1" si="1"/>
        <v>237100.49482590021</v>
      </c>
      <c r="D60" s="151">
        <f ca="1">IF(ISNA(MATCH($A60,Months,0))=TRUE,0,OFFSET(CashFlow!$B$37,0,MATCH($A60,Months,0),1,1))</f>
        <v>0</v>
      </c>
      <c r="E60" s="152">
        <f t="shared" ca="1" si="2"/>
        <v>0</v>
      </c>
      <c r="F60" s="152">
        <f t="shared" ca="1" si="3"/>
        <v>0</v>
      </c>
      <c r="G60" s="152">
        <f t="shared" ca="1" si="0"/>
        <v>0</v>
      </c>
      <c r="H60" s="153">
        <f ca="1">IF(ROUND(SUM(C60:D60,-G60),0)=0,0,IF($B$6="Yes",SUM($D$9:D60),SUM(C60:D60,-G60)))</f>
        <v>237100.49482590021</v>
      </c>
      <c r="I60" s="154" t="str">
        <f ca="1">IF(E60&gt;0,MAX(I$9:I59)+1,"-")</f>
        <v>-</v>
      </c>
    </row>
    <row r="61" spans="1:9" ht="16.149999999999999" customHeight="1" x14ac:dyDescent="0.25">
      <c r="A61" s="135">
        <f t="shared" ca="1" si="4"/>
        <v>44619</v>
      </c>
      <c r="B61" s="150">
        <f ca="1">IF(AND(B60&gt;A60,B60&lt;=A61),B60,DATE(YEAR(A61),MONTH(A61),IF(AND(MONTH(A61)=2,Assumptions!$E$79&gt;28),28,Assumptions!$E$79)))</f>
        <v>44593</v>
      </c>
      <c r="C61" s="151">
        <f t="shared" ca="1" si="1"/>
        <v>237100.49482590021</v>
      </c>
      <c r="D61" s="151">
        <f ca="1">IF(ISNA(MATCH($A61,Months,0))=TRUE,0,OFFSET(CashFlow!$B$37,0,MATCH($A61,Months,0),1,1))</f>
        <v>0</v>
      </c>
      <c r="E61" s="152">
        <f t="shared" ca="1" si="2"/>
        <v>0</v>
      </c>
      <c r="F61" s="152">
        <f t="shared" ca="1" si="3"/>
        <v>0</v>
      </c>
      <c r="G61" s="152">
        <f t="shared" ca="1" si="0"/>
        <v>0</v>
      </c>
      <c r="H61" s="153">
        <f ca="1">IF(ROUND(SUM(C61:D61,-G61),0)=0,0,IF($B$6="Yes",SUM($D$9:D61),SUM(C61:D61,-G61)))</f>
        <v>237100.49482590021</v>
      </c>
      <c r="I61" s="154" t="str">
        <f ca="1">IF(E61&gt;0,MAX(I$9:I60)+1,"-")</f>
        <v>-</v>
      </c>
    </row>
    <row r="62" spans="1:9" ht="16.149999999999999" customHeight="1" x14ac:dyDescent="0.25">
      <c r="C62" s="151"/>
      <c r="D62" s="151"/>
      <c r="E62" s="152"/>
      <c r="F62" s="152"/>
      <c r="G62" s="152"/>
      <c r="H62" s="153"/>
    </row>
    <row r="63" spans="1:9" ht="16.149999999999999" customHeight="1" x14ac:dyDescent="0.25">
      <c r="C63" s="151"/>
      <c r="D63" s="151"/>
      <c r="E63" s="152"/>
      <c r="F63" s="152"/>
      <c r="G63" s="152"/>
      <c r="H63" s="153"/>
    </row>
    <row r="64" spans="1:9" ht="16.149999999999999" customHeight="1" x14ac:dyDescent="0.25">
      <c r="C64" s="151"/>
      <c r="D64" s="151"/>
      <c r="E64" s="152"/>
      <c r="F64" s="152"/>
      <c r="G64" s="152"/>
      <c r="H64" s="153"/>
    </row>
    <row r="65" spans="3:8" ht="16.149999999999999" customHeight="1" x14ac:dyDescent="0.25">
      <c r="C65" s="151"/>
      <c r="D65" s="151"/>
      <c r="E65" s="152"/>
      <c r="F65" s="152"/>
      <c r="G65" s="152"/>
      <c r="H65" s="153"/>
    </row>
    <row r="66" spans="3:8" ht="16.149999999999999" customHeight="1" x14ac:dyDescent="0.25">
      <c r="C66" s="151"/>
      <c r="D66" s="151"/>
      <c r="E66" s="152"/>
      <c r="F66" s="152"/>
      <c r="G66" s="152"/>
      <c r="H66" s="153"/>
    </row>
    <row r="67" spans="3:8" ht="16.149999999999999" customHeight="1" x14ac:dyDescent="0.25">
      <c r="C67" s="151"/>
      <c r="D67" s="151"/>
      <c r="E67" s="152"/>
      <c r="F67" s="152"/>
      <c r="G67" s="152"/>
      <c r="H67" s="153"/>
    </row>
    <row r="68" spans="3:8" ht="16.149999999999999" customHeight="1" x14ac:dyDescent="0.25">
      <c r="C68" s="151"/>
      <c r="D68" s="151"/>
      <c r="E68" s="152"/>
      <c r="F68" s="152"/>
      <c r="G68" s="152"/>
      <c r="H68" s="153"/>
    </row>
    <row r="69" spans="3:8" ht="16.149999999999999" customHeight="1" x14ac:dyDescent="0.25">
      <c r="C69" s="151"/>
      <c r="D69" s="151"/>
      <c r="E69" s="152"/>
      <c r="F69" s="152"/>
      <c r="G69" s="152"/>
      <c r="H69" s="153"/>
    </row>
    <row r="70" spans="3:8" ht="16.149999999999999" customHeight="1" x14ac:dyDescent="0.25">
      <c r="C70" s="151"/>
      <c r="D70" s="151"/>
      <c r="E70" s="152"/>
      <c r="F70" s="152"/>
      <c r="G70" s="152"/>
      <c r="H70" s="153"/>
    </row>
    <row r="71" spans="3:8" ht="16.149999999999999" customHeight="1" x14ac:dyDescent="0.25">
      <c r="C71" s="151"/>
      <c r="D71" s="151"/>
      <c r="E71" s="152"/>
      <c r="F71" s="152"/>
      <c r="G71" s="152"/>
      <c r="H71" s="153"/>
    </row>
    <row r="72" spans="3:8" ht="16.149999999999999" customHeight="1" x14ac:dyDescent="0.25">
      <c r="C72" s="151"/>
      <c r="D72" s="151"/>
      <c r="E72" s="152"/>
      <c r="F72" s="152"/>
      <c r="G72" s="152"/>
      <c r="H72" s="153"/>
    </row>
    <row r="73" spans="3:8" ht="16.149999999999999" customHeight="1" x14ac:dyDescent="0.25">
      <c r="C73" s="151"/>
      <c r="D73" s="151"/>
      <c r="E73" s="152"/>
      <c r="F73" s="152"/>
      <c r="G73" s="152"/>
      <c r="H73" s="153"/>
    </row>
    <row r="74" spans="3:8" ht="16.149999999999999" customHeight="1" x14ac:dyDescent="0.25">
      <c r="C74" s="151"/>
      <c r="D74" s="151"/>
      <c r="E74" s="152"/>
      <c r="F74" s="152"/>
      <c r="G74" s="152"/>
      <c r="H74" s="153"/>
    </row>
    <row r="75" spans="3:8" ht="16.149999999999999" customHeight="1" x14ac:dyDescent="0.25">
      <c r="C75" s="151"/>
      <c r="D75" s="151"/>
      <c r="E75" s="152"/>
      <c r="F75" s="152"/>
      <c r="G75" s="152"/>
      <c r="H75" s="153"/>
    </row>
    <row r="76" spans="3:8" ht="16.149999999999999" customHeight="1" x14ac:dyDescent="0.25">
      <c r="C76" s="151"/>
      <c r="D76" s="151"/>
      <c r="E76" s="152"/>
      <c r="F76" s="152"/>
      <c r="G76" s="152"/>
      <c r="H76" s="153"/>
    </row>
    <row r="77" spans="3:8" ht="16.149999999999999" customHeight="1" x14ac:dyDescent="0.25">
      <c r="C77" s="151"/>
      <c r="D77" s="151"/>
      <c r="E77" s="152"/>
      <c r="F77" s="152"/>
      <c r="G77" s="152"/>
      <c r="H77" s="153"/>
    </row>
    <row r="78" spans="3:8" ht="16.149999999999999" customHeight="1" x14ac:dyDescent="0.25">
      <c r="C78" s="151"/>
      <c r="D78" s="151"/>
      <c r="E78" s="152"/>
      <c r="F78" s="152"/>
      <c r="G78" s="152"/>
      <c r="H78" s="153"/>
    </row>
    <row r="79" spans="3:8" ht="16.149999999999999" customHeight="1" x14ac:dyDescent="0.25">
      <c r="C79" s="151"/>
      <c r="D79" s="151"/>
      <c r="E79" s="152"/>
      <c r="F79" s="152"/>
      <c r="G79" s="152"/>
      <c r="H79" s="153"/>
    </row>
    <row r="80" spans="3:8" ht="16.149999999999999" customHeight="1" x14ac:dyDescent="0.25">
      <c r="C80" s="151"/>
      <c r="D80" s="151"/>
      <c r="E80" s="152"/>
      <c r="F80" s="152"/>
      <c r="G80" s="152"/>
      <c r="H80" s="153"/>
    </row>
    <row r="81" spans="3:8" ht="16.149999999999999" customHeight="1" x14ac:dyDescent="0.25">
      <c r="C81" s="151"/>
      <c r="D81" s="151"/>
      <c r="E81" s="152"/>
      <c r="F81" s="152"/>
      <c r="G81" s="152"/>
      <c r="H81" s="153"/>
    </row>
    <row r="82" spans="3:8" ht="16.149999999999999" customHeight="1" x14ac:dyDescent="0.25">
      <c r="C82" s="151"/>
      <c r="D82" s="151"/>
      <c r="E82" s="152"/>
      <c r="F82" s="152"/>
      <c r="G82" s="152"/>
      <c r="H82" s="153"/>
    </row>
    <row r="83" spans="3:8" ht="16.149999999999999" customHeight="1" x14ac:dyDescent="0.25">
      <c r="C83" s="151"/>
      <c r="D83" s="151"/>
      <c r="E83" s="152"/>
      <c r="F83" s="152"/>
      <c r="G83" s="152"/>
      <c r="H83" s="153"/>
    </row>
    <row r="84" spans="3:8" ht="16.149999999999999" customHeight="1" x14ac:dyDescent="0.25">
      <c r="C84" s="151"/>
      <c r="D84" s="151"/>
      <c r="E84" s="152"/>
      <c r="F84" s="152"/>
      <c r="G84" s="152"/>
      <c r="H84" s="153"/>
    </row>
    <row r="85" spans="3:8" ht="16.149999999999999" customHeight="1" x14ac:dyDescent="0.25">
      <c r="C85" s="151"/>
      <c r="D85" s="151"/>
      <c r="E85" s="152"/>
      <c r="F85" s="152"/>
      <c r="G85" s="152"/>
      <c r="H85" s="153"/>
    </row>
    <row r="86" spans="3:8" ht="16.149999999999999" customHeight="1" x14ac:dyDescent="0.25">
      <c r="C86" s="151"/>
      <c r="D86" s="151"/>
      <c r="E86" s="152"/>
      <c r="F86" s="152"/>
      <c r="G86" s="152"/>
      <c r="H86" s="153"/>
    </row>
    <row r="87" spans="3:8" ht="16.149999999999999" customHeight="1" x14ac:dyDescent="0.25">
      <c r="C87" s="151"/>
      <c r="D87" s="151"/>
      <c r="E87" s="152"/>
      <c r="F87" s="152"/>
      <c r="G87" s="152"/>
      <c r="H87" s="153"/>
    </row>
    <row r="88" spans="3:8" ht="16.149999999999999" customHeight="1" x14ac:dyDescent="0.25">
      <c r="C88" s="151"/>
      <c r="D88" s="151"/>
      <c r="E88" s="152"/>
      <c r="F88" s="152"/>
      <c r="G88" s="152"/>
      <c r="H88" s="153"/>
    </row>
    <row r="89" spans="3:8" ht="16.149999999999999" customHeight="1" x14ac:dyDescent="0.25">
      <c r="C89" s="151"/>
      <c r="D89" s="151"/>
      <c r="E89" s="152"/>
      <c r="F89" s="152"/>
      <c r="G89" s="152"/>
      <c r="H89" s="153"/>
    </row>
    <row r="90" spans="3:8" ht="16.149999999999999" customHeight="1" x14ac:dyDescent="0.25">
      <c r="C90" s="151"/>
      <c r="D90" s="151"/>
      <c r="E90" s="152"/>
      <c r="F90" s="152"/>
      <c r="G90" s="152"/>
      <c r="H90" s="153"/>
    </row>
    <row r="91" spans="3:8" ht="16.149999999999999" customHeight="1" x14ac:dyDescent="0.25">
      <c r="C91" s="151"/>
      <c r="D91" s="151"/>
      <c r="E91" s="152"/>
      <c r="F91" s="152"/>
      <c r="G91" s="152"/>
      <c r="H91" s="153"/>
    </row>
    <row r="92" spans="3:8" ht="16.149999999999999" customHeight="1" x14ac:dyDescent="0.25">
      <c r="C92" s="151"/>
      <c r="D92" s="151"/>
      <c r="E92" s="152"/>
      <c r="F92" s="152"/>
      <c r="G92" s="152"/>
      <c r="H92" s="153"/>
    </row>
    <row r="93" spans="3:8" ht="16.149999999999999" customHeight="1" x14ac:dyDescent="0.25">
      <c r="C93" s="151"/>
      <c r="D93" s="151"/>
      <c r="E93" s="152"/>
      <c r="F93" s="152"/>
      <c r="G93" s="152"/>
      <c r="H93" s="153"/>
    </row>
    <row r="94" spans="3:8" ht="16.149999999999999" customHeight="1" x14ac:dyDescent="0.25">
      <c r="C94" s="151"/>
      <c r="D94" s="151"/>
      <c r="E94" s="152"/>
      <c r="F94" s="152"/>
      <c r="G94" s="152"/>
      <c r="H94" s="153"/>
    </row>
    <row r="95" spans="3:8" ht="16.149999999999999" customHeight="1" x14ac:dyDescent="0.25">
      <c r="C95" s="151"/>
      <c r="D95" s="151"/>
      <c r="E95" s="152"/>
      <c r="F95" s="152"/>
      <c r="G95" s="152"/>
      <c r="H95" s="153"/>
    </row>
    <row r="96" spans="3:8" ht="16.149999999999999" customHeight="1" x14ac:dyDescent="0.25">
      <c r="C96" s="151"/>
      <c r="D96" s="151"/>
      <c r="E96" s="152"/>
      <c r="F96" s="152"/>
      <c r="G96" s="152"/>
      <c r="H96" s="153"/>
    </row>
    <row r="97" spans="3:8" ht="16.149999999999999" customHeight="1" x14ac:dyDescent="0.25">
      <c r="C97" s="151"/>
      <c r="D97" s="151"/>
      <c r="E97" s="152"/>
      <c r="F97" s="152"/>
      <c r="G97" s="152"/>
      <c r="H97" s="153"/>
    </row>
    <row r="98" spans="3:8" ht="16.149999999999999" customHeight="1" x14ac:dyDescent="0.25">
      <c r="C98" s="151"/>
      <c r="D98" s="151"/>
      <c r="E98" s="152"/>
      <c r="F98" s="152"/>
      <c r="G98" s="152"/>
      <c r="H98" s="153"/>
    </row>
    <row r="99" spans="3:8" ht="16.149999999999999" customHeight="1" x14ac:dyDescent="0.25">
      <c r="C99" s="151"/>
      <c r="D99" s="151"/>
      <c r="E99" s="152"/>
      <c r="F99" s="152"/>
      <c r="G99" s="152"/>
      <c r="H99" s="153"/>
    </row>
    <row r="100" spans="3:8" ht="16.149999999999999" customHeight="1" x14ac:dyDescent="0.25">
      <c r="C100" s="151"/>
      <c r="D100" s="151"/>
      <c r="E100" s="152"/>
      <c r="F100" s="152"/>
      <c r="G100" s="152"/>
      <c r="H100" s="153"/>
    </row>
    <row r="101" spans="3:8" ht="16.149999999999999" customHeight="1" x14ac:dyDescent="0.25">
      <c r="C101" s="151"/>
      <c r="D101" s="151"/>
      <c r="E101" s="152"/>
      <c r="F101" s="152"/>
      <c r="G101" s="152"/>
      <c r="H101" s="153"/>
    </row>
    <row r="102" spans="3:8" ht="16.149999999999999" customHeight="1" x14ac:dyDescent="0.25">
      <c r="C102" s="151"/>
      <c r="D102" s="151"/>
      <c r="E102" s="152"/>
      <c r="F102" s="152"/>
      <c r="G102" s="152"/>
      <c r="H102" s="153"/>
    </row>
    <row r="103" spans="3:8" ht="16.149999999999999" customHeight="1" x14ac:dyDescent="0.25">
      <c r="C103" s="151"/>
      <c r="D103" s="151"/>
      <c r="E103" s="152"/>
      <c r="F103" s="152"/>
      <c r="G103" s="152"/>
      <c r="H103" s="153"/>
    </row>
    <row r="104" spans="3:8" ht="16.149999999999999" customHeight="1" x14ac:dyDescent="0.25">
      <c r="C104" s="151"/>
      <c r="D104" s="151"/>
      <c r="E104" s="152"/>
      <c r="F104" s="152"/>
      <c r="G104" s="152"/>
      <c r="H104" s="153"/>
    </row>
    <row r="105" spans="3:8" ht="16.149999999999999" customHeight="1" x14ac:dyDescent="0.25">
      <c r="C105" s="151"/>
      <c r="D105" s="151"/>
      <c r="E105" s="152"/>
      <c r="F105" s="152"/>
      <c r="G105" s="152"/>
      <c r="H105" s="153"/>
    </row>
    <row r="106" spans="3:8" ht="16.149999999999999" customHeight="1" x14ac:dyDescent="0.25">
      <c r="C106" s="151"/>
      <c r="D106" s="151"/>
      <c r="E106" s="152"/>
      <c r="F106" s="152"/>
      <c r="G106" s="152"/>
      <c r="H106" s="153"/>
    </row>
    <row r="107" spans="3:8" ht="16.149999999999999" customHeight="1" x14ac:dyDescent="0.25">
      <c r="C107" s="151"/>
      <c r="D107" s="151"/>
      <c r="E107" s="152"/>
      <c r="F107" s="152"/>
      <c r="G107" s="152"/>
      <c r="H107" s="153"/>
    </row>
    <row r="108" spans="3:8" ht="16.149999999999999" customHeight="1" x14ac:dyDescent="0.25">
      <c r="C108" s="151"/>
      <c r="D108" s="151"/>
      <c r="E108" s="152"/>
      <c r="F108" s="152"/>
      <c r="G108" s="152"/>
      <c r="H108" s="153"/>
    </row>
    <row r="109" spans="3:8" ht="16.149999999999999" customHeight="1" x14ac:dyDescent="0.25">
      <c r="C109" s="151"/>
      <c r="D109" s="151"/>
      <c r="E109" s="152"/>
      <c r="F109" s="152"/>
      <c r="G109" s="152"/>
      <c r="H109" s="153"/>
    </row>
    <row r="110" spans="3:8" ht="16.149999999999999" customHeight="1" x14ac:dyDescent="0.25">
      <c r="C110" s="151"/>
      <c r="D110" s="151"/>
      <c r="E110" s="152"/>
      <c r="F110" s="152"/>
      <c r="G110" s="152"/>
      <c r="H110" s="153"/>
    </row>
    <row r="111" spans="3:8" ht="16.149999999999999" customHeight="1" x14ac:dyDescent="0.25">
      <c r="C111" s="151"/>
      <c r="D111" s="151"/>
      <c r="E111" s="152"/>
      <c r="F111" s="152"/>
      <c r="G111" s="152"/>
      <c r="H111" s="153"/>
    </row>
    <row r="112" spans="3:8" ht="16.149999999999999" customHeight="1" x14ac:dyDescent="0.25">
      <c r="C112" s="151"/>
      <c r="D112" s="151"/>
      <c r="E112" s="152"/>
      <c r="F112" s="152"/>
      <c r="G112" s="152"/>
      <c r="H112" s="153"/>
    </row>
    <row r="113" spans="3:8" ht="16.149999999999999" customHeight="1" x14ac:dyDescent="0.25">
      <c r="C113" s="151"/>
      <c r="D113" s="151"/>
      <c r="E113" s="152"/>
      <c r="F113" s="152"/>
      <c r="G113" s="152"/>
      <c r="H113" s="153"/>
    </row>
    <row r="114" spans="3:8" ht="16.149999999999999" customHeight="1" x14ac:dyDescent="0.25">
      <c r="C114" s="151"/>
      <c r="D114" s="151"/>
      <c r="E114" s="152"/>
      <c r="F114" s="152"/>
      <c r="G114" s="152"/>
      <c r="H114" s="153"/>
    </row>
    <row r="115" spans="3:8" ht="16.149999999999999" customHeight="1" x14ac:dyDescent="0.25">
      <c r="C115" s="151"/>
      <c r="D115" s="151"/>
      <c r="E115" s="152"/>
      <c r="F115" s="152"/>
      <c r="G115" s="152"/>
      <c r="H115" s="153"/>
    </row>
    <row r="116" spans="3:8" ht="16.149999999999999" customHeight="1" x14ac:dyDescent="0.25">
      <c r="C116" s="151"/>
      <c r="D116" s="151"/>
      <c r="E116" s="152"/>
      <c r="F116" s="152"/>
      <c r="G116" s="152"/>
      <c r="H116" s="153"/>
    </row>
    <row r="117" spans="3:8" ht="16.149999999999999" customHeight="1" x14ac:dyDescent="0.25">
      <c r="C117" s="151"/>
      <c r="D117" s="151"/>
      <c r="E117" s="152"/>
      <c r="F117" s="152"/>
      <c r="G117" s="152"/>
      <c r="H117" s="153"/>
    </row>
    <row r="118" spans="3:8" ht="16.149999999999999" customHeight="1" x14ac:dyDescent="0.25">
      <c r="C118" s="151"/>
      <c r="D118" s="151"/>
      <c r="E118" s="152"/>
      <c r="F118" s="152"/>
      <c r="G118" s="152"/>
      <c r="H118" s="153"/>
    </row>
    <row r="119" spans="3:8" ht="16.149999999999999" customHeight="1" x14ac:dyDescent="0.25">
      <c r="C119" s="151"/>
      <c r="D119" s="151"/>
      <c r="E119" s="152"/>
      <c r="F119" s="152"/>
      <c r="G119" s="152"/>
      <c r="H119" s="153"/>
    </row>
    <row r="120" spans="3:8" ht="16.149999999999999" customHeight="1" x14ac:dyDescent="0.25">
      <c r="C120" s="151"/>
      <c r="D120" s="151"/>
      <c r="E120" s="152"/>
      <c r="F120" s="152"/>
      <c r="G120" s="152"/>
      <c r="H120" s="153"/>
    </row>
    <row r="121" spans="3:8" ht="16.149999999999999" customHeight="1" x14ac:dyDescent="0.25">
      <c r="C121" s="151"/>
      <c r="D121" s="151"/>
      <c r="E121" s="152"/>
      <c r="F121" s="152"/>
      <c r="G121" s="152"/>
      <c r="H121" s="153"/>
    </row>
    <row r="122" spans="3:8" ht="16.149999999999999" customHeight="1" x14ac:dyDescent="0.25">
      <c r="C122" s="151"/>
      <c r="D122" s="151"/>
      <c r="E122" s="152"/>
      <c r="F122" s="152"/>
      <c r="G122" s="152"/>
      <c r="H122" s="153"/>
    </row>
    <row r="123" spans="3:8" ht="16.149999999999999" customHeight="1" x14ac:dyDescent="0.25">
      <c r="C123" s="151"/>
      <c r="D123" s="151"/>
      <c r="E123" s="152"/>
      <c r="F123" s="152"/>
      <c r="G123" s="152"/>
      <c r="H123" s="153"/>
    </row>
    <row r="124" spans="3:8" ht="16.149999999999999" customHeight="1" x14ac:dyDescent="0.25">
      <c r="C124" s="151"/>
      <c r="D124" s="151"/>
      <c r="E124" s="152"/>
      <c r="F124" s="152"/>
      <c r="G124" s="152"/>
      <c r="H124" s="153"/>
    </row>
    <row r="125" spans="3:8" ht="16.149999999999999" customHeight="1" x14ac:dyDescent="0.25">
      <c r="C125" s="151"/>
      <c r="D125" s="151"/>
      <c r="E125" s="152"/>
      <c r="F125" s="152"/>
      <c r="G125" s="152"/>
      <c r="H125" s="153"/>
    </row>
    <row r="126" spans="3:8" ht="16.149999999999999" customHeight="1" x14ac:dyDescent="0.25">
      <c r="C126" s="151"/>
      <c r="D126" s="151"/>
      <c r="E126" s="152"/>
      <c r="F126" s="152"/>
      <c r="G126" s="152"/>
      <c r="H126" s="153"/>
    </row>
    <row r="127" spans="3:8" ht="16.149999999999999" customHeight="1" x14ac:dyDescent="0.25">
      <c r="C127" s="151"/>
      <c r="D127" s="151"/>
      <c r="E127" s="152"/>
      <c r="F127" s="152"/>
      <c r="G127" s="152"/>
      <c r="H127" s="153"/>
    </row>
    <row r="128" spans="3:8" ht="16.149999999999999" customHeight="1" x14ac:dyDescent="0.25">
      <c r="C128" s="151"/>
      <c r="D128" s="151"/>
      <c r="E128" s="152"/>
      <c r="F128" s="152"/>
      <c r="G128" s="152"/>
      <c r="H128" s="153"/>
    </row>
    <row r="129" spans="3:8" ht="16.149999999999999" customHeight="1" x14ac:dyDescent="0.25">
      <c r="C129" s="151"/>
      <c r="D129" s="151"/>
      <c r="E129" s="152"/>
      <c r="F129" s="152"/>
      <c r="G129" s="152"/>
      <c r="H129" s="153"/>
    </row>
    <row r="130" spans="3:8" ht="16.149999999999999" customHeight="1" x14ac:dyDescent="0.25">
      <c r="C130" s="151"/>
      <c r="D130" s="151"/>
      <c r="E130" s="152"/>
      <c r="F130" s="152"/>
      <c r="G130" s="152"/>
      <c r="H130" s="153"/>
    </row>
    <row r="131" spans="3:8" ht="16.149999999999999" customHeight="1" x14ac:dyDescent="0.25">
      <c r="C131" s="151"/>
      <c r="D131" s="151"/>
      <c r="E131" s="152"/>
      <c r="F131" s="152"/>
      <c r="G131" s="152"/>
      <c r="H131" s="153"/>
    </row>
    <row r="132" spans="3:8" ht="16.149999999999999" customHeight="1" x14ac:dyDescent="0.25">
      <c r="C132" s="151"/>
      <c r="D132" s="151"/>
      <c r="E132" s="152"/>
      <c r="F132" s="152"/>
      <c r="G132" s="152"/>
      <c r="H132" s="153"/>
    </row>
    <row r="133" spans="3:8" ht="16.149999999999999" customHeight="1" x14ac:dyDescent="0.25">
      <c r="C133" s="151"/>
      <c r="D133" s="151"/>
      <c r="E133" s="152"/>
      <c r="F133" s="152"/>
      <c r="G133" s="152"/>
      <c r="H133" s="153"/>
    </row>
    <row r="134" spans="3:8" ht="16.149999999999999" customHeight="1" x14ac:dyDescent="0.25">
      <c r="C134" s="151"/>
      <c r="D134" s="151"/>
      <c r="E134" s="152"/>
      <c r="F134" s="152"/>
      <c r="G134" s="152"/>
      <c r="H134" s="153"/>
    </row>
    <row r="135" spans="3:8" ht="16.149999999999999" customHeight="1" x14ac:dyDescent="0.25">
      <c r="C135" s="151"/>
      <c r="D135" s="151"/>
      <c r="E135" s="152"/>
      <c r="F135" s="152"/>
      <c r="G135" s="152"/>
      <c r="H135" s="153"/>
    </row>
    <row r="136" spans="3:8" ht="16.149999999999999" customHeight="1" x14ac:dyDescent="0.25">
      <c r="C136" s="151"/>
      <c r="D136" s="151"/>
      <c r="E136" s="152"/>
      <c r="F136" s="152"/>
      <c r="G136" s="152"/>
      <c r="H136" s="153"/>
    </row>
    <row r="137" spans="3:8" ht="16.149999999999999" customHeight="1" x14ac:dyDescent="0.25">
      <c r="C137" s="151"/>
      <c r="D137" s="151"/>
      <c r="E137" s="152"/>
      <c r="F137" s="152"/>
      <c r="G137" s="152"/>
      <c r="H137" s="153"/>
    </row>
    <row r="138" spans="3:8" ht="16.149999999999999" customHeight="1" x14ac:dyDescent="0.25">
      <c r="C138" s="151"/>
      <c r="D138" s="151"/>
      <c r="E138" s="152"/>
      <c r="F138" s="152"/>
      <c r="G138" s="152"/>
      <c r="H138" s="153"/>
    </row>
    <row r="139" spans="3:8" ht="16.149999999999999" customHeight="1" x14ac:dyDescent="0.25">
      <c r="C139" s="151"/>
      <c r="D139" s="151"/>
      <c r="E139" s="152"/>
      <c r="F139" s="152"/>
      <c r="G139" s="152"/>
      <c r="H139" s="153"/>
    </row>
    <row r="140" spans="3:8" ht="16.149999999999999" customHeight="1" x14ac:dyDescent="0.25">
      <c r="C140" s="151"/>
      <c r="D140" s="151"/>
      <c r="E140" s="152"/>
      <c r="F140" s="152"/>
      <c r="G140" s="152"/>
      <c r="H140" s="153"/>
    </row>
    <row r="141" spans="3:8" ht="16.149999999999999" customHeight="1" x14ac:dyDescent="0.25">
      <c r="C141" s="151"/>
      <c r="D141" s="151"/>
      <c r="E141" s="152"/>
      <c r="F141" s="152"/>
      <c r="G141" s="152"/>
      <c r="H141" s="153"/>
    </row>
    <row r="142" spans="3:8" ht="16.149999999999999" customHeight="1" x14ac:dyDescent="0.25">
      <c r="C142" s="151"/>
      <c r="D142" s="151"/>
      <c r="E142" s="152"/>
      <c r="F142" s="152"/>
      <c r="G142" s="152"/>
      <c r="H142" s="153"/>
    </row>
    <row r="143" spans="3:8" ht="16.149999999999999" customHeight="1" x14ac:dyDescent="0.25">
      <c r="C143" s="151"/>
      <c r="D143" s="151"/>
      <c r="E143" s="152"/>
      <c r="F143" s="152"/>
      <c r="G143" s="152"/>
      <c r="H143" s="153"/>
    </row>
    <row r="144" spans="3:8" ht="16.149999999999999" customHeight="1" x14ac:dyDescent="0.25">
      <c r="C144" s="151"/>
      <c r="D144" s="151"/>
      <c r="E144" s="152"/>
      <c r="F144" s="152"/>
      <c r="G144" s="152"/>
      <c r="H144" s="153"/>
    </row>
    <row r="145" spans="3:8" ht="16.149999999999999" customHeight="1" x14ac:dyDescent="0.25">
      <c r="C145" s="151"/>
      <c r="D145" s="151"/>
      <c r="E145" s="152"/>
      <c r="F145" s="152"/>
      <c r="G145" s="152"/>
      <c r="H145" s="153"/>
    </row>
    <row r="146" spans="3:8" ht="16.149999999999999" customHeight="1" x14ac:dyDescent="0.25">
      <c r="C146" s="151"/>
      <c r="D146" s="151"/>
      <c r="E146" s="152"/>
      <c r="F146" s="152"/>
      <c r="G146" s="152"/>
      <c r="H146" s="153"/>
    </row>
    <row r="147" spans="3:8" ht="16.149999999999999" customHeight="1" x14ac:dyDescent="0.25">
      <c r="C147" s="151"/>
      <c r="D147" s="151"/>
      <c r="E147" s="152"/>
      <c r="F147" s="152"/>
      <c r="G147" s="152"/>
      <c r="H147" s="153"/>
    </row>
    <row r="148" spans="3:8" ht="16.149999999999999" customHeight="1" x14ac:dyDescent="0.25">
      <c r="C148" s="151"/>
      <c r="D148" s="151"/>
      <c r="E148" s="152"/>
      <c r="F148" s="152"/>
      <c r="G148" s="152"/>
      <c r="H148" s="153"/>
    </row>
    <row r="149" spans="3:8" ht="16.149999999999999" customHeight="1" x14ac:dyDescent="0.25">
      <c r="C149" s="151"/>
      <c r="D149" s="151"/>
      <c r="E149" s="152"/>
      <c r="F149" s="152"/>
      <c r="G149" s="152"/>
      <c r="H149" s="153"/>
    </row>
    <row r="150" spans="3:8" ht="16.149999999999999" customHeight="1" x14ac:dyDescent="0.25">
      <c r="C150" s="151"/>
      <c r="D150" s="151"/>
      <c r="E150" s="152"/>
      <c r="F150" s="152"/>
      <c r="G150" s="152"/>
      <c r="H150" s="153"/>
    </row>
    <row r="151" spans="3:8" ht="16.149999999999999" customHeight="1" x14ac:dyDescent="0.25">
      <c r="C151" s="151"/>
      <c r="D151" s="151"/>
      <c r="E151" s="152"/>
      <c r="F151" s="152"/>
      <c r="G151" s="152"/>
      <c r="H151" s="153"/>
    </row>
    <row r="152" spans="3:8" ht="16.149999999999999" customHeight="1" x14ac:dyDescent="0.25">
      <c r="C152" s="151"/>
      <c r="D152" s="151"/>
      <c r="E152" s="152"/>
      <c r="F152" s="152"/>
      <c r="G152" s="152"/>
      <c r="H152" s="153"/>
    </row>
    <row r="153" spans="3:8" ht="16.149999999999999" customHeight="1" x14ac:dyDescent="0.25">
      <c r="C153" s="151"/>
      <c r="D153" s="151"/>
      <c r="E153" s="152"/>
      <c r="F153" s="152"/>
      <c r="G153" s="152"/>
      <c r="H153" s="153"/>
    </row>
    <row r="154" spans="3:8" ht="16.149999999999999" customHeight="1" x14ac:dyDescent="0.25">
      <c r="C154" s="151"/>
      <c r="D154" s="151"/>
      <c r="E154" s="152"/>
      <c r="F154" s="152"/>
      <c r="G154" s="152"/>
      <c r="H154" s="153"/>
    </row>
    <row r="155" spans="3:8" ht="16.149999999999999" customHeight="1" x14ac:dyDescent="0.25">
      <c r="C155" s="151"/>
      <c r="D155" s="151"/>
      <c r="E155" s="152"/>
      <c r="F155" s="152"/>
      <c r="G155" s="152"/>
      <c r="H155" s="153"/>
    </row>
    <row r="156" spans="3:8" ht="16.149999999999999" customHeight="1" x14ac:dyDescent="0.25">
      <c r="C156" s="151"/>
      <c r="D156" s="151"/>
      <c r="E156" s="152"/>
      <c r="F156" s="152"/>
      <c r="G156" s="152"/>
      <c r="H156" s="153"/>
    </row>
    <row r="157" spans="3:8" ht="16.149999999999999" customHeight="1" x14ac:dyDescent="0.25">
      <c r="C157" s="151"/>
      <c r="D157" s="151"/>
      <c r="E157" s="152"/>
      <c r="F157" s="152"/>
      <c r="G157" s="152"/>
      <c r="H157" s="153"/>
    </row>
    <row r="158" spans="3:8" ht="16.149999999999999" customHeight="1" x14ac:dyDescent="0.25">
      <c r="C158" s="151"/>
      <c r="D158" s="151"/>
      <c r="E158" s="152"/>
      <c r="F158" s="152"/>
      <c r="G158" s="152"/>
      <c r="H158" s="153"/>
    </row>
    <row r="159" spans="3:8" ht="16.149999999999999" customHeight="1" x14ac:dyDescent="0.25">
      <c r="C159" s="151"/>
      <c r="D159" s="151"/>
      <c r="E159" s="152"/>
      <c r="F159" s="152"/>
      <c r="G159" s="152"/>
      <c r="H159" s="153"/>
    </row>
    <row r="160" spans="3:8" ht="16.149999999999999" customHeight="1" x14ac:dyDescent="0.25">
      <c r="C160" s="151"/>
      <c r="D160" s="151"/>
      <c r="E160" s="152"/>
      <c r="F160" s="152"/>
      <c r="G160" s="152"/>
      <c r="H160" s="153"/>
    </row>
    <row r="161" spans="3:8" ht="16.149999999999999" customHeight="1" x14ac:dyDescent="0.25">
      <c r="C161" s="151"/>
      <c r="D161" s="151"/>
      <c r="E161" s="152"/>
      <c r="F161" s="152"/>
      <c r="G161" s="152"/>
      <c r="H161" s="153"/>
    </row>
    <row r="162" spans="3:8" ht="16.149999999999999" customHeight="1" x14ac:dyDescent="0.25">
      <c r="C162" s="151"/>
      <c r="D162" s="151"/>
      <c r="E162" s="152"/>
      <c r="F162" s="152"/>
      <c r="G162" s="152"/>
      <c r="H162" s="153"/>
    </row>
    <row r="163" spans="3:8" ht="16.149999999999999" customHeight="1" x14ac:dyDescent="0.25">
      <c r="C163" s="151"/>
      <c r="D163" s="151"/>
      <c r="E163" s="152"/>
      <c r="F163" s="152"/>
      <c r="G163" s="152"/>
      <c r="H163" s="153"/>
    </row>
    <row r="164" spans="3:8" ht="16.149999999999999" customHeight="1" x14ac:dyDescent="0.25">
      <c r="C164" s="151"/>
      <c r="D164" s="151"/>
      <c r="E164" s="152"/>
      <c r="F164" s="152"/>
      <c r="G164" s="152"/>
      <c r="H164" s="153"/>
    </row>
    <row r="165" spans="3:8" ht="16.149999999999999" customHeight="1" x14ac:dyDescent="0.25">
      <c r="C165" s="151"/>
      <c r="D165" s="151"/>
      <c r="E165" s="152"/>
      <c r="F165" s="152"/>
      <c r="G165" s="152"/>
      <c r="H165" s="153"/>
    </row>
  </sheetData>
  <printOptions horizontalCentered="1"/>
  <pageMargins left="0.59055118110236227" right="0.59055118110236227" top="0.59055118110236227" bottom="0.59055118110236227" header="0.39370078740157483" footer="0.39370078740157483"/>
  <pageSetup paperSize="9" scale="72" fitToHeight="0" orientation="portrait"/>
  <headerFooter alignWithMargins="0">
    <oddFooter>&amp;C&amp;9Page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M165"/>
  <sheetViews>
    <sheetView zoomScale="95" workbookViewId="0">
      <pane ySplit="8" topLeftCell="A9" activePane="bottomLeft" state="frozen"/>
      <selection pane="bottomLeft" activeCell="A8" sqref="A8"/>
    </sheetView>
  </sheetViews>
  <sheetFormatPr defaultColWidth="9.140625" defaultRowHeight="16.149999999999999" customHeight="1" x14ac:dyDescent="0.25"/>
  <cols>
    <col min="1" max="1" width="15.7109375" style="142" customWidth="1"/>
    <col min="2" max="2" width="15.7109375" style="150" customWidth="1"/>
    <col min="3" max="8" width="13.7109375" style="16" customWidth="1"/>
    <col min="9" max="9" width="13.7109375" style="132" customWidth="1"/>
    <col min="10" max="13" width="15.7109375" style="16" customWidth="1"/>
    <col min="14" max="18" width="15.7109375" style="5" customWidth="1"/>
    <col min="19" max="16384" width="9.140625" style="5"/>
  </cols>
  <sheetData>
    <row r="1" spans="1:13" ht="16.149999999999999" customHeight="1" x14ac:dyDescent="0.25">
      <c r="A1" s="162" t="str">
        <f>IF(ISBLANK(Assumptions!$C$4),"Example Limited",Assumptions!$C$4)</f>
        <v>Example (Pty) Limited</v>
      </c>
      <c r="B1" s="131"/>
      <c r="D1" s="3"/>
      <c r="H1" s="89"/>
    </row>
    <row r="2" spans="1:13" ht="16.149999999999999" customHeight="1" x14ac:dyDescent="0.25">
      <c r="A2" s="133" t="s">
        <v>179</v>
      </c>
      <c r="B2" s="134"/>
    </row>
    <row r="3" spans="1:13" ht="16.149999999999999" customHeight="1" x14ac:dyDescent="0.25">
      <c r="A3" s="133"/>
      <c r="B3" s="134"/>
    </row>
    <row r="4" spans="1:13" ht="16.149999999999999" customHeight="1" x14ac:dyDescent="0.25">
      <c r="A4" s="135" t="s">
        <v>33</v>
      </c>
      <c r="B4" s="136">
        <f>Assumptions!$F$76</f>
        <v>0.115</v>
      </c>
      <c r="D4" s="137"/>
    </row>
    <row r="5" spans="1:13" ht="16.149999999999999" customHeight="1" x14ac:dyDescent="0.25">
      <c r="A5" s="138" t="s">
        <v>38</v>
      </c>
      <c r="B5" s="139">
        <f>Assumptions!$F$77</f>
        <v>4</v>
      </c>
      <c r="D5" s="140"/>
    </row>
    <row r="6" spans="1:13" ht="16.149999999999999" customHeight="1" x14ac:dyDescent="0.25">
      <c r="A6" s="138" t="s">
        <v>39</v>
      </c>
      <c r="B6" s="139" t="str">
        <f>Assumptions!$F$78</f>
        <v>No</v>
      </c>
      <c r="D6" s="141"/>
    </row>
    <row r="7" spans="1:13" ht="16.149999999999999" customHeight="1" x14ac:dyDescent="0.25">
      <c r="B7" s="143" t="s">
        <v>50</v>
      </c>
    </row>
    <row r="8" spans="1:13" s="149" customFormat="1" ht="25.5" x14ac:dyDescent="0.25">
      <c r="A8" s="144" t="s">
        <v>85</v>
      </c>
      <c r="B8" s="145" t="s">
        <v>84</v>
      </c>
      <c r="C8" s="146" t="s">
        <v>43</v>
      </c>
      <c r="D8" s="146" t="s">
        <v>278</v>
      </c>
      <c r="E8" s="146" t="s">
        <v>42</v>
      </c>
      <c r="F8" s="146" t="s">
        <v>279</v>
      </c>
      <c r="G8" s="146" t="s">
        <v>49</v>
      </c>
      <c r="H8" s="146" t="s">
        <v>44</v>
      </c>
      <c r="I8" s="147" t="s">
        <v>87</v>
      </c>
      <c r="J8" s="148"/>
      <c r="K8" s="148"/>
      <c r="L8" s="148"/>
      <c r="M8" s="148"/>
    </row>
    <row r="9" spans="1:13" s="100" customFormat="1" ht="16.149999999999999" customHeight="1" x14ac:dyDescent="0.25">
      <c r="A9" s="135">
        <f ca="1">IF(ISBLANK(Assumptions!$C$5)=TRUE,DATE(YEAR(TODAY()),MONTH(TODAY()),1),DATE(YEAR(Assumptions!$C$5),MONTH(Assumptions!$C$5),DAY(Assumptions!$C$5)))</f>
        <v>44256</v>
      </c>
      <c r="B9" s="150">
        <f ca="1">IF(Assumptions!$F$79&gt;=DAY($A$9),DATE(YEAR(A9),MONTH(A9),IF(AND(MONTH($A$9)=2,Assumptions!$F$79&gt;28),28,Assumptions!$F$79)),DATE(YEAR(A9),MONTH(A9)+1,IF(AND(MONTH($A$9)=2,Assumptions!$F$79&gt;28),28,Assumptions!$F$79)))</f>
        <v>44265</v>
      </c>
      <c r="C9" s="151">
        <v>0</v>
      </c>
      <c r="D9" s="151">
        <f ca="1">-SUMIF(Assumptions!$A$81:$C$104,"FIN",Assumptions!$C$81:$C$104)</f>
        <v>425000</v>
      </c>
      <c r="E9" s="151">
        <v>0</v>
      </c>
      <c r="F9" s="151">
        <v>0</v>
      </c>
      <c r="G9" s="152">
        <f t="shared" ref="G9:G61" si="0">IF($B$6="Yes",0,E9-F9)</f>
        <v>0</v>
      </c>
      <c r="H9" s="153">
        <f ca="1">IF(ROUND(SUM(C9:D9,-G9),0)=0,0,IF($B$6="Yes",SUM($D$9:D9),SUM(C9:D9,-G9)))</f>
        <v>425000</v>
      </c>
      <c r="I9" s="132" t="str">
        <f>"-"</f>
        <v>-</v>
      </c>
      <c r="J9" s="151"/>
      <c r="K9" s="151"/>
      <c r="L9" s="151"/>
      <c r="M9" s="151"/>
    </row>
    <row r="10" spans="1:13" s="100" customFormat="1" ht="16.149999999999999" customHeight="1" x14ac:dyDescent="0.25">
      <c r="A10" s="135">
        <f ca="1">IF(ISBLANK(Assumptions!$C$5)=TRUE,DATE(YEAR(TODAY()),MONTH(TODAY()),7),DATE(YEAR(Assumptions!$C$5),MONTH(Assumptions!$C$5),DAY(Assumptions!$C$5)+6))</f>
        <v>44262</v>
      </c>
      <c r="B10" s="150">
        <f ca="1">IF(AND(B9&gt;A9,B9&lt;=A10),B9,DATE(YEAR(A10),MONTH(A10),IF(AND(MONTH(A10)=2,Assumptions!$F$79&gt;28),28,Assumptions!$F$79)))</f>
        <v>44265</v>
      </c>
      <c r="C10" s="151">
        <f ca="1">H9</f>
        <v>425000</v>
      </c>
      <c r="D10" s="151">
        <f ca="1">IF(ISNA(MATCH($A10,Months,0))=TRUE,0,OFFSET(CashFlow!$B$38,0,MATCH($A10,Months,0),1,1))</f>
        <v>0</v>
      </c>
      <c r="E10" s="152">
        <f ca="1">IF(AND(B10&gt;A9,B10&lt;=A10),IF($B$6="Yes",0,IF(ROW(D10)-ROW($D$9)&gt;$B$5*52,-PMT($B$4/12,$B$5*12,SUM(OFFSET(D10,0,0,-$B$5*12,1)),0,0),-PMT($B$4/12,$B$5*12,SUM(OFFSET(D10,0,0,ROW($D$8)-ROW(D10),1)),0,0))),0)</f>
        <v>0</v>
      </c>
      <c r="F10" s="152">
        <f ca="1">IF(AND(B10&gt;A9,B10&lt;=A10),(H9+D10)*$B$4/12,0)</f>
        <v>0</v>
      </c>
      <c r="G10" s="152">
        <f t="shared" ca="1" si="0"/>
        <v>0</v>
      </c>
      <c r="H10" s="153">
        <f ca="1">IF(ROUND(SUM(C10:D10,-G10),0)=0,0,IF($B$6="Yes",SUM($D$9:D10),SUM(C10:D10,-G10)))</f>
        <v>425000</v>
      </c>
      <c r="I10" s="154" t="str">
        <f ca="1">IF(E10&gt;0,MAX(I$9:I9)+1,"-")</f>
        <v>-</v>
      </c>
      <c r="J10" s="151"/>
      <c r="K10" s="151"/>
      <c r="L10" s="151"/>
      <c r="M10" s="151"/>
    </row>
    <row r="11" spans="1:13" s="100" customFormat="1" ht="16.149999999999999" customHeight="1" x14ac:dyDescent="0.25">
      <c r="A11" s="135">
        <f ca="1">DATE(YEAR(A10),MONTH(A10),DAY(A10)+7)</f>
        <v>44269</v>
      </c>
      <c r="B11" s="150">
        <f ca="1">IF(AND(B10&gt;A10,B10&lt;=A11),B10,DATE(YEAR(A11),MONTH(A11),IF(AND(MONTH(A11)=2,Assumptions!$F$79&gt;28),28,Assumptions!$F$79)))</f>
        <v>44265</v>
      </c>
      <c r="C11" s="151">
        <f t="shared" ref="C11:C61" ca="1" si="1">H10</f>
        <v>425000</v>
      </c>
      <c r="D11" s="151">
        <f ca="1">IF(ISNA(MATCH($A11,Months,0))=TRUE,0,OFFSET(CashFlow!$B$38,0,MATCH($A11,Months,0),1,1))</f>
        <v>0</v>
      </c>
      <c r="E11" s="152">
        <f t="shared" ref="E11:E61" ca="1" si="2">IF(AND(B11&gt;A10,B11&lt;=A11),IF($B$6="Yes",0,IF(ROW(D11)-ROW($D$9)&gt;$B$5*52,-PMT($B$4/12,$B$5*12,SUM(OFFSET(D11,0,0,-$B$5*12,1)),0,0),-PMT($B$4/12,$B$5*12,SUM(OFFSET(D11,0,0,ROW($D$8)-ROW(D11),1)),0,0))),0)</f>
        <v>11087.82878498939</v>
      </c>
      <c r="F11" s="152">
        <f t="shared" ref="F11:F61" ca="1" si="3">IF(AND(B11&gt;A10,B11&lt;=A11),(H10+D11)*$B$4/12,0)</f>
        <v>4072.9166666666665</v>
      </c>
      <c r="G11" s="152">
        <f t="shared" ca="1" si="0"/>
        <v>7014.9121183227235</v>
      </c>
      <c r="H11" s="153">
        <f ca="1">IF(ROUND(SUM(C11:D11,-G11),0)=0,0,IF($B$6="Yes",SUM($D$9:D11),SUM(C11:D11,-G11)))</f>
        <v>417985.08788167726</v>
      </c>
      <c r="I11" s="154">
        <f ca="1">IF(E11&gt;0,MAX(I$9:I10)+1,"-")</f>
        <v>1</v>
      </c>
      <c r="J11" s="151"/>
      <c r="K11" s="151"/>
      <c r="L11" s="151"/>
      <c r="M11" s="151"/>
    </row>
    <row r="12" spans="1:13" s="100" customFormat="1" ht="16.149999999999999" customHeight="1" x14ac:dyDescent="0.25">
      <c r="A12" s="135">
        <f t="shared" ref="A12:A61" ca="1" si="4">DATE(YEAR(A11),MONTH(A11),DAY(A11)+7)</f>
        <v>44276</v>
      </c>
      <c r="B12" s="150">
        <f ca="1">IF(AND(B11&gt;A11,B11&lt;=A12),B11,DATE(YEAR(A12),MONTH(A12),IF(AND(MONTH(A12)=2,Assumptions!$F$79&gt;28),28,Assumptions!$F$79)))</f>
        <v>44265</v>
      </c>
      <c r="C12" s="151">
        <f t="shared" ca="1" si="1"/>
        <v>417985.08788167726</v>
      </c>
      <c r="D12" s="151">
        <f ca="1">IF(ISNA(MATCH($A12,Months,0))=TRUE,0,OFFSET(CashFlow!$B$38,0,MATCH($A12,Months,0),1,1))</f>
        <v>0</v>
      </c>
      <c r="E12" s="152">
        <f t="shared" ca="1" si="2"/>
        <v>0</v>
      </c>
      <c r="F12" s="152">
        <f t="shared" ca="1" si="3"/>
        <v>0</v>
      </c>
      <c r="G12" s="152">
        <f t="shared" ca="1" si="0"/>
        <v>0</v>
      </c>
      <c r="H12" s="153">
        <f ca="1">IF(ROUND(SUM(C12:D12,-G12),0)=0,0,IF($B$6="Yes",SUM($D$9:D12),SUM(C12:D12,-G12)))</f>
        <v>417985.08788167726</v>
      </c>
      <c r="I12" s="154" t="str">
        <f ca="1">IF(E12&gt;0,MAX(I$9:I11)+1,"-")</f>
        <v>-</v>
      </c>
      <c r="J12" s="151"/>
      <c r="K12" s="151"/>
      <c r="L12" s="151"/>
      <c r="M12" s="151"/>
    </row>
    <row r="13" spans="1:13" s="100" customFormat="1" ht="16.149999999999999" customHeight="1" x14ac:dyDescent="0.25">
      <c r="A13" s="135">
        <f t="shared" ca="1" si="4"/>
        <v>44283</v>
      </c>
      <c r="B13" s="150">
        <f ca="1">IF(AND(B12&gt;A12,B12&lt;=A13),B12,DATE(YEAR(A13),MONTH(A13),IF(AND(MONTH(A13)=2,Assumptions!$F$79&gt;28),28,Assumptions!$F$79)))</f>
        <v>44265</v>
      </c>
      <c r="C13" s="151">
        <f t="shared" ca="1" si="1"/>
        <v>417985.08788167726</v>
      </c>
      <c r="D13" s="151">
        <f ca="1">IF(ISNA(MATCH($A13,Months,0))=TRUE,0,OFFSET(CashFlow!$B$38,0,MATCH($A13,Months,0),1,1))</f>
        <v>0</v>
      </c>
      <c r="E13" s="152">
        <f t="shared" ca="1" si="2"/>
        <v>0</v>
      </c>
      <c r="F13" s="152">
        <f t="shared" ca="1" si="3"/>
        <v>0</v>
      </c>
      <c r="G13" s="152">
        <f t="shared" ca="1" si="0"/>
        <v>0</v>
      </c>
      <c r="H13" s="153">
        <f ca="1">IF(ROUND(SUM(C13:D13,-G13),0)=0,0,IF($B$6="Yes",SUM($D$9:D13),SUM(C13:D13,-G13)))</f>
        <v>417985.08788167726</v>
      </c>
      <c r="I13" s="154" t="str">
        <f ca="1">IF(E13&gt;0,MAX(I$9:I12)+1,"-")</f>
        <v>-</v>
      </c>
      <c r="J13" s="151"/>
      <c r="K13" s="151"/>
      <c r="L13" s="151"/>
      <c r="M13" s="151"/>
    </row>
    <row r="14" spans="1:13" s="100" customFormat="1" ht="16.149999999999999" customHeight="1" x14ac:dyDescent="0.25">
      <c r="A14" s="135">
        <f t="shared" ca="1" si="4"/>
        <v>44290</v>
      </c>
      <c r="B14" s="150">
        <f ca="1">IF(AND(B13&gt;A13,B13&lt;=A14),B13,DATE(YEAR(A14),MONTH(A14),IF(AND(MONTH(A14)=2,Assumptions!$F$79&gt;28),28,Assumptions!$F$79)))</f>
        <v>44296</v>
      </c>
      <c r="C14" s="151">
        <f t="shared" ca="1" si="1"/>
        <v>417985.08788167726</v>
      </c>
      <c r="D14" s="151">
        <f ca="1">IF(ISNA(MATCH($A14,Months,0))=TRUE,0,OFFSET(CashFlow!$B$38,0,MATCH($A14,Months,0),1,1))</f>
        <v>0</v>
      </c>
      <c r="E14" s="152">
        <f t="shared" ca="1" si="2"/>
        <v>0</v>
      </c>
      <c r="F14" s="152">
        <f t="shared" ca="1" si="3"/>
        <v>0</v>
      </c>
      <c r="G14" s="152">
        <f t="shared" ca="1" si="0"/>
        <v>0</v>
      </c>
      <c r="H14" s="153">
        <f ca="1">IF(ROUND(SUM(C14:D14,-G14),0)=0,0,IF($B$6="Yes",SUM($D$9:D14),SUM(C14:D14,-G14)))</f>
        <v>417985.08788167726</v>
      </c>
      <c r="I14" s="154" t="str">
        <f ca="1">IF(E14&gt;0,MAX(I$9:I13)+1,"-")</f>
        <v>-</v>
      </c>
      <c r="J14" s="151"/>
      <c r="K14" s="151"/>
      <c r="L14" s="151"/>
      <c r="M14" s="151"/>
    </row>
    <row r="15" spans="1:13" s="100" customFormat="1" ht="16.149999999999999" customHeight="1" x14ac:dyDescent="0.25">
      <c r="A15" s="135">
        <f t="shared" ca="1" si="4"/>
        <v>44297</v>
      </c>
      <c r="B15" s="150">
        <f ca="1">IF(AND(B14&gt;A14,B14&lt;=A15),B14,DATE(YEAR(A15),MONTH(A15),IF(AND(MONTH(A15)=2,Assumptions!$F$79&gt;28),28,Assumptions!$F$79)))</f>
        <v>44296</v>
      </c>
      <c r="C15" s="151">
        <f t="shared" ca="1" si="1"/>
        <v>417985.08788167726</v>
      </c>
      <c r="D15" s="151">
        <f ca="1">IF(ISNA(MATCH($A15,Months,0))=TRUE,0,OFFSET(CashFlow!$B$38,0,MATCH($A15,Months,0),1,1))</f>
        <v>0</v>
      </c>
      <c r="E15" s="152">
        <f t="shared" ca="1" si="2"/>
        <v>11087.82878498939</v>
      </c>
      <c r="F15" s="152">
        <f t="shared" ca="1" si="3"/>
        <v>4005.6904255327408</v>
      </c>
      <c r="G15" s="152">
        <f t="shared" ca="1" si="0"/>
        <v>7082.1383594566487</v>
      </c>
      <c r="H15" s="153">
        <f ca="1">IF(ROUND(SUM(C15:D15,-G15),0)=0,0,IF($B$6="Yes",SUM($D$9:D15),SUM(C15:D15,-G15)))</f>
        <v>410902.94952222059</v>
      </c>
      <c r="I15" s="154">
        <f ca="1">IF(E15&gt;0,MAX(I$9:I14)+1,"-")</f>
        <v>2</v>
      </c>
      <c r="J15" s="151"/>
      <c r="K15" s="151"/>
      <c r="L15" s="151"/>
      <c r="M15" s="151"/>
    </row>
    <row r="16" spans="1:13" s="100" customFormat="1" ht="16.149999999999999" customHeight="1" x14ac:dyDescent="0.25">
      <c r="A16" s="135">
        <f t="shared" ca="1" si="4"/>
        <v>44304</v>
      </c>
      <c r="B16" s="150">
        <f ca="1">IF(AND(B15&gt;A15,B15&lt;=A16),B15,DATE(YEAR(A16),MONTH(A16),IF(AND(MONTH(A16)=2,Assumptions!$F$79&gt;28),28,Assumptions!$F$79)))</f>
        <v>44296</v>
      </c>
      <c r="C16" s="151">
        <f t="shared" ca="1" si="1"/>
        <v>410902.94952222059</v>
      </c>
      <c r="D16" s="151">
        <f ca="1">IF(ISNA(MATCH($A16,Months,0))=TRUE,0,OFFSET(CashFlow!$B$38,0,MATCH($A16,Months,0),1,1))</f>
        <v>0</v>
      </c>
      <c r="E16" s="152">
        <f t="shared" ca="1" si="2"/>
        <v>0</v>
      </c>
      <c r="F16" s="152">
        <f t="shared" ca="1" si="3"/>
        <v>0</v>
      </c>
      <c r="G16" s="152">
        <f t="shared" ca="1" si="0"/>
        <v>0</v>
      </c>
      <c r="H16" s="153">
        <f ca="1">IF(ROUND(SUM(C16:D16,-G16),0)=0,0,IF($B$6="Yes",SUM($D$9:D16),SUM(C16:D16,-G16)))</f>
        <v>410902.94952222059</v>
      </c>
      <c r="I16" s="154" t="str">
        <f ca="1">IF(E16&gt;0,MAX(I$9:I15)+1,"-")</f>
        <v>-</v>
      </c>
      <c r="J16" s="151"/>
      <c r="K16" s="151"/>
      <c r="L16" s="151"/>
      <c r="M16" s="151"/>
    </row>
    <row r="17" spans="1:13" s="100" customFormat="1" ht="16.149999999999999" customHeight="1" x14ac:dyDescent="0.25">
      <c r="A17" s="135">
        <f t="shared" ca="1" si="4"/>
        <v>44311</v>
      </c>
      <c r="B17" s="150">
        <f ca="1">IF(AND(B16&gt;A16,B16&lt;=A17),B16,DATE(YEAR(A17),MONTH(A17),IF(AND(MONTH(A17)=2,Assumptions!$F$79&gt;28),28,Assumptions!$F$79)))</f>
        <v>44296</v>
      </c>
      <c r="C17" s="151">
        <f t="shared" ca="1" si="1"/>
        <v>410902.94952222059</v>
      </c>
      <c r="D17" s="151">
        <f ca="1">IF(ISNA(MATCH($A17,Months,0))=TRUE,0,OFFSET(CashFlow!$B$38,0,MATCH($A17,Months,0),1,1))</f>
        <v>0</v>
      </c>
      <c r="E17" s="152">
        <f t="shared" ca="1" si="2"/>
        <v>0</v>
      </c>
      <c r="F17" s="152">
        <f t="shared" ca="1" si="3"/>
        <v>0</v>
      </c>
      <c r="G17" s="152">
        <f t="shared" ca="1" si="0"/>
        <v>0</v>
      </c>
      <c r="H17" s="153">
        <f ca="1">IF(ROUND(SUM(C17:D17,-G17),0)=0,0,IF($B$6="Yes",SUM($D$9:D17),SUM(C17:D17,-G17)))</f>
        <v>410902.94952222059</v>
      </c>
      <c r="I17" s="154" t="str">
        <f ca="1">IF(E17&gt;0,MAX(I$9:I16)+1,"-")</f>
        <v>-</v>
      </c>
      <c r="J17" s="151"/>
      <c r="K17" s="151"/>
      <c r="L17" s="151"/>
      <c r="M17" s="151"/>
    </row>
    <row r="18" spans="1:13" s="100" customFormat="1" ht="16.149999999999999" customHeight="1" x14ac:dyDescent="0.25">
      <c r="A18" s="135">
        <f t="shared" ca="1" si="4"/>
        <v>44318</v>
      </c>
      <c r="B18" s="150">
        <f ca="1">IF(AND(B17&gt;A17,B17&lt;=A18),B17,DATE(YEAR(A18),MONTH(A18),IF(AND(MONTH(A18)=2,Assumptions!$F$79&gt;28),28,Assumptions!$F$79)))</f>
        <v>44326</v>
      </c>
      <c r="C18" s="151">
        <f t="shared" ca="1" si="1"/>
        <v>410902.94952222059</v>
      </c>
      <c r="D18" s="151">
        <f ca="1">IF(ISNA(MATCH($A18,Months,0))=TRUE,0,OFFSET(CashFlow!$B$38,0,MATCH($A18,Months,0),1,1))</f>
        <v>0</v>
      </c>
      <c r="E18" s="152">
        <f t="shared" ca="1" si="2"/>
        <v>0</v>
      </c>
      <c r="F18" s="152">
        <f t="shared" ca="1" si="3"/>
        <v>0</v>
      </c>
      <c r="G18" s="152">
        <f t="shared" ca="1" si="0"/>
        <v>0</v>
      </c>
      <c r="H18" s="153">
        <f ca="1">IF(ROUND(SUM(C18:D18,-G18),0)=0,0,IF($B$6="Yes",SUM($D$9:D18),SUM(C18:D18,-G18)))</f>
        <v>410902.94952222059</v>
      </c>
      <c r="I18" s="154" t="str">
        <f ca="1">IF(E18&gt;0,MAX(I$9:I17)+1,"-")</f>
        <v>-</v>
      </c>
      <c r="J18" s="151"/>
      <c r="K18" s="151"/>
      <c r="L18" s="151"/>
      <c r="M18" s="151"/>
    </row>
    <row r="19" spans="1:13" s="100" customFormat="1" ht="16.149999999999999" customHeight="1" x14ac:dyDescent="0.25">
      <c r="A19" s="135">
        <f t="shared" ca="1" si="4"/>
        <v>44325</v>
      </c>
      <c r="B19" s="150">
        <f ca="1">IF(AND(B18&gt;A18,B18&lt;=A19),B18,DATE(YEAR(A19),MONTH(A19),IF(AND(MONTH(A19)=2,Assumptions!$F$79&gt;28),28,Assumptions!$F$79)))</f>
        <v>44326</v>
      </c>
      <c r="C19" s="151">
        <f t="shared" ca="1" si="1"/>
        <v>410902.94952222059</v>
      </c>
      <c r="D19" s="151">
        <f ca="1">IF(ISNA(MATCH($A19,Months,0))=TRUE,0,OFFSET(CashFlow!$B$38,0,MATCH($A19,Months,0),1,1))</f>
        <v>0</v>
      </c>
      <c r="E19" s="152">
        <f t="shared" ca="1" si="2"/>
        <v>0</v>
      </c>
      <c r="F19" s="152">
        <f t="shared" ca="1" si="3"/>
        <v>0</v>
      </c>
      <c r="G19" s="152">
        <f t="shared" ca="1" si="0"/>
        <v>0</v>
      </c>
      <c r="H19" s="153">
        <f ca="1">IF(ROUND(SUM(C19:D19,-G19),0)=0,0,IF($B$6="Yes",SUM($D$9:D19),SUM(C19:D19,-G19)))</f>
        <v>410902.94952222059</v>
      </c>
      <c r="I19" s="154" t="str">
        <f ca="1">IF(E19&gt;0,MAX(I$9:I18)+1,"-")</f>
        <v>-</v>
      </c>
      <c r="J19" s="151"/>
      <c r="K19" s="151"/>
      <c r="L19" s="151"/>
      <c r="M19" s="151"/>
    </row>
    <row r="20" spans="1:13" ht="16.149999999999999" customHeight="1" x14ac:dyDescent="0.25">
      <c r="A20" s="135">
        <f t="shared" ca="1" si="4"/>
        <v>44332</v>
      </c>
      <c r="B20" s="150">
        <f ca="1">IF(AND(B19&gt;A19,B19&lt;=A20),B19,DATE(YEAR(A20),MONTH(A20),IF(AND(MONTH(A20)=2,Assumptions!$F$79&gt;28),28,Assumptions!$F$79)))</f>
        <v>44326</v>
      </c>
      <c r="C20" s="151">
        <f t="shared" ca="1" si="1"/>
        <v>410902.94952222059</v>
      </c>
      <c r="D20" s="151">
        <f ca="1">IF(ISNA(MATCH($A20,Months,0))=TRUE,0,OFFSET(CashFlow!$B$38,0,MATCH($A20,Months,0),1,1))</f>
        <v>0</v>
      </c>
      <c r="E20" s="152">
        <f t="shared" ca="1" si="2"/>
        <v>11087.82878498939</v>
      </c>
      <c r="F20" s="152">
        <f t="shared" ca="1" si="3"/>
        <v>3937.8199329212807</v>
      </c>
      <c r="G20" s="152">
        <f t="shared" ca="1" si="0"/>
        <v>7150.0088520681093</v>
      </c>
      <c r="H20" s="153">
        <f ca="1">IF(ROUND(SUM(C20:D20,-G20),0)=0,0,IF($B$6="Yes",SUM($D$9:D20),SUM(C20:D20,-G20)))</f>
        <v>403752.94067015249</v>
      </c>
      <c r="I20" s="154">
        <f ca="1">IF(E20&gt;0,MAX(I$9:I19)+1,"-")</f>
        <v>3</v>
      </c>
    </row>
    <row r="21" spans="1:13" ht="16.149999999999999" customHeight="1" x14ac:dyDescent="0.25">
      <c r="A21" s="135">
        <f t="shared" ca="1" si="4"/>
        <v>44339</v>
      </c>
      <c r="B21" s="150">
        <f ca="1">IF(AND(B20&gt;A20,B20&lt;=A21),B20,DATE(YEAR(A21),MONTH(A21),IF(AND(MONTH(A21)=2,Assumptions!$F$79&gt;28),28,Assumptions!$F$79)))</f>
        <v>44326</v>
      </c>
      <c r="C21" s="151">
        <f t="shared" ca="1" si="1"/>
        <v>403752.94067015249</v>
      </c>
      <c r="D21" s="151">
        <f ca="1">IF(ISNA(MATCH($A21,Months,0))=TRUE,0,OFFSET(CashFlow!$B$38,0,MATCH($A21,Months,0),1,1))</f>
        <v>0</v>
      </c>
      <c r="E21" s="152">
        <f t="shared" ca="1" si="2"/>
        <v>0</v>
      </c>
      <c r="F21" s="152">
        <f t="shared" ca="1" si="3"/>
        <v>0</v>
      </c>
      <c r="G21" s="152">
        <f t="shared" ca="1" si="0"/>
        <v>0</v>
      </c>
      <c r="H21" s="153">
        <f ca="1">IF(ROUND(SUM(C21:D21,-G21),0)=0,0,IF($B$6="Yes",SUM($D$9:D21),SUM(C21:D21,-G21)))</f>
        <v>403752.94067015249</v>
      </c>
      <c r="I21" s="154" t="str">
        <f ca="1">IF(E21&gt;0,MAX(I$9:I20)+1,"-")</f>
        <v>-</v>
      </c>
    </row>
    <row r="22" spans="1:13" ht="16.149999999999999" customHeight="1" x14ac:dyDescent="0.25">
      <c r="A22" s="135">
        <f t="shared" ca="1" si="4"/>
        <v>44346</v>
      </c>
      <c r="B22" s="150">
        <f ca="1">IF(AND(B21&gt;A21,B21&lt;=A22),B21,DATE(YEAR(A22),MONTH(A22),IF(AND(MONTH(A22)=2,Assumptions!$F$79&gt;28),28,Assumptions!$F$79)))</f>
        <v>44326</v>
      </c>
      <c r="C22" s="151">
        <f t="shared" ca="1" si="1"/>
        <v>403752.94067015249</v>
      </c>
      <c r="D22" s="151">
        <f ca="1">IF(ISNA(MATCH($A22,Months,0))=TRUE,0,OFFSET(CashFlow!$B$38,0,MATCH($A22,Months,0),1,1))</f>
        <v>0</v>
      </c>
      <c r="E22" s="152">
        <f t="shared" ca="1" si="2"/>
        <v>0</v>
      </c>
      <c r="F22" s="152">
        <f t="shared" ca="1" si="3"/>
        <v>0</v>
      </c>
      <c r="G22" s="152">
        <f t="shared" ca="1" si="0"/>
        <v>0</v>
      </c>
      <c r="H22" s="153">
        <f ca="1">IF(ROUND(SUM(C22:D22,-G22),0)=0,0,IF($B$6="Yes",SUM($D$9:D22),SUM(C22:D22,-G22)))</f>
        <v>403752.94067015249</v>
      </c>
      <c r="I22" s="154" t="str">
        <f ca="1">IF(E22&gt;0,MAX(I$9:I21)+1,"-")</f>
        <v>-</v>
      </c>
    </row>
    <row r="23" spans="1:13" s="156" customFormat="1" ht="16.149999999999999" customHeight="1" x14ac:dyDescent="0.25">
      <c r="A23" s="135">
        <f t="shared" ca="1" si="4"/>
        <v>44353</v>
      </c>
      <c r="B23" s="150">
        <f ca="1">IF(AND(B22&gt;A22,B22&lt;=A23),B22,DATE(YEAR(A23),MONTH(A23),IF(AND(MONTH(A23)=2,Assumptions!$F$79&gt;28),28,Assumptions!$F$79)))</f>
        <v>44357</v>
      </c>
      <c r="C23" s="151">
        <f t="shared" ca="1" si="1"/>
        <v>403752.94067015249</v>
      </c>
      <c r="D23" s="151">
        <f ca="1">IF(ISNA(MATCH($A23,Months,0))=TRUE,0,OFFSET(CashFlow!$B$38,0,MATCH($A23,Months,0),1,1))</f>
        <v>0</v>
      </c>
      <c r="E23" s="152">
        <f t="shared" ca="1" si="2"/>
        <v>0</v>
      </c>
      <c r="F23" s="152">
        <f t="shared" ca="1" si="3"/>
        <v>0</v>
      </c>
      <c r="G23" s="152">
        <f t="shared" ca="1" si="0"/>
        <v>0</v>
      </c>
      <c r="H23" s="153">
        <f ca="1">IF(ROUND(SUM(C23:D23,-G23),0)=0,0,IF($B$6="Yes",SUM($D$9:D23),SUM(C23:D23,-G23)))</f>
        <v>403752.94067015249</v>
      </c>
      <c r="I23" s="154" t="str">
        <f ca="1">IF(E23&gt;0,MAX(I$9:I22)+1,"-")</f>
        <v>-</v>
      </c>
      <c r="J23" s="155"/>
      <c r="K23" s="155"/>
      <c r="L23" s="155"/>
      <c r="M23" s="155"/>
    </row>
    <row r="24" spans="1:13" ht="16.149999999999999" customHeight="1" x14ac:dyDescent="0.25">
      <c r="A24" s="135">
        <f t="shared" ca="1" si="4"/>
        <v>44360</v>
      </c>
      <c r="B24" s="150">
        <f ca="1">IF(AND(B23&gt;A23,B23&lt;=A24),B23,DATE(YEAR(A24),MONTH(A24),IF(AND(MONTH(A24)=2,Assumptions!$F$79&gt;28),28,Assumptions!$F$79)))</f>
        <v>44357</v>
      </c>
      <c r="C24" s="151">
        <f t="shared" ca="1" si="1"/>
        <v>403752.94067015249</v>
      </c>
      <c r="D24" s="151">
        <f ca="1">IF(ISNA(MATCH($A24,Months,0))=TRUE,0,OFFSET(CashFlow!$B$38,0,MATCH($A24,Months,0),1,1))</f>
        <v>0</v>
      </c>
      <c r="E24" s="152">
        <f t="shared" ca="1" si="2"/>
        <v>11087.82878498939</v>
      </c>
      <c r="F24" s="152">
        <f t="shared" ca="1" si="3"/>
        <v>3869.2990147556284</v>
      </c>
      <c r="G24" s="152">
        <f t="shared" ca="1" si="0"/>
        <v>7218.5297702337612</v>
      </c>
      <c r="H24" s="153">
        <f ca="1">IF(ROUND(SUM(C24:D24,-G24),0)=0,0,IF($B$6="Yes",SUM($D$9:D24),SUM(C24:D24,-G24)))</f>
        <v>396534.4108999187</v>
      </c>
      <c r="I24" s="154">
        <f ca="1">IF(E24&gt;0,MAX(I$9:I23)+1,"-")</f>
        <v>4</v>
      </c>
    </row>
    <row r="25" spans="1:13" ht="16.149999999999999" customHeight="1" x14ac:dyDescent="0.25">
      <c r="A25" s="135">
        <f t="shared" ca="1" si="4"/>
        <v>44367</v>
      </c>
      <c r="B25" s="150">
        <f ca="1">IF(AND(B24&gt;A24,B24&lt;=A25),B24,DATE(YEAR(A25),MONTH(A25),IF(AND(MONTH(A25)=2,Assumptions!$F$79&gt;28),28,Assumptions!$F$79)))</f>
        <v>44357</v>
      </c>
      <c r="C25" s="151">
        <f t="shared" ca="1" si="1"/>
        <v>396534.4108999187</v>
      </c>
      <c r="D25" s="151">
        <f ca="1">IF(ISNA(MATCH($A25,Months,0))=TRUE,0,OFFSET(CashFlow!$B$38,0,MATCH($A25,Months,0),1,1))</f>
        <v>0</v>
      </c>
      <c r="E25" s="152">
        <f t="shared" ca="1" si="2"/>
        <v>0</v>
      </c>
      <c r="F25" s="152">
        <f t="shared" ca="1" si="3"/>
        <v>0</v>
      </c>
      <c r="G25" s="152">
        <f t="shared" ca="1" si="0"/>
        <v>0</v>
      </c>
      <c r="H25" s="153">
        <f ca="1">IF(ROUND(SUM(C25:D25,-G25),0)=0,0,IF($B$6="Yes",SUM($D$9:D25),SUM(C25:D25,-G25)))</f>
        <v>396534.4108999187</v>
      </c>
      <c r="I25" s="154" t="str">
        <f ca="1">IF(E25&gt;0,MAX(I$9:I24)+1,"-")</f>
        <v>-</v>
      </c>
    </row>
    <row r="26" spans="1:13" ht="16.149999999999999" customHeight="1" x14ac:dyDescent="0.25">
      <c r="A26" s="135">
        <f t="shared" ca="1" si="4"/>
        <v>44374</v>
      </c>
      <c r="B26" s="150">
        <f ca="1">IF(AND(B25&gt;A25,B25&lt;=A26),B25,DATE(YEAR(A26),MONTH(A26),IF(AND(MONTH(A26)=2,Assumptions!$F$79&gt;28),28,Assumptions!$F$79)))</f>
        <v>44357</v>
      </c>
      <c r="C26" s="151">
        <f t="shared" ca="1" si="1"/>
        <v>396534.4108999187</v>
      </c>
      <c r="D26" s="151">
        <f ca="1">IF(ISNA(MATCH($A26,Months,0))=TRUE,0,OFFSET(CashFlow!$B$38,0,MATCH($A26,Months,0),1,1))</f>
        <v>0</v>
      </c>
      <c r="E26" s="152">
        <f t="shared" ca="1" si="2"/>
        <v>0</v>
      </c>
      <c r="F26" s="152">
        <f t="shared" ca="1" si="3"/>
        <v>0</v>
      </c>
      <c r="G26" s="152">
        <f t="shared" ca="1" si="0"/>
        <v>0</v>
      </c>
      <c r="H26" s="153">
        <f ca="1">IF(ROUND(SUM(C26:D26,-G26),0)=0,0,IF($B$6="Yes",SUM($D$9:D26),SUM(C26:D26,-G26)))</f>
        <v>396534.4108999187</v>
      </c>
      <c r="I26" s="154" t="str">
        <f ca="1">IF(E26&gt;0,MAX(I$9:I25)+1,"-")</f>
        <v>-</v>
      </c>
    </row>
    <row r="27" spans="1:13" ht="16.149999999999999" customHeight="1" x14ac:dyDescent="0.25">
      <c r="A27" s="135">
        <f t="shared" ca="1" si="4"/>
        <v>44381</v>
      </c>
      <c r="B27" s="150">
        <f ca="1">IF(AND(B26&gt;A26,B26&lt;=A27),B26,DATE(YEAR(A27),MONTH(A27),IF(AND(MONTH(A27)=2,Assumptions!$F$79&gt;28),28,Assumptions!$F$79)))</f>
        <v>44387</v>
      </c>
      <c r="C27" s="151">
        <f t="shared" ca="1" si="1"/>
        <v>396534.4108999187</v>
      </c>
      <c r="D27" s="151">
        <f ca="1">IF(ISNA(MATCH($A27,Months,0))=TRUE,0,OFFSET(CashFlow!$B$38,0,MATCH($A27,Months,0),1,1))</f>
        <v>0</v>
      </c>
      <c r="E27" s="152">
        <f t="shared" ca="1" si="2"/>
        <v>0</v>
      </c>
      <c r="F27" s="152">
        <f t="shared" ca="1" si="3"/>
        <v>0</v>
      </c>
      <c r="G27" s="152">
        <f t="shared" ca="1" si="0"/>
        <v>0</v>
      </c>
      <c r="H27" s="153">
        <f ca="1">IF(ROUND(SUM(C27:D27,-G27),0)=0,0,IF($B$6="Yes",SUM($D$9:D27),SUM(C27:D27,-G27)))</f>
        <v>396534.4108999187</v>
      </c>
      <c r="I27" s="154" t="str">
        <f ca="1">IF(E27&gt;0,MAX(I$9:I26)+1,"-")</f>
        <v>-</v>
      </c>
    </row>
    <row r="28" spans="1:13" ht="16.149999999999999" customHeight="1" x14ac:dyDescent="0.25">
      <c r="A28" s="135">
        <f t="shared" ca="1" si="4"/>
        <v>44388</v>
      </c>
      <c r="B28" s="150">
        <f ca="1">IF(AND(B27&gt;A27,B27&lt;=A28),B27,DATE(YEAR(A28),MONTH(A28),IF(AND(MONTH(A28)=2,Assumptions!$F$79&gt;28),28,Assumptions!$F$79)))</f>
        <v>44387</v>
      </c>
      <c r="C28" s="151">
        <f t="shared" ca="1" si="1"/>
        <v>396534.4108999187</v>
      </c>
      <c r="D28" s="151">
        <f ca="1">IF(ISNA(MATCH($A28,Months,0))=TRUE,0,OFFSET(CashFlow!$B$38,0,MATCH($A28,Months,0),1,1))</f>
        <v>0</v>
      </c>
      <c r="E28" s="152">
        <f t="shared" ca="1" si="2"/>
        <v>11087.82878498939</v>
      </c>
      <c r="F28" s="152">
        <f t="shared" ca="1" si="3"/>
        <v>3800.1214377908877</v>
      </c>
      <c r="G28" s="152">
        <f t="shared" ca="1" si="0"/>
        <v>7287.7073471985022</v>
      </c>
      <c r="H28" s="153">
        <f ca="1">IF(ROUND(SUM(C28:D28,-G28),0)=0,0,IF($B$6="Yes",SUM($D$9:D28),SUM(C28:D28,-G28)))</f>
        <v>389246.7035527202</v>
      </c>
      <c r="I28" s="154">
        <f ca="1">IF(E28&gt;0,MAX(I$9:I27)+1,"-")</f>
        <v>5</v>
      </c>
    </row>
    <row r="29" spans="1:13" ht="16.149999999999999" customHeight="1" x14ac:dyDescent="0.25">
      <c r="A29" s="135">
        <f t="shared" ca="1" si="4"/>
        <v>44395</v>
      </c>
      <c r="B29" s="150">
        <f ca="1">IF(AND(B28&gt;A28,B28&lt;=A29),B28,DATE(YEAR(A29),MONTH(A29),IF(AND(MONTH(A29)=2,Assumptions!$F$79&gt;28),28,Assumptions!$F$79)))</f>
        <v>44387</v>
      </c>
      <c r="C29" s="151">
        <f t="shared" ca="1" si="1"/>
        <v>389246.7035527202</v>
      </c>
      <c r="D29" s="151">
        <f ca="1">IF(ISNA(MATCH($A29,Months,0))=TRUE,0,OFFSET(CashFlow!$B$38,0,MATCH($A29,Months,0),1,1))</f>
        <v>0</v>
      </c>
      <c r="E29" s="152">
        <f t="shared" ca="1" si="2"/>
        <v>0</v>
      </c>
      <c r="F29" s="152">
        <f t="shared" ca="1" si="3"/>
        <v>0</v>
      </c>
      <c r="G29" s="152">
        <f t="shared" ca="1" si="0"/>
        <v>0</v>
      </c>
      <c r="H29" s="153">
        <f ca="1">IF(ROUND(SUM(C29:D29,-G29),0)=0,0,IF($B$6="Yes",SUM($D$9:D29),SUM(C29:D29,-G29)))</f>
        <v>389246.7035527202</v>
      </c>
      <c r="I29" s="154" t="str">
        <f ca="1">IF(E29&gt;0,MAX(I$9:I28)+1,"-")</f>
        <v>-</v>
      </c>
    </row>
    <row r="30" spans="1:13" ht="16.149999999999999" customHeight="1" x14ac:dyDescent="0.25">
      <c r="A30" s="135">
        <f t="shared" ca="1" si="4"/>
        <v>44402</v>
      </c>
      <c r="B30" s="150">
        <f ca="1">IF(AND(B29&gt;A29,B29&lt;=A30),B29,DATE(YEAR(A30),MONTH(A30),IF(AND(MONTH(A30)=2,Assumptions!$F$79&gt;28),28,Assumptions!$F$79)))</f>
        <v>44387</v>
      </c>
      <c r="C30" s="151">
        <f t="shared" ca="1" si="1"/>
        <v>389246.7035527202</v>
      </c>
      <c r="D30" s="151">
        <f ca="1">IF(ISNA(MATCH($A30,Months,0))=TRUE,0,OFFSET(CashFlow!$B$38,0,MATCH($A30,Months,0),1,1))</f>
        <v>0</v>
      </c>
      <c r="E30" s="152">
        <f t="shared" ca="1" si="2"/>
        <v>0</v>
      </c>
      <c r="F30" s="152">
        <f t="shared" ca="1" si="3"/>
        <v>0</v>
      </c>
      <c r="G30" s="152">
        <f t="shared" ca="1" si="0"/>
        <v>0</v>
      </c>
      <c r="H30" s="153">
        <f ca="1">IF(ROUND(SUM(C30:D30,-G30),0)=0,0,IF($B$6="Yes",SUM($D$9:D30),SUM(C30:D30,-G30)))</f>
        <v>389246.7035527202</v>
      </c>
      <c r="I30" s="154" t="str">
        <f ca="1">IF(E30&gt;0,MAX(I$9:I29)+1,"-")</f>
        <v>-</v>
      </c>
    </row>
    <row r="31" spans="1:13" ht="16.149999999999999" customHeight="1" x14ac:dyDescent="0.25">
      <c r="A31" s="135">
        <f t="shared" ca="1" si="4"/>
        <v>44409</v>
      </c>
      <c r="B31" s="150">
        <f ca="1">IF(AND(B30&gt;A30,B30&lt;=A31),B30,DATE(YEAR(A31),MONTH(A31),IF(AND(MONTH(A31)=2,Assumptions!$F$79&gt;28),28,Assumptions!$F$79)))</f>
        <v>44418</v>
      </c>
      <c r="C31" s="151">
        <f t="shared" ca="1" si="1"/>
        <v>389246.7035527202</v>
      </c>
      <c r="D31" s="151">
        <f ca="1">IF(ISNA(MATCH($A31,Months,0))=TRUE,0,OFFSET(CashFlow!$B$38,0,MATCH($A31,Months,0),1,1))</f>
        <v>0</v>
      </c>
      <c r="E31" s="152">
        <f t="shared" ca="1" si="2"/>
        <v>0</v>
      </c>
      <c r="F31" s="152">
        <f t="shared" ca="1" si="3"/>
        <v>0</v>
      </c>
      <c r="G31" s="152">
        <f t="shared" ca="1" si="0"/>
        <v>0</v>
      </c>
      <c r="H31" s="153">
        <f ca="1">IF(ROUND(SUM(C31:D31,-G31),0)=0,0,IF($B$6="Yes",SUM($D$9:D31),SUM(C31:D31,-G31)))</f>
        <v>389246.7035527202</v>
      </c>
      <c r="I31" s="154" t="str">
        <f ca="1">IF(E31&gt;0,MAX(I$9:I30)+1,"-")</f>
        <v>-</v>
      </c>
    </row>
    <row r="32" spans="1:13" ht="16.149999999999999" customHeight="1" x14ac:dyDescent="0.25">
      <c r="A32" s="135">
        <f t="shared" ca="1" si="4"/>
        <v>44416</v>
      </c>
      <c r="B32" s="150">
        <f ca="1">IF(AND(B31&gt;A31,B31&lt;=A32),B31,DATE(YEAR(A32),MONTH(A32),IF(AND(MONTH(A32)=2,Assumptions!$F$79&gt;28),28,Assumptions!$F$79)))</f>
        <v>44418</v>
      </c>
      <c r="C32" s="151">
        <f t="shared" ca="1" si="1"/>
        <v>389246.7035527202</v>
      </c>
      <c r="D32" s="151">
        <f ca="1">IF(ISNA(MATCH($A32,Months,0))=TRUE,0,OFFSET(CashFlow!$B$38,0,MATCH($A32,Months,0),1,1))</f>
        <v>0</v>
      </c>
      <c r="E32" s="152">
        <f t="shared" ca="1" si="2"/>
        <v>0</v>
      </c>
      <c r="F32" s="152">
        <f t="shared" ca="1" si="3"/>
        <v>0</v>
      </c>
      <c r="G32" s="152">
        <f t="shared" ca="1" si="0"/>
        <v>0</v>
      </c>
      <c r="H32" s="153">
        <f ca="1">IF(ROUND(SUM(C32:D32,-G32),0)=0,0,IF($B$6="Yes",SUM($D$9:D32),SUM(C32:D32,-G32)))</f>
        <v>389246.7035527202</v>
      </c>
      <c r="I32" s="154" t="str">
        <f ca="1">IF(E32&gt;0,MAX(I$9:I31)+1,"-")</f>
        <v>-</v>
      </c>
    </row>
    <row r="33" spans="1:9" ht="16.149999999999999" customHeight="1" x14ac:dyDescent="0.25">
      <c r="A33" s="135">
        <f t="shared" ca="1" si="4"/>
        <v>44423</v>
      </c>
      <c r="B33" s="150">
        <f ca="1">IF(AND(B32&gt;A32,B32&lt;=A33),B32,DATE(YEAR(A33),MONTH(A33),IF(AND(MONTH(A33)=2,Assumptions!$F$79&gt;28),28,Assumptions!$F$79)))</f>
        <v>44418</v>
      </c>
      <c r="C33" s="151">
        <f t="shared" ca="1" si="1"/>
        <v>389246.7035527202</v>
      </c>
      <c r="D33" s="151">
        <f ca="1">IF(ISNA(MATCH($A33,Months,0))=TRUE,0,OFFSET(CashFlow!$B$38,0,MATCH($A33,Months,0),1,1))</f>
        <v>0</v>
      </c>
      <c r="E33" s="152">
        <f t="shared" ca="1" si="2"/>
        <v>11087.82878498939</v>
      </c>
      <c r="F33" s="152">
        <f t="shared" ca="1" si="3"/>
        <v>3730.2809090469018</v>
      </c>
      <c r="G33" s="152">
        <f t="shared" ca="1" si="0"/>
        <v>7357.5478759424877</v>
      </c>
      <c r="H33" s="153">
        <f ca="1">IF(ROUND(SUM(C33:D33,-G33),0)=0,0,IF($B$6="Yes",SUM($D$9:D33),SUM(C33:D33,-G33)))</f>
        <v>381889.15567677771</v>
      </c>
      <c r="I33" s="154">
        <f ca="1">IF(E33&gt;0,MAX(I$9:I32)+1,"-")</f>
        <v>6</v>
      </c>
    </row>
    <row r="34" spans="1:9" ht="16.149999999999999" customHeight="1" x14ac:dyDescent="0.25">
      <c r="A34" s="135">
        <f t="shared" ca="1" si="4"/>
        <v>44430</v>
      </c>
      <c r="B34" s="150">
        <f ca="1">IF(AND(B33&gt;A33,B33&lt;=A34),B33,DATE(YEAR(A34),MONTH(A34),IF(AND(MONTH(A34)=2,Assumptions!$F$79&gt;28),28,Assumptions!$F$79)))</f>
        <v>44418</v>
      </c>
      <c r="C34" s="151">
        <f t="shared" ca="1" si="1"/>
        <v>381889.15567677771</v>
      </c>
      <c r="D34" s="151">
        <f ca="1">IF(ISNA(MATCH($A34,Months,0))=TRUE,0,OFFSET(CashFlow!$B$38,0,MATCH($A34,Months,0),1,1))</f>
        <v>0</v>
      </c>
      <c r="E34" s="152">
        <f t="shared" ca="1" si="2"/>
        <v>0</v>
      </c>
      <c r="F34" s="152">
        <f t="shared" ca="1" si="3"/>
        <v>0</v>
      </c>
      <c r="G34" s="152">
        <f t="shared" ca="1" si="0"/>
        <v>0</v>
      </c>
      <c r="H34" s="153">
        <f ca="1">IF(ROUND(SUM(C34:D34,-G34),0)=0,0,IF($B$6="Yes",SUM($D$9:D34),SUM(C34:D34,-G34)))</f>
        <v>381889.15567677771</v>
      </c>
      <c r="I34" s="154" t="str">
        <f ca="1">IF(E34&gt;0,MAX(I$9:I33)+1,"-")</f>
        <v>-</v>
      </c>
    </row>
    <row r="35" spans="1:9" ht="16.149999999999999" customHeight="1" x14ac:dyDescent="0.25">
      <c r="A35" s="135">
        <f t="shared" ca="1" si="4"/>
        <v>44437</v>
      </c>
      <c r="B35" s="150">
        <f ca="1">IF(AND(B34&gt;A34,B34&lt;=A35),B34,DATE(YEAR(A35),MONTH(A35),IF(AND(MONTH(A35)=2,Assumptions!$F$79&gt;28),28,Assumptions!$F$79)))</f>
        <v>44418</v>
      </c>
      <c r="C35" s="151">
        <f t="shared" ca="1" si="1"/>
        <v>381889.15567677771</v>
      </c>
      <c r="D35" s="151">
        <f ca="1">IF(ISNA(MATCH($A35,Months,0))=TRUE,0,OFFSET(CashFlow!$B$38,0,MATCH($A35,Months,0),1,1))</f>
        <v>0</v>
      </c>
      <c r="E35" s="152">
        <f t="shared" ca="1" si="2"/>
        <v>0</v>
      </c>
      <c r="F35" s="152">
        <f t="shared" ca="1" si="3"/>
        <v>0</v>
      </c>
      <c r="G35" s="152">
        <f t="shared" ca="1" si="0"/>
        <v>0</v>
      </c>
      <c r="H35" s="153">
        <f ca="1">IF(ROUND(SUM(C35:D35,-G35),0)=0,0,IF($B$6="Yes",SUM($D$9:D35),SUM(C35:D35,-G35)))</f>
        <v>381889.15567677771</v>
      </c>
      <c r="I35" s="154" t="str">
        <f ca="1">IF(E35&gt;0,MAX(I$9:I34)+1,"-")</f>
        <v>-</v>
      </c>
    </row>
    <row r="36" spans="1:9" ht="16.149999999999999" customHeight="1" x14ac:dyDescent="0.25">
      <c r="A36" s="135">
        <f t="shared" ca="1" si="4"/>
        <v>44444</v>
      </c>
      <c r="B36" s="150">
        <f ca="1">IF(AND(B35&gt;A35,B35&lt;=A36),B35,DATE(YEAR(A36),MONTH(A36),IF(AND(MONTH(A36)=2,Assumptions!$F$79&gt;28),28,Assumptions!$F$79)))</f>
        <v>44449</v>
      </c>
      <c r="C36" s="151">
        <f t="shared" ca="1" si="1"/>
        <v>381889.15567677771</v>
      </c>
      <c r="D36" s="151">
        <f ca="1">IF(ISNA(MATCH($A36,Months,0))=TRUE,0,OFFSET(CashFlow!$B$38,0,MATCH($A36,Months,0),1,1))</f>
        <v>0</v>
      </c>
      <c r="E36" s="152">
        <f t="shared" ca="1" si="2"/>
        <v>0</v>
      </c>
      <c r="F36" s="152">
        <f t="shared" ca="1" si="3"/>
        <v>0</v>
      </c>
      <c r="G36" s="152">
        <f t="shared" ca="1" si="0"/>
        <v>0</v>
      </c>
      <c r="H36" s="153">
        <f ca="1">IF(ROUND(SUM(C36:D36,-G36),0)=0,0,IF($B$6="Yes",SUM($D$9:D36),SUM(C36:D36,-G36)))</f>
        <v>381889.15567677771</v>
      </c>
      <c r="I36" s="154" t="str">
        <f ca="1">IF(E36&gt;0,MAX(I$9:I35)+1,"-")</f>
        <v>-</v>
      </c>
    </row>
    <row r="37" spans="1:9" ht="16.149999999999999" customHeight="1" x14ac:dyDescent="0.25">
      <c r="A37" s="135">
        <f t="shared" ca="1" si="4"/>
        <v>44451</v>
      </c>
      <c r="B37" s="150">
        <f ca="1">IF(AND(B36&gt;A36,B36&lt;=A37),B36,DATE(YEAR(A37),MONTH(A37),IF(AND(MONTH(A37)=2,Assumptions!$F$79&gt;28),28,Assumptions!$F$79)))</f>
        <v>44449</v>
      </c>
      <c r="C37" s="151">
        <f t="shared" ca="1" si="1"/>
        <v>381889.15567677771</v>
      </c>
      <c r="D37" s="151">
        <f ca="1">IF(ISNA(MATCH($A37,Months,0))=TRUE,0,OFFSET(CashFlow!$B$38,0,MATCH($A37,Months,0),1,1))</f>
        <v>0</v>
      </c>
      <c r="E37" s="152">
        <f t="shared" ca="1" si="2"/>
        <v>11087.82878498939</v>
      </c>
      <c r="F37" s="152">
        <f t="shared" ca="1" si="3"/>
        <v>3659.7710752357866</v>
      </c>
      <c r="G37" s="152">
        <f t="shared" ca="1" si="0"/>
        <v>7428.0577097536025</v>
      </c>
      <c r="H37" s="153">
        <f ca="1">IF(ROUND(SUM(C37:D37,-G37),0)=0,0,IF($B$6="Yes",SUM($D$9:D37),SUM(C37:D37,-G37)))</f>
        <v>374461.09796702408</v>
      </c>
      <c r="I37" s="154">
        <f ca="1">IF(E37&gt;0,MAX(I$9:I36)+1,"-")</f>
        <v>7</v>
      </c>
    </row>
    <row r="38" spans="1:9" ht="16.149999999999999" customHeight="1" x14ac:dyDescent="0.25">
      <c r="A38" s="135">
        <f t="shared" ca="1" si="4"/>
        <v>44458</v>
      </c>
      <c r="B38" s="150">
        <f ca="1">IF(AND(B37&gt;A37,B37&lt;=A38),B37,DATE(YEAR(A38),MONTH(A38),IF(AND(MONTH(A38)=2,Assumptions!$F$79&gt;28),28,Assumptions!$F$79)))</f>
        <v>44449</v>
      </c>
      <c r="C38" s="151">
        <f t="shared" ca="1" si="1"/>
        <v>374461.09796702408</v>
      </c>
      <c r="D38" s="151">
        <f ca="1">IF(ISNA(MATCH($A38,Months,0))=TRUE,0,OFFSET(CashFlow!$B$38,0,MATCH($A38,Months,0),1,1))</f>
        <v>0</v>
      </c>
      <c r="E38" s="152">
        <f t="shared" ca="1" si="2"/>
        <v>0</v>
      </c>
      <c r="F38" s="152">
        <f t="shared" ca="1" si="3"/>
        <v>0</v>
      </c>
      <c r="G38" s="152">
        <f t="shared" ca="1" si="0"/>
        <v>0</v>
      </c>
      <c r="H38" s="153">
        <f ca="1">IF(ROUND(SUM(C38:D38,-G38),0)=0,0,IF($B$6="Yes",SUM($D$9:D38),SUM(C38:D38,-G38)))</f>
        <v>374461.09796702408</v>
      </c>
      <c r="I38" s="154" t="str">
        <f ca="1">IF(E38&gt;0,MAX(I$9:I37)+1,"-")</f>
        <v>-</v>
      </c>
    </row>
    <row r="39" spans="1:9" ht="16.149999999999999" customHeight="1" x14ac:dyDescent="0.25">
      <c r="A39" s="135">
        <f t="shared" ca="1" si="4"/>
        <v>44465</v>
      </c>
      <c r="B39" s="150">
        <f ca="1">IF(AND(B38&gt;A38,B38&lt;=A39),B38,DATE(YEAR(A39),MONTH(A39),IF(AND(MONTH(A39)=2,Assumptions!$F$79&gt;28),28,Assumptions!$F$79)))</f>
        <v>44449</v>
      </c>
      <c r="C39" s="151">
        <f t="shared" ca="1" si="1"/>
        <v>374461.09796702408</v>
      </c>
      <c r="D39" s="151">
        <f ca="1">IF(ISNA(MATCH($A39,Months,0))=TRUE,0,OFFSET(CashFlow!$B$38,0,MATCH($A39,Months,0),1,1))</f>
        <v>0</v>
      </c>
      <c r="E39" s="152">
        <f t="shared" ca="1" si="2"/>
        <v>0</v>
      </c>
      <c r="F39" s="152">
        <f t="shared" ca="1" si="3"/>
        <v>0</v>
      </c>
      <c r="G39" s="152">
        <f t="shared" ca="1" si="0"/>
        <v>0</v>
      </c>
      <c r="H39" s="153">
        <f ca="1">IF(ROUND(SUM(C39:D39,-G39),0)=0,0,IF($B$6="Yes",SUM($D$9:D39),SUM(C39:D39,-G39)))</f>
        <v>374461.09796702408</v>
      </c>
      <c r="I39" s="154" t="str">
        <f ca="1">IF(E39&gt;0,MAX(I$9:I38)+1,"-")</f>
        <v>-</v>
      </c>
    </row>
    <row r="40" spans="1:9" ht="16.149999999999999" customHeight="1" x14ac:dyDescent="0.25">
      <c r="A40" s="135">
        <f t="shared" ca="1" si="4"/>
        <v>44472</v>
      </c>
      <c r="B40" s="150">
        <f ca="1">IF(AND(B39&gt;A39,B39&lt;=A40),B39,DATE(YEAR(A40),MONTH(A40),IF(AND(MONTH(A40)=2,Assumptions!$F$79&gt;28),28,Assumptions!$F$79)))</f>
        <v>44479</v>
      </c>
      <c r="C40" s="151">
        <f t="shared" ca="1" si="1"/>
        <v>374461.09796702408</v>
      </c>
      <c r="D40" s="151">
        <f ca="1">IF(ISNA(MATCH($A40,Months,0))=TRUE,0,OFFSET(CashFlow!$B$38,0,MATCH($A40,Months,0),1,1))</f>
        <v>0</v>
      </c>
      <c r="E40" s="152">
        <f t="shared" ca="1" si="2"/>
        <v>0</v>
      </c>
      <c r="F40" s="152">
        <f t="shared" ca="1" si="3"/>
        <v>0</v>
      </c>
      <c r="G40" s="152">
        <f t="shared" ca="1" si="0"/>
        <v>0</v>
      </c>
      <c r="H40" s="153">
        <f ca="1">IF(ROUND(SUM(C40:D40,-G40),0)=0,0,IF($B$6="Yes",SUM($D$9:D40),SUM(C40:D40,-G40)))</f>
        <v>374461.09796702408</v>
      </c>
      <c r="I40" s="154" t="str">
        <f ca="1">IF(E40&gt;0,MAX(I$9:I39)+1,"-")</f>
        <v>-</v>
      </c>
    </row>
    <row r="41" spans="1:9" ht="16.149999999999999" customHeight="1" x14ac:dyDescent="0.25">
      <c r="A41" s="135">
        <f t="shared" ca="1" si="4"/>
        <v>44479</v>
      </c>
      <c r="B41" s="150">
        <f ca="1">IF(AND(B40&gt;A40,B40&lt;=A41),B40,DATE(YEAR(A41),MONTH(A41),IF(AND(MONTH(A41)=2,Assumptions!$F$79&gt;28),28,Assumptions!$F$79)))</f>
        <v>44479</v>
      </c>
      <c r="C41" s="151">
        <f t="shared" ca="1" si="1"/>
        <v>374461.09796702408</v>
      </c>
      <c r="D41" s="151">
        <f ca="1">IF(ISNA(MATCH($A41,Months,0))=TRUE,0,OFFSET(CashFlow!$B$38,0,MATCH($A41,Months,0),1,1))</f>
        <v>0</v>
      </c>
      <c r="E41" s="152">
        <f t="shared" ca="1" si="2"/>
        <v>11087.82878498939</v>
      </c>
      <c r="F41" s="152">
        <f t="shared" ca="1" si="3"/>
        <v>3588.5855221839811</v>
      </c>
      <c r="G41" s="152">
        <f t="shared" ca="1" si="0"/>
        <v>7499.2432628054084</v>
      </c>
      <c r="H41" s="153">
        <f ca="1">IF(ROUND(SUM(C41:D41,-G41),0)=0,0,IF($B$6="Yes",SUM($D$9:D41),SUM(C41:D41,-G41)))</f>
        <v>366961.85470421868</v>
      </c>
      <c r="I41" s="154">
        <f ca="1">IF(E41&gt;0,MAX(I$9:I40)+1,"-")</f>
        <v>8</v>
      </c>
    </row>
    <row r="42" spans="1:9" ht="16.149999999999999" customHeight="1" x14ac:dyDescent="0.25">
      <c r="A42" s="135">
        <f t="shared" ca="1" si="4"/>
        <v>44486</v>
      </c>
      <c r="B42" s="150">
        <f ca="1">IF(AND(B41&gt;A41,B41&lt;=A42),B41,DATE(YEAR(A42),MONTH(A42),IF(AND(MONTH(A42)=2,Assumptions!$F$79&gt;28),28,Assumptions!$F$79)))</f>
        <v>44479</v>
      </c>
      <c r="C42" s="151">
        <f t="shared" ca="1" si="1"/>
        <v>366961.85470421868</v>
      </c>
      <c r="D42" s="151">
        <f ca="1">IF(ISNA(MATCH($A42,Months,0))=TRUE,0,OFFSET(CashFlow!$B$38,0,MATCH($A42,Months,0),1,1))</f>
        <v>0</v>
      </c>
      <c r="E42" s="152">
        <f t="shared" ca="1" si="2"/>
        <v>0</v>
      </c>
      <c r="F42" s="152">
        <f t="shared" ca="1" si="3"/>
        <v>0</v>
      </c>
      <c r="G42" s="152">
        <f t="shared" ca="1" si="0"/>
        <v>0</v>
      </c>
      <c r="H42" s="153">
        <f ca="1">IF(ROUND(SUM(C42:D42,-G42),0)=0,0,IF($B$6="Yes",SUM($D$9:D42),SUM(C42:D42,-G42)))</f>
        <v>366961.85470421868</v>
      </c>
      <c r="I42" s="154" t="str">
        <f ca="1">IF(E42&gt;0,MAX(I$9:I41)+1,"-")</f>
        <v>-</v>
      </c>
    </row>
    <row r="43" spans="1:9" ht="16.149999999999999" customHeight="1" x14ac:dyDescent="0.25">
      <c r="A43" s="135">
        <f t="shared" ca="1" si="4"/>
        <v>44493</v>
      </c>
      <c r="B43" s="150">
        <f ca="1">IF(AND(B42&gt;A42,B42&lt;=A43),B42,DATE(YEAR(A43),MONTH(A43),IF(AND(MONTH(A43)=2,Assumptions!$F$79&gt;28),28,Assumptions!$F$79)))</f>
        <v>44479</v>
      </c>
      <c r="C43" s="151">
        <f t="shared" ca="1" si="1"/>
        <v>366961.85470421868</v>
      </c>
      <c r="D43" s="151">
        <f ca="1">IF(ISNA(MATCH($A43,Months,0))=TRUE,0,OFFSET(CashFlow!$B$38,0,MATCH($A43,Months,0),1,1))</f>
        <v>0</v>
      </c>
      <c r="E43" s="152">
        <f t="shared" ca="1" si="2"/>
        <v>0</v>
      </c>
      <c r="F43" s="152">
        <f t="shared" ca="1" si="3"/>
        <v>0</v>
      </c>
      <c r="G43" s="152">
        <f t="shared" ca="1" si="0"/>
        <v>0</v>
      </c>
      <c r="H43" s="153">
        <f ca="1">IF(ROUND(SUM(C43:D43,-G43),0)=0,0,IF($B$6="Yes",SUM($D$9:D43),SUM(C43:D43,-G43)))</f>
        <v>366961.85470421868</v>
      </c>
      <c r="I43" s="154" t="str">
        <f ca="1">IF(E43&gt;0,MAX(I$9:I42)+1,"-")</f>
        <v>-</v>
      </c>
    </row>
    <row r="44" spans="1:9" ht="16.149999999999999" customHeight="1" x14ac:dyDescent="0.25">
      <c r="A44" s="135">
        <f t="shared" ca="1" si="4"/>
        <v>44500</v>
      </c>
      <c r="B44" s="150">
        <f ca="1">IF(AND(B43&gt;A43,B43&lt;=A44),B43,DATE(YEAR(A44),MONTH(A44),IF(AND(MONTH(A44)=2,Assumptions!$F$79&gt;28),28,Assumptions!$F$79)))</f>
        <v>44479</v>
      </c>
      <c r="C44" s="151">
        <f t="shared" ca="1" si="1"/>
        <v>366961.85470421868</v>
      </c>
      <c r="D44" s="151">
        <f ca="1">IF(ISNA(MATCH($A44,Months,0))=TRUE,0,OFFSET(CashFlow!$B$38,0,MATCH($A44,Months,0),1,1))</f>
        <v>0</v>
      </c>
      <c r="E44" s="152">
        <f t="shared" ca="1" si="2"/>
        <v>0</v>
      </c>
      <c r="F44" s="152">
        <f t="shared" ca="1" si="3"/>
        <v>0</v>
      </c>
      <c r="G44" s="152">
        <f t="shared" ca="1" si="0"/>
        <v>0</v>
      </c>
      <c r="H44" s="153">
        <f ca="1">IF(ROUND(SUM(C44:D44,-G44),0)=0,0,IF($B$6="Yes",SUM($D$9:D44),SUM(C44:D44,-G44)))</f>
        <v>366961.85470421868</v>
      </c>
      <c r="I44" s="154" t="str">
        <f ca="1">IF(E44&gt;0,MAX(I$9:I43)+1,"-")</f>
        <v>-</v>
      </c>
    </row>
    <row r="45" spans="1:9" ht="16.149999999999999" customHeight="1" x14ac:dyDescent="0.25">
      <c r="A45" s="135">
        <f t="shared" ca="1" si="4"/>
        <v>44507</v>
      </c>
      <c r="B45" s="150">
        <f ca="1">IF(AND(B44&gt;A44,B44&lt;=A45),B44,DATE(YEAR(A45),MONTH(A45),IF(AND(MONTH(A45)=2,Assumptions!$F$79&gt;28),28,Assumptions!$F$79)))</f>
        <v>44510</v>
      </c>
      <c r="C45" s="151">
        <f t="shared" ca="1" si="1"/>
        <v>366961.85470421868</v>
      </c>
      <c r="D45" s="151">
        <f ca="1">IF(ISNA(MATCH($A45,Months,0))=TRUE,0,OFFSET(CashFlow!$B$38,0,MATCH($A45,Months,0),1,1))</f>
        <v>0</v>
      </c>
      <c r="E45" s="152">
        <f t="shared" ca="1" si="2"/>
        <v>0</v>
      </c>
      <c r="F45" s="152">
        <f t="shared" ca="1" si="3"/>
        <v>0</v>
      </c>
      <c r="G45" s="152">
        <f t="shared" ca="1" si="0"/>
        <v>0</v>
      </c>
      <c r="H45" s="153">
        <f ca="1">IF(ROUND(SUM(C45:D45,-G45),0)=0,0,IF($B$6="Yes",SUM($D$9:D45),SUM(C45:D45,-G45)))</f>
        <v>366961.85470421868</v>
      </c>
      <c r="I45" s="154" t="str">
        <f ca="1">IF(E45&gt;0,MAX(I$9:I44)+1,"-")</f>
        <v>-</v>
      </c>
    </row>
    <row r="46" spans="1:9" ht="16.149999999999999" customHeight="1" x14ac:dyDescent="0.25">
      <c r="A46" s="135">
        <f t="shared" ca="1" si="4"/>
        <v>44514</v>
      </c>
      <c r="B46" s="150">
        <f ca="1">IF(AND(B45&gt;A45,B45&lt;=A46),B45,DATE(YEAR(A46),MONTH(A46),IF(AND(MONTH(A46)=2,Assumptions!$F$79&gt;28),28,Assumptions!$F$79)))</f>
        <v>44510</v>
      </c>
      <c r="C46" s="151">
        <f t="shared" ca="1" si="1"/>
        <v>366961.85470421868</v>
      </c>
      <c r="D46" s="151">
        <f ca="1">IF(ISNA(MATCH($A46,Months,0))=TRUE,0,OFFSET(CashFlow!$B$38,0,MATCH($A46,Months,0),1,1))</f>
        <v>0</v>
      </c>
      <c r="E46" s="152">
        <f t="shared" ca="1" si="2"/>
        <v>11087.82878498939</v>
      </c>
      <c r="F46" s="152">
        <f t="shared" ca="1" si="3"/>
        <v>3516.7177742487625</v>
      </c>
      <c r="G46" s="152">
        <f t="shared" ca="1" si="0"/>
        <v>7571.1110107406275</v>
      </c>
      <c r="H46" s="153">
        <f ca="1">IF(ROUND(SUM(C46:D46,-G46),0)=0,0,IF($B$6="Yes",SUM($D$9:D46),SUM(C46:D46,-G46)))</f>
        <v>359390.74369347806</v>
      </c>
      <c r="I46" s="154">
        <f ca="1">IF(E46&gt;0,MAX(I$9:I45)+1,"-")</f>
        <v>9</v>
      </c>
    </row>
    <row r="47" spans="1:9" ht="16.149999999999999" customHeight="1" x14ac:dyDescent="0.25">
      <c r="A47" s="135">
        <f t="shared" ca="1" si="4"/>
        <v>44521</v>
      </c>
      <c r="B47" s="150">
        <f ca="1">IF(AND(B46&gt;A46,B46&lt;=A47),B46,DATE(YEAR(A47),MONTH(A47),IF(AND(MONTH(A47)=2,Assumptions!$F$79&gt;28),28,Assumptions!$F$79)))</f>
        <v>44510</v>
      </c>
      <c r="C47" s="151">
        <f t="shared" ca="1" si="1"/>
        <v>359390.74369347806</v>
      </c>
      <c r="D47" s="151">
        <f ca="1">IF(ISNA(MATCH($A47,Months,0))=TRUE,0,OFFSET(CashFlow!$B$38,0,MATCH($A47,Months,0),1,1))</f>
        <v>0</v>
      </c>
      <c r="E47" s="152">
        <f t="shared" ca="1" si="2"/>
        <v>0</v>
      </c>
      <c r="F47" s="152">
        <f t="shared" ca="1" si="3"/>
        <v>0</v>
      </c>
      <c r="G47" s="152">
        <f t="shared" ca="1" si="0"/>
        <v>0</v>
      </c>
      <c r="H47" s="153">
        <f ca="1">IF(ROUND(SUM(C47:D47,-G47),0)=0,0,IF($B$6="Yes",SUM($D$9:D47),SUM(C47:D47,-G47)))</f>
        <v>359390.74369347806</v>
      </c>
      <c r="I47" s="154" t="str">
        <f ca="1">IF(E47&gt;0,MAX(I$9:I46)+1,"-")</f>
        <v>-</v>
      </c>
    </row>
    <row r="48" spans="1:9" ht="16.149999999999999" customHeight="1" x14ac:dyDescent="0.25">
      <c r="A48" s="135">
        <f t="shared" ca="1" si="4"/>
        <v>44528</v>
      </c>
      <c r="B48" s="150">
        <f ca="1">IF(AND(B47&gt;A47,B47&lt;=A48),B47,DATE(YEAR(A48),MONTH(A48),IF(AND(MONTH(A48)=2,Assumptions!$F$79&gt;28),28,Assumptions!$F$79)))</f>
        <v>44510</v>
      </c>
      <c r="C48" s="151">
        <f t="shared" ca="1" si="1"/>
        <v>359390.74369347806</v>
      </c>
      <c r="D48" s="151">
        <f ca="1">IF(ISNA(MATCH($A48,Months,0))=TRUE,0,OFFSET(CashFlow!$B$38,0,MATCH($A48,Months,0),1,1))</f>
        <v>0</v>
      </c>
      <c r="E48" s="152">
        <f t="shared" ca="1" si="2"/>
        <v>0</v>
      </c>
      <c r="F48" s="152">
        <f t="shared" ca="1" si="3"/>
        <v>0</v>
      </c>
      <c r="G48" s="152">
        <f t="shared" ca="1" si="0"/>
        <v>0</v>
      </c>
      <c r="H48" s="153">
        <f ca="1">IF(ROUND(SUM(C48:D48,-G48),0)=0,0,IF($B$6="Yes",SUM($D$9:D48),SUM(C48:D48,-G48)))</f>
        <v>359390.74369347806</v>
      </c>
      <c r="I48" s="154" t="str">
        <f ca="1">IF(E48&gt;0,MAX(I$9:I47)+1,"-")</f>
        <v>-</v>
      </c>
    </row>
    <row r="49" spans="1:9" ht="16.149999999999999" customHeight="1" x14ac:dyDescent="0.25">
      <c r="A49" s="135">
        <f t="shared" ca="1" si="4"/>
        <v>44535</v>
      </c>
      <c r="B49" s="150">
        <f ca="1">IF(AND(B48&gt;A48,B48&lt;=A49),B48,DATE(YEAR(A49),MONTH(A49),IF(AND(MONTH(A49)=2,Assumptions!$F$79&gt;28),28,Assumptions!$F$79)))</f>
        <v>44540</v>
      </c>
      <c r="C49" s="151">
        <f t="shared" ca="1" si="1"/>
        <v>359390.74369347806</v>
      </c>
      <c r="D49" s="151">
        <f ca="1">IF(ISNA(MATCH($A49,Months,0))=TRUE,0,OFFSET(CashFlow!$B$38,0,MATCH($A49,Months,0),1,1))</f>
        <v>0</v>
      </c>
      <c r="E49" s="152">
        <f t="shared" ca="1" si="2"/>
        <v>0</v>
      </c>
      <c r="F49" s="152">
        <f t="shared" ca="1" si="3"/>
        <v>0</v>
      </c>
      <c r="G49" s="152">
        <f t="shared" ca="1" si="0"/>
        <v>0</v>
      </c>
      <c r="H49" s="153">
        <f ca="1">IF(ROUND(SUM(C49:D49,-G49),0)=0,0,IF($B$6="Yes",SUM($D$9:D49),SUM(C49:D49,-G49)))</f>
        <v>359390.74369347806</v>
      </c>
      <c r="I49" s="154" t="str">
        <f ca="1">IF(E49&gt;0,MAX(I$9:I48)+1,"-")</f>
        <v>-</v>
      </c>
    </row>
    <row r="50" spans="1:9" ht="16.149999999999999" customHeight="1" x14ac:dyDescent="0.25">
      <c r="A50" s="135">
        <f t="shared" ca="1" si="4"/>
        <v>44542</v>
      </c>
      <c r="B50" s="150">
        <f ca="1">IF(AND(B49&gt;A49,B49&lt;=A50),B49,DATE(YEAR(A50),MONTH(A50),IF(AND(MONTH(A50)=2,Assumptions!$F$79&gt;28),28,Assumptions!$F$79)))</f>
        <v>44540</v>
      </c>
      <c r="C50" s="151">
        <f t="shared" ca="1" si="1"/>
        <v>359390.74369347806</v>
      </c>
      <c r="D50" s="151">
        <f ca="1">IF(ISNA(MATCH($A50,Months,0))=TRUE,0,OFFSET(CashFlow!$B$38,0,MATCH($A50,Months,0),1,1))</f>
        <v>0</v>
      </c>
      <c r="E50" s="152">
        <f t="shared" ca="1" si="2"/>
        <v>11087.82878498939</v>
      </c>
      <c r="F50" s="152">
        <f t="shared" ca="1" si="3"/>
        <v>3444.1612937291648</v>
      </c>
      <c r="G50" s="152">
        <f t="shared" ca="1" si="0"/>
        <v>7643.6674912602248</v>
      </c>
      <c r="H50" s="153">
        <f ca="1">IF(ROUND(SUM(C50:D50,-G50),0)=0,0,IF($B$6="Yes",SUM($D$9:D50),SUM(C50:D50,-G50)))</f>
        <v>351747.07620221784</v>
      </c>
      <c r="I50" s="154">
        <f ca="1">IF(E50&gt;0,MAX(I$9:I49)+1,"-")</f>
        <v>10</v>
      </c>
    </row>
    <row r="51" spans="1:9" ht="16.149999999999999" customHeight="1" x14ac:dyDescent="0.25">
      <c r="A51" s="135">
        <f t="shared" ca="1" si="4"/>
        <v>44549</v>
      </c>
      <c r="B51" s="150">
        <f ca="1">IF(AND(B50&gt;A50,B50&lt;=A51),B50,DATE(YEAR(A51),MONTH(A51),IF(AND(MONTH(A51)=2,Assumptions!$F$79&gt;28),28,Assumptions!$F$79)))</f>
        <v>44540</v>
      </c>
      <c r="C51" s="151">
        <f t="shared" ca="1" si="1"/>
        <v>351747.07620221784</v>
      </c>
      <c r="D51" s="151">
        <f ca="1">IF(ISNA(MATCH($A51,Months,0))=TRUE,0,OFFSET(CashFlow!$B$38,0,MATCH($A51,Months,0),1,1))</f>
        <v>0</v>
      </c>
      <c r="E51" s="152">
        <f t="shared" ca="1" si="2"/>
        <v>0</v>
      </c>
      <c r="F51" s="152">
        <f t="shared" ca="1" si="3"/>
        <v>0</v>
      </c>
      <c r="G51" s="152">
        <f t="shared" ca="1" si="0"/>
        <v>0</v>
      </c>
      <c r="H51" s="153">
        <f ca="1">IF(ROUND(SUM(C51:D51,-G51),0)=0,0,IF($B$6="Yes",SUM($D$9:D51),SUM(C51:D51,-G51)))</f>
        <v>351747.07620221784</v>
      </c>
      <c r="I51" s="154" t="str">
        <f ca="1">IF(E51&gt;0,MAX(I$9:I50)+1,"-")</f>
        <v>-</v>
      </c>
    </row>
    <row r="52" spans="1:9" ht="16.149999999999999" customHeight="1" x14ac:dyDescent="0.25">
      <c r="A52" s="135">
        <f t="shared" ca="1" si="4"/>
        <v>44556</v>
      </c>
      <c r="B52" s="150">
        <f ca="1">IF(AND(B51&gt;A51,B51&lt;=A52),B51,DATE(YEAR(A52),MONTH(A52),IF(AND(MONTH(A52)=2,Assumptions!$F$79&gt;28),28,Assumptions!$F$79)))</f>
        <v>44540</v>
      </c>
      <c r="C52" s="151">
        <f t="shared" ca="1" si="1"/>
        <v>351747.07620221784</v>
      </c>
      <c r="D52" s="151">
        <f ca="1">IF(ISNA(MATCH($A52,Months,0))=TRUE,0,OFFSET(CashFlow!$B$38,0,MATCH($A52,Months,0),1,1))</f>
        <v>0</v>
      </c>
      <c r="E52" s="152">
        <f t="shared" ca="1" si="2"/>
        <v>0</v>
      </c>
      <c r="F52" s="152">
        <f t="shared" ca="1" si="3"/>
        <v>0</v>
      </c>
      <c r="G52" s="152">
        <f t="shared" ca="1" si="0"/>
        <v>0</v>
      </c>
      <c r="H52" s="153">
        <f ca="1">IF(ROUND(SUM(C52:D52,-G52),0)=0,0,IF($B$6="Yes",SUM($D$9:D52),SUM(C52:D52,-G52)))</f>
        <v>351747.07620221784</v>
      </c>
      <c r="I52" s="154" t="str">
        <f ca="1">IF(E52&gt;0,MAX(I$9:I51)+1,"-")</f>
        <v>-</v>
      </c>
    </row>
    <row r="53" spans="1:9" ht="16.149999999999999" customHeight="1" x14ac:dyDescent="0.25">
      <c r="A53" s="135">
        <f t="shared" ca="1" si="4"/>
        <v>44563</v>
      </c>
      <c r="B53" s="150">
        <f ca="1">IF(AND(B52&gt;A52,B52&lt;=A53),B52,DATE(YEAR(A53),MONTH(A53),IF(AND(MONTH(A53)=2,Assumptions!$F$79&gt;28),28,Assumptions!$F$79)))</f>
        <v>44571</v>
      </c>
      <c r="C53" s="151">
        <f t="shared" ca="1" si="1"/>
        <v>351747.07620221784</v>
      </c>
      <c r="D53" s="151">
        <f ca="1">IF(ISNA(MATCH($A53,Months,0))=TRUE,0,OFFSET(CashFlow!$B$38,0,MATCH($A53,Months,0),1,1))</f>
        <v>0</v>
      </c>
      <c r="E53" s="152">
        <f t="shared" ca="1" si="2"/>
        <v>0</v>
      </c>
      <c r="F53" s="152">
        <f t="shared" ca="1" si="3"/>
        <v>0</v>
      </c>
      <c r="G53" s="152">
        <f t="shared" ca="1" si="0"/>
        <v>0</v>
      </c>
      <c r="H53" s="153">
        <f ca="1">IF(ROUND(SUM(C53:D53,-G53),0)=0,0,IF($B$6="Yes",SUM($D$9:D53),SUM(C53:D53,-G53)))</f>
        <v>351747.07620221784</v>
      </c>
      <c r="I53" s="154" t="str">
        <f ca="1">IF(E53&gt;0,MAX(I$9:I52)+1,"-")</f>
        <v>-</v>
      </c>
    </row>
    <row r="54" spans="1:9" ht="16.149999999999999" customHeight="1" x14ac:dyDescent="0.25">
      <c r="A54" s="135">
        <f t="shared" ca="1" si="4"/>
        <v>44570</v>
      </c>
      <c r="B54" s="150">
        <f ca="1">IF(AND(B53&gt;A53,B53&lt;=A54),B53,DATE(YEAR(A54),MONTH(A54),IF(AND(MONTH(A54)=2,Assumptions!$F$79&gt;28),28,Assumptions!$F$79)))</f>
        <v>44571</v>
      </c>
      <c r="C54" s="151">
        <f t="shared" ca="1" si="1"/>
        <v>351747.07620221784</v>
      </c>
      <c r="D54" s="151">
        <f ca="1">IF(ISNA(MATCH($A54,Months,0))=TRUE,0,OFFSET(CashFlow!$B$38,0,MATCH($A54,Months,0),1,1))</f>
        <v>0</v>
      </c>
      <c r="E54" s="152">
        <f t="shared" ca="1" si="2"/>
        <v>0</v>
      </c>
      <c r="F54" s="152">
        <f t="shared" ca="1" si="3"/>
        <v>0</v>
      </c>
      <c r="G54" s="152">
        <f t="shared" ca="1" si="0"/>
        <v>0</v>
      </c>
      <c r="H54" s="153">
        <f ca="1">IF(ROUND(SUM(C54:D54,-G54),0)=0,0,IF($B$6="Yes",SUM($D$9:D54),SUM(C54:D54,-G54)))</f>
        <v>351747.07620221784</v>
      </c>
      <c r="I54" s="154" t="str">
        <f ca="1">IF(E54&gt;0,MAX(I$9:I53)+1,"-")</f>
        <v>-</v>
      </c>
    </row>
    <row r="55" spans="1:9" ht="16.149999999999999" customHeight="1" x14ac:dyDescent="0.25">
      <c r="A55" s="135">
        <f t="shared" ca="1" si="4"/>
        <v>44577</v>
      </c>
      <c r="B55" s="150">
        <f ca="1">IF(AND(B54&gt;A54,B54&lt;=A55),B54,DATE(YEAR(A55),MONTH(A55),IF(AND(MONTH(A55)=2,Assumptions!$F$79&gt;28),28,Assumptions!$F$79)))</f>
        <v>44571</v>
      </c>
      <c r="C55" s="151">
        <f t="shared" ca="1" si="1"/>
        <v>351747.07620221784</v>
      </c>
      <c r="D55" s="151">
        <f ca="1">IF(ISNA(MATCH($A55,Months,0))=TRUE,0,OFFSET(CashFlow!$B$38,0,MATCH($A55,Months,0),1,1))</f>
        <v>0</v>
      </c>
      <c r="E55" s="152">
        <f t="shared" ca="1" si="2"/>
        <v>11087.82878498939</v>
      </c>
      <c r="F55" s="152">
        <f t="shared" ca="1" si="3"/>
        <v>3370.9094802712548</v>
      </c>
      <c r="G55" s="152">
        <f t="shared" ca="1" si="0"/>
        <v>7716.9193047181343</v>
      </c>
      <c r="H55" s="153">
        <f ca="1">IF(ROUND(SUM(C55:D55,-G55),0)=0,0,IF($B$6="Yes",SUM($D$9:D55),SUM(C55:D55,-G55)))</f>
        <v>344030.15689749969</v>
      </c>
      <c r="I55" s="154">
        <f ca="1">IF(E55&gt;0,MAX(I$9:I54)+1,"-")</f>
        <v>11</v>
      </c>
    </row>
    <row r="56" spans="1:9" ht="16.149999999999999" customHeight="1" x14ac:dyDescent="0.25">
      <c r="A56" s="135">
        <f t="shared" ca="1" si="4"/>
        <v>44584</v>
      </c>
      <c r="B56" s="150">
        <f ca="1">IF(AND(B55&gt;A55,B55&lt;=A56),B55,DATE(YEAR(A56),MONTH(A56),IF(AND(MONTH(A56)=2,Assumptions!$F$79&gt;28),28,Assumptions!$F$79)))</f>
        <v>44571</v>
      </c>
      <c r="C56" s="151">
        <f t="shared" ca="1" si="1"/>
        <v>344030.15689749969</v>
      </c>
      <c r="D56" s="151">
        <f ca="1">IF(ISNA(MATCH($A56,Months,0))=TRUE,0,OFFSET(CashFlow!$B$38,0,MATCH($A56,Months,0),1,1))</f>
        <v>0</v>
      </c>
      <c r="E56" s="152">
        <f t="shared" ca="1" si="2"/>
        <v>0</v>
      </c>
      <c r="F56" s="152">
        <f t="shared" ca="1" si="3"/>
        <v>0</v>
      </c>
      <c r="G56" s="152">
        <f t="shared" ca="1" si="0"/>
        <v>0</v>
      </c>
      <c r="H56" s="153">
        <f ca="1">IF(ROUND(SUM(C56:D56,-G56),0)=0,0,IF($B$6="Yes",SUM($D$9:D56),SUM(C56:D56,-G56)))</f>
        <v>344030.15689749969</v>
      </c>
      <c r="I56" s="154" t="str">
        <f ca="1">IF(E56&gt;0,MAX(I$9:I55)+1,"-")</f>
        <v>-</v>
      </c>
    </row>
    <row r="57" spans="1:9" ht="16.149999999999999" customHeight="1" x14ac:dyDescent="0.25">
      <c r="A57" s="135">
        <f t="shared" ca="1" si="4"/>
        <v>44591</v>
      </c>
      <c r="B57" s="150">
        <f ca="1">IF(AND(B56&gt;A56,B56&lt;=A57),B56,DATE(YEAR(A57),MONTH(A57),IF(AND(MONTH(A57)=2,Assumptions!$F$79&gt;28),28,Assumptions!$F$79)))</f>
        <v>44571</v>
      </c>
      <c r="C57" s="151">
        <f t="shared" ca="1" si="1"/>
        <v>344030.15689749969</v>
      </c>
      <c r="D57" s="151">
        <f ca="1">IF(ISNA(MATCH($A57,Months,0))=TRUE,0,OFFSET(CashFlow!$B$38,0,MATCH($A57,Months,0),1,1))</f>
        <v>0</v>
      </c>
      <c r="E57" s="152">
        <f t="shared" ca="1" si="2"/>
        <v>0</v>
      </c>
      <c r="F57" s="152">
        <f t="shared" ca="1" si="3"/>
        <v>0</v>
      </c>
      <c r="G57" s="152">
        <f t="shared" ca="1" si="0"/>
        <v>0</v>
      </c>
      <c r="H57" s="153">
        <f ca="1">IF(ROUND(SUM(C57:D57,-G57),0)=0,0,IF($B$6="Yes",SUM($D$9:D57),SUM(C57:D57,-G57)))</f>
        <v>344030.15689749969</v>
      </c>
      <c r="I57" s="154" t="str">
        <f ca="1">IF(E57&gt;0,MAX(I$9:I56)+1,"-")</f>
        <v>-</v>
      </c>
    </row>
    <row r="58" spans="1:9" ht="16.149999999999999" customHeight="1" x14ac:dyDescent="0.25">
      <c r="A58" s="135">
        <f t="shared" ca="1" si="4"/>
        <v>44598</v>
      </c>
      <c r="B58" s="150">
        <f ca="1">IF(AND(B57&gt;A57,B57&lt;=A58),B57,DATE(YEAR(A58),MONTH(A58),IF(AND(MONTH(A58)=2,Assumptions!$F$79&gt;28),28,Assumptions!$F$79)))</f>
        <v>44602</v>
      </c>
      <c r="C58" s="151">
        <f t="shared" ca="1" si="1"/>
        <v>344030.15689749969</v>
      </c>
      <c r="D58" s="151">
        <f ca="1">IF(ISNA(MATCH($A58,Months,0))=TRUE,0,OFFSET(CashFlow!$B$38,0,MATCH($A58,Months,0),1,1))</f>
        <v>0</v>
      </c>
      <c r="E58" s="152">
        <f t="shared" ca="1" si="2"/>
        <v>0</v>
      </c>
      <c r="F58" s="152">
        <f t="shared" ca="1" si="3"/>
        <v>0</v>
      </c>
      <c r="G58" s="152">
        <f t="shared" ca="1" si="0"/>
        <v>0</v>
      </c>
      <c r="H58" s="153">
        <f ca="1">IF(ROUND(SUM(C58:D58,-G58),0)=0,0,IF($B$6="Yes",SUM($D$9:D58),SUM(C58:D58,-G58)))</f>
        <v>344030.15689749969</v>
      </c>
      <c r="I58" s="154" t="str">
        <f ca="1">IF(E58&gt;0,MAX(I$9:I57)+1,"-")</f>
        <v>-</v>
      </c>
    </row>
    <row r="59" spans="1:9" ht="16.149999999999999" customHeight="1" x14ac:dyDescent="0.25">
      <c r="A59" s="135">
        <f t="shared" ca="1" si="4"/>
        <v>44605</v>
      </c>
      <c r="B59" s="150">
        <f ca="1">IF(AND(B58&gt;A58,B58&lt;=A59),B58,DATE(YEAR(A59),MONTH(A59),IF(AND(MONTH(A59)=2,Assumptions!$F$79&gt;28),28,Assumptions!$F$79)))</f>
        <v>44602</v>
      </c>
      <c r="C59" s="151">
        <f t="shared" ca="1" si="1"/>
        <v>344030.15689749969</v>
      </c>
      <c r="D59" s="151">
        <f ca="1">IF(ISNA(MATCH($A59,Months,0))=TRUE,0,OFFSET(CashFlow!$B$38,0,MATCH($A59,Months,0),1,1))</f>
        <v>0</v>
      </c>
      <c r="E59" s="152">
        <f t="shared" ca="1" si="2"/>
        <v>11087.82878498939</v>
      </c>
      <c r="F59" s="152">
        <f t="shared" ca="1" si="3"/>
        <v>3296.9556702677055</v>
      </c>
      <c r="G59" s="152">
        <f t="shared" ca="1" si="0"/>
        <v>7790.873114721684</v>
      </c>
      <c r="H59" s="153">
        <f ca="1">IF(ROUND(SUM(C59:D59,-G59),0)=0,0,IF($B$6="Yes",SUM($D$9:D59),SUM(C59:D59,-G59)))</f>
        <v>336239.28378277802</v>
      </c>
      <c r="I59" s="154">
        <f ca="1">IF(E59&gt;0,MAX(I$9:I58)+1,"-")</f>
        <v>12</v>
      </c>
    </row>
    <row r="60" spans="1:9" ht="16.149999999999999" customHeight="1" x14ac:dyDescent="0.25">
      <c r="A60" s="135">
        <f t="shared" ca="1" si="4"/>
        <v>44612</v>
      </c>
      <c r="B60" s="150">
        <f ca="1">IF(AND(B59&gt;A59,B59&lt;=A60),B59,DATE(YEAR(A60),MONTH(A60),IF(AND(MONTH(A60)=2,Assumptions!$F$79&gt;28),28,Assumptions!$F$79)))</f>
        <v>44602</v>
      </c>
      <c r="C60" s="151">
        <f t="shared" ca="1" si="1"/>
        <v>336239.28378277802</v>
      </c>
      <c r="D60" s="151">
        <f ca="1">IF(ISNA(MATCH($A60,Months,0))=TRUE,0,OFFSET(CashFlow!$B$38,0,MATCH($A60,Months,0),1,1))</f>
        <v>0</v>
      </c>
      <c r="E60" s="152">
        <f t="shared" ca="1" si="2"/>
        <v>0</v>
      </c>
      <c r="F60" s="152">
        <f t="shared" ca="1" si="3"/>
        <v>0</v>
      </c>
      <c r="G60" s="152">
        <f t="shared" ca="1" si="0"/>
        <v>0</v>
      </c>
      <c r="H60" s="153">
        <f ca="1">IF(ROUND(SUM(C60:D60,-G60),0)=0,0,IF($B$6="Yes",SUM($D$9:D60),SUM(C60:D60,-G60)))</f>
        <v>336239.28378277802</v>
      </c>
      <c r="I60" s="154" t="str">
        <f ca="1">IF(E60&gt;0,MAX(I$9:I59)+1,"-")</f>
        <v>-</v>
      </c>
    </row>
    <row r="61" spans="1:9" ht="16.149999999999999" customHeight="1" x14ac:dyDescent="0.25">
      <c r="A61" s="135">
        <f t="shared" ca="1" si="4"/>
        <v>44619</v>
      </c>
      <c r="B61" s="150">
        <f ca="1">IF(AND(B60&gt;A60,B60&lt;=A61),B60,DATE(YEAR(A61),MONTH(A61),IF(AND(MONTH(A61)=2,Assumptions!$F$79&gt;28),28,Assumptions!$F$79)))</f>
        <v>44602</v>
      </c>
      <c r="C61" s="151">
        <f t="shared" ca="1" si="1"/>
        <v>336239.28378277802</v>
      </c>
      <c r="D61" s="151">
        <f ca="1">IF(ISNA(MATCH($A61,Months,0))=TRUE,0,OFFSET(CashFlow!$B$38,0,MATCH($A61,Months,0),1,1))</f>
        <v>0</v>
      </c>
      <c r="E61" s="152">
        <f t="shared" ca="1" si="2"/>
        <v>0</v>
      </c>
      <c r="F61" s="152">
        <f t="shared" ca="1" si="3"/>
        <v>0</v>
      </c>
      <c r="G61" s="152">
        <f t="shared" ca="1" si="0"/>
        <v>0</v>
      </c>
      <c r="H61" s="153">
        <f ca="1">IF(ROUND(SUM(C61:D61,-G61),0)=0,0,IF($B$6="Yes",SUM($D$9:D61),SUM(C61:D61,-G61)))</f>
        <v>336239.28378277802</v>
      </c>
      <c r="I61" s="154" t="str">
        <f ca="1">IF(E61&gt;0,MAX(I$9:I60)+1,"-")</f>
        <v>-</v>
      </c>
    </row>
    <row r="62" spans="1:9" ht="16.149999999999999" customHeight="1" x14ac:dyDescent="0.25">
      <c r="C62" s="151"/>
      <c r="D62" s="151"/>
      <c r="E62" s="152"/>
      <c r="F62" s="152"/>
      <c r="G62" s="152"/>
      <c r="H62" s="153"/>
    </row>
    <row r="63" spans="1:9" ht="16.149999999999999" customHeight="1" x14ac:dyDescent="0.25">
      <c r="C63" s="151"/>
      <c r="D63" s="151"/>
      <c r="E63" s="152"/>
      <c r="F63" s="152"/>
      <c r="G63" s="152"/>
      <c r="H63" s="153"/>
    </row>
    <row r="64" spans="1:9" ht="16.149999999999999" customHeight="1" x14ac:dyDescent="0.25">
      <c r="C64" s="151"/>
      <c r="D64" s="151"/>
      <c r="E64" s="152"/>
      <c r="F64" s="152"/>
      <c r="G64" s="152"/>
      <c r="H64" s="153"/>
    </row>
    <row r="65" spans="3:8" ht="16.149999999999999" customHeight="1" x14ac:dyDescent="0.25">
      <c r="C65" s="151"/>
      <c r="D65" s="151"/>
      <c r="E65" s="152"/>
      <c r="F65" s="152"/>
      <c r="G65" s="152"/>
      <c r="H65" s="153"/>
    </row>
    <row r="66" spans="3:8" ht="16.149999999999999" customHeight="1" x14ac:dyDescent="0.25">
      <c r="C66" s="151"/>
      <c r="D66" s="151"/>
      <c r="E66" s="152"/>
      <c r="F66" s="152"/>
      <c r="G66" s="152"/>
      <c r="H66" s="153"/>
    </row>
    <row r="67" spans="3:8" ht="16.149999999999999" customHeight="1" x14ac:dyDescent="0.25">
      <c r="C67" s="151"/>
      <c r="D67" s="151"/>
      <c r="E67" s="152"/>
      <c r="F67" s="152"/>
      <c r="G67" s="152"/>
      <c r="H67" s="153"/>
    </row>
    <row r="68" spans="3:8" ht="16.149999999999999" customHeight="1" x14ac:dyDescent="0.25">
      <c r="C68" s="151"/>
      <c r="D68" s="151"/>
      <c r="E68" s="152"/>
      <c r="F68" s="152"/>
      <c r="G68" s="152"/>
      <c r="H68" s="153"/>
    </row>
    <row r="69" spans="3:8" ht="16.149999999999999" customHeight="1" x14ac:dyDescent="0.25">
      <c r="C69" s="151"/>
      <c r="D69" s="151"/>
      <c r="E69" s="152"/>
      <c r="F69" s="152"/>
      <c r="G69" s="152"/>
      <c r="H69" s="153"/>
    </row>
    <row r="70" spans="3:8" ht="16.149999999999999" customHeight="1" x14ac:dyDescent="0.25">
      <c r="C70" s="151"/>
      <c r="D70" s="151"/>
      <c r="E70" s="152"/>
      <c r="F70" s="152"/>
      <c r="G70" s="152"/>
      <c r="H70" s="153"/>
    </row>
    <row r="71" spans="3:8" ht="16.149999999999999" customHeight="1" x14ac:dyDescent="0.25">
      <c r="C71" s="151"/>
      <c r="D71" s="151"/>
      <c r="E71" s="152"/>
      <c r="F71" s="152"/>
      <c r="G71" s="152"/>
      <c r="H71" s="153"/>
    </row>
    <row r="72" spans="3:8" ht="16.149999999999999" customHeight="1" x14ac:dyDescent="0.25">
      <c r="C72" s="151"/>
      <c r="D72" s="151"/>
      <c r="E72" s="152"/>
      <c r="F72" s="152"/>
      <c r="G72" s="152"/>
      <c r="H72" s="153"/>
    </row>
    <row r="73" spans="3:8" ht="16.149999999999999" customHeight="1" x14ac:dyDescent="0.25">
      <c r="C73" s="151"/>
      <c r="D73" s="151"/>
      <c r="E73" s="152"/>
      <c r="F73" s="152"/>
      <c r="G73" s="152"/>
      <c r="H73" s="153"/>
    </row>
    <row r="74" spans="3:8" ht="16.149999999999999" customHeight="1" x14ac:dyDescent="0.25">
      <c r="C74" s="151"/>
      <c r="D74" s="151"/>
      <c r="E74" s="152"/>
      <c r="F74" s="152"/>
      <c r="G74" s="152"/>
      <c r="H74" s="153"/>
    </row>
    <row r="75" spans="3:8" ht="16.149999999999999" customHeight="1" x14ac:dyDescent="0.25">
      <c r="C75" s="151"/>
      <c r="D75" s="151"/>
      <c r="E75" s="152"/>
      <c r="F75" s="152"/>
      <c r="G75" s="152"/>
      <c r="H75" s="153"/>
    </row>
    <row r="76" spans="3:8" ht="16.149999999999999" customHeight="1" x14ac:dyDescent="0.25">
      <c r="C76" s="151"/>
      <c r="D76" s="151"/>
      <c r="E76" s="152"/>
      <c r="F76" s="152"/>
      <c r="G76" s="152"/>
      <c r="H76" s="153"/>
    </row>
    <row r="77" spans="3:8" ht="16.149999999999999" customHeight="1" x14ac:dyDescent="0.25">
      <c r="C77" s="151"/>
      <c r="D77" s="151"/>
      <c r="E77" s="152"/>
      <c r="F77" s="152"/>
      <c r="G77" s="152"/>
      <c r="H77" s="153"/>
    </row>
    <row r="78" spans="3:8" ht="16.149999999999999" customHeight="1" x14ac:dyDescent="0.25">
      <c r="C78" s="151"/>
      <c r="D78" s="151"/>
      <c r="E78" s="152"/>
      <c r="F78" s="152"/>
      <c r="G78" s="152"/>
      <c r="H78" s="153"/>
    </row>
    <row r="79" spans="3:8" ht="16.149999999999999" customHeight="1" x14ac:dyDescent="0.25">
      <c r="C79" s="151"/>
      <c r="D79" s="151"/>
      <c r="E79" s="152"/>
      <c r="F79" s="152"/>
      <c r="G79" s="152"/>
      <c r="H79" s="153"/>
    </row>
    <row r="80" spans="3:8" ht="16.149999999999999" customHeight="1" x14ac:dyDescent="0.25">
      <c r="C80" s="151"/>
      <c r="D80" s="151"/>
      <c r="E80" s="152"/>
      <c r="F80" s="152"/>
      <c r="G80" s="152"/>
      <c r="H80" s="153"/>
    </row>
    <row r="81" spans="3:8" ht="16.149999999999999" customHeight="1" x14ac:dyDescent="0.25">
      <c r="C81" s="151"/>
      <c r="D81" s="151"/>
      <c r="E81" s="152"/>
      <c r="F81" s="152"/>
      <c r="G81" s="152"/>
      <c r="H81" s="153"/>
    </row>
    <row r="82" spans="3:8" ht="16.149999999999999" customHeight="1" x14ac:dyDescent="0.25">
      <c r="C82" s="151"/>
      <c r="D82" s="151"/>
      <c r="E82" s="152"/>
      <c r="F82" s="152"/>
      <c r="G82" s="152"/>
      <c r="H82" s="153"/>
    </row>
    <row r="83" spans="3:8" ht="16.149999999999999" customHeight="1" x14ac:dyDescent="0.25">
      <c r="C83" s="151"/>
      <c r="D83" s="151"/>
      <c r="E83" s="152"/>
      <c r="F83" s="152"/>
      <c r="G83" s="152"/>
      <c r="H83" s="153"/>
    </row>
    <row r="84" spans="3:8" ht="16.149999999999999" customHeight="1" x14ac:dyDescent="0.25">
      <c r="C84" s="151"/>
      <c r="D84" s="151"/>
      <c r="E84" s="152"/>
      <c r="F84" s="152"/>
      <c r="G84" s="152"/>
      <c r="H84" s="153"/>
    </row>
    <row r="85" spans="3:8" ht="16.149999999999999" customHeight="1" x14ac:dyDescent="0.25">
      <c r="C85" s="151"/>
      <c r="D85" s="151"/>
      <c r="E85" s="152"/>
      <c r="F85" s="152"/>
      <c r="G85" s="152"/>
      <c r="H85" s="153"/>
    </row>
    <row r="86" spans="3:8" ht="16.149999999999999" customHeight="1" x14ac:dyDescent="0.25">
      <c r="C86" s="151"/>
      <c r="D86" s="151"/>
      <c r="E86" s="152"/>
      <c r="F86" s="152"/>
      <c r="G86" s="152"/>
      <c r="H86" s="153"/>
    </row>
    <row r="87" spans="3:8" ht="16.149999999999999" customHeight="1" x14ac:dyDescent="0.25">
      <c r="C87" s="151"/>
      <c r="D87" s="151"/>
      <c r="E87" s="152"/>
      <c r="F87" s="152"/>
      <c r="G87" s="152"/>
      <c r="H87" s="153"/>
    </row>
    <row r="88" spans="3:8" ht="16.149999999999999" customHeight="1" x14ac:dyDescent="0.25">
      <c r="C88" s="151"/>
      <c r="D88" s="151"/>
      <c r="E88" s="152"/>
      <c r="F88" s="152"/>
      <c r="G88" s="152"/>
      <c r="H88" s="153"/>
    </row>
    <row r="89" spans="3:8" ht="16.149999999999999" customHeight="1" x14ac:dyDescent="0.25">
      <c r="C89" s="151"/>
      <c r="D89" s="151"/>
      <c r="E89" s="152"/>
      <c r="F89" s="152"/>
      <c r="G89" s="152"/>
      <c r="H89" s="153"/>
    </row>
    <row r="90" spans="3:8" ht="16.149999999999999" customHeight="1" x14ac:dyDescent="0.25">
      <c r="C90" s="151"/>
      <c r="D90" s="151"/>
      <c r="E90" s="152"/>
      <c r="F90" s="152"/>
      <c r="G90" s="152"/>
      <c r="H90" s="153"/>
    </row>
    <row r="91" spans="3:8" ht="16.149999999999999" customHeight="1" x14ac:dyDescent="0.25">
      <c r="C91" s="151"/>
      <c r="D91" s="151"/>
      <c r="E91" s="152"/>
      <c r="F91" s="152"/>
      <c r="G91" s="152"/>
      <c r="H91" s="153"/>
    </row>
    <row r="92" spans="3:8" ht="16.149999999999999" customHeight="1" x14ac:dyDescent="0.25">
      <c r="C92" s="151"/>
      <c r="D92" s="151"/>
      <c r="E92" s="152"/>
      <c r="F92" s="152"/>
      <c r="G92" s="152"/>
      <c r="H92" s="153"/>
    </row>
    <row r="93" spans="3:8" ht="16.149999999999999" customHeight="1" x14ac:dyDescent="0.25">
      <c r="C93" s="151"/>
      <c r="D93" s="151"/>
      <c r="E93" s="152"/>
      <c r="F93" s="152"/>
      <c r="G93" s="152"/>
      <c r="H93" s="153"/>
    </row>
    <row r="94" spans="3:8" ht="16.149999999999999" customHeight="1" x14ac:dyDescent="0.25">
      <c r="C94" s="151"/>
      <c r="D94" s="151"/>
      <c r="E94" s="152"/>
      <c r="F94" s="152"/>
      <c r="G94" s="152"/>
      <c r="H94" s="153"/>
    </row>
    <row r="95" spans="3:8" ht="16.149999999999999" customHeight="1" x14ac:dyDescent="0.25">
      <c r="C95" s="151"/>
      <c r="D95" s="151"/>
      <c r="E95" s="152"/>
      <c r="F95" s="152"/>
      <c r="G95" s="152"/>
      <c r="H95" s="153"/>
    </row>
    <row r="96" spans="3:8" ht="16.149999999999999" customHeight="1" x14ac:dyDescent="0.25">
      <c r="C96" s="151"/>
      <c r="D96" s="151"/>
      <c r="E96" s="152"/>
      <c r="F96" s="152"/>
      <c r="G96" s="152"/>
      <c r="H96" s="153"/>
    </row>
    <row r="97" spans="3:8" ht="16.149999999999999" customHeight="1" x14ac:dyDescent="0.25">
      <c r="C97" s="151"/>
      <c r="D97" s="151"/>
      <c r="E97" s="152"/>
      <c r="F97" s="152"/>
      <c r="G97" s="152"/>
      <c r="H97" s="153"/>
    </row>
    <row r="98" spans="3:8" ht="16.149999999999999" customHeight="1" x14ac:dyDescent="0.25">
      <c r="C98" s="151"/>
      <c r="D98" s="151"/>
      <c r="E98" s="152"/>
      <c r="F98" s="152"/>
      <c r="G98" s="152"/>
      <c r="H98" s="153"/>
    </row>
    <row r="99" spans="3:8" ht="16.149999999999999" customHeight="1" x14ac:dyDescent="0.25">
      <c r="C99" s="151"/>
      <c r="D99" s="151"/>
      <c r="E99" s="152"/>
      <c r="F99" s="152"/>
      <c r="G99" s="152"/>
      <c r="H99" s="153"/>
    </row>
    <row r="100" spans="3:8" ht="16.149999999999999" customHeight="1" x14ac:dyDescent="0.25">
      <c r="C100" s="151"/>
      <c r="D100" s="151"/>
      <c r="E100" s="152"/>
      <c r="F100" s="152"/>
      <c r="G100" s="152"/>
      <c r="H100" s="153"/>
    </row>
    <row r="101" spans="3:8" ht="16.149999999999999" customHeight="1" x14ac:dyDescent="0.25">
      <c r="C101" s="151"/>
      <c r="D101" s="151"/>
      <c r="E101" s="152"/>
      <c r="F101" s="152"/>
      <c r="G101" s="152"/>
      <c r="H101" s="153"/>
    </row>
    <row r="102" spans="3:8" ht="16.149999999999999" customHeight="1" x14ac:dyDescent="0.25">
      <c r="C102" s="151"/>
      <c r="D102" s="151"/>
      <c r="E102" s="152"/>
      <c r="F102" s="152"/>
      <c r="G102" s="152"/>
      <c r="H102" s="153"/>
    </row>
    <row r="103" spans="3:8" ht="16.149999999999999" customHeight="1" x14ac:dyDescent="0.25">
      <c r="C103" s="151"/>
      <c r="D103" s="151"/>
      <c r="E103" s="152"/>
      <c r="F103" s="152"/>
      <c r="G103" s="152"/>
      <c r="H103" s="153"/>
    </row>
    <row r="104" spans="3:8" ht="16.149999999999999" customHeight="1" x14ac:dyDescent="0.25">
      <c r="C104" s="151"/>
      <c r="D104" s="151"/>
      <c r="E104" s="152"/>
      <c r="F104" s="152"/>
      <c r="G104" s="152"/>
      <c r="H104" s="153"/>
    </row>
    <row r="105" spans="3:8" ht="16.149999999999999" customHeight="1" x14ac:dyDescent="0.25">
      <c r="C105" s="151"/>
      <c r="D105" s="151"/>
      <c r="E105" s="152"/>
      <c r="F105" s="152"/>
      <c r="G105" s="152"/>
      <c r="H105" s="153"/>
    </row>
    <row r="106" spans="3:8" ht="16.149999999999999" customHeight="1" x14ac:dyDescent="0.25">
      <c r="C106" s="151"/>
      <c r="D106" s="151"/>
      <c r="E106" s="152"/>
      <c r="F106" s="152"/>
      <c r="G106" s="152"/>
      <c r="H106" s="153"/>
    </row>
    <row r="107" spans="3:8" ht="16.149999999999999" customHeight="1" x14ac:dyDescent="0.25">
      <c r="C107" s="151"/>
      <c r="D107" s="151"/>
      <c r="E107" s="152"/>
      <c r="F107" s="152"/>
      <c r="G107" s="152"/>
      <c r="H107" s="153"/>
    </row>
    <row r="108" spans="3:8" ht="16.149999999999999" customHeight="1" x14ac:dyDescent="0.25">
      <c r="C108" s="151"/>
      <c r="D108" s="151"/>
      <c r="E108" s="152"/>
      <c r="F108" s="152"/>
      <c r="G108" s="152"/>
      <c r="H108" s="153"/>
    </row>
    <row r="109" spans="3:8" ht="16.149999999999999" customHeight="1" x14ac:dyDescent="0.25">
      <c r="C109" s="151"/>
      <c r="D109" s="151"/>
      <c r="E109" s="152"/>
      <c r="F109" s="152"/>
      <c r="G109" s="152"/>
      <c r="H109" s="153"/>
    </row>
    <row r="110" spans="3:8" ht="16.149999999999999" customHeight="1" x14ac:dyDescent="0.25">
      <c r="C110" s="151"/>
      <c r="D110" s="151"/>
      <c r="E110" s="152"/>
      <c r="F110" s="152"/>
      <c r="G110" s="152"/>
      <c r="H110" s="153"/>
    </row>
    <row r="111" spans="3:8" ht="16.149999999999999" customHeight="1" x14ac:dyDescent="0.25">
      <c r="C111" s="151"/>
      <c r="D111" s="151"/>
      <c r="E111" s="152"/>
      <c r="F111" s="152"/>
      <c r="G111" s="152"/>
      <c r="H111" s="153"/>
    </row>
    <row r="112" spans="3:8" ht="16.149999999999999" customHeight="1" x14ac:dyDescent="0.25">
      <c r="C112" s="151"/>
      <c r="D112" s="151"/>
      <c r="E112" s="152"/>
      <c r="F112" s="152"/>
      <c r="G112" s="152"/>
      <c r="H112" s="153"/>
    </row>
    <row r="113" spans="3:8" ht="16.149999999999999" customHeight="1" x14ac:dyDescent="0.25">
      <c r="C113" s="151"/>
      <c r="D113" s="151"/>
      <c r="E113" s="152"/>
      <c r="F113" s="152"/>
      <c r="G113" s="152"/>
      <c r="H113" s="153"/>
    </row>
    <row r="114" spans="3:8" ht="16.149999999999999" customHeight="1" x14ac:dyDescent="0.25">
      <c r="C114" s="151"/>
      <c r="D114" s="151"/>
      <c r="E114" s="152"/>
      <c r="F114" s="152"/>
      <c r="G114" s="152"/>
      <c r="H114" s="153"/>
    </row>
    <row r="115" spans="3:8" ht="16.149999999999999" customHeight="1" x14ac:dyDescent="0.25">
      <c r="C115" s="151"/>
      <c r="D115" s="151"/>
      <c r="E115" s="152"/>
      <c r="F115" s="152"/>
      <c r="G115" s="152"/>
      <c r="H115" s="153"/>
    </row>
    <row r="116" spans="3:8" ht="16.149999999999999" customHeight="1" x14ac:dyDescent="0.25">
      <c r="C116" s="151"/>
      <c r="D116" s="151"/>
      <c r="E116" s="152"/>
      <c r="F116" s="152"/>
      <c r="G116" s="152"/>
      <c r="H116" s="153"/>
    </row>
    <row r="117" spans="3:8" ht="16.149999999999999" customHeight="1" x14ac:dyDescent="0.25">
      <c r="C117" s="151"/>
      <c r="D117" s="151"/>
      <c r="E117" s="152"/>
      <c r="F117" s="152"/>
      <c r="G117" s="152"/>
      <c r="H117" s="153"/>
    </row>
    <row r="118" spans="3:8" ht="16.149999999999999" customHeight="1" x14ac:dyDescent="0.25">
      <c r="C118" s="151"/>
      <c r="D118" s="151"/>
      <c r="E118" s="152"/>
      <c r="F118" s="152"/>
      <c r="G118" s="152"/>
      <c r="H118" s="153"/>
    </row>
    <row r="119" spans="3:8" ht="16.149999999999999" customHeight="1" x14ac:dyDescent="0.25">
      <c r="C119" s="151"/>
      <c r="D119" s="151"/>
      <c r="E119" s="152"/>
      <c r="F119" s="152"/>
      <c r="G119" s="152"/>
      <c r="H119" s="153"/>
    </row>
    <row r="120" spans="3:8" ht="16.149999999999999" customHeight="1" x14ac:dyDescent="0.25">
      <c r="C120" s="151"/>
      <c r="D120" s="151"/>
      <c r="E120" s="152"/>
      <c r="F120" s="152"/>
      <c r="G120" s="152"/>
      <c r="H120" s="153"/>
    </row>
    <row r="121" spans="3:8" ht="16.149999999999999" customHeight="1" x14ac:dyDescent="0.25">
      <c r="C121" s="151"/>
      <c r="D121" s="151"/>
      <c r="E121" s="152"/>
      <c r="F121" s="152"/>
      <c r="G121" s="152"/>
      <c r="H121" s="153"/>
    </row>
    <row r="122" spans="3:8" ht="16.149999999999999" customHeight="1" x14ac:dyDescent="0.25">
      <c r="C122" s="151"/>
      <c r="D122" s="151"/>
      <c r="E122" s="152"/>
      <c r="F122" s="152"/>
      <c r="G122" s="152"/>
      <c r="H122" s="153"/>
    </row>
    <row r="123" spans="3:8" ht="16.149999999999999" customHeight="1" x14ac:dyDescent="0.25">
      <c r="C123" s="151"/>
      <c r="D123" s="151"/>
      <c r="E123" s="152"/>
      <c r="F123" s="152"/>
      <c r="G123" s="152"/>
      <c r="H123" s="153"/>
    </row>
    <row r="124" spans="3:8" ht="16.149999999999999" customHeight="1" x14ac:dyDescent="0.25">
      <c r="C124" s="151"/>
      <c r="D124" s="151"/>
      <c r="E124" s="152"/>
      <c r="F124" s="152"/>
      <c r="G124" s="152"/>
      <c r="H124" s="153"/>
    </row>
    <row r="125" spans="3:8" ht="16.149999999999999" customHeight="1" x14ac:dyDescent="0.25">
      <c r="C125" s="151"/>
      <c r="D125" s="151"/>
      <c r="E125" s="152"/>
      <c r="F125" s="152"/>
      <c r="G125" s="152"/>
      <c r="H125" s="153"/>
    </row>
    <row r="126" spans="3:8" ht="16.149999999999999" customHeight="1" x14ac:dyDescent="0.25">
      <c r="C126" s="151"/>
      <c r="D126" s="151"/>
      <c r="E126" s="152"/>
      <c r="F126" s="152"/>
      <c r="G126" s="152"/>
      <c r="H126" s="153"/>
    </row>
    <row r="127" spans="3:8" ht="16.149999999999999" customHeight="1" x14ac:dyDescent="0.25">
      <c r="C127" s="151"/>
      <c r="D127" s="151"/>
      <c r="E127" s="152"/>
      <c r="F127" s="152"/>
      <c r="G127" s="152"/>
      <c r="H127" s="153"/>
    </row>
    <row r="128" spans="3:8" ht="16.149999999999999" customHeight="1" x14ac:dyDescent="0.25">
      <c r="C128" s="151"/>
      <c r="D128" s="151"/>
      <c r="E128" s="152"/>
      <c r="F128" s="152"/>
      <c r="G128" s="152"/>
      <c r="H128" s="153"/>
    </row>
    <row r="129" spans="3:8" ht="16.149999999999999" customHeight="1" x14ac:dyDescent="0.25">
      <c r="C129" s="151"/>
      <c r="D129" s="151"/>
      <c r="E129" s="152"/>
      <c r="F129" s="152"/>
      <c r="G129" s="152"/>
      <c r="H129" s="153"/>
    </row>
    <row r="130" spans="3:8" ht="16.149999999999999" customHeight="1" x14ac:dyDescent="0.25">
      <c r="C130" s="151"/>
      <c r="D130" s="151"/>
      <c r="E130" s="152"/>
      <c r="F130" s="152"/>
      <c r="G130" s="152"/>
      <c r="H130" s="153"/>
    </row>
    <row r="131" spans="3:8" ht="16.149999999999999" customHeight="1" x14ac:dyDescent="0.25">
      <c r="C131" s="151"/>
      <c r="D131" s="151"/>
      <c r="E131" s="152"/>
      <c r="F131" s="152"/>
      <c r="G131" s="152"/>
      <c r="H131" s="153"/>
    </row>
    <row r="132" spans="3:8" ht="16.149999999999999" customHeight="1" x14ac:dyDescent="0.25">
      <c r="C132" s="151"/>
      <c r="D132" s="151"/>
      <c r="E132" s="152"/>
      <c r="F132" s="152"/>
      <c r="G132" s="152"/>
      <c r="H132" s="153"/>
    </row>
    <row r="133" spans="3:8" ht="16.149999999999999" customHeight="1" x14ac:dyDescent="0.25">
      <c r="C133" s="151"/>
      <c r="D133" s="151"/>
      <c r="E133" s="152"/>
      <c r="F133" s="152"/>
      <c r="G133" s="152"/>
      <c r="H133" s="153"/>
    </row>
    <row r="134" spans="3:8" ht="16.149999999999999" customHeight="1" x14ac:dyDescent="0.25">
      <c r="C134" s="151"/>
      <c r="D134" s="151"/>
      <c r="E134" s="152"/>
      <c r="F134" s="152"/>
      <c r="G134" s="152"/>
      <c r="H134" s="153"/>
    </row>
    <row r="135" spans="3:8" ht="16.149999999999999" customHeight="1" x14ac:dyDescent="0.25">
      <c r="C135" s="151"/>
      <c r="D135" s="151"/>
      <c r="E135" s="152"/>
      <c r="F135" s="152"/>
      <c r="G135" s="152"/>
      <c r="H135" s="153"/>
    </row>
    <row r="136" spans="3:8" ht="16.149999999999999" customHeight="1" x14ac:dyDescent="0.25">
      <c r="C136" s="151"/>
      <c r="D136" s="151"/>
      <c r="E136" s="152"/>
      <c r="F136" s="152"/>
      <c r="G136" s="152"/>
      <c r="H136" s="153"/>
    </row>
    <row r="137" spans="3:8" ht="16.149999999999999" customHeight="1" x14ac:dyDescent="0.25">
      <c r="C137" s="151"/>
      <c r="D137" s="151"/>
      <c r="E137" s="152"/>
      <c r="F137" s="152"/>
      <c r="G137" s="152"/>
      <c r="H137" s="153"/>
    </row>
    <row r="138" spans="3:8" ht="16.149999999999999" customHeight="1" x14ac:dyDescent="0.25">
      <c r="C138" s="151"/>
      <c r="D138" s="151"/>
      <c r="E138" s="152"/>
      <c r="F138" s="152"/>
      <c r="G138" s="152"/>
      <c r="H138" s="153"/>
    </row>
    <row r="139" spans="3:8" ht="16.149999999999999" customHeight="1" x14ac:dyDescent="0.25">
      <c r="C139" s="151"/>
      <c r="D139" s="151"/>
      <c r="E139" s="152"/>
      <c r="F139" s="152"/>
      <c r="G139" s="152"/>
      <c r="H139" s="153"/>
    </row>
    <row r="140" spans="3:8" ht="16.149999999999999" customHeight="1" x14ac:dyDescent="0.25">
      <c r="C140" s="151"/>
      <c r="D140" s="151"/>
      <c r="E140" s="152"/>
      <c r="F140" s="152"/>
      <c r="G140" s="152"/>
      <c r="H140" s="153"/>
    </row>
    <row r="141" spans="3:8" ht="16.149999999999999" customHeight="1" x14ac:dyDescent="0.25">
      <c r="C141" s="151"/>
      <c r="D141" s="151"/>
      <c r="E141" s="152"/>
      <c r="F141" s="152"/>
      <c r="G141" s="152"/>
      <c r="H141" s="153"/>
    </row>
    <row r="142" spans="3:8" ht="16.149999999999999" customHeight="1" x14ac:dyDescent="0.25">
      <c r="C142" s="151"/>
      <c r="D142" s="151"/>
      <c r="E142" s="152"/>
      <c r="F142" s="152"/>
      <c r="G142" s="152"/>
      <c r="H142" s="153"/>
    </row>
    <row r="143" spans="3:8" ht="16.149999999999999" customHeight="1" x14ac:dyDescent="0.25">
      <c r="C143" s="151"/>
      <c r="D143" s="151"/>
      <c r="E143" s="152"/>
      <c r="F143" s="152"/>
      <c r="G143" s="152"/>
      <c r="H143" s="153"/>
    </row>
    <row r="144" spans="3:8" ht="16.149999999999999" customHeight="1" x14ac:dyDescent="0.25">
      <c r="C144" s="151"/>
      <c r="D144" s="151"/>
      <c r="E144" s="152"/>
      <c r="F144" s="152"/>
      <c r="G144" s="152"/>
      <c r="H144" s="153"/>
    </row>
    <row r="145" spans="3:8" ht="16.149999999999999" customHeight="1" x14ac:dyDescent="0.25">
      <c r="C145" s="151"/>
      <c r="D145" s="151"/>
      <c r="E145" s="152"/>
      <c r="F145" s="152"/>
      <c r="G145" s="152"/>
      <c r="H145" s="153"/>
    </row>
    <row r="146" spans="3:8" ht="16.149999999999999" customHeight="1" x14ac:dyDescent="0.25">
      <c r="C146" s="151"/>
      <c r="D146" s="151"/>
      <c r="E146" s="152"/>
      <c r="F146" s="152"/>
      <c r="G146" s="152"/>
      <c r="H146" s="153"/>
    </row>
    <row r="147" spans="3:8" ht="16.149999999999999" customHeight="1" x14ac:dyDescent="0.25">
      <c r="C147" s="151"/>
      <c r="D147" s="151"/>
      <c r="E147" s="152"/>
      <c r="F147" s="152"/>
      <c r="G147" s="152"/>
      <c r="H147" s="153"/>
    </row>
    <row r="148" spans="3:8" ht="16.149999999999999" customHeight="1" x14ac:dyDescent="0.25">
      <c r="C148" s="151"/>
      <c r="D148" s="151"/>
      <c r="E148" s="152"/>
      <c r="F148" s="152"/>
      <c r="G148" s="152"/>
      <c r="H148" s="153"/>
    </row>
    <row r="149" spans="3:8" ht="16.149999999999999" customHeight="1" x14ac:dyDescent="0.25">
      <c r="C149" s="151"/>
      <c r="D149" s="151"/>
      <c r="E149" s="152"/>
      <c r="F149" s="152"/>
      <c r="G149" s="152"/>
      <c r="H149" s="153"/>
    </row>
    <row r="150" spans="3:8" ht="16.149999999999999" customHeight="1" x14ac:dyDescent="0.25">
      <c r="C150" s="151"/>
      <c r="D150" s="151"/>
      <c r="E150" s="152"/>
      <c r="F150" s="152"/>
      <c r="G150" s="152"/>
      <c r="H150" s="153"/>
    </row>
    <row r="151" spans="3:8" ht="16.149999999999999" customHeight="1" x14ac:dyDescent="0.25">
      <c r="C151" s="151"/>
      <c r="D151" s="151"/>
      <c r="E151" s="152"/>
      <c r="F151" s="152"/>
      <c r="G151" s="152"/>
      <c r="H151" s="153"/>
    </row>
    <row r="152" spans="3:8" ht="16.149999999999999" customHeight="1" x14ac:dyDescent="0.25">
      <c r="C152" s="151"/>
      <c r="D152" s="151"/>
      <c r="E152" s="152"/>
      <c r="F152" s="152"/>
      <c r="G152" s="152"/>
      <c r="H152" s="153"/>
    </row>
    <row r="153" spans="3:8" ht="16.149999999999999" customHeight="1" x14ac:dyDescent="0.25">
      <c r="C153" s="151"/>
      <c r="D153" s="151"/>
      <c r="E153" s="152"/>
      <c r="F153" s="152"/>
      <c r="G153" s="152"/>
      <c r="H153" s="153"/>
    </row>
    <row r="154" spans="3:8" ht="16.149999999999999" customHeight="1" x14ac:dyDescent="0.25">
      <c r="C154" s="151"/>
      <c r="D154" s="151"/>
      <c r="E154" s="152"/>
      <c r="F154" s="152"/>
      <c r="G154" s="152"/>
      <c r="H154" s="153"/>
    </row>
    <row r="155" spans="3:8" ht="16.149999999999999" customHeight="1" x14ac:dyDescent="0.25">
      <c r="C155" s="151"/>
      <c r="D155" s="151"/>
      <c r="E155" s="152"/>
      <c r="F155" s="152"/>
      <c r="G155" s="152"/>
      <c r="H155" s="153"/>
    </row>
    <row r="156" spans="3:8" ht="16.149999999999999" customHeight="1" x14ac:dyDescent="0.25">
      <c r="C156" s="151"/>
      <c r="D156" s="151"/>
      <c r="E156" s="152"/>
      <c r="F156" s="152"/>
      <c r="G156" s="152"/>
      <c r="H156" s="153"/>
    </row>
    <row r="157" spans="3:8" ht="16.149999999999999" customHeight="1" x14ac:dyDescent="0.25">
      <c r="C157" s="151"/>
      <c r="D157" s="151"/>
      <c r="E157" s="152"/>
      <c r="F157" s="152"/>
      <c r="G157" s="152"/>
      <c r="H157" s="153"/>
    </row>
    <row r="158" spans="3:8" ht="16.149999999999999" customHeight="1" x14ac:dyDescent="0.25">
      <c r="C158" s="151"/>
      <c r="D158" s="151"/>
      <c r="E158" s="152"/>
      <c r="F158" s="152"/>
      <c r="G158" s="152"/>
      <c r="H158" s="153"/>
    </row>
    <row r="159" spans="3:8" ht="16.149999999999999" customHeight="1" x14ac:dyDescent="0.25">
      <c r="C159" s="151"/>
      <c r="D159" s="151"/>
      <c r="E159" s="152"/>
      <c r="F159" s="152"/>
      <c r="G159" s="152"/>
      <c r="H159" s="153"/>
    </row>
    <row r="160" spans="3:8" ht="16.149999999999999" customHeight="1" x14ac:dyDescent="0.25">
      <c r="C160" s="151"/>
      <c r="D160" s="151"/>
      <c r="E160" s="152"/>
      <c r="F160" s="152"/>
      <c r="G160" s="152"/>
      <c r="H160" s="153"/>
    </row>
    <row r="161" spans="3:8" ht="16.149999999999999" customHeight="1" x14ac:dyDescent="0.25">
      <c r="C161" s="151"/>
      <c r="D161" s="151"/>
      <c r="E161" s="152"/>
      <c r="F161" s="152"/>
      <c r="G161" s="152"/>
      <c r="H161" s="153"/>
    </row>
    <row r="162" spans="3:8" ht="16.149999999999999" customHeight="1" x14ac:dyDescent="0.25">
      <c r="C162" s="151"/>
      <c r="D162" s="151"/>
      <c r="E162" s="152"/>
      <c r="F162" s="152"/>
      <c r="G162" s="152"/>
      <c r="H162" s="153"/>
    </row>
    <row r="163" spans="3:8" ht="16.149999999999999" customHeight="1" x14ac:dyDescent="0.25">
      <c r="C163" s="151"/>
      <c r="D163" s="151"/>
      <c r="E163" s="152"/>
      <c r="F163" s="152"/>
      <c r="G163" s="152"/>
      <c r="H163" s="153"/>
    </row>
    <row r="164" spans="3:8" ht="16.149999999999999" customHeight="1" x14ac:dyDescent="0.25">
      <c r="C164" s="151"/>
      <c r="D164" s="151"/>
      <c r="E164" s="152"/>
      <c r="F164" s="152"/>
      <c r="G164" s="152"/>
      <c r="H164" s="153"/>
    </row>
    <row r="165" spans="3:8" ht="16.149999999999999" customHeight="1" x14ac:dyDescent="0.25">
      <c r="C165" s="151"/>
      <c r="D165" s="151"/>
      <c r="E165" s="152"/>
      <c r="F165" s="152"/>
      <c r="G165" s="152"/>
      <c r="H165" s="153"/>
    </row>
  </sheetData>
  <printOptions horizontalCentered="1"/>
  <pageMargins left="0.59055118110236227" right="0.59055118110236227" top="0.59055118110236227" bottom="0.59055118110236227" header="0.39370078740157483" footer="0.39370078740157483"/>
  <pageSetup paperSize="9" scale="72" fitToHeight="0" orientation="portrait"/>
  <headerFooter alignWithMargins="0">
    <oddFooter>&amp;C&amp;9Page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Q26"/>
  <sheetViews>
    <sheetView zoomScale="95" zoomScaleNormal="95" workbookViewId="0">
      <pane ySplit="2" topLeftCell="A3" activePane="bottomLeft" state="frozen"/>
      <selection pane="bottomLeft"/>
    </sheetView>
  </sheetViews>
  <sheetFormatPr defaultColWidth="9.140625" defaultRowHeight="16.149999999999999" customHeight="1" x14ac:dyDescent="0.25"/>
  <cols>
    <col min="1" max="1" width="15.7109375" style="5" customWidth="1"/>
    <col min="2" max="2" width="15.7109375" style="159" customWidth="1"/>
    <col min="3" max="3" width="15.7109375" style="161" customWidth="1"/>
    <col min="4" max="4" width="15.7109375" style="159" customWidth="1"/>
    <col min="5" max="5" width="5.7109375" style="5" customWidth="1"/>
    <col min="6" max="8" width="15.7109375" style="5" customWidth="1"/>
    <col min="9" max="9" width="5.7109375" style="5" customWidth="1"/>
    <col min="10" max="12" width="15.7109375" style="5" customWidth="1"/>
    <col min="13" max="13" width="5.7109375" style="5" customWidth="1"/>
    <col min="14" max="19" width="15.7109375" style="5" customWidth="1"/>
    <col min="20" max="16384" width="9.140625" style="5"/>
  </cols>
  <sheetData>
    <row r="1" spans="1:17" s="10" customFormat="1" ht="16.149999999999999" customHeight="1" x14ac:dyDescent="0.2">
      <c r="B1" s="205" t="s">
        <v>169</v>
      </c>
      <c r="C1" s="206"/>
      <c r="D1" s="207"/>
      <c r="F1" s="205" t="s">
        <v>180</v>
      </c>
      <c r="G1" s="206"/>
      <c r="H1" s="207"/>
      <c r="J1" s="205" t="s">
        <v>259</v>
      </c>
      <c r="K1" s="206"/>
      <c r="L1" s="207"/>
      <c r="N1" s="205" t="s">
        <v>262</v>
      </c>
      <c r="O1" s="206"/>
      <c r="P1" s="206"/>
      <c r="Q1" s="207"/>
    </row>
    <row r="2" spans="1:17" s="10" customFormat="1" ht="16.149999999999999" customHeight="1" x14ac:dyDescent="0.2">
      <c r="A2" s="10" t="s">
        <v>40</v>
      </c>
      <c r="B2" s="157" t="s">
        <v>255</v>
      </c>
      <c r="C2" s="158" t="s">
        <v>256</v>
      </c>
      <c r="D2" s="157" t="s">
        <v>257</v>
      </c>
      <c r="F2" s="157" t="s">
        <v>255</v>
      </c>
      <c r="G2" s="158" t="s">
        <v>256</v>
      </c>
      <c r="H2" s="157" t="s">
        <v>257</v>
      </c>
      <c r="J2" s="157" t="s">
        <v>255</v>
      </c>
      <c r="K2" s="158" t="s">
        <v>256</v>
      </c>
      <c r="L2" s="157" t="s">
        <v>257</v>
      </c>
      <c r="N2" s="157" t="s">
        <v>255</v>
      </c>
      <c r="O2" s="158" t="s">
        <v>256</v>
      </c>
      <c r="P2" s="157" t="s">
        <v>273</v>
      </c>
      <c r="Q2" s="157" t="s">
        <v>257</v>
      </c>
    </row>
    <row r="3" spans="1:17" ht="16.149999999999999" customHeight="1" x14ac:dyDescent="0.25">
      <c r="A3" s="5" t="s">
        <v>254</v>
      </c>
      <c r="B3" s="159">
        <f ca="1">DATE(YEAR(Assumptions!$C$5),OFFSET($C$2,MATCH(MONTH(Assumptions!$C$5)-1,Pay!$C$3:$C$18,-1),0,1,1)+1-Assumptions!$C$63,0)</f>
        <v>44227</v>
      </c>
      <c r="C3" s="160">
        <f>C4+Assumptions!$C$63</f>
        <v>31</v>
      </c>
      <c r="D3" s="159">
        <f ca="1">IF(Assumptions!$C$66&gt;DAY(B3),B3,DATE(YEAR(B3),MONTH(B3),Assumptions!$C$66))</f>
        <v>44221</v>
      </c>
      <c r="F3" s="159">
        <f ca="1">DATE(YEAR(Assumptions!$C$5),OFFSET($G$2,MATCH(MONTH(Assumptions!$C$5)-1,Pay!$G$3:$G$18,-1),0,1,1)+1-Assumptions!$C$70,0)</f>
        <v>44074</v>
      </c>
      <c r="G3" s="160">
        <f>G4+Assumptions!$C$70</f>
        <v>92</v>
      </c>
      <c r="H3" s="159">
        <f ca="1">IF(Assumptions!$C$73&gt;DAY(F3),F3,DATE(YEAR(F3),MONTH(F3),Assumptions!$C$73))</f>
        <v>44068</v>
      </c>
      <c r="J3" s="159">
        <f ca="1">DATE(YEAR(Assumptions!$C$5),OFFSET($K$2,MATCH(MONTH(Assumptions!$C$5)-1,Pay!$K$3:$K$18,-1),0,1,1)+1-Assumptions!$C$53,0)</f>
        <v>44227</v>
      </c>
      <c r="K3" s="160">
        <f>K4+Assumptions!$C$53</f>
        <v>16</v>
      </c>
      <c r="L3" s="159">
        <f ca="1">IF(Assumptions!$C$56&gt;DAY(J3),J3,DATE(YEAR(J3),MONTH(J3),Assumptions!$C$56))</f>
        <v>44202</v>
      </c>
      <c r="N3" s="159">
        <f ca="1">DATE(YEAR(Assumptions!$C$5),OFFSET($O$2,MATCH(MONTH(Assumptions!$C$5)-1,Pay!$O$3:$O$18,-1),0,1,1)+1-Assumptions!$C$107,0)</f>
        <v>43890</v>
      </c>
      <c r="O3" s="160">
        <f>O4+Assumptions!$C$107</f>
        <v>182</v>
      </c>
      <c r="P3" s="159">
        <f ca="1">IF(Assumptions!$C$110&gt;DAY(N3),N3,DATE(YEAR(N3),MONTH(N3),Assumptions!$C$110))</f>
        <v>43881</v>
      </c>
      <c r="Q3" s="159">
        <f ca="1">IF(Assumptions!$C$110&gt;DAY(DATE(YEAR(N3),MONTH(N3)+2,0)),DATE(YEAR(N3),MONTH(N3)+2,0),DATE(YEAR(N3),MONTH(N3)+1,Assumptions!$C$110))</f>
        <v>43910</v>
      </c>
    </row>
    <row r="4" spans="1:17" ht="16.149999999999999" customHeight="1" x14ac:dyDescent="0.25">
      <c r="A4" s="5" t="s">
        <v>239</v>
      </c>
      <c r="B4" s="159">
        <f ca="1">DATE(YEAR(B3),MONTH(B3)+1+Assumptions!$C$63,0)</f>
        <v>44286</v>
      </c>
      <c r="C4" s="160">
        <f>C5+Assumptions!$C$63</f>
        <v>29</v>
      </c>
      <c r="D4" s="159">
        <f ca="1">IF(Assumptions!$C$66&gt;DAY(B4),B4,DATE(YEAR(B4),MONTH(B4),Assumptions!$C$66))</f>
        <v>44280</v>
      </c>
      <c r="F4" s="159">
        <f ca="1">DATE(YEAR(F3),MONTH(F3)+1+Assumptions!$C$70,0)</f>
        <v>44255</v>
      </c>
      <c r="G4" s="160">
        <f>G5+Assumptions!$C$70</f>
        <v>86</v>
      </c>
      <c r="H4" s="159">
        <f ca="1">IF(Assumptions!$C$73&gt;DAY(F4),F4,DATE(YEAR(F4),MONTH(F4),Assumptions!$C$73))</f>
        <v>44252</v>
      </c>
      <c r="J4" s="159">
        <f ca="1">DATE(YEAR(J3),MONTH(J3)+1+Assumptions!$C$53,0)</f>
        <v>44255</v>
      </c>
      <c r="K4" s="160">
        <f>K5+Assumptions!$C$53</f>
        <v>15</v>
      </c>
      <c r="L4" s="159">
        <f ca="1">IF(Assumptions!$C$56&gt;DAY(J4),J4,DATE(YEAR(J4),MONTH(J4),Assumptions!$C$56))</f>
        <v>44233</v>
      </c>
      <c r="N4" s="159">
        <f ca="1">DATE(YEAR(N3),MONTH(N3)+1+Assumptions!$C$107,0)</f>
        <v>44255</v>
      </c>
      <c r="O4" s="160">
        <f>O5+Assumptions!$C$107</f>
        <v>170</v>
      </c>
      <c r="P4" s="159">
        <f ca="1">IF(Assumptions!$C$110&gt;DAY(N4),N4,DATE(YEAR(N4),MONTH(N4),Assumptions!$C$110))</f>
        <v>44247</v>
      </c>
      <c r="Q4" s="159">
        <f ca="1">IF(Assumptions!$C$110&gt;DAY(DATE(YEAR(N4),MONTH(N4)+2,0)),DATE(YEAR(N4),MONTH(N4)+2,0),DATE(YEAR(N4),MONTH(N4)+1,Assumptions!$C$110))</f>
        <v>44275</v>
      </c>
    </row>
    <row r="5" spans="1:17" ht="16.149999999999999" customHeight="1" x14ac:dyDescent="0.25">
      <c r="A5" s="5" t="s">
        <v>240</v>
      </c>
      <c r="B5" s="159">
        <f ca="1">DATE(YEAR(B4),MONTH(B4)+1+Assumptions!$C$63,0)</f>
        <v>44347</v>
      </c>
      <c r="C5" s="160">
        <f>C6+Assumptions!$C$63</f>
        <v>27</v>
      </c>
      <c r="D5" s="159">
        <f ca="1">IF(Assumptions!$C$66&gt;DAY(B5),B5,DATE(YEAR(B5),MONTH(B5),Assumptions!$C$66))</f>
        <v>44341</v>
      </c>
      <c r="F5" s="159">
        <f ca="1">DATE(YEAR(F4),MONTH(F4)+1+Assumptions!$C$70,0)</f>
        <v>44439</v>
      </c>
      <c r="G5" s="160">
        <f>G6+Assumptions!$C$70</f>
        <v>80</v>
      </c>
      <c r="H5" s="159">
        <f ca="1">IF(Assumptions!$C$73&gt;DAY(F5),F5,DATE(YEAR(F5),MONTH(F5),Assumptions!$C$73))</f>
        <v>44433</v>
      </c>
      <c r="J5" s="159">
        <f ca="1">DATE(YEAR(J4),MONTH(J4)+1+Assumptions!$C$53,0)</f>
        <v>44286</v>
      </c>
      <c r="K5" s="160">
        <f>K6+Assumptions!$C$53</f>
        <v>14</v>
      </c>
      <c r="L5" s="159">
        <f ca="1">IF(Assumptions!$C$56&gt;DAY(J5),J5,DATE(YEAR(J5),MONTH(J5),Assumptions!$C$56))</f>
        <v>44261</v>
      </c>
      <c r="N5" s="159">
        <f ca="1">DATE(YEAR(N4),MONTH(N4)+1+Assumptions!$C$107,0)</f>
        <v>44620</v>
      </c>
      <c r="O5" s="160">
        <f>O6+Assumptions!$C$107</f>
        <v>158</v>
      </c>
      <c r="P5" s="159">
        <f ca="1">IF(Assumptions!$C$110&gt;DAY(N5),N5,DATE(YEAR(N5),MONTH(N5),Assumptions!$C$110))</f>
        <v>44612</v>
      </c>
      <c r="Q5" s="159">
        <f ca="1">IF(Assumptions!$C$110&gt;DAY(DATE(YEAR(N5),MONTH(N5)+2,0)),DATE(YEAR(N5),MONTH(N5)+2,0),DATE(YEAR(N5),MONTH(N5)+1,Assumptions!$C$110))</f>
        <v>44640</v>
      </c>
    </row>
    <row r="6" spans="1:17" ht="16.149999999999999" customHeight="1" x14ac:dyDescent="0.25">
      <c r="A6" s="5" t="s">
        <v>241</v>
      </c>
      <c r="B6" s="159">
        <f ca="1">DATE(YEAR(B5),MONTH(B5)+1+Assumptions!$C$63,0)</f>
        <v>44408</v>
      </c>
      <c r="C6" s="160">
        <f>C7+Assumptions!$C$63</f>
        <v>25</v>
      </c>
      <c r="D6" s="159">
        <f ca="1">IF(Assumptions!$C$66&gt;DAY(B6),B6,DATE(YEAR(B6),MONTH(B6),Assumptions!$C$66))</f>
        <v>44402</v>
      </c>
      <c r="F6" s="159">
        <f ca="1">DATE(YEAR(F5),MONTH(F5)+1+Assumptions!$C$70,0)</f>
        <v>44620</v>
      </c>
      <c r="G6" s="160">
        <f>G7+Assumptions!$C$70</f>
        <v>74</v>
      </c>
      <c r="H6" s="159">
        <f ca="1">IF(Assumptions!$C$73&gt;DAY(F6),F6,DATE(YEAR(F6),MONTH(F6),Assumptions!$C$73))</f>
        <v>44617</v>
      </c>
      <c r="J6" s="159">
        <f ca="1">DATE(YEAR(J5),MONTH(J5)+1+Assumptions!$C$53,0)</f>
        <v>44316</v>
      </c>
      <c r="K6" s="160">
        <f>K7+Assumptions!$C$53</f>
        <v>13</v>
      </c>
      <c r="L6" s="159">
        <f ca="1">IF(Assumptions!$C$56&gt;DAY(J6),J6,DATE(YEAR(J6),MONTH(J6),Assumptions!$C$56))</f>
        <v>44292</v>
      </c>
      <c r="N6" s="159">
        <f ca="1">DATE(YEAR(N5),MONTH(N5)+1+Assumptions!$C$107,0)</f>
        <v>44985</v>
      </c>
      <c r="O6" s="160">
        <f>O7+Assumptions!$C$107</f>
        <v>146</v>
      </c>
      <c r="P6" s="159">
        <f ca="1">IF(Assumptions!$C$110&gt;DAY(N6),N6,DATE(YEAR(N6),MONTH(N6),Assumptions!$C$110))</f>
        <v>44977</v>
      </c>
      <c r="Q6" s="159">
        <f ca="1">IF(Assumptions!$C$110&gt;DAY(DATE(YEAR(N6),MONTH(N6)+2,0)),DATE(YEAR(N6),MONTH(N6)+2,0),DATE(YEAR(N6),MONTH(N6)+1,Assumptions!$C$110))</f>
        <v>45005</v>
      </c>
    </row>
    <row r="7" spans="1:17" ht="16.149999999999999" customHeight="1" x14ac:dyDescent="0.25">
      <c r="A7" s="5" t="s">
        <v>242</v>
      </c>
      <c r="B7" s="159">
        <f ca="1">DATE(YEAR(B6),MONTH(B6)+1+Assumptions!$C$63,0)</f>
        <v>44469</v>
      </c>
      <c r="C7" s="160">
        <f>C8+Assumptions!$C$63</f>
        <v>23</v>
      </c>
      <c r="D7" s="159">
        <f ca="1">IF(Assumptions!$C$66&gt;DAY(B7),B7,DATE(YEAR(B7),MONTH(B7),Assumptions!$C$66))</f>
        <v>44464</v>
      </c>
      <c r="F7" s="159">
        <f ca="1">DATE(YEAR(F6),MONTH(F6)+1+Assumptions!$C$70,0)</f>
        <v>44804</v>
      </c>
      <c r="G7" s="160">
        <f>G8+Assumptions!$C$70</f>
        <v>68</v>
      </c>
      <c r="H7" s="159">
        <f ca="1">IF(Assumptions!$C$73&gt;DAY(F7),F7,DATE(YEAR(F7),MONTH(F7),Assumptions!$C$73))</f>
        <v>44798</v>
      </c>
      <c r="J7" s="159">
        <f ca="1">DATE(YEAR(J6),MONTH(J6)+1+Assumptions!$C$53,0)</f>
        <v>44347</v>
      </c>
      <c r="K7" s="160">
        <f>K8+Assumptions!$C$53</f>
        <v>12</v>
      </c>
      <c r="L7" s="159">
        <f ca="1">IF(Assumptions!$C$56&gt;DAY(J7),J7,DATE(YEAR(J7),MONTH(J7),Assumptions!$C$56))</f>
        <v>44322</v>
      </c>
      <c r="N7" s="159">
        <f ca="1">DATE(YEAR(N6),MONTH(N6)+1+Assumptions!$C$107,0)</f>
        <v>45351</v>
      </c>
      <c r="O7" s="160">
        <f>O8+Assumptions!$C$107</f>
        <v>134</v>
      </c>
      <c r="P7" s="159">
        <f ca="1">IF(Assumptions!$C$110&gt;DAY(N7),N7,DATE(YEAR(N7),MONTH(N7),Assumptions!$C$110))</f>
        <v>45342</v>
      </c>
      <c r="Q7" s="159">
        <f ca="1">IF(Assumptions!$C$110&gt;DAY(DATE(YEAR(N7),MONTH(N7)+2,0)),DATE(YEAR(N7),MONTH(N7)+2,0),DATE(YEAR(N7),MONTH(N7)+1,Assumptions!$C$110))</f>
        <v>45371</v>
      </c>
    </row>
    <row r="8" spans="1:17" ht="16.149999999999999" customHeight="1" x14ac:dyDescent="0.25">
      <c r="A8" s="5" t="s">
        <v>243</v>
      </c>
      <c r="B8" s="159">
        <f ca="1">DATE(YEAR(B7),MONTH(B7)+1+Assumptions!$C$63,0)</f>
        <v>44530</v>
      </c>
      <c r="C8" s="160">
        <f>C9+Assumptions!$C$63</f>
        <v>21</v>
      </c>
      <c r="D8" s="159">
        <f ca="1">IF(Assumptions!$C$66&gt;DAY(B8),B8,DATE(YEAR(B8),MONTH(B8),Assumptions!$C$66))</f>
        <v>44525</v>
      </c>
      <c r="F8" s="159">
        <f ca="1">DATE(YEAR(F7),MONTH(F7)+1+Assumptions!$C$70,0)</f>
        <v>44985</v>
      </c>
      <c r="G8" s="160">
        <f>G9+Assumptions!$C$70</f>
        <v>62</v>
      </c>
      <c r="H8" s="159">
        <f ca="1">IF(Assumptions!$C$73&gt;DAY(F8),F8,DATE(YEAR(F8),MONTH(F8),Assumptions!$C$73))</f>
        <v>44982</v>
      </c>
      <c r="J8" s="159">
        <f ca="1">DATE(YEAR(J7),MONTH(J7)+1+Assumptions!$C$53,0)</f>
        <v>44377</v>
      </c>
      <c r="K8" s="160">
        <f>K9+Assumptions!$C$53</f>
        <v>11</v>
      </c>
      <c r="L8" s="159">
        <f ca="1">IF(Assumptions!$C$56&gt;DAY(J8),J8,DATE(YEAR(J8),MONTH(J8),Assumptions!$C$56))</f>
        <v>44353</v>
      </c>
      <c r="N8" s="159">
        <f ca="1">DATE(YEAR(N7),MONTH(N7)+1+Assumptions!$C$107,0)</f>
        <v>45716</v>
      </c>
      <c r="O8" s="160">
        <f>O9+Assumptions!$C$107</f>
        <v>122</v>
      </c>
      <c r="P8" s="159">
        <f ca="1">IF(Assumptions!$C$110&gt;DAY(N8),N8,DATE(YEAR(N8),MONTH(N8),Assumptions!$C$110))</f>
        <v>45708</v>
      </c>
      <c r="Q8" s="159">
        <f ca="1">IF(Assumptions!$C$110&gt;DAY(DATE(YEAR(N8),MONTH(N8)+2,0)),DATE(YEAR(N8),MONTH(N8)+2,0),DATE(YEAR(N8),MONTH(N8)+1,Assumptions!$C$110))</f>
        <v>45736</v>
      </c>
    </row>
    <row r="9" spans="1:17" ht="16.149999999999999" customHeight="1" x14ac:dyDescent="0.25">
      <c r="A9" s="5" t="s">
        <v>244</v>
      </c>
      <c r="B9" s="159">
        <f ca="1">DATE(YEAR(B8),MONTH(B8)+1+Assumptions!$C$63,0)</f>
        <v>44592</v>
      </c>
      <c r="C9" s="160">
        <f>C10+Assumptions!$C$63</f>
        <v>19</v>
      </c>
      <c r="D9" s="159">
        <f ca="1">IF(Assumptions!$C$66&gt;DAY(B9),B9,DATE(YEAR(B9),MONTH(B9),Assumptions!$C$66))</f>
        <v>44586</v>
      </c>
      <c r="F9" s="159">
        <f ca="1">DATE(YEAR(F8),MONTH(F8)+1+Assumptions!$C$70,0)</f>
        <v>45169</v>
      </c>
      <c r="G9" s="160">
        <f>G10+Assumptions!$C$70</f>
        <v>56</v>
      </c>
      <c r="H9" s="159">
        <f ca="1">IF(Assumptions!$C$73&gt;DAY(F9),F9,DATE(YEAR(F9),MONTH(F9),Assumptions!$C$73))</f>
        <v>45163</v>
      </c>
      <c r="J9" s="159">
        <f ca="1">DATE(YEAR(J8),MONTH(J8)+1+Assumptions!$C$53,0)</f>
        <v>44408</v>
      </c>
      <c r="K9" s="160">
        <f>K10+Assumptions!$C$53</f>
        <v>10</v>
      </c>
      <c r="L9" s="159">
        <f ca="1">IF(Assumptions!$C$56&gt;DAY(J9),J9,DATE(YEAR(J9),MONTH(J9),Assumptions!$C$56))</f>
        <v>44383</v>
      </c>
      <c r="N9" s="159">
        <f ca="1">DATE(YEAR(N8),MONTH(N8)+1+Assumptions!$C$107,0)</f>
        <v>46081</v>
      </c>
      <c r="O9" s="160">
        <f>O10+Assumptions!$C$107</f>
        <v>110</v>
      </c>
      <c r="P9" s="159">
        <f ca="1">IF(Assumptions!$C$110&gt;DAY(N9),N9,DATE(YEAR(N9),MONTH(N9),Assumptions!$C$110))</f>
        <v>46073</v>
      </c>
      <c r="Q9" s="159">
        <f ca="1">IF(Assumptions!$C$110&gt;DAY(DATE(YEAR(N9),MONTH(N9)+2,0)),DATE(YEAR(N9),MONTH(N9)+2,0),DATE(YEAR(N9),MONTH(N9)+1,Assumptions!$C$110))</f>
        <v>46101</v>
      </c>
    </row>
    <row r="10" spans="1:17" ht="16.149999999999999" customHeight="1" x14ac:dyDescent="0.25">
      <c r="A10" s="5" t="s">
        <v>245</v>
      </c>
      <c r="B10" s="159">
        <f ca="1">DATE(YEAR(B9),MONTH(B9)+1+Assumptions!$C$63,0)</f>
        <v>44651</v>
      </c>
      <c r="C10" s="160">
        <f>C11+Assumptions!$C$63</f>
        <v>17</v>
      </c>
      <c r="D10" s="159">
        <f ca="1">IF(Assumptions!$C$66&gt;DAY(B10),B10,DATE(YEAR(B10),MONTH(B10),Assumptions!$C$66))</f>
        <v>44645</v>
      </c>
      <c r="F10" s="159">
        <f ca="1">DATE(YEAR(F9),MONTH(F9)+1+Assumptions!$C$70,0)</f>
        <v>45351</v>
      </c>
      <c r="G10" s="160">
        <f>G11+Assumptions!$C$70</f>
        <v>50</v>
      </c>
      <c r="H10" s="159">
        <f ca="1">IF(Assumptions!$C$73&gt;DAY(F10),F10,DATE(YEAR(F10),MONTH(F10),Assumptions!$C$73))</f>
        <v>45347</v>
      </c>
      <c r="J10" s="159">
        <f ca="1">DATE(YEAR(J9),MONTH(J9)+1+Assumptions!$C$53,0)</f>
        <v>44439</v>
      </c>
      <c r="K10" s="160">
        <f>K11+Assumptions!$C$53</f>
        <v>9</v>
      </c>
      <c r="L10" s="159">
        <f ca="1">IF(Assumptions!$C$56&gt;DAY(J10),J10,DATE(YEAR(J10),MONTH(J10),Assumptions!$C$56))</f>
        <v>44414</v>
      </c>
      <c r="N10" s="159">
        <f ca="1">DATE(YEAR(N9),MONTH(N9)+1+Assumptions!$C$107,0)</f>
        <v>46446</v>
      </c>
      <c r="O10" s="160">
        <f>O11+Assumptions!$C$107</f>
        <v>98</v>
      </c>
      <c r="P10" s="159">
        <f ca="1">IF(Assumptions!$C$110&gt;DAY(N10),N10,DATE(YEAR(N10),MONTH(N10),Assumptions!$C$110))</f>
        <v>46438</v>
      </c>
      <c r="Q10" s="159">
        <f ca="1">IF(Assumptions!$C$110&gt;DAY(DATE(YEAR(N10),MONTH(N10)+2,0)),DATE(YEAR(N10),MONTH(N10)+2,0),DATE(YEAR(N10),MONTH(N10)+1,Assumptions!$C$110))</f>
        <v>46466</v>
      </c>
    </row>
    <row r="11" spans="1:17" ht="16.149999999999999" customHeight="1" x14ac:dyDescent="0.25">
      <c r="A11" s="5" t="s">
        <v>246</v>
      </c>
      <c r="B11" s="159">
        <f ca="1">DATE(YEAR(B10),MONTH(B10)+1+Assumptions!$C$63,0)</f>
        <v>44712</v>
      </c>
      <c r="C11" s="160">
        <f>C12+Assumptions!$C$63</f>
        <v>15</v>
      </c>
      <c r="D11" s="159">
        <f ca="1">IF(Assumptions!$C$66&gt;DAY(B11),B11,DATE(YEAR(B11),MONTH(B11),Assumptions!$C$66))</f>
        <v>44706</v>
      </c>
      <c r="F11" s="159">
        <f ca="1">DATE(YEAR(F10),MONTH(F10)+1+Assumptions!$C$70,0)</f>
        <v>45535</v>
      </c>
      <c r="G11" s="160">
        <f>G12+Assumptions!$C$70</f>
        <v>44</v>
      </c>
      <c r="H11" s="159">
        <f ca="1">IF(Assumptions!$C$73&gt;DAY(F11),F11,DATE(YEAR(F11),MONTH(F11),Assumptions!$C$73))</f>
        <v>45529</v>
      </c>
      <c r="J11" s="159">
        <f ca="1">DATE(YEAR(J10),MONTH(J10)+1+Assumptions!$C$53,0)</f>
        <v>44469</v>
      </c>
      <c r="K11" s="160">
        <f>K12+Assumptions!$C$53</f>
        <v>8</v>
      </c>
      <c r="L11" s="159">
        <f ca="1">IF(Assumptions!$C$56&gt;DAY(J11),J11,DATE(YEAR(J11),MONTH(J11),Assumptions!$C$56))</f>
        <v>44445</v>
      </c>
      <c r="N11" s="159">
        <f ca="1">DATE(YEAR(N10),MONTH(N10)+1+Assumptions!$C$107,0)</f>
        <v>46812</v>
      </c>
      <c r="O11" s="160">
        <f>O12+Assumptions!$C$107</f>
        <v>86</v>
      </c>
      <c r="P11" s="159">
        <f ca="1">IF(Assumptions!$C$110&gt;DAY(N11),N11,DATE(YEAR(N11),MONTH(N11),Assumptions!$C$110))</f>
        <v>46803</v>
      </c>
      <c r="Q11" s="159">
        <f ca="1">IF(Assumptions!$C$110&gt;DAY(DATE(YEAR(N11),MONTH(N11)+2,0)),DATE(YEAR(N11),MONTH(N11)+2,0),DATE(YEAR(N11),MONTH(N11)+1,Assumptions!$C$110))</f>
        <v>46832</v>
      </c>
    </row>
    <row r="12" spans="1:17" ht="16.149999999999999" customHeight="1" x14ac:dyDescent="0.25">
      <c r="A12" s="5" t="s">
        <v>247</v>
      </c>
      <c r="B12" s="159">
        <f ca="1">DATE(YEAR(B11),MONTH(B11)+1+Assumptions!$C$63,0)</f>
        <v>44773</v>
      </c>
      <c r="C12" s="160">
        <f>C13+Assumptions!$C$63</f>
        <v>13</v>
      </c>
      <c r="D12" s="159">
        <f ca="1">IF(Assumptions!$C$66&gt;DAY(B12),B12,DATE(YEAR(B12),MONTH(B12),Assumptions!$C$66))</f>
        <v>44767</v>
      </c>
      <c r="F12" s="159">
        <f ca="1">DATE(YEAR(F11),MONTH(F11)+1+Assumptions!$C$70,0)</f>
        <v>45716</v>
      </c>
      <c r="G12" s="160">
        <f>G13+Assumptions!$C$70</f>
        <v>38</v>
      </c>
      <c r="H12" s="159">
        <f ca="1">IF(Assumptions!$C$73&gt;DAY(F12),F12,DATE(YEAR(F12),MONTH(F12),Assumptions!$C$73))</f>
        <v>45713</v>
      </c>
      <c r="J12" s="159">
        <f ca="1">DATE(YEAR(J11),MONTH(J11)+1+Assumptions!$C$53,0)</f>
        <v>44500</v>
      </c>
      <c r="K12" s="160">
        <f>K13+Assumptions!$C$53</f>
        <v>7</v>
      </c>
      <c r="L12" s="159">
        <f ca="1">IF(Assumptions!$C$56&gt;DAY(J12),J12,DATE(YEAR(J12),MONTH(J12),Assumptions!$C$56))</f>
        <v>44475</v>
      </c>
      <c r="N12" s="159">
        <f ca="1">DATE(YEAR(N11),MONTH(N11)+1+Assumptions!$C$107,0)</f>
        <v>47177</v>
      </c>
      <c r="O12" s="160">
        <f>O13+Assumptions!$C$107</f>
        <v>74</v>
      </c>
      <c r="P12" s="159">
        <f ca="1">IF(Assumptions!$C$110&gt;DAY(N12),N12,DATE(YEAR(N12),MONTH(N12),Assumptions!$C$110))</f>
        <v>47169</v>
      </c>
      <c r="Q12" s="159">
        <f ca="1">IF(Assumptions!$C$110&gt;DAY(DATE(YEAR(N12),MONTH(N12)+2,0)),DATE(YEAR(N12),MONTH(N12)+2,0),DATE(YEAR(N12),MONTH(N12)+1,Assumptions!$C$110))</f>
        <v>47197</v>
      </c>
    </row>
    <row r="13" spans="1:17" ht="16.149999999999999" customHeight="1" x14ac:dyDescent="0.25">
      <c r="A13" s="5" t="s">
        <v>248</v>
      </c>
      <c r="B13" s="159">
        <f ca="1">DATE(YEAR(B12),MONTH(B12)+1+Assumptions!$C$63,0)</f>
        <v>44834</v>
      </c>
      <c r="C13" s="160">
        <f>C14+Assumptions!$C$63</f>
        <v>11</v>
      </c>
      <c r="D13" s="159">
        <f ca="1">IF(Assumptions!$C$66&gt;DAY(B13),B13,DATE(YEAR(B13),MONTH(B13),Assumptions!$C$66))</f>
        <v>44829</v>
      </c>
      <c r="F13" s="159">
        <f ca="1">DATE(YEAR(F12),MONTH(F12)+1+Assumptions!$C$70,0)</f>
        <v>45900</v>
      </c>
      <c r="G13" s="160">
        <f>G14+Assumptions!$C$70</f>
        <v>32</v>
      </c>
      <c r="H13" s="159">
        <f ca="1">IF(Assumptions!$C$73&gt;DAY(F13),F13,DATE(YEAR(F13),MONTH(F13),Assumptions!$C$73))</f>
        <v>45894</v>
      </c>
      <c r="J13" s="159">
        <f ca="1">DATE(YEAR(J12),MONTH(J12)+1+Assumptions!$C$53,0)</f>
        <v>44530</v>
      </c>
      <c r="K13" s="160">
        <f>K14+Assumptions!$C$53</f>
        <v>6</v>
      </c>
      <c r="L13" s="159">
        <f ca="1">IF(Assumptions!$C$56&gt;DAY(J13),J13,DATE(YEAR(J13),MONTH(J13),Assumptions!$C$56))</f>
        <v>44506</v>
      </c>
      <c r="N13" s="159">
        <f ca="1">DATE(YEAR(N12),MONTH(N12)+1+Assumptions!$C$107,0)</f>
        <v>47542</v>
      </c>
      <c r="O13" s="160">
        <f>O14+Assumptions!$C$107</f>
        <v>62</v>
      </c>
      <c r="P13" s="159">
        <f ca="1">IF(Assumptions!$C$110&gt;DAY(N13),N13,DATE(YEAR(N13),MONTH(N13),Assumptions!$C$110))</f>
        <v>47534</v>
      </c>
      <c r="Q13" s="159">
        <f ca="1">IF(Assumptions!$C$110&gt;DAY(DATE(YEAR(N13),MONTH(N13)+2,0)),DATE(YEAR(N13),MONTH(N13)+2,0),DATE(YEAR(N13),MONTH(N13)+1,Assumptions!$C$110))</f>
        <v>47562</v>
      </c>
    </row>
    <row r="14" spans="1:17" ht="16.149999999999999" customHeight="1" x14ac:dyDescent="0.25">
      <c r="A14" s="5" t="s">
        <v>249</v>
      </c>
      <c r="B14" s="159">
        <f ca="1">DATE(YEAR(B13),MONTH(B13)+1+Assumptions!$C$63,0)</f>
        <v>44895</v>
      </c>
      <c r="C14" s="160">
        <f>C15+Assumptions!$C$63</f>
        <v>9</v>
      </c>
      <c r="D14" s="159">
        <f ca="1">IF(Assumptions!$C$66&gt;DAY(B14),B14,DATE(YEAR(B14),MONTH(B14),Assumptions!$C$66))</f>
        <v>44890</v>
      </c>
      <c r="F14" s="159">
        <f ca="1">DATE(YEAR(F13),MONTH(F13)+1+Assumptions!$C$70,0)</f>
        <v>46081</v>
      </c>
      <c r="G14" s="160">
        <f>G15+Assumptions!$C$70</f>
        <v>26</v>
      </c>
      <c r="H14" s="159">
        <f ca="1">IF(Assumptions!$C$73&gt;DAY(F14),F14,DATE(YEAR(F14),MONTH(F14),Assumptions!$C$73))</f>
        <v>46078</v>
      </c>
      <c r="J14" s="159">
        <f ca="1">DATE(YEAR(J13),MONTH(J13)+1+Assumptions!$C$53,0)</f>
        <v>44561</v>
      </c>
      <c r="K14" s="160">
        <f>K15+Assumptions!$C$53</f>
        <v>5</v>
      </c>
      <c r="L14" s="159">
        <f ca="1">IF(Assumptions!$C$56&gt;DAY(J14),J14,DATE(YEAR(J14),MONTH(J14),Assumptions!$C$56))</f>
        <v>44536</v>
      </c>
      <c r="N14" s="159">
        <f ca="1">DATE(YEAR(N13),MONTH(N13)+1+Assumptions!$C$107,0)</f>
        <v>47907</v>
      </c>
      <c r="O14" s="160">
        <f>O15+Assumptions!$C$107</f>
        <v>50</v>
      </c>
      <c r="P14" s="159">
        <f ca="1">IF(Assumptions!$C$110&gt;DAY(N14),N14,DATE(YEAR(N14),MONTH(N14),Assumptions!$C$110))</f>
        <v>47899</v>
      </c>
      <c r="Q14" s="159">
        <f ca="1">IF(Assumptions!$C$110&gt;DAY(DATE(YEAR(N14),MONTH(N14)+2,0)),DATE(YEAR(N14),MONTH(N14)+2,0),DATE(YEAR(N14),MONTH(N14)+1,Assumptions!$C$110))</f>
        <v>47927</v>
      </c>
    </row>
    <row r="15" spans="1:17" ht="16.149999999999999" customHeight="1" x14ac:dyDescent="0.25">
      <c r="A15" s="5" t="s">
        <v>250</v>
      </c>
      <c r="B15" s="159">
        <f ca="1">DATE(YEAR(B14),MONTH(B14)+1+Assumptions!$C$63,0)</f>
        <v>44957</v>
      </c>
      <c r="C15" s="160">
        <f>C16+Assumptions!$C$63</f>
        <v>7</v>
      </c>
      <c r="D15" s="159">
        <f ca="1">IF(Assumptions!$C$66&gt;DAY(B15),B15,DATE(YEAR(B15),MONTH(B15),Assumptions!$C$66))</f>
        <v>44951</v>
      </c>
      <c r="F15" s="159">
        <f ca="1">DATE(YEAR(F14),MONTH(F14)+1+Assumptions!$C$70,0)</f>
        <v>46265</v>
      </c>
      <c r="G15" s="160">
        <f>G16+Assumptions!$C$70</f>
        <v>20</v>
      </c>
      <c r="H15" s="159">
        <f ca="1">IF(Assumptions!$C$73&gt;DAY(F15),F15,DATE(YEAR(F15),MONTH(F15),Assumptions!$C$73))</f>
        <v>46259</v>
      </c>
      <c r="J15" s="159">
        <f ca="1">DATE(YEAR(J14),MONTH(J14)+1+Assumptions!$C$53,0)</f>
        <v>44592</v>
      </c>
      <c r="K15" s="160">
        <f>K16+Assumptions!$C$53</f>
        <v>4</v>
      </c>
      <c r="L15" s="159">
        <f ca="1">IF(Assumptions!$C$56&gt;DAY(J15),J15,DATE(YEAR(J15),MONTH(J15),Assumptions!$C$56))</f>
        <v>44567</v>
      </c>
      <c r="N15" s="159">
        <f ca="1">DATE(YEAR(N14),MONTH(N14)+1+Assumptions!$C$107,0)</f>
        <v>48273</v>
      </c>
      <c r="O15" s="160">
        <f>O16+Assumptions!$C$107</f>
        <v>38</v>
      </c>
      <c r="P15" s="159">
        <f ca="1">IF(Assumptions!$C$110&gt;DAY(N15),N15,DATE(YEAR(N15),MONTH(N15),Assumptions!$C$110))</f>
        <v>48264</v>
      </c>
      <c r="Q15" s="159">
        <f ca="1">IF(Assumptions!$C$110&gt;DAY(DATE(YEAR(N15),MONTH(N15)+2,0)),DATE(YEAR(N15),MONTH(N15)+2,0),DATE(YEAR(N15),MONTH(N15)+1,Assumptions!$C$110))</f>
        <v>48293</v>
      </c>
    </row>
    <row r="16" spans="1:17" ht="16.149999999999999" customHeight="1" x14ac:dyDescent="0.25">
      <c r="A16" s="5" t="s">
        <v>251</v>
      </c>
      <c r="B16" s="159">
        <f ca="1">DATE(YEAR(B15),MONTH(B15)+1+Assumptions!$C$63,0)</f>
        <v>45016</v>
      </c>
      <c r="C16" s="160">
        <f>C17+Assumptions!$C$63</f>
        <v>5</v>
      </c>
      <c r="D16" s="159">
        <f ca="1">IF(Assumptions!$C$66&gt;DAY(B16),B16,DATE(YEAR(B16),MONTH(B16),Assumptions!$C$66))</f>
        <v>45010</v>
      </c>
      <c r="F16" s="159">
        <f ca="1">DATE(YEAR(F15),MONTH(F15)+1+Assumptions!$C$70,0)</f>
        <v>46446</v>
      </c>
      <c r="G16" s="160">
        <f>G17+Assumptions!$C$70</f>
        <v>14</v>
      </c>
      <c r="H16" s="159">
        <f ca="1">IF(Assumptions!$C$73&gt;DAY(F16),F16,DATE(YEAR(F16),MONTH(F16),Assumptions!$C$73))</f>
        <v>46443</v>
      </c>
      <c r="J16" s="159">
        <f ca="1">DATE(YEAR(J15),MONTH(J15)+1+Assumptions!$C$53,0)</f>
        <v>44620</v>
      </c>
      <c r="K16" s="160">
        <f>K17+Assumptions!$C$53</f>
        <v>3</v>
      </c>
      <c r="L16" s="159">
        <f ca="1">IF(Assumptions!$C$56&gt;DAY(J16),J16,DATE(YEAR(J16),MONTH(J16),Assumptions!$C$56))</f>
        <v>44598</v>
      </c>
      <c r="N16" s="159">
        <f ca="1">DATE(YEAR(N15),MONTH(N15)+1+Assumptions!$C$107,0)</f>
        <v>48638</v>
      </c>
      <c r="O16" s="160">
        <f>O17+Assumptions!$C$107</f>
        <v>26</v>
      </c>
      <c r="P16" s="159">
        <f ca="1">IF(Assumptions!$C$110&gt;DAY(N16),N16,DATE(YEAR(N16),MONTH(N16),Assumptions!$C$110))</f>
        <v>48630</v>
      </c>
      <c r="Q16" s="159">
        <f ca="1">IF(Assumptions!$C$110&gt;DAY(DATE(YEAR(N16),MONTH(N16)+2,0)),DATE(YEAR(N16),MONTH(N16)+2,0),DATE(YEAR(N16),MONTH(N16)+1,Assumptions!$C$110))</f>
        <v>48658</v>
      </c>
    </row>
    <row r="17" spans="1:17" ht="16.149999999999999" customHeight="1" x14ac:dyDescent="0.25">
      <c r="A17" s="5" t="s">
        <v>252</v>
      </c>
      <c r="B17" s="159">
        <f ca="1">DATE(YEAR(B16),MONTH(B16)+1+Assumptions!$C$63,0)</f>
        <v>45077</v>
      </c>
      <c r="C17" s="160">
        <f>C18+Assumptions!$C$63</f>
        <v>3</v>
      </c>
      <c r="D17" s="159">
        <f ca="1">IF(Assumptions!$C$66&gt;DAY(B17),B17,DATE(YEAR(B17),MONTH(B17),Assumptions!$C$66))</f>
        <v>45071</v>
      </c>
      <c r="F17" s="159">
        <f ca="1">DATE(YEAR(F16),MONTH(F16)+1+Assumptions!$C$70,0)</f>
        <v>46630</v>
      </c>
      <c r="G17" s="160">
        <f>G18+Assumptions!$C$70</f>
        <v>8</v>
      </c>
      <c r="H17" s="159">
        <f ca="1">IF(Assumptions!$C$73&gt;DAY(F17),F17,DATE(YEAR(F17),MONTH(F17),Assumptions!$C$73))</f>
        <v>46624</v>
      </c>
      <c r="J17" s="159">
        <f ca="1">DATE(YEAR(J16),MONTH(J16)+1+Assumptions!$C$53,0)</f>
        <v>44651</v>
      </c>
      <c r="K17" s="160">
        <f>K18+Assumptions!$C$53</f>
        <v>2</v>
      </c>
      <c r="L17" s="159">
        <f ca="1">IF(Assumptions!$C$56&gt;DAY(J17),J17,DATE(YEAR(J17),MONTH(J17),Assumptions!$C$56))</f>
        <v>44626</v>
      </c>
      <c r="N17" s="159">
        <f ca="1">DATE(YEAR(N16),MONTH(N16)+1+Assumptions!$C$107,0)</f>
        <v>49003</v>
      </c>
      <c r="O17" s="160">
        <f>O18+Assumptions!$C$107</f>
        <v>14</v>
      </c>
      <c r="P17" s="159">
        <f ca="1">IF(Assumptions!$C$110&gt;DAY(N17),N17,DATE(YEAR(N17),MONTH(N17),Assumptions!$C$110))</f>
        <v>48995</v>
      </c>
      <c r="Q17" s="159">
        <f ca="1">IF(Assumptions!$C$110&gt;DAY(DATE(YEAR(N17),MONTH(N17)+2,0)),DATE(YEAR(N17),MONTH(N17)+2,0),DATE(YEAR(N17),MONTH(N17)+1,Assumptions!$C$110))</f>
        <v>49023</v>
      </c>
    </row>
    <row r="18" spans="1:17" ht="16.149999999999999" customHeight="1" x14ac:dyDescent="0.25">
      <c r="A18" s="5" t="s">
        <v>253</v>
      </c>
      <c r="B18" s="159">
        <f ca="1">DATE(YEAR(B17),MONTH(B17)+1+Assumptions!$C$63,0)</f>
        <v>45138</v>
      </c>
      <c r="C18" s="160">
        <f>Assumptions!$C$64</f>
        <v>1</v>
      </c>
      <c r="D18" s="159">
        <f ca="1">IF(Assumptions!$C$66&gt;DAY(B18),B18,DATE(YEAR(B18),MONTH(B18),Assumptions!$C$66))</f>
        <v>45132</v>
      </c>
      <c r="F18" s="159">
        <f ca="1">DATE(YEAR(F17),MONTH(F17)+1+Assumptions!$C$70,0)</f>
        <v>46812</v>
      </c>
      <c r="G18" s="160">
        <f>Assumptions!$C$71</f>
        <v>2</v>
      </c>
      <c r="H18" s="159">
        <f ca="1">IF(Assumptions!$C$73&gt;DAY(F18),F18,DATE(YEAR(F18),MONTH(F18),Assumptions!$C$73))</f>
        <v>46808</v>
      </c>
      <c r="J18" s="159">
        <f ca="1">DATE(YEAR(J17),MONTH(J17)+1+Assumptions!$C$53,0)</f>
        <v>44681</v>
      </c>
      <c r="K18" s="160">
        <f>Assumptions!$C$54</f>
        <v>1</v>
      </c>
      <c r="L18" s="159">
        <f ca="1">IF(Assumptions!$C$56&gt;DAY(J18),J18,DATE(YEAR(J18),MONTH(J18),Assumptions!$C$56))</f>
        <v>44657</v>
      </c>
      <c r="N18" s="159">
        <f ca="1">DATE(YEAR(N17),MONTH(N17)+1+Assumptions!$C$107,0)</f>
        <v>49368</v>
      </c>
      <c r="O18" s="160">
        <f>Assumptions!D108</f>
        <v>2</v>
      </c>
      <c r="P18" s="159">
        <f ca="1">IF(Assumptions!$C$110&gt;DAY(N18),N18,DATE(YEAR(N18),MONTH(N18),Assumptions!$C$110))</f>
        <v>49360</v>
      </c>
      <c r="Q18" s="159">
        <f ca="1">IF(Assumptions!$C$110&gt;DAY(DATE(YEAR(N18),MONTH(N18)+2,0)),DATE(YEAR(N18),MONTH(N18)+2,0),DATE(YEAR(N18),MONTH(N18)+1,Assumptions!$C$110))</f>
        <v>49388</v>
      </c>
    </row>
    <row r="19" spans="1:17" ht="16.149999999999999" customHeight="1" x14ac:dyDescent="0.25">
      <c r="C19" s="160"/>
    </row>
    <row r="20" spans="1:17" ht="16.149999999999999" customHeight="1" x14ac:dyDescent="0.25">
      <c r="C20" s="160"/>
    </row>
    <row r="21" spans="1:17" ht="16.149999999999999" customHeight="1" x14ac:dyDescent="0.25">
      <c r="C21" s="160"/>
    </row>
    <row r="22" spans="1:17" ht="16.149999999999999" customHeight="1" x14ac:dyDescent="0.25">
      <c r="C22" s="160"/>
    </row>
    <row r="23" spans="1:17" ht="16.149999999999999" customHeight="1" x14ac:dyDescent="0.25">
      <c r="C23" s="160"/>
    </row>
    <row r="24" spans="1:17" ht="16.149999999999999" customHeight="1" x14ac:dyDescent="0.25">
      <c r="C24" s="160"/>
    </row>
    <row r="25" spans="1:17" ht="16.149999999999999" customHeight="1" x14ac:dyDescent="0.25">
      <c r="C25" s="160"/>
    </row>
    <row r="26" spans="1:17" ht="16.149999999999999" customHeight="1" x14ac:dyDescent="0.25">
      <c r="C26" s="160"/>
    </row>
  </sheetData>
  <mergeCells count="4">
    <mergeCell ref="B1:D1"/>
    <mergeCell ref="F1:H1"/>
    <mergeCell ref="J1:L1"/>
    <mergeCell ref="N1:Q1"/>
  </mergeCells>
  <pageMargins left="0.59055118110236227" right="0.59055118110236227" top="0.59055118110236227" bottom="0.59055118110236227" header="0.39370078740157483" footer="0.39370078740157483"/>
  <pageSetup paperSize="9" scale="57" fitToHeight="0" orientation="landscape"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B2" sqref="B2"/>
    </sheetView>
  </sheetViews>
  <sheetFormatPr defaultColWidth="8.85546875" defaultRowHeight="16.5" x14ac:dyDescent="0.3"/>
  <cols>
    <col min="1" max="14" width="15.7109375" style="1" customWidth="1"/>
    <col min="15" max="16384" width="8.85546875" style="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386"/>
  <sheetViews>
    <sheetView zoomScaleNormal="100" workbookViewId="0">
      <pane ySplit="3" topLeftCell="A4" activePane="bottomLeft" state="frozen"/>
      <selection pane="bottomLeft"/>
    </sheetView>
  </sheetViews>
  <sheetFormatPr defaultColWidth="9.140625" defaultRowHeight="12.75" x14ac:dyDescent="0.2"/>
  <cols>
    <col min="1" max="1" width="109.7109375" style="194" customWidth="1"/>
    <col min="2" max="2" width="50.7109375" style="189" customWidth="1"/>
    <col min="3" max="19" width="20.7109375" style="189" customWidth="1"/>
    <col min="20" max="16384" width="9.140625" style="189"/>
  </cols>
  <sheetData>
    <row r="1" spans="1:1" ht="15.75" x14ac:dyDescent="0.25">
      <c r="A1" s="200" t="s">
        <v>101</v>
      </c>
    </row>
    <row r="2" spans="1:1" ht="15" customHeight="1" x14ac:dyDescent="0.2">
      <c r="A2" s="190" t="s">
        <v>46</v>
      </c>
    </row>
    <row r="3" spans="1:1" ht="15" customHeight="1" x14ac:dyDescent="0.2">
      <c r="A3" s="201" t="s">
        <v>27</v>
      </c>
    </row>
    <row r="4" spans="1:1" x14ac:dyDescent="0.2">
      <c r="A4" s="191"/>
    </row>
    <row r="5" spans="1:1" ht="76.5" x14ac:dyDescent="0.2">
      <c r="A5" s="192" t="s">
        <v>285</v>
      </c>
    </row>
    <row r="6" spans="1:1" x14ac:dyDescent="0.2">
      <c r="A6" s="192"/>
    </row>
    <row r="7" spans="1:1" ht="38.25" x14ac:dyDescent="0.2">
      <c r="A7" s="193" t="s">
        <v>286</v>
      </c>
    </row>
    <row r="9" spans="1:1" x14ac:dyDescent="0.2">
      <c r="A9" s="194" t="s">
        <v>287</v>
      </c>
    </row>
    <row r="10" spans="1:1" x14ac:dyDescent="0.2">
      <c r="A10" s="195" t="s">
        <v>444</v>
      </c>
    </row>
    <row r="11" spans="1:1" ht="51" x14ac:dyDescent="0.2">
      <c r="A11" s="195" t="s">
        <v>445</v>
      </c>
    </row>
    <row r="12" spans="1:1" ht="25.5" x14ac:dyDescent="0.2">
      <c r="A12" s="195" t="s">
        <v>446</v>
      </c>
    </row>
    <row r="13" spans="1:1" ht="25.5" x14ac:dyDescent="0.2">
      <c r="A13" s="195" t="s">
        <v>447</v>
      </c>
    </row>
    <row r="14" spans="1:1" ht="38.25" x14ac:dyDescent="0.2">
      <c r="A14" s="195" t="s">
        <v>448</v>
      </c>
    </row>
    <row r="16" spans="1:1" ht="38.25" x14ac:dyDescent="0.2">
      <c r="A16" s="196" t="s">
        <v>288</v>
      </c>
    </row>
    <row r="18" spans="1:1" x14ac:dyDescent="0.2">
      <c r="A18" s="195" t="s">
        <v>289</v>
      </c>
    </row>
    <row r="20" spans="1:1" x14ac:dyDescent="0.2">
      <c r="A20" s="196" t="s">
        <v>290</v>
      </c>
    </row>
    <row r="22" spans="1:1" ht="51" x14ac:dyDescent="0.2">
      <c r="A22" s="194" t="s">
        <v>292</v>
      </c>
    </row>
    <row r="24" spans="1:1" s="197" customFormat="1" x14ac:dyDescent="0.2">
      <c r="A24" s="196" t="s">
        <v>88</v>
      </c>
    </row>
    <row r="26" spans="1:1" ht="38.25" x14ac:dyDescent="0.2">
      <c r="A26" s="194" t="s">
        <v>293</v>
      </c>
    </row>
    <row r="28" spans="1:1" ht="25.5" x14ac:dyDescent="0.2">
      <c r="A28" s="194" t="s">
        <v>294</v>
      </c>
    </row>
    <row r="30" spans="1:1" x14ac:dyDescent="0.2">
      <c r="A30" s="196" t="s">
        <v>291</v>
      </c>
    </row>
    <row r="31" spans="1:1" x14ac:dyDescent="0.2">
      <c r="A31" s="196"/>
    </row>
    <row r="32" spans="1:1" ht="38.25" x14ac:dyDescent="0.2">
      <c r="A32" s="194" t="s">
        <v>295</v>
      </c>
    </row>
    <row r="34" spans="1:1" x14ac:dyDescent="0.2">
      <c r="A34" s="195" t="s">
        <v>296</v>
      </c>
    </row>
    <row r="36" spans="1:1" x14ac:dyDescent="0.2">
      <c r="A36" s="194" t="s">
        <v>409</v>
      </c>
    </row>
    <row r="38" spans="1:1" ht="51" x14ac:dyDescent="0.2">
      <c r="A38" s="194" t="s">
        <v>422</v>
      </c>
    </row>
    <row r="40" spans="1:1" ht="25.5" x14ac:dyDescent="0.2">
      <c r="A40" s="194" t="s">
        <v>423</v>
      </c>
    </row>
    <row r="42" spans="1:1" x14ac:dyDescent="0.2">
      <c r="A42" s="196" t="s">
        <v>297</v>
      </c>
    </row>
    <row r="44" spans="1:1" ht="51" x14ac:dyDescent="0.2">
      <c r="A44" s="194" t="s">
        <v>424</v>
      </c>
    </row>
    <row r="46" spans="1:1" ht="51" x14ac:dyDescent="0.2">
      <c r="A46" s="194" t="s">
        <v>298</v>
      </c>
    </row>
    <row r="48" spans="1:1" ht="38.25" x14ac:dyDescent="0.2">
      <c r="A48" s="196" t="s">
        <v>299</v>
      </c>
    </row>
    <row r="49" spans="1:1" x14ac:dyDescent="0.2">
      <c r="A49" s="196"/>
    </row>
    <row r="50" spans="1:1" ht="38.25" x14ac:dyDescent="0.2">
      <c r="A50" s="196" t="s">
        <v>300</v>
      </c>
    </row>
    <row r="52" spans="1:1" x14ac:dyDescent="0.2">
      <c r="A52" s="196" t="s">
        <v>260</v>
      </c>
    </row>
    <row r="54" spans="1:1" ht="38.25" x14ac:dyDescent="0.2">
      <c r="A54" s="194" t="s">
        <v>449</v>
      </c>
    </row>
    <row r="56" spans="1:1" x14ac:dyDescent="0.2">
      <c r="A56" s="196" t="s">
        <v>109</v>
      </c>
    </row>
    <row r="58" spans="1:1" ht="51" x14ac:dyDescent="0.2">
      <c r="A58" s="194" t="s">
        <v>425</v>
      </c>
    </row>
    <row r="60" spans="1:1" ht="38.25" x14ac:dyDescent="0.2">
      <c r="A60" s="196" t="s">
        <v>301</v>
      </c>
    </row>
    <row r="62" spans="1:1" x14ac:dyDescent="0.2">
      <c r="A62" s="196" t="s">
        <v>111</v>
      </c>
    </row>
    <row r="64" spans="1:1" ht="51" x14ac:dyDescent="0.2">
      <c r="A64" s="194" t="s">
        <v>426</v>
      </c>
    </row>
    <row r="66" spans="1:1" ht="38.25" x14ac:dyDescent="0.2">
      <c r="A66" s="196" t="s">
        <v>301</v>
      </c>
    </row>
    <row r="68" spans="1:1" ht="51" x14ac:dyDescent="0.2">
      <c r="A68" s="196" t="s">
        <v>302</v>
      </c>
    </row>
    <row r="70" spans="1:1" x14ac:dyDescent="0.2">
      <c r="A70" s="196" t="s">
        <v>115</v>
      </c>
    </row>
    <row r="72" spans="1:1" ht="51" x14ac:dyDescent="0.2">
      <c r="A72" s="194" t="s">
        <v>421</v>
      </c>
    </row>
    <row r="74" spans="1:1" ht="38.25" x14ac:dyDescent="0.2">
      <c r="A74" s="194" t="s">
        <v>450</v>
      </c>
    </row>
    <row r="76" spans="1:1" ht="76.5" x14ac:dyDescent="0.2">
      <c r="A76" s="194" t="s">
        <v>303</v>
      </c>
    </row>
    <row r="78" spans="1:1" x14ac:dyDescent="0.2">
      <c r="A78" s="196" t="s">
        <v>124</v>
      </c>
    </row>
    <row r="80" spans="1:1" ht="38.25" x14ac:dyDescent="0.2">
      <c r="A80" s="194" t="s">
        <v>304</v>
      </c>
    </row>
    <row r="82" spans="1:1" ht="38.25" x14ac:dyDescent="0.2">
      <c r="A82" s="196" t="s">
        <v>427</v>
      </c>
    </row>
    <row r="84" spans="1:1" ht="38.25" x14ac:dyDescent="0.2">
      <c r="A84" s="194" t="s">
        <v>305</v>
      </c>
    </row>
    <row r="86" spans="1:1" ht="51" x14ac:dyDescent="0.2">
      <c r="A86" s="194" t="s">
        <v>306</v>
      </c>
    </row>
    <row r="88" spans="1:1" ht="38.25" x14ac:dyDescent="0.2">
      <c r="A88" s="194" t="s">
        <v>307</v>
      </c>
    </row>
    <row r="90" spans="1:1" ht="51" x14ac:dyDescent="0.2">
      <c r="A90" s="194" t="s">
        <v>308</v>
      </c>
    </row>
    <row r="92" spans="1:1" ht="76.5" x14ac:dyDescent="0.2">
      <c r="A92" s="194" t="s">
        <v>309</v>
      </c>
    </row>
    <row r="94" spans="1:1" x14ac:dyDescent="0.2">
      <c r="A94" s="196" t="s">
        <v>37</v>
      </c>
    </row>
    <row r="96" spans="1:1" ht="38.25" x14ac:dyDescent="0.2">
      <c r="A96" s="194" t="s">
        <v>310</v>
      </c>
    </row>
    <row r="98" spans="1:1" ht="51" x14ac:dyDescent="0.2">
      <c r="A98" s="194" t="s">
        <v>451</v>
      </c>
    </row>
    <row r="100" spans="1:1" ht="63.75" x14ac:dyDescent="0.2">
      <c r="A100" s="194" t="s">
        <v>311</v>
      </c>
    </row>
    <row r="102" spans="1:1" ht="51" x14ac:dyDescent="0.2">
      <c r="A102" s="194" t="s">
        <v>312</v>
      </c>
    </row>
    <row r="104" spans="1:1" ht="38.25" x14ac:dyDescent="0.2">
      <c r="A104" s="196" t="s">
        <v>313</v>
      </c>
    </row>
    <row r="106" spans="1:1" ht="38.25" x14ac:dyDescent="0.2">
      <c r="A106" s="196" t="s">
        <v>314</v>
      </c>
    </row>
    <row r="107" spans="1:1" x14ac:dyDescent="0.2">
      <c r="A107" s="196"/>
    </row>
    <row r="108" spans="1:1" ht="25.5" x14ac:dyDescent="0.2">
      <c r="A108" s="196" t="s">
        <v>428</v>
      </c>
    </row>
    <row r="110" spans="1:1" x14ac:dyDescent="0.2">
      <c r="A110" s="196" t="s">
        <v>262</v>
      </c>
    </row>
    <row r="112" spans="1:1" ht="25.5" x14ac:dyDescent="0.2">
      <c r="A112" s="194" t="s">
        <v>315</v>
      </c>
    </row>
    <row r="114" spans="1:1" ht="63.75" x14ac:dyDescent="0.2">
      <c r="A114" s="194" t="s">
        <v>316</v>
      </c>
    </row>
    <row r="116" spans="1:1" ht="51" x14ac:dyDescent="0.2">
      <c r="A116" s="194" t="s">
        <v>317</v>
      </c>
    </row>
    <row r="118" spans="1:1" ht="38.25" x14ac:dyDescent="0.2">
      <c r="A118" s="196" t="s">
        <v>318</v>
      </c>
    </row>
    <row r="120" spans="1:1" ht="63.75" x14ac:dyDescent="0.2">
      <c r="A120" s="196" t="s">
        <v>452</v>
      </c>
    </row>
    <row r="121" spans="1:1" x14ac:dyDescent="0.2">
      <c r="A121" s="196"/>
    </row>
    <row r="122" spans="1:1" ht="25.5" x14ac:dyDescent="0.2">
      <c r="A122" s="196" t="s">
        <v>428</v>
      </c>
    </row>
    <row r="124" spans="1:1" x14ac:dyDescent="0.2">
      <c r="A124" s="195" t="s">
        <v>319</v>
      </c>
    </row>
    <row r="126" spans="1:1" x14ac:dyDescent="0.2">
      <c r="A126" s="194" t="s">
        <v>320</v>
      </c>
    </row>
    <row r="128" spans="1:1" x14ac:dyDescent="0.2">
      <c r="A128" s="196" t="s">
        <v>321</v>
      </c>
    </row>
    <row r="129" spans="1:1" x14ac:dyDescent="0.2">
      <c r="A129" s="196"/>
    </row>
    <row r="130" spans="1:1" ht="38.25" x14ac:dyDescent="0.2">
      <c r="A130" s="194" t="s">
        <v>322</v>
      </c>
    </row>
    <row r="131" spans="1:1" x14ac:dyDescent="0.2">
      <c r="A131" s="196"/>
    </row>
    <row r="132" spans="1:1" ht="51" x14ac:dyDescent="0.2">
      <c r="A132" s="194" t="s">
        <v>323</v>
      </c>
    </row>
    <row r="134" spans="1:1" ht="38.25" x14ac:dyDescent="0.2">
      <c r="A134" s="194" t="s">
        <v>324</v>
      </c>
    </row>
    <row r="136" spans="1:1" ht="25.5" x14ac:dyDescent="0.2">
      <c r="A136" s="196" t="s">
        <v>325</v>
      </c>
    </row>
    <row r="138" spans="1:1" x14ac:dyDescent="0.2">
      <c r="A138" s="196" t="s">
        <v>187</v>
      </c>
    </row>
    <row r="140" spans="1:1" ht="25.5" x14ac:dyDescent="0.2">
      <c r="A140" s="194" t="s">
        <v>453</v>
      </c>
    </row>
    <row r="142" spans="1:1" ht="51" x14ac:dyDescent="0.2">
      <c r="A142" s="194" t="s">
        <v>326</v>
      </c>
    </row>
    <row r="144" spans="1:1" ht="25.5" x14ac:dyDescent="0.2">
      <c r="A144" s="196" t="s">
        <v>327</v>
      </c>
    </row>
    <row r="146" spans="1:1" x14ac:dyDescent="0.2">
      <c r="A146" s="196" t="s">
        <v>328</v>
      </c>
    </row>
    <row r="148" spans="1:1" ht="51" x14ac:dyDescent="0.2">
      <c r="A148" s="194" t="s">
        <v>430</v>
      </c>
    </row>
    <row r="150" spans="1:1" ht="51" x14ac:dyDescent="0.2">
      <c r="A150" s="196" t="s">
        <v>429</v>
      </c>
    </row>
    <row r="152" spans="1:1" ht="51" x14ac:dyDescent="0.2">
      <c r="A152" s="196" t="s">
        <v>431</v>
      </c>
    </row>
    <row r="154" spans="1:1" ht="25.5" x14ac:dyDescent="0.2">
      <c r="A154" s="196" t="s">
        <v>329</v>
      </c>
    </row>
    <row r="156" spans="1:1" ht="51" x14ac:dyDescent="0.2">
      <c r="A156" s="194" t="s">
        <v>410</v>
      </c>
    </row>
    <row r="158" spans="1:1" x14ac:dyDescent="0.2">
      <c r="A158" s="196" t="s">
        <v>330</v>
      </c>
    </row>
    <row r="160" spans="1:1" ht="63.75" x14ac:dyDescent="0.2">
      <c r="A160" s="194" t="s">
        <v>454</v>
      </c>
    </row>
    <row r="162" spans="1:1" ht="38.25" x14ac:dyDescent="0.2">
      <c r="A162" s="196" t="s">
        <v>455</v>
      </c>
    </row>
    <row r="164" spans="1:1" ht="51" x14ac:dyDescent="0.2">
      <c r="A164" s="196" t="s">
        <v>432</v>
      </c>
    </row>
    <row r="166" spans="1:1" ht="38.25" x14ac:dyDescent="0.2">
      <c r="A166" s="194" t="s">
        <v>411</v>
      </c>
    </row>
    <row r="168" spans="1:1" ht="51" x14ac:dyDescent="0.2">
      <c r="A168" s="194" t="s">
        <v>331</v>
      </c>
    </row>
    <row r="170" spans="1:1" ht="51" x14ac:dyDescent="0.2">
      <c r="A170" s="196" t="s">
        <v>332</v>
      </c>
    </row>
    <row r="172" spans="1:1" ht="38.25" x14ac:dyDescent="0.2">
      <c r="A172" s="196" t="s">
        <v>333</v>
      </c>
    </row>
    <row r="174" spans="1:1" ht="25.5" x14ac:dyDescent="0.2">
      <c r="A174" s="196" t="s">
        <v>334</v>
      </c>
    </row>
    <row r="176" spans="1:1" ht="38.25" x14ac:dyDescent="0.2">
      <c r="A176" s="194" t="s">
        <v>412</v>
      </c>
    </row>
    <row r="178" spans="1:1" x14ac:dyDescent="0.2">
      <c r="A178" s="196" t="s">
        <v>335</v>
      </c>
    </row>
    <row r="180" spans="1:1" ht="51" x14ac:dyDescent="0.2">
      <c r="A180" s="194" t="s">
        <v>433</v>
      </c>
    </row>
    <row r="182" spans="1:1" x14ac:dyDescent="0.2">
      <c r="A182" s="196" t="s">
        <v>336</v>
      </c>
    </row>
    <row r="184" spans="1:1" ht="38.25" x14ac:dyDescent="0.2">
      <c r="A184" s="194" t="s">
        <v>337</v>
      </c>
    </row>
    <row r="186" spans="1:1" x14ac:dyDescent="0.2">
      <c r="A186" s="196" t="s">
        <v>338</v>
      </c>
    </row>
    <row r="188" spans="1:1" s="198" customFormat="1" ht="51" x14ac:dyDescent="0.2">
      <c r="A188" s="194" t="s">
        <v>434</v>
      </c>
    </row>
    <row r="189" spans="1:1" s="198" customFormat="1" x14ac:dyDescent="0.2">
      <c r="A189" s="194"/>
    </row>
    <row r="190" spans="1:1" s="198" customFormat="1" ht="25.5" x14ac:dyDescent="0.2">
      <c r="A190" s="196" t="s">
        <v>339</v>
      </c>
    </row>
    <row r="192" spans="1:1" x14ac:dyDescent="0.2">
      <c r="A192" s="196" t="s">
        <v>340</v>
      </c>
    </row>
    <row r="194" spans="1:1" ht="25.5" x14ac:dyDescent="0.2">
      <c r="A194" s="194" t="s">
        <v>341</v>
      </c>
    </row>
    <row r="196" spans="1:1" x14ac:dyDescent="0.2">
      <c r="A196" s="196" t="s">
        <v>342</v>
      </c>
    </row>
    <row r="198" spans="1:1" ht="51" x14ac:dyDescent="0.2">
      <c r="A198" s="194" t="s">
        <v>343</v>
      </c>
    </row>
    <row r="200" spans="1:1" ht="51" x14ac:dyDescent="0.2">
      <c r="A200" s="196" t="s">
        <v>344</v>
      </c>
    </row>
    <row r="202" spans="1:1" ht="51" x14ac:dyDescent="0.2">
      <c r="A202" s="194" t="s">
        <v>456</v>
      </c>
    </row>
    <row r="204" spans="1:1" ht="38.25" x14ac:dyDescent="0.2">
      <c r="A204" s="196" t="s">
        <v>345</v>
      </c>
    </row>
    <row r="205" spans="1:1" x14ac:dyDescent="0.2">
      <c r="A205" s="196"/>
    </row>
    <row r="206" spans="1:1" ht="38.25" x14ac:dyDescent="0.2">
      <c r="A206" s="196" t="s">
        <v>427</v>
      </c>
    </row>
    <row r="208" spans="1:1" ht="38.25" x14ac:dyDescent="0.2">
      <c r="A208" s="194" t="s">
        <v>346</v>
      </c>
    </row>
    <row r="210" spans="1:1" ht="38.25" x14ac:dyDescent="0.2">
      <c r="A210" s="194" t="s">
        <v>347</v>
      </c>
    </row>
    <row r="211" spans="1:1" x14ac:dyDescent="0.2">
      <c r="A211" s="195"/>
    </row>
    <row r="212" spans="1:1" ht="25.5" x14ac:dyDescent="0.2">
      <c r="A212" s="194" t="s">
        <v>413</v>
      </c>
    </row>
    <row r="214" spans="1:1" x14ac:dyDescent="0.2">
      <c r="A214" s="196" t="s">
        <v>348</v>
      </c>
    </row>
    <row r="215" spans="1:1" x14ac:dyDescent="0.2">
      <c r="A215" s="196"/>
    </row>
    <row r="216" spans="1:1" ht="38.25" x14ac:dyDescent="0.2">
      <c r="A216" s="194" t="s">
        <v>414</v>
      </c>
    </row>
    <row r="217" spans="1:1" x14ac:dyDescent="0.2">
      <c r="A217" s="196"/>
    </row>
    <row r="218" spans="1:1" x14ac:dyDescent="0.2">
      <c r="A218" s="196" t="s">
        <v>349</v>
      </c>
    </row>
    <row r="219" spans="1:1" x14ac:dyDescent="0.2">
      <c r="A219" s="196"/>
    </row>
    <row r="220" spans="1:1" ht="38.25" x14ac:dyDescent="0.2">
      <c r="A220" s="194" t="s">
        <v>350</v>
      </c>
    </row>
    <row r="222" spans="1:1" ht="63.75" x14ac:dyDescent="0.2">
      <c r="A222" s="194" t="s">
        <v>415</v>
      </c>
    </row>
    <row r="224" spans="1:1" ht="51" x14ac:dyDescent="0.2">
      <c r="A224" s="196" t="s">
        <v>351</v>
      </c>
    </row>
    <row r="225" spans="1:1" x14ac:dyDescent="0.2">
      <c r="A225" s="196"/>
    </row>
    <row r="226" spans="1:1" ht="38.25" x14ac:dyDescent="0.2">
      <c r="A226" s="194" t="s">
        <v>352</v>
      </c>
    </row>
    <row r="228" spans="1:1" ht="25.5" x14ac:dyDescent="0.2">
      <c r="A228" s="194" t="s">
        <v>435</v>
      </c>
    </row>
    <row r="230" spans="1:1" ht="51" x14ac:dyDescent="0.2">
      <c r="A230" s="196" t="s">
        <v>436</v>
      </c>
    </row>
    <row r="232" spans="1:1" ht="51" x14ac:dyDescent="0.2">
      <c r="A232" s="196" t="s">
        <v>437</v>
      </c>
    </row>
    <row r="234" spans="1:1" ht="38.25" x14ac:dyDescent="0.2">
      <c r="A234" s="194" t="s">
        <v>416</v>
      </c>
    </row>
    <row r="236" spans="1:1" ht="51" x14ac:dyDescent="0.2">
      <c r="A236" s="194" t="s">
        <v>353</v>
      </c>
    </row>
    <row r="238" spans="1:1" ht="63.75" x14ac:dyDescent="0.2">
      <c r="A238" s="196" t="s">
        <v>354</v>
      </c>
    </row>
    <row r="240" spans="1:1" ht="51" x14ac:dyDescent="0.2">
      <c r="A240" s="196" t="s">
        <v>355</v>
      </c>
    </row>
    <row r="242" spans="1:1" ht="25.5" x14ac:dyDescent="0.2">
      <c r="A242" s="196" t="s">
        <v>356</v>
      </c>
    </row>
    <row r="244" spans="1:1" ht="38.25" x14ac:dyDescent="0.2">
      <c r="A244" s="194" t="s">
        <v>417</v>
      </c>
    </row>
    <row r="246" spans="1:1" x14ac:dyDescent="0.2">
      <c r="A246" s="196" t="s">
        <v>357</v>
      </c>
    </row>
    <row r="248" spans="1:1" ht="51" x14ac:dyDescent="0.2">
      <c r="A248" s="194" t="s">
        <v>358</v>
      </c>
    </row>
    <row r="250" spans="1:1" ht="51" x14ac:dyDescent="0.2">
      <c r="A250" s="194" t="s">
        <v>359</v>
      </c>
    </row>
    <row r="252" spans="1:1" ht="38.25" x14ac:dyDescent="0.2">
      <c r="A252" s="194" t="s">
        <v>360</v>
      </c>
    </row>
    <row r="254" spans="1:1" ht="51" x14ac:dyDescent="0.2">
      <c r="A254" s="194" t="s">
        <v>361</v>
      </c>
    </row>
    <row r="256" spans="1:1" ht="38.25" x14ac:dyDescent="0.2">
      <c r="A256" s="196" t="s">
        <v>362</v>
      </c>
    </row>
    <row r="258" spans="1:1" ht="25.5" x14ac:dyDescent="0.2">
      <c r="A258" s="196" t="s">
        <v>363</v>
      </c>
    </row>
    <row r="260" spans="1:1" ht="38.25" x14ac:dyDescent="0.2">
      <c r="A260" s="194" t="s">
        <v>364</v>
      </c>
    </row>
    <row r="262" spans="1:1" ht="63.75" x14ac:dyDescent="0.2">
      <c r="A262" s="196" t="s">
        <v>365</v>
      </c>
    </row>
    <row r="264" spans="1:1" ht="51" x14ac:dyDescent="0.2">
      <c r="A264" s="194" t="s">
        <v>366</v>
      </c>
    </row>
    <row r="266" spans="1:1" ht="25.5" x14ac:dyDescent="0.2">
      <c r="A266" s="194" t="s">
        <v>367</v>
      </c>
    </row>
    <row r="268" spans="1:1" ht="25.5" x14ac:dyDescent="0.2">
      <c r="A268" s="196" t="s">
        <v>368</v>
      </c>
    </row>
    <row r="270" spans="1:1" ht="51" x14ac:dyDescent="0.2">
      <c r="A270" s="196" t="s">
        <v>369</v>
      </c>
    </row>
    <row r="272" spans="1:1" ht="38.25" x14ac:dyDescent="0.2">
      <c r="A272" s="196" t="s">
        <v>370</v>
      </c>
    </row>
    <row r="273" spans="1:1" x14ac:dyDescent="0.2">
      <c r="A273" s="196"/>
    </row>
    <row r="274" spans="1:1" ht="25.5" x14ac:dyDescent="0.2">
      <c r="A274" s="196" t="s">
        <v>438</v>
      </c>
    </row>
    <row r="276" spans="1:1" x14ac:dyDescent="0.2">
      <c r="A276" s="196" t="s">
        <v>371</v>
      </c>
    </row>
    <row r="278" spans="1:1" ht="51" x14ac:dyDescent="0.2">
      <c r="A278" s="194" t="s">
        <v>372</v>
      </c>
    </row>
    <row r="280" spans="1:1" ht="38.25" x14ac:dyDescent="0.2">
      <c r="A280" s="194" t="s">
        <v>373</v>
      </c>
    </row>
    <row r="282" spans="1:1" ht="63.75" x14ac:dyDescent="0.2">
      <c r="A282" s="194" t="s">
        <v>374</v>
      </c>
    </row>
    <row r="284" spans="1:1" ht="51" x14ac:dyDescent="0.2">
      <c r="A284" s="194" t="s">
        <v>375</v>
      </c>
    </row>
    <row r="286" spans="1:1" ht="51" x14ac:dyDescent="0.2">
      <c r="A286" s="196" t="s">
        <v>376</v>
      </c>
    </row>
    <row r="288" spans="1:1" ht="51" x14ac:dyDescent="0.2">
      <c r="A288" s="194" t="s">
        <v>377</v>
      </c>
    </row>
    <row r="290" spans="1:1" ht="38.25" x14ac:dyDescent="0.2">
      <c r="A290" s="194" t="s">
        <v>378</v>
      </c>
    </row>
    <row r="292" spans="1:1" ht="38.25" x14ac:dyDescent="0.2">
      <c r="A292" s="196" t="s">
        <v>379</v>
      </c>
    </row>
    <row r="294" spans="1:1" ht="51" x14ac:dyDescent="0.2">
      <c r="A294" s="196" t="s">
        <v>457</v>
      </c>
    </row>
    <row r="296" spans="1:1" ht="38.25" x14ac:dyDescent="0.2">
      <c r="A296" s="196" t="s">
        <v>380</v>
      </c>
    </row>
    <row r="298" spans="1:1" ht="51" x14ac:dyDescent="0.2">
      <c r="A298" s="194" t="s">
        <v>418</v>
      </c>
    </row>
    <row r="300" spans="1:1" ht="25.5" x14ac:dyDescent="0.2">
      <c r="A300" s="196" t="s">
        <v>439</v>
      </c>
    </row>
    <row r="302" spans="1:1" x14ac:dyDescent="0.2">
      <c r="A302" s="196" t="s">
        <v>381</v>
      </c>
    </row>
    <row r="304" spans="1:1" ht="51" x14ac:dyDescent="0.2">
      <c r="A304" s="194" t="s">
        <v>440</v>
      </c>
    </row>
    <row r="306" spans="1:1" x14ac:dyDescent="0.2">
      <c r="A306" s="196" t="s">
        <v>382</v>
      </c>
    </row>
    <row r="308" spans="1:1" ht="25.5" x14ac:dyDescent="0.2">
      <c r="A308" s="194" t="s">
        <v>383</v>
      </c>
    </row>
    <row r="310" spans="1:1" ht="51" x14ac:dyDescent="0.2">
      <c r="A310" s="194" t="s">
        <v>419</v>
      </c>
    </row>
    <row r="312" spans="1:1" ht="38.25" x14ac:dyDescent="0.2">
      <c r="A312" s="194" t="s">
        <v>384</v>
      </c>
    </row>
    <row r="314" spans="1:1" ht="51" x14ac:dyDescent="0.2">
      <c r="A314" s="194" t="s">
        <v>385</v>
      </c>
    </row>
    <row r="316" spans="1:1" ht="76.5" x14ac:dyDescent="0.2">
      <c r="A316" s="196" t="s">
        <v>386</v>
      </c>
    </row>
    <row r="318" spans="1:1" ht="51" x14ac:dyDescent="0.2">
      <c r="A318" s="194" t="s">
        <v>387</v>
      </c>
    </row>
    <row r="320" spans="1:1" ht="38.25" x14ac:dyDescent="0.2">
      <c r="A320" s="194" t="s">
        <v>388</v>
      </c>
    </row>
    <row r="322" spans="1:1" ht="38.25" x14ac:dyDescent="0.2">
      <c r="A322" s="196" t="s">
        <v>389</v>
      </c>
    </row>
    <row r="323" spans="1:1" x14ac:dyDescent="0.2">
      <c r="A323" s="196"/>
    </row>
    <row r="324" spans="1:1" ht="25.5" x14ac:dyDescent="0.2">
      <c r="A324" s="196" t="s">
        <v>428</v>
      </c>
    </row>
    <row r="326" spans="1:1" x14ac:dyDescent="0.2">
      <c r="A326" s="196" t="s">
        <v>390</v>
      </c>
    </row>
    <row r="328" spans="1:1" ht="51" x14ac:dyDescent="0.2">
      <c r="A328" s="194" t="s">
        <v>391</v>
      </c>
    </row>
    <row r="330" spans="1:1" ht="25.5" x14ac:dyDescent="0.2">
      <c r="A330" s="194" t="s">
        <v>458</v>
      </c>
    </row>
    <row r="332" spans="1:1" ht="51" x14ac:dyDescent="0.2">
      <c r="A332" s="194" t="s">
        <v>392</v>
      </c>
    </row>
    <row r="334" spans="1:1" ht="76.5" x14ac:dyDescent="0.2">
      <c r="A334" s="196" t="s">
        <v>393</v>
      </c>
    </row>
    <row r="336" spans="1:1" ht="38.25" x14ac:dyDescent="0.2">
      <c r="A336" s="194" t="s">
        <v>394</v>
      </c>
    </row>
    <row r="338" spans="1:1" ht="38.25" x14ac:dyDescent="0.2">
      <c r="A338" s="194" t="s">
        <v>395</v>
      </c>
    </row>
    <row r="340" spans="1:1" ht="38.25" x14ac:dyDescent="0.2">
      <c r="A340" s="194" t="s">
        <v>396</v>
      </c>
    </row>
    <row r="342" spans="1:1" ht="38.25" x14ac:dyDescent="0.2">
      <c r="A342" s="194" t="s">
        <v>459</v>
      </c>
    </row>
    <row r="344" spans="1:1" ht="38.25" x14ac:dyDescent="0.2">
      <c r="A344" s="196" t="s">
        <v>397</v>
      </c>
    </row>
    <row r="346" spans="1:1" ht="51" x14ac:dyDescent="0.2">
      <c r="A346" s="196" t="s">
        <v>398</v>
      </c>
    </row>
    <row r="348" spans="1:1" ht="63.75" x14ac:dyDescent="0.2">
      <c r="A348" s="196" t="s">
        <v>399</v>
      </c>
    </row>
    <row r="350" spans="1:1" ht="63.75" x14ac:dyDescent="0.2">
      <c r="A350" s="196" t="s">
        <v>400</v>
      </c>
    </row>
    <row r="351" spans="1:1" x14ac:dyDescent="0.2">
      <c r="A351" s="196"/>
    </row>
    <row r="352" spans="1:1" ht="25.5" x14ac:dyDescent="0.2">
      <c r="A352" s="196" t="s">
        <v>441</v>
      </c>
    </row>
    <row r="353" spans="1:1" x14ac:dyDescent="0.2">
      <c r="A353" s="196"/>
    </row>
    <row r="354" spans="1:1" x14ac:dyDescent="0.2">
      <c r="A354" s="196" t="s">
        <v>401</v>
      </c>
    </row>
    <row r="355" spans="1:1" x14ac:dyDescent="0.2">
      <c r="A355" s="196"/>
    </row>
    <row r="356" spans="1:1" ht="51" x14ac:dyDescent="0.2">
      <c r="A356" s="194" t="s">
        <v>420</v>
      </c>
    </row>
    <row r="357" spans="1:1" x14ac:dyDescent="0.2">
      <c r="A357" s="196"/>
    </row>
    <row r="358" spans="1:1" ht="25.5" x14ac:dyDescent="0.2">
      <c r="A358" s="194" t="s">
        <v>402</v>
      </c>
    </row>
    <row r="359" spans="1:1" x14ac:dyDescent="0.2">
      <c r="A359" s="196"/>
    </row>
    <row r="360" spans="1:1" ht="38.25" x14ac:dyDescent="0.2">
      <c r="A360" s="194" t="s">
        <v>403</v>
      </c>
    </row>
    <row r="361" spans="1:1" x14ac:dyDescent="0.2">
      <c r="A361" s="196"/>
    </row>
    <row r="362" spans="1:1" x14ac:dyDescent="0.2">
      <c r="A362" s="196" t="s">
        <v>404</v>
      </c>
    </row>
    <row r="364" spans="1:1" ht="51" x14ac:dyDescent="0.2">
      <c r="A364" s="194" t="s">
        <v>460</v>
      </c>
    </row>
    <row r="366" spans="1:1" x14ac:dyDescent="0.2">
      <c r="A366" s="195" t="s">
        <v>405</v>
      </c>
    </row>
    <row r="368" spans="1:1" ht="25.5" x14ac:dyDescent="0.2">
      <c r="A368" s="194" t="s">
        <v>461</v>
      </c>
    </row>
    <row r="370" spans="1:1" ht="51" x14ac:dyDescent="0.2">
      <c r="A370" s="194" t="s">
        <v>462</v>
      </c>
    </row>
    <row r="372" spans="1:1" ht="38.25" x14ac:dyDescent="0.2">
      <c r="A372" s="196" t="s">
        <v>463</v>
      </c>
    </row>
    <row r="374" spans="1:1" x14ac:dyDescent="0.2">
      <c r="A374" s="195" t="s">
        <v>406</v>
      </c>
    </row>
    <row r="376" spans="1:1" ht="51" x14ac:dyDescent="0.2">
      <c r="A376" s="194" t="s">
        <v>407</v>
      </c>
    </row>
    <row r="378" spans="1:1" ht="38.25" x14ac:dyDescent="0.2">
      <c r="A378" s="196" t="s">
        <v>408</v>
      </c>
    </row>
    <row r="380" spans="1:1" x14ac:dyDescent="0.2">
      <c r="A380" s="199" t="s">
        <v>28</v>
      </c>
    </row>
    <row r="382" spans="1:1" ht="63.75" x14ac:dyDescent="0.2">
      <c r="A382" s="194" t="s">
        <v>52</v>
      </c>
    </row>
    <row r="384" spans="1:1" x14ac:dyDescent="0.2">
      <c r="A384" s="195" t="s">
        <v>77</v>
      </c>
    </row>
    <row r="385" spans="1:1" x14ac:dyDescent="0.2">
      <c r="A385" s="195"/>
    </row>
    <row r="386" spans="1:1" ht="76.5" x14ac:dyDescent="0.2">
      <c r="A386" s="194" t="s">
        <v>78</v>
      </c>
    </row>
  </sheetData>
  <sheetProtection selectLockedCells="1"/>
  <phoneticPr fontId="3" type="noConversion"/>
  <hyperlinks>
    <hyperlink ref="A3" r:id="rId1" xr:uid="{00000000-0004-0000-0300-000000000000}"/>
  </hyperlinks>
  <pageMargins left="0.59055118110236227" right="0.59055118110236227" top="0.59055118110236227" bottom="0.59055118110236227" header="0.39370078740157483" footer="0.39370078740157483"/>
  <pageSetup paperSize="9" scale="84" fitToHeight="0" orientation="portrait"/>
  <headerFooter alignWithMargins="0">
    <oddFooter>&amp;C&amp;9Page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115"/>
  <sheetViews>
    <sheetView zoomScale="95" zoomScaleNormal="95" workbookViewId="0">
      <pane ySplit="3" topLeftCell="A4" activePane="bottomLeft" state="frozen"/>
      <selection pane="bottomLeft" activeCell="C4" sqref="C4:E4"/>
    </sheetView>
  </sheetViews>
  <sheetFormatPr defaultColWidth="9.140625" defaultRowHeight="16.149999999999999" customHeight="1" x14ac:dyDescent="0.3"/>
  <cols>
    <col min="1" max="1" width="5.7109375" style="164" customWidth="1"/>
    <col min="2" max="2" width="35.7109375" style="12" customWidth="1"/>
    <col min="3" max="3" width="15.7109375" style="16" customWidth="1"/>
    <col min="4" max="7" width="15.7109375" style="4" customWidth="1"/>
    <col min="8" max="8" width="8.7109375" style="4" customWidth="1"/>
    <col min="9" max="9" width="15.7109375" style="4" customWidth="1"/>
    <col min="10" max="15" width="15.7109375" style="5" customWidth="1"/>
    <col min="16" max="16384" width="9.140625" style="5"/>
  </cols>
  <sheetData>
    <row r="1" spans="1:9" ht="16.149999999999999" customHeight="1" x14ac:dyDescent="0.3">
      <c r="B1" s="163" t="str">
        <f>IF(ISBLANK($C$4),"Example Limited",$C$4)</f>
        <v>Example (Pty) Limited</v>
      </c>
      <c r="C1" s="3"/>
    </row>
    <row r="2" spans="1:9" ht="16.149999999999999" customHeight="1" x14ac:dyDescent="0.3">
      <c r="B2" s="6" t="s">
        <v>54</v>
      </c>
      <c r="C2" s="3"/>
    </row>
    <row r="4" spans="1:9" ht="16.149999999999999" customHeight="1" x14ac:dyDescent="0.3">
      <c r="B4" s="2" t="s">
        <v>53</v>
      </c>
      <c r="C4" s="202" t="s">
        <v>277</v>
      </c>
      <c r="D4" s="203"/>
      <c r="E4" s="204"/>
    </row>
    <row r="5" spans="1:9" s="10" customFormat="1" ht="16.149999999999999" customHeight="1" x14ac:dyDescent="0.25">
      <c r="A5" s="165"/>
      <c r="B5" s="2" t="s">
        <v>45</v>
      </c>
      <c r="C5" s="7">
        <v>44256</v>
      </c>
      <c r="D5" s="8"/>
      <c r="E5" s="8"/>
      <c r="F5" s="8"/>
      <c r="G5" s="9"/>
      <c r="H5" s="9"/>
      <c r="I5" s="9"/>
    </row>
    <row r="6" spans="1:9" s="10" customFormat="1" ht="16.149999999999999" customHeight="1" x14ac:dyDescent="0.25">
      <c r="A6" s="165"/>
      <c r="B6" s="2"/>
      <c r="C6" s="11"/>
      <c r="D6" s="8"/>
      <c r="E6" s="8"/>
      <c r="F6" s="8"/>
      <c r="G6" s="9"/>
      <c r="H6" s="9"/>
      <c r="I6" s="9"/>
    </row>
    <row r="7" spans="1:9" s="10" customFormat="1" ht="16.149999999999999" customHeight="1" x14ac:dyDescent="0.25">
      <c r="A7" s="165"/>
      <c r="B7" s="2" t="s">
        <v>88</v>
      </c>
      <c r="C7" s="4"/>
      <c r="D7" s="8"/>
      <c r="E7" s="8"/>
      <c r="F7" s="8"/>
      <c r="G7" s="9"/>
      <c r="H7" s="9"/>
      <c r="I7" s="9"/>
    </row>
    <row r="8" spans="1:9" s="10" customFormat="1" ht="16.149999999999999" customHeight="1" x14ac:dyDescent="0.25">
      <c r="A8" s="165"/>
      <c r="B8" s="12" t="s">
        <v>89</v>
      </c>
      <c r="C8" s="13">
        <v>13</v>
      </c>
      <c r="D8" s="8"/>
      <c r="E8" s="8"/>
      <c r="F8" s="8"/>
      <c r="G8" s="9"/>
      <c r="H8" s="9"/>
      <c r="I8" s="9"/>
    </row>
    <row r="9" spans="1:9" s="10" customFormat="1" ht="16.149999999999999" customHeight="1" x14ac:dyDescent="0.25">
      <c r="A9" s="165"/>
      <c r="B9" s="12" t="s">
        <v>90</v>
      </c>
      <c r="C9" s="13">
        <v>13</v>
      </c>
      <c r="D9" s="8"/>
      <c r="E9" s="8"/>
      <c r="F9" s="8"/>
      <c r="G9" s="9"/>
      <c r="H9" s="9"/>
      <c r="I9" s="9"/>
    </row>
    <row r="10" spans="1:9" s="10" customFormat="1" ht="16.149999999999999" customHeight="1" x14ac:dyDescent="0.25">
      <c r="A10" s="165"/>
      <c r="B10" s="12" t="s">
        <v>91</v>
      </c>
      <c r="C10" s="13">
        <v>13</v>
      </c>
      <c r="D10" s="8"/>
      <c r="E10" s="8"/>
      <c r="F10" s="8"/>
      <c r="G10" s="9"/>
      <c r="H10" s="9"/>
      <c r="I10" s="9"/>
    </row>
    <row r="11" spans="1:9" s="10" customFormat="1" ht="16.149999999999999" customHeight="1" x14ac:dyDescent="0.25">
      <c r="A11" s="165"/>
      <c r="B11" s="12" t="s">
        <v>92</v>
      </c>
      <c r="C11" s="14">
        <f>52-SUM($C$8:$C$10)</f>
        <v>13</v>
      </c>
      <c r="D11" s="8"/>
      <c r="E11" s="8"/>
      <c r="F11" s="8"/>
      <c r="G11" s="9"/>
      <c r="H11" s="9"/>
      <c r="I11" s="9"/>
    </row>
    <row r="12" spans="1:9" s="10" customFormat="1" ht="16.149999999999999" customHeight="1" x14ac:dyDescent="0.25">
      <c r="A12" s="165"/>
      <c r="B12" s="12"/>
      <c r="C12" s="15"/>
      <c r="D12" s="8"/>
      <c r="E12" s="8"/>
      <c r="F12" s="8"/>
      <c r="G12" s="9"/>
      <c r="H12" s="9"/>
      <c r="I12" s="9"/>
    </row>
    <row r="13" spans="1:9" s="10" customFormat="1" ht="16.149999999999999" customHeight="1" x14ac:dyDescent="0.25">
      <c r="A13" s="165"/>
      <c r="B13" s="2" t="s">
        <v>208</v>
      </c>
      <c r="C13" s="15"/>
      <c r="D13" s="8"/>
      <c r="E13" s="8"/>
      <c r="F13" s="8"/>
      <c r="G13" s="9"/>
      <c r="H13" s="9"/>
      <c r="I13" s="9"/>
    </row>
    <row r="14" spans="1:9" s="10" customFormat="1" ht="16.149999999999999" customHeight="1" x14ac:dyDescent="0.25">
      <c r="A14" s="165"/>
      <c r="B14" s="2" t="s">
        <v>1</v>
      </c>
      <c r="C14" s="3"/>
      <c r="D14" s="8"/>
      <c r="E14" s="8"/>
      <c r="F14" s="8"/>
      <c r="G14" s="9"/>
      <c r="H14" s="9"/>
      <c r="I14" s="9"/>
    </row>
    <row r="15" spans="1:9" ht="16.149999999999999" customHeight="1" x14ac:dyDescent="0.3">
      <c r="B15" s="6" t="s">
        <v>99</v>
      </c>
      <c r="D15" s="15"/>
    </row>
    <row r="16" spans="1:9" ht="16.149999999999999" customHeight="1" x14ac:dyDescent="0.3">
      <c r="B16" s="2" t="s">
        <v>2</v>
      </c>
      <c r="C16" s="3"/>
    </row>
    <row r="17" spans="1:6" ht="16.149999999999999" customHeight="1" x14ac:dyDescent="0.3">
      <c r="B17" s="6" t="s">
        <v>100</v>
      </c>
      <c r="D17" s="17"/>
      <c r="E17" s="17"/>
      <c r="F17" s="17"/>
    </row>
    <row r="18" spans="1:6" ht="16.149999999999999" customHeight="1" x14ac:dyDescent="0.3">
      <c r="B18" s="2" t="s">
        <v>260</v>
      </c>
      <c r="D18" s="17"/>
      <c r="E18" s="17"/>
      <c r="F18" s="17"/>
    </row>
    <row r="19" spans="1:6" ht="16.149999999999999" customHeight="1" x14ac:dyDescent="0.3">
      <c r="B19" s="6" t="s">
        <v>442</v>
      </c>
      <c r="D19" s="17"/>
      <c r="E19" s="17"/>
      <c r="F19" s="17"/>
    </row>
    <row r="20" spans="1:6" ht="16.149999999999999" customHeight="1" x14ac:dyDescent="0.3">
      <c r="B20" s="2" t="s">
        <v>109</v>
      </c>
      <c r="C20" s="3"/>
    </row>
    <row r="21" spans="1:6" ht="16.149999999999999" customHeight="1" x14ac:dyDescent="0.3">
      <c r="B21" s="6" t="s">
        <v>210</v>
      </c>
      <c r="D21" s="15"/>
    </row>
    <row r="22" spans="1:6" ht="16.149999999999999" customHeight="1" x14ac:dyDescent="0.3">
      <c r="B22" s="2" t="s">
        <v>111</v>
      </c>
      <c r="D22" s="15"/>
    </row>
    <row r="23" spans="1:6" ht="16.149999999999999" customHeight="1" x14ac:dyDescent="0.3">
      <c r="B23" s="6" t="s">
        <v>211</v>
      </c>
      <c r="D23" s="15"/>
    </row>
    <row r="24" spans="1:6" ht="16.149999999999999" customHeight="1" x14ac:dyDescent="0.3">
      <c r="B24" s="2" t="s">
        <v>115</v>
      </c>
      <c r="D24" s="15"/>
    </row>
    <row r="25" spans="1:6" ht="16.149999999999999" customHeight="1" x14ac:dyDescent="0.3">
      <c r="B25" s="6" t="s">
        <v>212</v>
      </c>
      <c r="D25" s="15"/>
    </row>
    <row r="26" spans="1:6" ht="16.149999999999999" customHeight="1" x14ac:dyDescent="0.3">
      <c r="B26" s="2" t="s">
        <v>443</v>
      </c>
      <c r="D26" s="15"/>
    </row>
    <row r="27" spans="1:6" ht="16.149999999999999" customHeight="1" x14ac:dyDescent="0.3">
      <c r="B27" s="6" t="s">
        <v>209</v>
      </c>
      <c r="D27" s="15"/>
    </row>
    <row r="28" spans="1:6" ht="16.149999999999999" customHeight="1" x14ac:dyDescent="0.3">
      <c r="B28" s="6"/>
      <c r="D28" s="15"/>
    </row>
    <row r="29" spans="1:6" ht="16.149999999999999" customHeight="1" x14ac:dyDescent="0.3">
      <c r="B29" s="2" t="s">
        <v>213</v>
      </c>
      <c r="D29" s="15"/>
    </row>
    <row r="30" spans="1:6" ht="16.149999999999999" customHeight="1" x14ac:dyDescent="0.3">
      <c r="B30" s="6" t="s">
        <v>220</v>
      </c>
      <c r="D30" s="15"/>
    </row>
    <row r="31" spans="1:6" ht="16.149999999999999" customHeight="1" x14ac:dyDescent="0.3">
      <c r="B31" s="6" t="s">
        <v>214</v>
      </c>
      <c r="D31" s="15"/>
    </row>
    <row r="32" spans="1:6" ht="16.149999999999999" customHeight="1" x14ac:dyDescent="0.3">
      <c r="A32" s="164" t="s">
        <v>153</v>
      </c>
      <c r="B32" s="12" t="s">
        <v>154</v>
      </c>
      <c r="D32" s="15"/>
    </row>
    <row r="33" spans="1:6" ht="16.149999999999999" customHeight="1" x14ac:dyDescent="0.3">
      <c r="A33" s="166" t="s">
        <v>143</v>
      </c>
      <c r="B33" s="12" t="s">
        <v>144</v>
      </c>
      <c r="D33" s="15"/>
    </row>
    <row r="34" spans="1:6" ht="16.149999999999999" customHeight="1" x14ac:dyDescent="0.3">
      <c r="A34" s="166" t="s">
        <v>148</v>
      </c>
      <c r="B34" s="12" t="s">
        <v>149</v>
      </c>
      <c r="D34" s="15"/>
    </row>
    <row r="35" spans="1:6" ht="16.149999999999999" customHeight="1" x14ac:dyDescent="0.3">
      <c r="A35" s="164" t="s">
        <v>171</v>
      </c>
      <c r="B35" s="12" t="s">
        <v>192</v>
      </c>
      <c r="D35" s="15"/>
    </row>
    <row r="36" spans="1:6" ht="16.149999999999999" customHeight="1" x14ac:dyDescent="0.3">
      <c r="A36" s="164" t="s">
        <v>174</v>
      </c>
      <c r="B36" s="12" t="s">
        <v>175</v>
      </c>
      <c r="D36" s="15"/>
    </row>
    <row r="37" spans="1:6" ht="16.149999999999999" customHeight="1" x14ac:dyDescent="0.3">
      <c r="A37" s="166" t="s">
        <v>138</v>
      </c>
      <c r="B37" s="12" t="s">
        <v>69</v>
      </c>
      <c r="D37" s="15"/>
    </row>
    <row r="38" spans="1:6" ht="16.149999999999999" customHeight="1" x14ac:dyDescent="0.3">
      <c r="A38" s="166" t="s">
        <v>139</v>
      </c>
      <c r="B38" s="12" t="s">
        <v>194</v>
      </c>
      <c r="D38" s="15"/>
    </row>
    <row r="39" spans="1:6" ht="16.149999999999999" customHeight="1" x14ac:dyDescent="0.3">
      <c r="A39" s="166" t="s">
        <v>141</v>
      </c>
      <c r="B39" s="12" t="s">
        <v>195</v>
      </c>
      <c r="D39" s="15"/>
    </row>
    <row r="40" spans="1:6" ht="16.149999999999999" customHeight="1" x14ac:dyDescent="0.3">
      <c r="A40" s="164" t="s">
        <v>152</v>
      </c>
      <c r="B40" s="12" t="s">
        <v>72</v>
      </c>
      <c r="D40" s="15"/>
    </row>
    <row r="41" spans="1:6" ht="16.149999999999999" customHeight="1" x14ac:dyDescent="0.3">
      <c r="A41" s="164" t="s">
        <v>156</v>
      </c>
      <c r="B41" s="12" t="s">
        <v>215</v>
      </c>
      <c r="D41" s="15"/>
    </row>
    <row r="42" spans="1:6" ht="16.149999999999999" customHeight="1" x14ac:dyDescent="0.3">
      <c r="A42" s="164" t="s">
        <v>158</v>
      </c>
      <c r="B42" s="12" t="s">
        <v>216</v>
      </c>
      <c r="D42" s="15"/>
    </row>
    <row r="43" spans="1:6" ht="16.149999999999999" customHeight="1" x14ac:dyDescent="0.3">
      <c r="A43" s="164" t="s">
        <v>160</v>
      </c>
      <c r="B43" s="12" t="s">
        <v>217</v>
      </c>
      <c r="D43" s="15"/>
    </row>
    <row r="44" spans="1:6" ht="16.149999999999999" customHeight="1" x14ac:dyDescent="0.3">
      <c r="A44" s="164" t="s">
        <v>162</v>
      </c>
      <c r="B44" s="12" t="s">
        <v>218</v>
      </c>
      <c r="D44" s="15"/>
    </row>
    <row r="45" spans="1:6" ht="16.149999999999999" customHeight="1" x14ac:dyDescent="0.3">
      <c r="D45" s="15"/>
    </row>
    <row r="46" spans="1:6" ht="16.149999999999999" customHeight="1" x14ac:dyDescent="0.3">
      <c r="B46" s="19" t="s">
        <v>219</v>
      </c>
      <c r="D46" s="15"/>
    </row>
    <row r="47" spans="1:6" ht="16.149999999999999" customHeight="1" x14ac:dyDescent="0.3">
      <c r="B47" s="2" t="s">
        <v>26</v>
      </c>
      <c r="C47" s="3"/>
    </row>
    <row r="48" spans="1:6" ht="16.149999999999999" customHeight="1" x14ac:dyDescent="0.3">
      <c r="B48" s="12" t="s">
        <v>31</v>
      </c>
      <c r="C48" s="13">
        <v>30</v>
      </c>
      <c r="E48" s="15"/>
      <c r="F48" s="15"/>
    </row>
    <row r="49" spans="1:7" ht="16.149999999999999" customHeight="1" x14ac:dyDescent="0.3">
      <c r="B49" s="12" t="s">
        <v>29</v>
      </c>
      <c r="C49" s="13">
        <v>25</v>
      </c>
      <c r="E49" s="15"/>
      <c r="F49" s="15"/>
    </row>
    <row r="50" spans="1:7" ht="16.149999999999999" customHeight="1" x14ac:dyDescent="0.3">
      <c r="B50" s="12" t="s">
        <v>30</v>
      </c>
      <c r="C50" s="13">
        <v>20</v>
      </c>
      <c r="E50" s="15"/>
      <c r="F50" s="15"/>
    </row>
    <row r="51" spans="1:7" ht="16.149999999999999" customHeight="1" x14ac:dyDescent="0.3">
      <c r="B51" s="12" t="s">
        <v>206</v>
      </c>
      <c r="C51" s="5"/>
      <c r="E51" s="15"/>
      <c r="F51" s="15"/>
    </row>
    <row r="52" spans="1:7" ht="16.149999999999999" customHeight="1" x14ac:dyDescent="0.3">
      <c r="B52" s="12" t="s">
        <v>207</v>
      </c>
      <c r="C52" s="20">
        <v>0.2</v>
      </c>
      <c r="E52" s="15"/>
      <c r="F52" s="15"/>
    </row>
    <row r="53" spans="1:7" ht="16.149999999999999" customHeight="1" x14ac:dyDescent="0.3">
      <c r="B53" s="12" t="s">
        <v>182</v>
      </c>
      <c r="C53" s="21">
        <v>1</v>
      </c>
      <c r="E53" s="15"/>
      <c r="F53" s="15"/>
    </row>
    <row r="54" spans="1:7" ht="16.149999999999999" customHeight="1" x14ac:dyDescent="0.3">
      <c r="B54" s="12" t="s">
        <v>183</v>
      </c>
      <c r="C54" s="21">
        <v>1</v>
      </c>
      <c r="E54" s="15"/>
      <c r="F54" s="15"/>
    </row>
    <row r="55" spans="1:7" ht="16.149999999999999" customHeight="1" x14ac:dyDescent="0.3">
      <c r="B55" s="12" t="s">
        <v>184</v>
      </c>
      <c r="C55" s="21" t="s">
        <v>221</v>
      </c>
      <c r="D55" s="22">
        <f>IF(C55="Current",1,0)</f>
        <v>0</v>
      </c>
      <c r="E55" s="15"/>
      <c r="F55" s="15"/>
    </row>
    <row r="56" spans="1:7" ht="16.149999999999999" customHeight="1" x14ac:dyDescent="0.3">
      <c r="B56" s="12" t="s">
        <v>238</v>
      </c>
      <c r="C56" s="23">
        <v>6</v>
      </c>
      <c r="D56" s="24"/>
    </row>
    <row r="57" spans="1:7" ht="16.149999999999999" customHeight="1" x14ac:dyDescent="0.3">
      <c r="B57" s="2" t="s">
        <v>169</v>
      </c>
      <c r="C57" s="25"/>
      <c r="D57" s="26"/>
    </row>
    <row r="58" spans="1:7" ht="16.149999999999999" customHeight="1" x14ac:dyDescent="0.3">
      <c r="B58" s="6" t="s">
        <v>222</v>
      </c>
      <c r="C58" s="25"/>
      <c r="D58" s="5"/>
      <c r="E58" s="27"/>
      <c r="F58" s="27"/>
      <c r="G58" s="27"/>
    </row>
    <row r="59" spans="1:7" ht="16.149999999999999" customHeight="1" x14ac:dyDescent="0.3">
      <c r="A59" s="164" t="s">
        <v>280</v>
      </c>
      <c r="B59" s="28" t="s">
        <v>223</v>
      </c>
      <c r="C59" s="29">
        <v>0.15</v>
      </c>
      <c r="D59" s="5"/>
    </row>
    <row r="60" spans="1:7" ht="16.149999999999999" customHeight="1" x14ac:dyDescent="0.3">
      <c r="A60" s="164" t="s">
        <v>281</v>
      </c>
      <c r="B60" s="28" t="s">
        <v>224</v>
      </c>
      <c r="C60" s="29">
        <v>0</v>
      </c>
      <c r="D60" s="5"/>
    </row>
    <row r="61" spans="1:7" ht="16.149999999999999" customHeight="1" x14ac:dyDescent="0.3">
      <c r="A61" s="164" t="s">
        <v>282</v>
      </c>
      <c r="B61" s="28" t="s">
        <v>225</v>
      </c>
      <c r="C61" s="29">
        <v>0</v>
      </c>
      <c r="D61" s="5"/>
    </row>
    <row r="62" spans="1:7" ht="16.149999999999999" customHeight="1" x14ac:dyDescent="0.3">
      <c r="A62" s="164" t="s">
        <v>283</v>
      </c>
      <c r="B62" s="28" t="s">
        <v>226</v>
      </c>
      <c r="C62" s="29">
        <v>0</v>
      </c>
      <c r="D62" s="5"/>
    </row>
    <row r="63" spans="1:7" ht="16.149999999999999" customHeight="1" x14ac:dyDescent="0.3">
      <c r="B63" s="12" t="s">
        <v>182</v>
      </c>
      <c r="C63" s="21">
        <v>2</v>
      </c>
    </row>
    <row r="64" spans="1:7" ht="16.149999999999999" customHeight="1" x14ac:dyDescent="0.3">
      <c r="B64" s="12" t="s">
        <v>183</v>
      </c>
      <c r="C64" s="21">
        <v>1</v>
      </c>
    </row>
    <row r="65" spans="2:7" ht="16.149999999999999" customHeight="1" x14ac:dyDescent="0.3">
      <c r="B65" s="12" t="s">
        <v>184</v>
      </c>
      <c r="C65" s="21" t="s">
        <v>221</v>
      </c>
      <c r="D65" s="22">
        <f>IF(C65="Current",1,0)</f>
        <v>0</v>
      </c>
    </row>
    <row r="66" spans="2:7" ht="16.149999999999999" customHeight="1" x14ac:dyDescent="0.3">
      <c r="B66" s="12" t="s">
        <v>238</v>
      </c>
      <c r="C66" s="23">
        <v>25</v>
      </c>
      <c r="D66" s="24"/>
    </row>
    <row r="67" spans="2:7" ht="16.149999999999999" customHeight="1" x14ac:dyDescent="0.3">
      <c r="B67" s="2" t="s">
        <v>180</v>
      </c>
      <c r="C67" s="5"/>
      <c r="D67" s="5"/>
      <c r="E67" s="5"/>
      <c r="F67" s="5"/>
      <c r="G67" s="5"/>
    </row>
    <row r="68" spans="2:7" ht="16.149999999999999" customHeight="1" x14ac:dyDescent="0.3">
      <c r="B68" s="12" t="s">
        <v>32</v>
      </c>
      <c r="C68" s="20">
        <v>0.28000000000000003</v>
      </c>
    </row>
    <row r="69" spans="2:7" ht="16.149999999999999" customHeight="1" x14ac:dyDescent="0.3">
      <c r="B69" s="12" t="s">
        <v>181</v>
      </c>
      <c r="C69" s="21">
        <v>0</v>
      </c>
    </row>
    <row r="70" spans="2:7" ht="16.149999999999999" customHeight="1" x14ac:dyDescent="0.3">
      <c r="B70" s="12" t="s">
        <v>182</v>
      </c>
      <c r="C70" s="21">
        <v>6</v>
      </c>
    </row>
    <row r="71" spans="2:7" ht="16.149999999999999" customHeight="1" x14ac:dyDescent="0.3">
      <c r="B71" s="12" t="s">
        <v>183</v>
      </c>
      <c r="C71" s="21">
        <v>2</v>
      </c>
    </row>
    <row r="72" spans="2:7" ht="16.149999999999999" customHeight="1" x14ac:dyDescent="0.3">
      <c r="B72" s="12" t="s">
        <v>184</v>
      </c>
      <c r="C72" s="21" t="s">
        <v>185</v>
      </c>
      <c r="D72" s="22">
        <f>IF(C72="Subsequent",0,1)</f>
        <v>1</v>
      </c>
    </row>
    <row r="73" spans="2:7" ht="16.149999999999999" customHeight="1" x14ac:dyDescent="0.3">
      <c r="B73" s="12" t="s">
        <v>238</v>
      </c>
      <c r="C73" s="23">
        <v>25</v>
      </c>
      <c r="D73" s="24"/>
    </row>
    <row r="74" spans="2:7" ht="16.149999999999999" customHeight="1" x14ac:dyDescent="0.3">
      <c r="B74" s="6" t="s">
        <v>227</v>
      </c>
      <c r="C74" s="15"/>
      <c r="E74" s="15"/>
      <c r="F74" s="15"/>
    </row>
    <row r="75" spans="2:7" ht="16.149999999999999" customHeight="1" x14ac:dyDescent="0.3">
      <c r="B75" s="2" t="s">
        <v>47</v>
      </c>
      <c r="C75" s="30" t="s">
        <v>133</v>
      </c>
      <c r="D75" s="30" t="s">
        <v>134</v>
      </c>
      <c r="E75" s="30" t="s">
        <v>135</v>
      </c>
      <c r="F75" s="30" t="s">
        <v>136</v>
      </c>
    </row>
    <row r="76" spans="2:7" ht="16.149999999999999" customHeight="1" x14ac:dyDescent="0.3">
      <c r="B76" s="31" t="s">
        <v>33</v>
      </c>
      <c r="C76" s="32">
        <v>0.10249999999999999</v>
      </c>
      <c r="D76" s="32">
        <v>9.2499999999999999E-2</v>
      </c>
      <c r="E76" s="32">
        <v>0.125</v>
      </c>
      <c r="F76" s="32">
        <v>0.115</v>
      </c>
    </row>
    <row r="77" spans="2:7" ht="16.149999999999999" customHeight="1" x14ac:dyDescent="0.3">
      <c r="B77" s="31" t="s">
        <v>51</v>
      </c>
      <c r="C77" s="33">
        <v>10</v>
      </c>
      <c r="D77" s="33">
        <v>8</v>
      </c>
      <c r="E77" s="33">
        <v>5</v>
      </c>
      <c r="F77" s="33">
        <v>4</v>
      </c>
    </row>
    <row r="78" spans="2:7" ht="16.149999999999999" customHeight="1" x14ac:dyDescent="0.3">
      <c r="B78" s="31" t="s">
        <v>39</v>
      </c>
      <c r="C78" s="34" t="s">
        <v>40</v>
      </c>
      <c r="D78" s="34" t="s">
        <v>40</v>
      </c>
      <c r="E78" s="34" t="s">
        <v>40</v>
      </c>
      <c r="F78" s="34" t="s">
        <v>40</v>
      </c>
    </row>
    <row r="79" spans="2:7" ht="16.149999999999999" customHeight="1" x14ac:dyDescent="0.3">
      <c r="B79" s="31" t="s">
        <v>86</v>
      </c>
      <c r="C79" s="33">
        <v>5</v>
      </c>
      <c r="D79" s="33">
        <v>30</v>
      </c>
      <c r="E79" s="33">
        <v>1</v>
      </c>
      <c r="F79" s="33">
        <v>10</v>
      </c>
    </row>
    <row r="80" spans="2:7" ht="16.149999999999999" customHeight="1" x14ac:dyDescent="0.3">
      <c r="B80" s="35" t="s">
        <v>228</v>
      </c>
      <c r="C80" s="15"/>
      <c r="E80" s="15"/>
      <c r="F80" s="15"/>
    </row>
    <row r="81" spans="1:6" ht="16.149999999999999" customHeight="1" x14ac:dyDescent="0.3">
      <c r="B81" s="2" t="s">
        <v>137</v>
      </c>
      <c r="D81" s="15"/>
      <c r="E81" s="15"/>
      <c r="F81" s="15"/>
    </row>
    <row r="82" spans="1:6" ht="16.149999999999999" customHeight="1" x14ac:dyDescent="0.3">
      <c r="A82" s="164" t="s">
        <v>138</v>
      </c>
      <c r="B82" s="12" t="s">
        <v>48</v>
      </c>
      <c r="C82" s="13">
        <v>1050000</v>
      </c>
      <c r="D82" s="36" t="str">
        <f>IF(ROUND(SUM(C81:C105),0)&lt;&gt;0,"The total of all the start-up balances should be nil!","")</f>
        <v/>
      </c>
      <c r="E82" s="15"/>
      <c r="F82" s="15"/>
    </row>
    <row r="83" spans="1:6" ht="16.149999999999999" customHeight="1" x14ac:dyDescent="0.3">
      <c r="A83" s="164" t="s">
        <v>139</v>
      </c>
      <c r="B83" s="12" t="s">
        <v>140</v>
      </c>
      <c r="C83" s="13">
        <v>120000</v>
      </c>
      <c r="D83" s="15"/>
      <c r="E83" s="15"/>
      <c r="F83" s="15"/>
    </row>
    <row r="84" spans="1:6" ht="16.149999999999999" customHeight="1" x14ac:dyDescent="0.3">
      <c r="A84" s="164" t="s">
        <v>141</v>
      </c>
      <c r="B84" s="12" t="s">
        <v>142</v>
      </c>
      <c r="C84" s="13">
        <v>800000</v>
      </c>
      <c r="D84" s="15"/>
      <c r="E84" s="15"/>
      <c r="F84" s="15"/>
    </row>
    <row r="85" spans="1:6" ht="16.149999999999999" customHeight="1" x14ac:dyDescent="0.3">
      <c r="A85" s="164" t="s">
        <v>143</v>
      </c>
      <c r="B85" s="12" t="s">
        <v>144</v>
      </c>
      <c r="C85" s="13">
        <v>55000</v>
      </c>
      <c r="D85" s="15"/>
      <c r="E85" s="15"/>
      <c r="F85" s="15"/>
    </row>
    <row r="86" spans="1:6" ht="16.149999999999999" customHeight="1" x14ac:dyDescent="0.3">
      <c r="A86" s="164" t="s">
        <v>145</v>
      </c>
      <c r="B86" s="12" t="s">
        <v>25</v>
      </c>
      <c r="C86" s="13">
        <v>170000</v>
      </c>
      <c r="D86" s="15"/>
      <c r="E86" s="15"/>
      <c r="F86" s="15"/>
    </row>
    <row r="87" spans="1:6" ht="16.149999999999999" customHeight="1" x14ac:dyDescent="0.3">
      <c r="A87" s="164" t="s">
        <v>146</v>
      </c>
      <c r="B87" s="12" t="s">
        <v>147</v>
      </c>
      <c r="C87" s="13">
        <v>370000</v>
      </c>
      <c r="D87" s="15"/>
      <c r="E87" s="15"/>
      <c r="F87" s="15"/>
    </row>
    <row r="88" spans="1:6" ht="16.149999999999999" customHeight="1" x14ac:dyDescent="0.3">
      <c r="A88" s="164" t="s">
        <v>148</v>
      </c>
      <c r="B88" s="12" t="s">
        <v>149</v>
      </c>
      <c r="C88" s="13">
        <v>53000</v>
      </c>
      <c r="D88" s="15"/>
      <c r="E88" s="15"/>
      <c r="F88" s="15"/>
    </row>
    <row r="89" spans="1:6" ht="16.149999999999999" customHeight="1" x14ac:dyDescent="0.3">
      <c r="A89" s="164" t="s">
        <v>150</v>
      </c>
      <c r="B89" s="12" t="s">
        <v>151</v>
      </c>
      <c r="C89" s="13">
        <v>171000</v>
      </c>
      <c r="D89" s="15"/>
      <c r="E89" s="15"/>
      <c r="F89" s="15"/>
    </row>
    <row r="90" spans="1:6" ht="16.149999999999999" customHeight="1" x14ac:dyDescent="0.3">
      <c r="A90" s="164" t="s">
        <v>152</v>
      </c>
      <c r="B90" s="31" t="s">
        <v>0</v>
      </c>
      <c r="C90" s="13">
        <v>-1000</v>
      </c>
      <c r="D90" s="15"/>
      <c r="E90" s="15"/>
      <c r="F90" s="15"/>
    </row>
    <row r="91" spans="1:6" ht="16.149999999999999" customHeight="1" x14ac:dyDescent="0.3">
      <c r="A91" s="164" t="s">
        <v>153</v>
      </c>
      <c r="B91" s="31" t="s">
        <v>154</v>
      </c>
      <c r="C91" s="13">
        <v>0</v>
      </c>
      <c r="D91" s="15"/>
      <c r="E91" s="15"/>
      <c r="F91" s="15"/>
    </row>
    <row r="92" spans="1:6" ht="16.149999999999999" customHeight="1" x14ac:dyDescent="0.3">
      <c r="A92" s="164" t="s">
        <v>155</v>
      </c>
      <c r="B92" s="31" t="s">
        <v>35</v>
      </c>
      <c r="C92" s="13">
        <v>-400000</v>
      </c>
      <c r="D92" s="15"/>
      <c r="E92" s="15"/>
      <c r="F92" s="15"/>
    </row>
    <row r="93" spans="1:6" ht="16.149999999999999" customHeight="1" x14ac:dyDescent="0.3">
      <c r="A93" s="164" t="s">
        <v>156</v>
      </c>
      <c r="B93" s="12" t="s">
        <v>157</v>
      </c>
      <c r="C93" s="13">
        <v>-1200000</v>
      </c>
      <c r="D93" s="36" t="str">
        <f>IF($C93&gt;0,"Long term loans balances should be entered as negative values!","")</f>
        <v/>
      </c>
      <c r="E93" s="15"/>
      <c r="F93" s="15"/>
    </row>
    <row r="94" spans="1:6" ht="16.149999999999999" customHeight="1" x14ac:dyDescent="0.3">
      <c r="A94" s="164" t="s">
        <v>158</v>
      </c>
      <c r="B94" s="12" t="s">
        <v>159</v>
      </c>
      <c r="C94" s="13">
        <v>-500000</v>
      </c>
      <c r="D94" s="36" t="str">
        <f t="shared" ref="D94:D95" si="0">IF($C94&gt;0,"Long term loans balances should be entered as negative values!","")</f>
        <v/>
      </c>
      <c r="E94" s="15"/>
      <c r="F94" s="15"/>
    </row>
    <row r="95" spans="1:6" ht="16.149999999999999" customHeight="1" x14ac:dyDescent="0.3">
      <c r="A95" s="164" t="s">
        <v>160</v>
      </c>
      <c r="B95" s="12" t="s">
        <v>161</v>
      </c>
      <c r="C95" s="13">
        <v>0</v>
      </c>
      <c r="D95" s="36" t="str">
        <f t="shared" si="0"/>
        <v/>
      </c>
      <c r="E95" s="15"/>
      <c r="F95" s="15"/>
    </row>
    <row r="96" spans="1:6" ht="16.149999999999999" customHeight="1" x14ac:dyDescent="0.3">
      <c r="A96" s="164" t="s">
        <v>162</v>
      </c>
      <c r="B96" s="12" t="s">
        <v>163</v>
      </c>
      <c r="C96" s="13">
        <v>-425000</v>
      </c>
      <c r="D96" s="36" t="str">
        <f>IF($C96&gt;0,"Finance lease balances should be entered as negative values!","")</f>
        <v/>
      </c>
      <c r="E96" s="15"/>
      <c r="F96" s="15"/>
    </row>
    <row r="97" spans="1:8" ht="16.149999999999999" customHeight="1" x14ac:dyDescent="0.3">
      <c r="A97" s="164" t="s">
        <v>164</v>
      </c>
      <c r="B97" s="12" t="s">
        <v>165</v>
      </c>
      <c r="C97" s="13">
        <v>0</v>
      </c>
      <c r="D97" s="15"/>
      <c r="E97" s="15"/>
      <c r="F97" s="15"/>
    </row>
    <row r="98" spans="1:8" ht="16.149999999999999" customHeight="1" x14ac:dyDescent="0.3">
      <c r="A98" s="164" t="s">
        <v>166</v>
      </c>
      <c r="B98" s="12" t="s">
        <v>167</v>
      </c>
      <c r="C98" s="13">
        <v>-130000</v>
      </c>
      <c r="D98" s="15"/>
      <c r="E98" s="15"/>
      <c r="F98" s="15"/>
    </row>
    <row r="99" spans="1:8" ht="16.149999999999999" customHeight="1" x14ac:dyDescent="0.3">
      <c r="A99" s="164" t="s">
        <v>168</v>
      </c>
      <c r="B99" s="12" t="s">
        <v>169</v>
      </c>
      <c r="C99" s="13">
        <v>-16000</v>
      </c>
      <c r="D99" s="15"/>
      <c r="E99" s="15"/>
      <c r="F99" s="15"/>
    </row>
    <row r="100" spans="1:8" ht="16.149999999999999" customHeight="1" x14ac:dyDescent="0.3">
      <c r="A100" s="164" t="s">
        <v>118</v>
      </c>
      <c r="B100" s="12" t="s">
        <v>170</v>
      </c>
      <c r="C100" s="13">
        <v>-20000</v>
      </c>
      <c r="D100" s="15"/>
      <c r="E100" s="15"/>
      <c r="F100" s="15"/>
    </row>
    <row r="101" spans="1:8" ht="16.149999999999999" customHeight="1" x14ac:dyDescent="0.3">
      <c r="A101" s="164" t="s">
        <v>171</v>
      </c>
      <c r="B101" s="12" t="s">
        <v>172</v>
      </c>
      <c r="C101" s="13">
        <v>-55000</v>
      </c>
      <c r="D101" s="15"/>
      <c r="E101" s="15"/>
      <c r="F101" s="15"/>
    </row>
    <row r="102" spans="1:8" ht="16.149999999999999" customHeight="1" x14ac:dyDescent="0.3">
      <c r="A102" s="164" t="s">
        <v>132</v>
      </c>
      <c r="B102" s="12" t="s">
        <v>173</v>
      </c>
      <c r="C102" s="13">
        <v>0</v>
      </c>
      <c r="D102" s="15"/>
      <c r="E102" s="15"/>
      <c r="F102" s="15"/>
    </row>
    <row r="103" spans="1:8" ht="16.149999999999999" customHeight="1" x14ac:dyDescent="0.3">
      <c r="A103" s="164" t="s">
        <v>261</v>
      </c>
      <c r="B103" s="12" t="s">
        <v>265</v>
      </c>
      <c r="C103" s="13">
        <v>0</v>
      </c>
      <c r="D103" s="15"/>
      <c r="E103" s="15"/>
      <c r="F103" s="15"/>
    </row>
    <row r="104" spans="1:8" ht="16.149999999999999" customHeight="1" x14ac:dyDescent="0.3">
      <c r="A104" s="164" t="s">
        <v>174</v>
      </c>
      <c r="B104" s="12" t="s">
        <v>175</v>
      </c>
      <c r="C104" s="13">
        <v>-42000</v>
      </c>
      <c r="D104" s="15"/>
      <c r="E104" s="15"/>
      <c r="F104" s="15"/>
    </row>
    <row r="105" spans="1:8" ht="16.149999999999999" customHeight="1" x14ac:dyDescent="0.25">
      <c r="A105" s="165"/>
      <c r="B105" s="2" t="s">
        <v>262</v>
      </c>
      <c r="C105" s="5"/>
      <c r="D105" s="5"/>
      <c r="E105" s="5"/>
      <c r="F105" s="5"/>
      <c r="G105" s="5"/>
    </row>
    <row r="106" spans="1:8" ht="16.149999999999999" customHeight="1" x14ac:dyDescent="0.3">
      <c r="B106" s="12" t="s">
        <v>266</v>
      </c>
      <c r="C106" s="20">
        <v>0</v>
      </c>
    </row>
    <row r="107" spans="1:8" ht="16.149999999999999" customHeight="1" x14ac:dyDescent="0.3">
      <c r="B107" s="12" t="s">
        <v>182</v>
      </c>
      <c r="C107" s="21">
        <v>12</v>
      </c>
    </row>
    <row r="108" spans="1:8" ht="16.149999999999999" customHeight="1" x14ac:dyDescent="0.3">
      <c r="B108" s="12" t="s">
        <v>183</v>
      </c>
      <c r="C108" s="21">
        <v>2</v>
      </c>
      <c r="D108" s="22">
        <f>IF(C107=0,1,C108-((ROUNDUP(C108/C107,0))-1)*C107)</f>
        <v>2</v>
      </c>
      <c r="E108" s="37"/>
    </row>
    <row r="109" spans="1:8" ht="16.149999999999999" customHeight="1" x14ac:dyDescent="0.3">
      <c r="B109" s="12" t="s">
        <v>276</v>
      </c>
      <c r="C109" s="21" t="s">
        <v>267</v>
      </c>
      <c r="D109" s="22">
        <f>IF(C109="Next",1,0)</f>
        <v>1</v>
      </c>
      <c r="E109" s="37"/>
    </row>
    <row r="110" spans="1:8" ht="16.149999999999999" customHeight="1" x14ac:dyDescent="0.3">
      <c r="A110" s="167"/>
      <c r="B110" s="12" t="s">
        <v>238</v>
      </c>
      <c r="C110" s="23">
        <v>20</v>
      </c>
      <c r="D110" s="24"/>
      <c r="G110" s="5"/>
      <c r="H110" s="5"/>
    </row>
    <row r="111" spans="1:8" ht="16.149999999999999" customHeight="1" x14ac:dyDescent="0.3">
      <c r="A111" s="167"/>
      <c r="B111" s="5"/>
      <c r="C111" s="5"/>
      <c r="D111" s="5"/>
      <c r="E111" s="5"/>
      <c r="F111" s="5"/>
      <c r="G111" s="5"/>
      <c r="H111" s="5"/>
    </row>
    <row r="112" spans="1:8" ht="16.149999999999999" customHeight="1" x14ac:dyDescent="0.3">
      <c r="A112" s="167"/>
      <c r="B112" s="5"/>
      <c r="C112" s="5"/>
      <c r="D112" s="5"/>
      <c r="E112" s="5"/>
      <c r="F112" s="5"/>
      <c r="G112" s="5"/>
      <c r="H112" s="5"/>
    </row>
    <row r="113" spans="1:8" ht="16.149999999999999" customHeight="1" x14ac:dyDescent="0.3">
      <c r="A113" s="167"/>
      <c r="B113" s="5"/>
      <c r="C113" s="5"/>
      <c r="D113" s="5"/>
      <c r="E113" s="5"/>
      <c r="F113" s="5"/>
      <c r="G113" s="5"/>
      <c r="H113" s="5"/>
    </row>
    <row r="114" spans="1:8" ht="16.149999999999999" customHeight="1" x14ac:dyDescent="0.3">
      <c r="A114" s="167"/>
      <c r="B114" s="5"/>
      <c r="C114" s="5"/>
      <c r="D114" s="5"/>
      <c r="E114" s="5"/>
      <c r="F114" s="5"/>
      <c r="G114" s="5"/>
      <c r="H114" s="5"/>
    </row>
    <row r="115" spans="1:8" ht="16.149999999999999" customHeight="1" x14ac:dyDescent="0.3">
      <c r="A115" s="167"/>
      <c r="B115" s="5"/>
      <c r="C115" s="5"/>
      <c r="D115" s="5"/>
      <c r="E115" s="5"/>
      <c r="F115" s="5"/>
      <c r="G115" s="5"/>
      <c r="H115" s="5"/>
    </row>
  </sheetData>
  <mergeCells count="1">
    <mergeCell ref="C4:E4"/>
  </mergeCells>
  <phoneticPr fontId="3" type="noConversion"/>
  <conditionalFormatting sqref="C93:C96">
    <cfRule type="cellIs" dxfId="1" priority="2" stopIfTrue="1" operator="greaterThan">
      <formula>0</formula>
    </cfRule>
  </conditionalFormatting>
  <conditionalFormatting sqref="C82:C104">
    <cfRule type="expression" dxfId="0" priority="1" stopIfTrue="1">
      <formula>ROUND(SUM($C$82:$C$105),0)&lt;&gt;0</formula>
    </cfRule>
  </conditionalFormatting>
  <dataValidations count="13">
    <dataValidation type="list" allowBlank="1" showInputMessage="1" showErrorMessage="1" errorTitle="Invalid Data" error="Select a valid item from the list box." sqref="C78:F78" xr:uid="{00000000-0002-0000-0400-000000000000}">
      <formula1>"Yes,No"</formula1>
    </dataValidation>
    <dataValidation operator="lessThan" allowBlank="1" showInputMessage="1" showErrorMessage="1" errorTitle="Invalid Input" error="The estimated Creditors balances should be entered as a negative value." sqref="C80 C50 E80:F80 C74:C78 E50:F78 C67:C71 E106:F110" xr:uid="{00000000-0002-0000-0400-000001000000}"/>
    <dataValidation type="decimal" allowBlank="1" showInputMessage="1" showErrorMessage="1" errorTitle="Invalid Input" error="Please enter the value as a percentage - should therefore be a value between 0 and 1." sqref="D17:F19" xr:uid="{00000000-0002-0000-0400-000002000000}">
      <formula1>0</formula1>
      <formula2>1</formula2>
    </dataValidation>
    <dataValidation type="date" operator="greaterThan" allowBlank="1" showInputMessage="1" showErrorMessage="1" errorTitle="Invalid Date" error="The start date should be entered in accordance with the regional date settings that are specified in the System Control Panel." sqref="C5:C6" xr:uid="{00000000-0002-0000-0400-000003000000}">
      <formula1>36526</formula1>
    </dataValidation>
    <dataValidation type="decimal" allowBlank="1" showInputMessage="1" showErrorMessage="1" errorTitle="Invalid Data" error="Enter an interest rate percentage that is between 0% and 100%." sqref="C76:F76" xr:uid="{00000000-0002-0000-0400-000004000000}">
      <formula1>0</formula1>
      <formula2>1</formula2>
    </dataValidation>
    <dataValidation type="decimal" allowBlank="1" showInputMessage="1" showErrorMessage="1" errorTitle="Invalid Data" error="Enter an income tax percentage that is between 0% and 100%." sqref="C68 C52 C106" xr:uid="{00000000-0002-0000-0400-000005000000}">
      <formula1>0</formula1>
      <formula2>1</formula2>
    </dataValidation>
    <dataValidation type="whole" allowBlank="1" showInputMessage="1" showErrorMessage="1" errorTitle="Invalid Day" error="Enter a value between 1 and 30." sqref="C79:F79 C66 C73 C56 C110" xr:uid="{00000000-0002-0000-0400-000006000000}">
      <formula1>1</formula1>
      <formula2>30</formula2>
    </dataValidation>
    <dataValidation type="decimal" allowBlank="1" showInputMessage="1" showErrorMessage="1" errorTitle="Invalid Repayment Term" error="The repayment term must be between 0 and 30 years." sqref="C77:F77" xr:uid="{00000000-0002-0000-0400-000007000000}">
      <formula1>0</formula1>
      <formula2>30</formula2>
    </dataValidation>
    <dataValidation type="decimal" operator="greaterThanOrEqual" allowBlank="1" showInputMessage="1" showErrorMessage="1" errorTitle="Invalid Data" error="The assessed loss needs to be entered as a positive value." sqref="C69" xr:uid="{00000000-0002-0000-0400-000008000000}">
      <formula1>0</formula1>
    </dataValidation>
    <dataValidation type="whole" allowBlank="1" showInputMessage="1" showErrorMessage="1" errorTitle="Invalid Data" error="Enter a valid integer value between 1 and 12." sqref="C63:C64 C53:C54 C70:C71 C107:C108" xr:uid="{00000000-0002-0000-0400-000009000000}">
      <formula1>1</formula1>
      <formula2>12</formula2>
    </dataValidation>
    <dataValidation type="decimal" allowBlank="1" showInputMessage="1" showErrorMessage="1" errorTitle="Invalid Data" error="Enter a percentage that is between 0% and 100%." sqref="C59:C62" xr:uid="{00000000-0002-0000-0400-00000A000000}">
      <formula1>0</formula1>
      <formula2>1</formula2>
    </dataValidation>
    <dataValidation type="list" allowBlank="1" showInputMessage="1" showErrorMessage="1" errorTitle="Invalid Data" error="Select a valid item from the list box." sqref="C55 C65 C72" xr:uid="{00000000-0002-0000-0400-00000B000000}">
      <formula1>"Current,Subsequent"</formula1>
    </dataValidation>
    <dataValidation type="list" allowBlank="1" showInputMessage="1" showErrorMessage="1" errorTitle="Invalid Data" error="Select a valid item from the list box." sqref="C109" xr:uid="{00000000-0002-0000-0400-00000C000000}">
      <formula1>"Cash,Next"</formula1>
    </dataValidation>
  </dataValidations>
  <pageMargins left="0.59055118110236227" right="0.59055118110236227" top="0.59055118110236227" bottom="0.59055118110236227" header="0.39370078740157483" footer="0.39370078740157483"/>
  <pageSetup paperSize="9" scale="76" fitToHeight="2" orientation="portrait"/>
  <headerFooter alignWithMargins="0">
    <oddFooter>&amp;C&amp;9Page &amp;P of &amp;N</oddFooter>
  </headerFooter>
  <rowBreaks count="1" manualBreakCount="1">
    <brk id="66" max="16383" man="1"/>
  </rowBreaks>
  <ignoredErrors>
    <ignoredError sqref="D82"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G86"/>
  <sheetViews>
    <sheetView zoomScale="95" zoomScaleNormal="95" workbookViewId="0">
      <pane xSplit="2" ySplit="4" topLeftCell="C5" activePane="bottomRight" state="frozen"/>
      <selection pane="topRight" activeCell="B1" sqref="B1"/>
      <selection pane="bottomLeft" activeCell="A7" sqref="A7"/>
      <selection pane="bottomRight" activeCell="B4" sqref="B4"/>
    </sheetView>
  </sheetViews>
  <sheetFormatPr defaultColWidth="9.140625" defaultRowHeight="16.149999999999999" customHeight="1" x14ac:dyDescent="0.3"/>
  <cols>
    <col min="1" max="1" width="5.7109375" style="168" customWidth="1"/>
    <col min="2" max="2" width="42.28515625" style="12" customWidth="1"/>
    <col min="3" max="7" width="12.7109375" style="16" customWidth="1"/>
    <col min="8" max="54" width="12.7109375" style="5" customWidth="1"/>
    <col min="55" max="59" width="14.7109375" style="10" customWidth="1"/>
    <col min="60" max="16384" width="9.140625" style="5"/>
  </cols>
  <sheetData>
    <row r="1" spans="1:59" ht="16.149999999999999" customHeight="1" x14ac:dyDescent="0.3">
      <c r="B1" s="163" t="str">
        <f>IF(ISBLANK(Assumptions!$C$4),"Example Limited",Assumptions!$C$4)</f>
        <v>Example (Pty) Limited</v>
      </c>
    </row>
    <row r="2" spans="1:59" ht="16.149999999999999" customHeight="1" x14ac:dyDescent="0.3">
      <c r="B2" s="6" t="s">
        <v>55</v>
      </c>
    </row>
    <row r="3" spans="1:59" s="41" customFormat="1" ht="16.149999999999999" customHeight="1" x14ac:dyDescent="0.25">
      <c r="A3" s="169"/>
      <c r="B3" s="38" t="s">
        <v>50</v>
      </c>
      <c r="C3" s="25" t="str">
        <f>IF(COLUMN(C4)-2&lt;=Assumptions!$C$8,"Q1",IF(COLUMN(C4)-2&lt;=SUM(Assumptions!$C$8:$C$9),"Q2",IF(COLUMN(C4)-2&lt;=SUM(Assumptions!$C$8:$C$10),"Q3","Q4")))</f>
        <v>Q1</v>
      </c>
      <c r="D3" s="25" t="str">
        <f>IF(COLUMN(D4)-2&lt;=Assumptions!$C$8,"Q1",IF(COLUMN(D4)-2&lt;=SUM(Assumptions!$C$8:$C$9),"Q2",IF(COLUMN(D4)-2&lt;=SUM(Assumptions!$C$8:$C$10),"Q3","Q4")))</f>
        <v>Q1</v>
      </c>
      <c r="E3" s="25" t="str">
        <f>IF(COLUMN(E4)-2&lt;=Assumptions!$C$8,"Q1",IF(COLUMN(E4)-2&lt;=SUM(Assumptions!$C$8:$C$9),"Q2",IF(COLUMN(E4)-2&lt;=SUM(Assumptions!$C$8:$C$10),"Q3","Q4")))</f>
        <v>Q1</v>
      </c>
      <c r="F3" s="25" t="str">
        <f>IF(COLUMN(F4)-2&lt;=Assumptions!$C$8,"Q1",IF(COLUMN(F4)-2&lt;=SUM(Assumptions!$C$8:$C$9),"Q2",IF(COLUMN(F4)-2&lt;=SUM(Assumptions!$C$8:$C$10),"Q3","Q4")))</f>
        <v>Q1</v>
      </c>
      <c r="G3" s="25" t="str">
        <f>IF(COLUMN(G4)-2&lt;=Assumptions!$C$8,"Q1",IF(COLUMN(G4)-2&lt;=SUM(Assumptions!$C$8:$C$9),"Q2",IF(COLUMN(G4)-2&lt;=SUM(Assumptions!$C$8:$C$10),"Q3","Q4")))</f>
        <v>Q1</v>
      </c>
      <c r="H3" s="25" t="str">
        <f>IF(COLUMN(H4)-2&lt;=Assumptions!$C$8,"Q1",IF(COLUMN(H4)-2&lt;=SUM(Assumptions!$C$8:$C$9),"Q2",IF(COLUMN(H4)-2&lt;=SUM(Assumptions!$C$8:$C$10),"Q3","Q4")))</f>
        <v>Q1</v>
      </c>
      <c r="I3" s="25" t="str">
        <f>IF(COLUMN(I4)-2&lt;=Assumptions!$C$8,"Q1",IF(COLUMN(I4)-2&lt;=SUM(Assumptions!$C$8:$C$9),"Q2",IF(COLUMN(I4)-2&lt;=SUM(Assumptions!$C$8:$C$10),"Q3","Q4")))</f>
        <v>Q1</v>
      </c>
      <c r="J3" s="25" t="str">
        <f>IF(COLUMN(J4)-2&lt;=Assumptions!$C$8,"Q1",IF(COLUMN(J4)-2&lt;=SUM(Assumptions!$C$8:$C$9),"Q2",IF(COLUMN(J4)-2&lt;=SUM(Assumptions!$C$8:$C$10),"Q3","Q4")))</f>
        <v>Q1</v>
      </c>
      <c r="K3" s="25" t="str">
        <f>IF(COLUMN(K4)-2&lt;=Assumptions!$C$8,"Q1",IF(COLUMN(K4)-2&lt;=SUM(Assumptions!$C$8:$C$9),"Q2",IF(COLUMN(K4)-2&lt;=SUM(Assumptions!$C$8:$C$10),"Q3","Q4")))</f>
        <v>Q1</v>
      </c>
      <c r="L3" s="25" t="str">
        <f>IF(COLUMN(L4)-2&lt;=Assumptions!$C$8,"Q1",IF(COLUMN(L4)-2&lt;=SUM(Assumptions!$C$8:$C$9),"Q2",IF(COLUMN(L4)-2&lt;=SUM(Assumptions!$C$8:$C$10),"Q3","Q4")))</f>
        <v>Q1</v>
      </c>
      <c r="M3" s="25" t="str">
        <f>IF(COLUMN(M4)-2&lt;=Assumptions!$C$8,"Q1",IF(COLUMN(M4)-2&lt;=SUM(Assumptions!$C$8:$C$9),"Q2",IF(COLUMN(M4)-2&lt;=SUM(Assumptions!$C$8:$C$10),"Q3","Q4")))</f>
        <v>Q1</v>
      </c>
      <c r="N3" s="25" t="str">
        <f>IF(COLUMN(N4)-2&lt;=Assumptions!$C$8,"Q1",IF(COLUMN(N4)-2&lt;=SUM(Assumptions!$C$8:$C$9),"Q2",IF(COLUMN(N4)-2&lt;=SUM(Assumptions!$C$8:$C$10),"Q3","Q4")))</f>
        <v>Q1</v>
      </c>
      <c r="O3" s="25" t="str">
        <f>IF(COLUMN(O4)-2&lt;=Assumptions!$C$8,"Q1",IF(COLUMN(O4)-2&lt;=SUM(Assumptions!$C$8:$C$9),"Q2",IF(COLUMN(O4)-2&lt;=SUM(Assumptions!$C$8:$C$10),"Q3","Q4")))</f>
        <v>Q1</v>
      </c>
      <c r="P3" s="25" t="str">
        <f>IF(COLUMN(P4)-2&lt;=Assumptions!$C$8,"Q1",IF(COLUMN(P4)-2&lt;=SUM(Assumptions!$C$8:$C$9),"Q2",IF(COLUMN(P4)-2&lt;=SUM(Assumptions!$C$8:$C$10),"Q3","Q4")))</f>
        <v>Q2</v>
      </c>
      <c r="Q3" s="25" t="str">
        <f>IF(COLUMN(Q4)-2&lt;=Assumptions!$C$8,"Q1",IF(COLUMN(Q4)-2&lt;=SUM(Assumptions!$C$8:$C$9),"Q2",IF(COLUMN(Q4)-2&lt;=SUM(Assumptions!$C$8:$C$10),"Q3","Q4")))</f>
        <v>Q2</v>
      </c>
      <c r="R3" s="25" t="str">
        <f>IF(COLUMN(R4)-2&lt;=Assumptions!$C$8,"Q1",IF(COLUMN(R4)-2&lt;=SUM(Assumptions!$C$8:$C$9),"Q2",IF(COLUMN(R4)-2&lt;=SUM(Assumptions!$C$8:$C$10),"Q3","Q4")))</f>
        <v>Q2</v>
      </c>
      <c r="S3" s="25" t="str">
        <f>IF(COLUMN(S4)-2&lt;=Assumptions!$C$8,"Q1",IF(COLUMN(S4)-2&lt;=SUM(Assumptions!$C$8:$C$9),"Q2",IF(COLUMN(S4)-2&lt;=SUM(Assumptions!$C$8:$C$10),"Q3","Q4")))</f>
        <v>Q2</v>
      </c>
      <c r="T3" s="25" t="str">
        <f>IF(COLUMN(T4)-2&lt;=Assumptions!$C$8,"Q1",IF(COLUMN(T4)-2&lt;=SUM(Assumptions!$C$8:$C$9),"Q2",IF(COLUMN(T4)-2&lt;=SUM(Assumptions!$C$8:$C$10),"Q3","Q4")))</f>
        <v>Q2</v>
      </c>
      <c r="U3" s="25" t="str">
        <f>IF(COLUMN(U4)-2&lt;=Assumptions!$C$8,"Q1",IF(COLUMN(U4)-2&lt;=SUM(Assumptions!$C$8:$C$9),"Q2",IF(COLUMN(U4)-2&lt;=SUM(Assumptions!$C$8:$C$10),"Q3","Q4")))</f>
        <v>Q2</v>
      </c>
      <c r="V3" s="25" t="str">
        <f>IF(COLUMN(V4)-2&lt;=Assumptions!$C$8,"Q1",IF(COLUMN(V4)-2&lt;=SUM(Assumptions!$C$8:$C$9),"Q2",IF(COLUMN(V4)-2&lt;=SUM(Assumptions!$C$8:$C$10),"Q3","Q4")))</f>
        <v>Q2</v>
      </c>
      <c r="W3" s="25" t="str">
        <f>IF(COLUMN(W4)-2&lt;=Assumptions!$C$8,"Q1",IF(COLUMN(W4)-2&lt;=SUM(Assumptions!$C$8:$C$9),"Q2",IF(COLUMN(W4)-2&lt;=SUM(Assumptions!$C$8:$C$10),"Q3","Q4")))</f>
        <v>Q2</v>
      </c>
      <c r="X3" s="25" t="str">
        <f>IF(COLUMN(X4)-2&lt;=Assumptions!$C$8,"Q1",IF(COLUMN(X4)-2&lt;=SUM(Assumptions!$C$8:$C$9),"Q2",IF(COLUMN(X4)-2&lt;=SUM(Assumptions!$C$8:$C$10),"Q3","Q4")))</f>
        <v>Q2</v>
      </c>
      <c r="Y3" s="25" t="str">
        <f>IF(COLUMN(Y4)-2&lt;=Assumptions!$C$8,"Q1",IF(COLUMN(Y4)-2&lt;=SUM(Assumptions!$C$8:$C$9),"Q2",IF(COLUMN(Y4)-2&lt;=SUM(Assumptions!$C$8:$C$10),"Q3","Q4")))</f>
        <v>Q2</v>
      </c>
      <c r="Z3" s="25" t="str">
        <f>IF(COLUMN(Z4)-2&lt;=Assumptions!$C$8,"Q1",IF(COLUMN(Z4)-2&lt;=SUM(Assumptions!$C$8:$C$9),"Q2",IF(COLUMN(Z4)-2&lt;=SUM(Assumptions!$C$8:$C$10),"Q3","Q4")))</f>
        <v>Q2</v>
      </c>
      <c r="AA3" s="25" t="str">
        <f>IF(COLUMN(AA4)-2&lt;=Assumptions!$C$8,"Q1",IF(COLUMN(AA4)-2&lt;=SUM(Assumptions!$C$8:$C$9),"Q2",IF(COLUMN(AA4)-2&lt;=SUM(Assumptions!$C$8:$C$10),"Q3","Q4")))</f>
        <v>Q2</v>
      </c>
      <c r="AB3" s="25" t="str">
        <f>IF(COLUMN(AB4)-2&lt;=Assumptions!$C$8,"Q1",IF(COLUMN(AB4)-2&lt;=SUM(Assumptions!$C$8:$C$9),"Q2",IF(COLUMN(AB4)-2&lt;=SUM(Assumptions!$C$8:$C$10),"Q3","Q4")))</f>
        <v>Q2</v>
      </c>
      <c r="AC3" s="25" t="str">
        <f>IF(COLUMN(AC4)-2&lt;=Assumptions!$C$8,"Q1",IF(COLUMN(AC4)-2&lt;=SUM(Assumptions!$C$8:$C$9),"Q2",IF(COLUMN(AC4)-2&lt;=SUM(Assumptions!$C$8:$C$10),"Q3","Q4")))</f>
        <v>Q3</v>
      </c>
      <c r="AD3" s="25" t="str">
        <f>IF(COLUMN(AD4)-2&lt;=Assumptions!$C$8,"Q1",IF(COLUMN(AD4)-2&lt;=SUM(Assumptions!$C$8:$C$9),"Q2",IF(COLUMN(AD4)-2&lt;=SUM(Assumptions!$C$8:$C$10),"Q3","Q4")))</f>
        <v>Q3</v>
      </c>
      <c r="AE3" s="25" t="str">
        <f>IF(COLUMN(AE4)-2&lt;=Assumptions!$C$8,"Q1",IF(COLUMN(AE4)-2&lt;=SUM(Assumptions!$C$8:$C$9),"Q2",IF(COLUMN(AE4)-2&lt;=SUM(Assumptions!$C$8:$C$10),"Q3","Q4")))</f>
        <v>Q3</v>
      </c>
      <c r="AF3" s="25" t="str">
        <f>IF(COLUMN(AF4)-2&lt;=Assumptions!$C$8,"Q1",IF(COLUMN(AF4)-2&lt;=SUM(Assumptions!$C$8:$C$9),"Q2",IF(COLUMN(AF4)-2&lt;=SUM(Assumptions!$C$8:$C$10),"Q3","Q4")))</f>
        <v>Q3</v>
      </c>
      <c r="AG3" s="25" t="str">
        <f>IF(COLUMN(AG4)-2&lt;=Assumptions!$C$8,"Q1",IF(COLUMN(AG4)-2&lt;=SUM(Assumptions!$C$8:$C$9),"Q2",IF(COLUMN(AG4)-2&lt;=SUM(Assumptions!$C$8:$C$10),"Q3","Q4")))</f>
        <v>Q3</v>
      </c>
      <c r="AH3" s="25" t="str">
        <f>IF(COLUMN(AH4)-2&lt;=Assumptions!$C$8,"Q1",IF(COLUMN(AH4)-2&lt;=SUM(Assumptions!$C$8:$C$9),"Q2",IF(COLUMN(AH4)-2&lt;=SUM(Assumptions!$C$8:$C$10),"Q3","Q4")))</f>
        <v>Q3</v>
      </c>
      <c r="AI3" s="25" t="str">
        <f>IF(COLUMN(AI4)-2&lt;=Assumptions!$C$8,"Q1",IF(COLUMN(AI4)-2&lt;=SUM(Assumptions!$C$8:$C$9),"Q2",IF(COLUMN(AI4)-2&lt;=SUM(Assumptions!$C$8:$C$10),"Q3","Q4")))</f>
        <v>Q3</v>
      </c>
      <c r="AJ3" s="25" t="str">
        <f>IF(COLUMN(AJ4)-2&lt;=Assumptions!$C$8,"Q1",IF(COLUMN(AJ4)-2&lt;=SUM(Assumptions!$C$8:$C$9),"Q2",IF(COLUMN(AJ4)-2&lt;=SUM(Assumptions!$C$8:$C$10),"Q3","Q4")))</f>
        <v>Q3</v>
      </c>
      <c r="AK3" s="25" t="str">
        <f>IF(COLUMN(AK4)-2&lt;=Assumptions!$C$8,"Q1",IF(COLUMN(AK4)-2&lt;=SUM(Assumptions!$C$8:$C$9),"Q2",IF(COLUMN(AK4)-2&lt;=SUM(Assumptions!$C$8:$C$10),"Q3","Q4")))</f>
        <v>Q3</v>
      </c>
      <c r="AL3" s="25" t="str">
        <f>IF(COLUMN(AL4)-2&lt;=Assumptions!$C$8,"Q1",IF(COLUMN(AL4)-2&lt;=SUM(Assumptions!$C$8:$C$9),"Q2",IF(COLUMN(AL4)-2&lt;=SUM(Assumptions!$C$8:$C$10),"Q3","Q4")))</f>
        <v>Q3</v>
      </c>
      <c r="AM3" s="25" t="str">
        <f>IF(COLUMN(AM4)-2&lt;=Assumptions!$C$8,"Q1",IF(COLUMN(AM4)-2&lt;=SUM(Assumptions!$C$8:$C$9),"Q2",IF(COLUMN(AM4)-2&lt;=SUM(Assumptions!$C$8:$C$10),"Q3","Q4")))</f>
        <v>Q3</v>
      </c>
      <c r="AN3" s="25" t="str">
        <f>IF(COLUMN(AN4)-2&lt;=Assumptions!$C$8,"Q1",IF(COLUMN(AN4)-2&lt;=SUM(Assumptions!$C$8:$C$9),"Q2",IF(COLUMN(AN4)-2&lt;=SUM(Assumptions!$C$8:$C$10),"Q3","Q4")))</f>
        <v>Q3</v>
      </c>
      <c r="AO3" s="25" t="str">
        <f>IF(COLUMN(AO4)-2&lt;=Assumptions!$C$8,"Q1",IF(COLUMN(AO4)-2&lt;=SUM(Assumptions!$C$8:$C$9),"Q2",IF(COLUMN(AO4)-2&lt;=SUM(Assumptions!$C$8:$C$10),"Q3","Q4")))</f>
        <v>Q3</v>
      </c>
      <c r="AP3" s="25" t="str">
        <f>IF(COLUMN(AP4)-2&lt;=Assumptions!$C$8,"Q1",IF(COLUMN(AP4)-2&lt;=SUM(Assumptions!$C$8:$C$9),"Q2",IF(COLUMN(AP4)-2&lt;=SUM(Assumptions!$C$8:$C$10),"Q3","Q4")))</f>
        <v>Q4</v>
      </c>
      <c r="AQ3" s="25" t="str">
        <f>IF(COLUMN(AQ4)-2&lt;=Assumptions!$C$8,"Q1",IF(COLUMN(AQ4)-2&lt;=SUM(Assumptions!$C$8:$C$9),"Q2",IF(COLUMN(AQ4)-2&lt;=SUM(Assumptions!$C$8:$C$10),"Q3","Q4")))</f>
        <v>Q4</v>
      </c>
      <c r="AR3" s="25" t="str">
        <f>IF(COLUMN(AR4)-2&lt;=Assumptions!$C$8,"Q1",IF(COLUMN(AR4)-2&lt;=SUM(Assumptions!$C$8:$C$9),"Q2",IF(COLUMN(AR4)-2&lt;=SUM(Assumptions!$C$8:$C$10),"Q3","Q4")))</f>
        <v>Q4</v>
      </c>
      <c r="AS3" s="25" t="str">
        <f>IF(COLUMN(AS4)-2&lt;=Assumptions!$C$8,"Q1",IF(COLUMN(AS4)-2&lt;=SUM(Assumptions!$C$8:$C$9),"Q2",IF(COLUMN(AS4)-2&lt;=SUM(Assumptions!$C$8:$C$10),"Q3","Q4")))</f>
        <v>Q4</v>
      </c>
      <c r="AT3" s="25" t="str">
        <f>IF(COLUMN(AT4)-2&lt;=Assumptions!$C$8,"Q1",IF(COLUMN(AT4)-2&lt;=SUM(Assumptions!$C$8:$C$9),"Q2",IF(COLUMN(AT4)-2&lt;=SUM(Assumptions!$C$8:$C$10),"Q3","Q4")))</f>
        <v>Q4</v>
      </c>
      <c r="AU3" s="25" t="str">
        <f>IF(COLUMN(AU4)-2&lt;=Assumptions!$C$8,"Q1",IF(COLUMN(AU4)-2&lt;=SUM(Assumptions!$C$8:$C$9),"Q2",IF(COLUMN(AU4)-2&lt;=SUM(Assumptions!$C$8:$C$10),"Q3","Q4")))</f>
        <v>Q4</v>
      </c>
      <c r="AV3" s="25" t="str">
        <f>IF(COLUMN(AV4)-2&lt;=Assumptions!$C$8,"Q1",IF(COLUMN(AV4)-2&lt;=SUM(Assumptions!$C$8:$C$9),"Q2",IF(COLUMN(AV4)-2&lt;=SUM(Assumptions!$C$8:$C$10),"Q3","Q4")))</f>
        <v>Q4</v>
      </c>
      <c r="AW3" s="25" t="str">
        <f>IF(COLUMN(AW4)-2&lt;=Assumptions!$C$8,"Q1",IF(COLUMN(AW4)-2&lt;=SUM(Assumptions!$C$8:$C$9),"Q2",IF(COLUMN(AW4)-2&lt;=SUM(Assumptions!$C$8:$C$10),"Q3","Q4")))</f>
        <v>Q4</v>
      </c>
      <c r="AX3" s="25" t="str">
        <f>IF(COLUMN(AX4)-2&lt;=Assumptions!$C$8,"Q1",IF(COLUMN(AX4)-2&lt;=SUM(Assumptions!$C$8:$C$9),"Q2",IF(COLUMN(AX4)-2&lt;=SUM(Assumptions!$C$8:$C$10),"Q3","Q4")))</f>
        <v>Q4</v>
      </c>
      <c r="AY3" s="25" t="str">
        <f>IF(COLUMN(AY4)-2&lt;=Assumptions!$C$8,"Q1",IF(COLUMN(AY4)-2&lt;=SUM(Assumptions!$C$8:$C$9),"Q2",IF(COLUMN(AY4)-2&lt;=SUM(Assumptions!$C$8:$C$10),"Q3","Q4")))</f>
        <v>Q4</v>
      </c>
      <c r="AZ3" s="25" t="str">
        <f>IF(COLUMN(AZ4)-2&lt;=Assumptions!$C$8,"Q1",IF(COLUMN(AZ4)-2&lt;=SUM(Assumptions!$C$8:$C$9),"Q2",IF(COLUMN(AZ4)-2&lt;=SUM(Assumptions!$C$8:$C$10),"Q3","Q4")))</f>
        <v>Q4</v>
      </c>
      <c r="BA3" s="25" t="str">
        <f>IF(COLUMN(BA4)-2&lt;=Assumptions!$C$8,"Q1",IF(COLUMN(BA4)-2&lt;=SUM(Assumptions!$C$8:$C$9),"Q2",IF(COLUMN(BA4)-2&lt;=SUM(Assumptions!$C$8:$C$10),"Q3","Q4")))</f>
        <v>Q4</v>
      </c>
      <c r="BB3" s="25" t="str">
        <f>IF(COLUMN(BB4)-2&lt;=Assumptions!$C$8,"Q1",IF(COLUMN(BB4)-2&lt;=SUM(Assumptions!$C$8:$C$9),"Q2",IF(COLUMN(BB4)-2&lt;=SUM(Assumptions!$C$8:$C$10),"Q3","Q4")))</f>
        <v>Q4</v>
      </c>
      <c r="BC3" s="39" t="s">
        <v>93</v>
      </c>
      <c r="BD3" s="39" t="s">
        <v>94</v>
      </c>
      <c r="BE3" s="39" t="s">
        <v>95</v>
      </c>
      <c r="BF3" s="39" t="s">
        <v>96</v>
      </c>
      <c r="BG3" s="40"/>
    </row>
    <row r="4" spans="1:59" s="45" customFormat="1" ht="18" customHeight="1" x14ac:dyDescent="0.25">
      <c r="A4" s="170"/>
      <c r="B4" s="42"/>
      <c r="C4" s="43">
        <f ca="1">IF(ISBLANK(Assumptions!$C$5)=TRUE,DATE(YEAR(TODAY()),MONTH(TODAY()),7),DATE(YEAR(Assumptions!$C$5),MONTH(Assumptions!$C$5),DAY(Assumptions!$C$5)+6))</f>
        <v>44262</v>
      </c>
      <c r="D4" s="43">
        <f ca="1">DATE(YEAR(OFFSET(D3,1,-1,1,1)),MONTH(OFFSET(D3,1,-1,1,1)),DAY(OFFSET(D3,1,-1,1,1))+7)</f>
        <v>44269</v>
      </c>
      <c r="E4" s="43">
        <f t="shared" ref="E4:BB4" ca="1" si="0">DATE(YEAR(OFFSET(E3,1,-1,1,1)),MONTH(OFFSET(E3,1,-1,1,1)),DAY(OFFSET(E3,1,-1,1,1))+7)</f>
        <v>44276</v>
      </c>
      <c r="F4" s="43">
        <f t="shared" ca="1" si="0"/>
        <v>44283</v>
      </c>
      <c r="G4" s="43">
        <f t="shared" ca="1" si="0"/>
        <v>44290</v>
      </c>
      <c r="H4" s="43">
        <f t="shared" ca="1" si="0"/>
        <v>44297</v>
      </c>
      <c r="I4" s="43">
        <f t="shared" ca="1" si="0"/>
        <v>44304</v>
      </c>
      <c r="J4" s="43">
        <f t="shared" ca="1" si="0"/>
        <v>44311</v>
      </c>
      <c r="K4" s="43">
        <f t="shared" ca="1" si="0"/>
        <v>44318</v>
      </c>
      <c r="L4" s="43">
        <f t="shared" ca="1" si="0"/>
        <v>44325</v>
      </c>
      <c r="M4" s="43">
        <f t="shared" ca="1" si="0"/>
        <v>44332</v>
      </c>
      <c r="N4" s="43">
        <f t="shared" ca="1" si="0"/>
        <v>44339</v>
      </c>
      <c r="O4" s="43">
        <f t="shared" ca="1" si="0"/>
        <v>44346</v>
      </c>
      <c r="P4" s="43">
        <f t="shared" ca="1" si="0"/>
        <v>44353</v>
      </c>
      <c r="Q4" s="43">
        <f t="shared" ca="1" si="0"/>
        <v>44360</v>
      </c>
      <c r="R4" s="43">
        <f t="shared" ca="1" si="0"/>
        <v>44367</v>
      </c>
      <c r="S4" s="43">
        <f t="shared" ca="1" si="0"/>
        <v>44374</v>
      </c>
      <c r="T4" s="43">
        <f t="shared" ca="1" si="0"/>
        <v>44381</v>
      </c>
      <c r="U4" s="43">
        <f t="shared" ca="1" si="0"/>
        <v>44388</v>
      </c>
      <c r="V4" s="43">
        <f t="shared" ca="1" si="0"/>
        <v>44395</v>
      </c>
      <c r="W4" s="43">
        <f t="shared" ca="1" si="0"/>
        <v>44402</v>
      </c>
      <c r="X4" s="43">
        <f t="shared" ca="1" si="0"/>
        <v>44409</v>
      </c>
      <c r="Y4" s="43">
        <f t="shared" ca="1" si="0"/>
        <v>44416</v>
      </c>
      <c r="Z4" s="43">
        <f t="shared" ca="1" si="0"/>
        <v>44423</v>
      </c>
      <c r="AA4" s="43">
        <f t="shared" ca="1" si="0"/>
        <v>44430</v>
      </c>
      <c r="AB4" s="43">
        <f t="shared" ca="1" si="0"/>
        <v>44437</v>
      </c>
      <c r="AC4" s="43">
        <f t="shared" ca="1" si="0"/>
        <v>44444</v>
      </c>
      <c r="AD4" s="43">
        <f t="shared" ca="1" si="0"/>
        <v>44451</v>
      </c>
      <c r="AE4" s="43">
        <f t="shared" ca="1" si="0"/>
        <v>44458</v>
      </c>
      <c r="AF4" s="43">
        <f t="shared" ca="1" si="0"/>
        <v>44465</v>
      </c>
      <c r="AG4" s="43">
        <f t="shared" ca="1" si="0"/>
        <v>44472</v>
      </c>
      <c r="AH4" s="43">
        <f t="shared" ca="1" si="0"/>
        <v>44479</v>
      </c>
      <c r="AI4" s="43">
        <f t="shared" ca="1" si="0"/>
        <v>44486</v>
      </c>
      <c r="AJ4" s="43">
        <f t="shared" ca="1" si="0"/>
        <v>44493</v>
      </c>
      <c r="AK4" s="43">
        <f t="shared" ca="1" si="0"/>
        <v>44500</v>
      </c>
      <c r="AL4" s="43">
        <f t="shared" ca="1" si="0"/>
        <v>44507</v>
      </c>
      <c r="AM4" s="43">
        <f t="shared" ca="1" si="0"/>
        <v>44514</v>
      </c>
      <c r="AN4" s="43">
        <f t="shared" ca="1" si="0"/>
        <v>44521</v>
      </c>
      <c r="AO4" s="43">
        <f t="shared" ca="1" si="0"/>
        <v>44528</v>
      </c>
      <c r="AP4" s="43">
        <f t="shared" ca="1" si="0"/>
        <v>44535</v>
      </c>
      <c r="AQ4" s="43">
        <f t="shared" ca="1" si="0"/>
        <v>44542</v>
      </c>
      <c r="AR4" s="43">
        <f t="shared" ca="1" si="0"/>
        <v>44549</v>
      </c>
      <c r="AS4" s="43">
        <f t="shared" ca="1" si="0"/>
        <v>44556</v>
      </c>
      <c r="AT4" s="43">
        <f t="shared" ca="1" si="0"/>
        <v>44563</v>
      </c>
      <c r="AU4" s="43">
        <f t="shared" ca="1" si="0"/>
        <v>44570</v>
      </c>
      <c r="AV4" s="43">
        <f t="shared" ca="1" si="0"/>
        <v>44577</v>
      </c>
      <c r="AW4" s="43">
        <f t="shared" ca="1" si="0"/>
        <v>44584</v>
      </c>
      <c r="AX4" s="43">
        <f t="shared" ca="1" si="0"/>
        <v>44591</v>
      </c>
      <c r="AY4" s="43">
        <f t="shared" ca="1" si="0"/>
        <v>44598</v>
      </c>
      <c r="AZ4" s="43">
        <f t="shared" ca="1" si="0"/>
        <v>44605</v>
      </c>
      <c r="BA4" s="43">
        <f t="shared" ca="1" si="0"/>
        <v>44612</v>
      </c>
      <c r="BB4" s="43">
        <f t="shared" ca="1" si="0"/>
        <v>44619</v>
      </c>
      <c r="BC4" s="44" t="s">
        <v>79</v>
      </c>
      <c r="BD4" s="44" t="s">
        <v>80</v>
      </c>
      <c r="BE4" s="44" t="s">
        <v>81</v>
      </c>
      <c r="BF4" s="44" t="s">
        <v>82</v>
      </c>
      <c r="BG4" s="44" t="str">
        <f ca="1">"Total "&amp;YEAR(OFFSET($BC$4,0,-1,1,1))</f>
        <v>Total 2022</v>
      </c>
    </row>
    <row r="5" spans="1:59" s="16" customFormat="1" ht="16.149999999999999" customHeight="1" x14ac:dyDescent="0.3">
      <c r="A5" s="171" t="s">
        <v>116</v>
      </c>
      <c r="B5" s="46" t="s">
        <v>102</v>
      </c>
      <c r="C5" s="47">
        <v>60000</v>
      </c>
      <c r="D5" s="48">
        <v>51440</v>
      </c>
      <c r="E5" s="48">
        <v>64000</v>
      </c>
      <c r="F5" s="48">
        <v>65600</v>
      </c>
      <c r="G5" s="48">
        <v>64200</v>
      </c>
      <c r="H5" s="48">
        <v>61000</v>
      </c>
      <c r="I5" s="48">
        <v>54600</v>
      </c>
      <c r="J5" s="48">
        <v>63000</v>
      </c>
      <c r="K5" s="48">
        <v>60000</v>
      </c>
      <c r="L5" s="48">
        <v>64000</v>
      </c>
      <c r="M5" s="48">
        <v>66000</v>
      </c>
      <c r="N5" s="48">
        <v>65600</v>
      </c>
      <c r="O5" s="48">
        <v>62000</v>
      </c>
      <c r="P5" s="48">
        <v>70000</v>
      </c>
      <c r="Q5" s="48">
        <v>64000</v>
      </c>
      <c r="R5" s="48">
        <v>64600</v>
      </c>
      <c r="S5" s="48">
        <v>69000</v>
      </c>
      <c r="T5" s="48">
        <v>70800</v>
      </c>
      <c r="U5" s="48">
        <v>69400</v>
      </c>
      <c r="V5" s="48">
        <v>62000</v>
      </c>
      <c r="W5" s="48">
        <v>63000</v>
      </c>
      <c r="X5" s="48">
        <v>70000</v>
      </c>
      <c r="Y5" s="48">
        <v>67600</v>
      </c>
      <c r="Z5" s="48">
        <v>72400</v>
      </c>
      <c r="AA5" s="48">
        <v>71400</v>
      </c>
      <c r="AB5" s="48">
        <v>70600</v>
      </c>
      <c r="AC5" s="48">
        <v>72400</v>
      </c>
      <c r="AD5" s="48">
        <v>73600</v>
      </c>
      <c r="AE5" s="48">
        <v>74400</v>
      </c>
      <c r="AF5" s="48">
        <v>69800</v>
      </c>
      <c r="AG5" s="48">
        <v>74000</v>
      </c>
      <c r="AH5" s="48">
        <v>72800</v>
      </c>
      <c r="AI5" s="48">
        <v>76200</v>
      </c>
      <c r="AJ5" s="48">
        <v>77800</v>
      </c>
      <c r="AK5" s="48">
        <v>74400</v>
      </c>
      <c r="AL5" s="48">
        <v>76000</v>
      </c>
      <c r="AM5" s="48">
        <v>77000</v>
      </c>
      <c r="AN5" s="48">
        <v>74800</v>
      </c>
      <c r="AO5" s="48">
        <v>78000</v>
      </c>
      <c r="AP5" s="48">
        <v>70560</v>
      </c>
      <c r="AQ5" s="48">
        <v>60240</v>
      </c>
      <c r="AR5" s="48">
        <v>63360</v>
      </c>
      <c r="AS5" s="48">
        <v>48560</v>
      </c>
      <c r="AT5" s="48">
        <v>40816</v>
      </c>
      <c r="AU5" s="48">
        <v>44256</v>
      </c>
      <c r="AV5" s="48">
        <v>54600</v>
      </c>
      <c r="AW5" s="48">
        <v>76496</v>
      </c>
      <c r="AX5" s="48">
        <v>76000</v>
      </c>
      <c r="AY5" s="48">
        <v>77600</v>
      </c>
      <c r="AZ5" s="48">
        <v>81200</v>
      </c>
      <c r="BA5" s="48">
        <v>78880</v>
      </c>
      <c r="BB5" s="48">
        <v>77120</v>
      </c>
      <c r="BC5" s="49">
        <f ca="1">SUM(OFFSET($B5,0,1,1,Assumptions!$C$8))</f>
        <v>801440</v>
      </c>
      <c r="BD5" s="49">
        <f ca="1">SUM(OFFSET($B5,0,1+Assumptions!$C$8,1,SUM(Assumptions!$C$9)))</f>
        <v>884800</v>
      </c>
      <c r="BE5" s="49">
        <f ca="1">SUM(OFFSET($B5,0,1+SUM(Assumptions!$C$8:$C$9),1,SUM(Assumptions!$C$10)))</f>
        <v>971200</v>
      </c>
      <c r="BF5" s="49">
        <f ca="1">SUM(OFFSET($B5,0,1+SUM(Assumptions!$C$8:$C$10),1,SUM(Assumptions!$C$11)))</f>
        <v>849688</v>
      </c>
      <c r="BG5" s="49">
        <f t="shared" ref="BG5:BG6" ca="1" si="1">SUM(BC5:BF5)</f>
        <v>3507128</v>
      </c>
    </row>
    <row r="6" spans="1:59" s="16" customFormat="1" ht="16.149999999999999" customHeight="1" x14ac:dyDescent="0.3">
      <c r="A6" s="171" t="s">
        <v>116</v>
      </c>
      <c r="B6" s="46" t="s">
        <v>103</v>
      </c>
      <c r="C6" s="50">
        <v>25000</v>
      </c>
      <c r="D6" s="51">
        <v>21004.666666666664</v>
      </c>
      <c r="E6" s="51">
        <v>25066.666666666668</v>
      </c>
      <c r="F6" s="51">
        <v>26513.333333333332</v>
      </c>
      <c r="G6" s="51">
        <v>28355</v>
      </c>
      <c r="H6" s="51">
        <v>27704.166666666672</v>
      </c>
      <c r="I6" s="51">
        <v>22522.5</v>
      </c>
      <c r="J6" s="51">
        <v>27825</v>
      </c>
      <c r="K6" s="51">
        <v>23750</v>
      </c>
      <c r="L6" s="51">
        <v>24266.666666666668</v>
      </c>
      <c r="M6" s="51">
        <v>29425</v>
      </c>
      <c r="N6" s="51">
        <v>29246.666666666668</v>
      </c>
      <c r="O6" s="51">
        <v>28158.333333333336</v>
      </c>
      <c r="P6" s="51">
        <v>32083.333333333336</v>
      </c>
      <c r="Q6" s="51">
        <v>28000.000000000004</v>
      </c>
      <c r="R6" s="51">
        <v>24763.333333333336</v>
      </c>
      <c r="S6" s="51">
        <v>28462.5</v>
      </c>
      <c r="T6" s="51">
        <v>29500</v>
      </c>
      <c r="U6" s="51">
        <v>31519.166666666672</v>
      </c>
      <c r="V6" s="51">
        <v>28158.333333333336</v>
      </c>
      <c r="W6" s="51">
        <v>27825</v>
      </c>
      <c r="X6" s="51">
        <v>31791.666666666672</v>
      </c>
      <c r="Y6" s="51">
        <v>29856.666666666668</v>
      </c>
      <c r="Z6" s="51">
        <v>29865</v>
      </c>
      <c r="AA6" s="51">
        <v>27965</v>
      </c>
      <c r="AB6" s="51">
        <v>28240</v>
      </c>
      <c r="AC6" s="51">
        <v>29563.333333333336</v>
      </c>
      <c r="AD6" s="51">
        <v>28520</v>
      </c>
      <c r="AE6" s="51">
        <v>29450</v>
      </c>
      <c r="AF6" s="51">
        <v>30537.5</v>
      </c>
      <c r="AG6" s="51">
        <v>32991.666666666664</v>
      </c>
      <c r="AH6" s="51">
        <v>33366.666666666672</v>
      </c>
      <c r="AI6" s="51">
        <v>29845</v>
      </c>
      <c r="AJ6" s="51">
        <v>33713.333333333336</v>
      </c>
      <c r="AK6" s="51">
        <v>31620</v>
      </c>
      <c r="AL6" s="51">
        <v>30400</v>
      </c>
      <c r="AM6" s="51">
        <v>32725</v>
      </c>
      <c r="AN6" s="51">
        <v>28985</v>
      </c>
      <c r="AO6" s="51">
        <v>33150</v>
      </c>
      <c r="AP6" s="51">
        <v>26754</v>
      </c>
      <c r="AQ6" s="51">
        <v>27359.000000000004</v>
      </c>
      <c r="AR6" s="51">
        <v>27456</v>
      </c>
      <c r="AS6" s="51">
        <v>18614.666666666668</v>
      </c>
      <c r="AT6" s="51">
        <v>15476.066666666668</v>
      </c>
      <c r="AU6" s="51">
        <v>16780.400000000001</v>
      </c>
      <c r="AV6" s="51">
        <v>24342.5</v>
      </c>
      <c r="AW6" s="51">
        <v>33148.26666666667</v>
      </c>
      <c r="AX6" s="51">
        <v>34516.666666666672</v>
      </c>
      <c r="AY6" s="51">
        <v>34273.333333333336</v>
      </c>
      <c r="AZ6" s="51">
        <v>31803.333333333332</v>
      </c>
      <c r="BA6" s="51">
        <v>32537.999999999996</v>
      </c>
      <c r="BB6" s="51">
        <v>34704</v>
      </c>
      <c r="BC6" s="52">
        <f ca="1">SUM(OFFSET($B6,0,1,1,Assumptions!$C$8))</f>
        <v>338838</v>
      </c>
      <c r="BD6" s="52">
        <f ca="1">SUM(OFFSET($B6,0,1+Assumptions!$C$8,1,SUM(Assumptions!$C$9)))</f>
        <v>378030.00000000006</v>
      </c>
      <c r="BE6" s="52">
        <f ca="1">SUM(OFFSET($B6,0,1+SUM(Assumptions!$C$8:$C$9),1,SUM(Assumptions!$C$10)))</f>
        <v>404867.5</v>
      </c>
      <c r="BF6" s="52">
        <f ca="1">SUM(OFFSET($B6,0,1+SUM(Assumptions!$C$8:$C$10),1,SUM(Assumptions!$C$11)))</f>
        <v>357766.23333333334</v>
      </c>
      <c r="BG6" s="52">
        <f t="shared" ca="1" si="1"/>
        <v>1479501.7333333334</v>
      </c>
    </row>
    <row r="7" spans="1:59" s="3" customFormat="1" ht="16.149999999999999" customHeight="1" thickBot="1" x14ac:dyDescent="0.35">
      <c r="A7" s="168"/>
      <c r="B7" s="53" t="s">
        <v>104</v>
      </c>
      <c r="C7" s="54">
        <f ca="1">SUM(OFFSET(C4,1,0,ROW($B7)-ROW($B4)-1,1))</f>
        <v>85000</v>
      </c>
      <c r="D7" s="54">
        <f t="shared" ref="D7:BG7" ca="1" si="2">SUM(OFFSET(D4,1,0,ROW($B7)-ROW($B4)-1,1))</f>
        <v>72444.666666666657</v>
      </c>
      <c r="E7" s="54">
        <f t="shared" ca="1" si="2"/>
        <v>89066.666666666672</v>
      </c>
      <c r="F7" s="54">
        <f t="shared" ca="1" si="2"/>
        <v>92113.333333333328</v>
      </c>
      <c r="G7" s="54">
        <f t="shared" ca="1" si="2"/>
        <v>92555</v>
      </c>
      <c r="H7" s="54">
        <f t="shared" ca="1" si="2"/>
        <v>88704.166666666672</v>
      </c>
      <c r="I7" s="54">
        <f t="shared" ca="1" si="2"/>
        <v>77122.5</v>
      </c>
      <c r="J7" s="54">
        <f t="shared" ca="1" si="2"/>
        <v>90825</v>
      </c>
      <c r="K7" s="54">
        <f t="shared" ca="1" si="2"/>
        <v>83750</v>
      </c>
      <c r="L7" s="54">
        <f t="shared" ca="1" si="2"/>
        <v>88266.666666666672</v>
      </c>
      <c r="M7" s="54">
        <f t="shared" ca="1" si="2"/>
        <v>95425</v>
      </c>
      <c r="N7" s="54">
        <f t="shared" ca="1" si="2"/>
        <v>94846.666666666672</v>
      </c>
      <c r="O7" s="54">
        <f t="shared" ca="1" si="2"/>
        <v>90158.333333333343</v>
      </c>
      <c r="P7" s="54">
        <f t="shared" ca="1" si="2"/>
        <v>102083.33333333334</v>
      </c>
      <c r="Q7" s="54">
        <f t="shared" ca="1" si="2"/>
        <v>92000</v>
      </c>
      <c r="R7" s="54">
        <f t="shared" ca="1" si="2"/>
        <v>89363.333333333343</v>
      </c>
      <c r="S7" s="54">
        <f t="shared" ca="1" si="2"/>
        <v>97462.5</v>
      </c>
      <c r="T7" s="54">
        <f t="shared" ca="1" si="2"/>
        <v>100300</v>
      </c>
      <c r="U7" s="54">
        <f t="shared" ca="1" si="2"/>
        <v>100919.16666666667</v>
      </c>
      <c r="V7" s="54">
        <f t="shared" ca="1" si="2"/>
        <v>90158.333333333343</v>
      </c>
      <c r="W7" s="54">
        <f t="shared" ca="1" si="2"/>
        <v>90825</v>
      </c>
      <c r="X7" s="54">
        <f t="shared" ca="1" si="2"/>
        <v>101791.66666666667</v>
      </c>
      <c r="Y7" s="54">
        <f t="shared" ca="1" si="2"/>
        <v>97456.666666666672</v>
      </c>
      <c r="Z7" s="54">
        <f t="shared" ca="1" si="2"/>
        <v>102265</v>
      </c>
      <c r="AA7" s="54">
        <f t="shared" ca="1" si="2"/>
        <v>99365</v>
      </c>
      <c r="AB7" s="54">
        <f t="shared" ca="1" si="2"/>
        <v>98840</v>
      </c>
      <c r="AC7" s="54">
        <f t="shared" ca="1" si="2"/>
        <v>101963.33333333334</v>
      </c>
      <c r="AD7" s="54">
        <f t="shared" ca="1" si="2"/>
        <v>102120</v>
      </c>
      <c r="AE7" s="54">
        <f t="shared" ca="1" si="2"/>
        <v>103850</v>
      </c>
      <c r="AF7" s="54">
        <f t="shared" ca="1" si="2"/>
        <v>100337.5</v>
      </c>
      <c r="AG7" s="54">
        <f t="shared" ca="1" si="2"/>
        <v>106991.66666666666</v>
      </c>
      <c r="AH7" s="54">
        <f t="shared" ca="1" si="2"/>
        <v>106166.66666666667</v>
      </c>
      <c r="AI7" s="54">
        <f t="shared" ca="1" si="2"/>
        <v>106045</v>
      </c>
      <c r="AJ7" s="54">
        <f t="shared" ca="1" si="2"/>
        <v>111513.33333333334</v>
      </c>
      <c r="AK7" s="54">
        <f t="shared" ca="1" si="2"/>
        <v>106020</v>
      </c>
      <c r="AL7" s="54">
        <f t="shared" ca="1" si="2"/>
        <v>106400</v>
      </c>
      <c r="AM7" s="54">
        <f t="shared" ca="1" si="2"/>
        <v>109725</v>
      </c>
      <c r="AN7" s="54">
        <f t="shared" ca="1" si="2"/>
        <v>103785</v>
      </c>
      <c r="AO7" s="54">
        <f t="shared" ca="1" si="2"/>
        <v>111150</v>
      </c>
      <c r="AP7" s="54">
        <f t="shared" ca="1" si="2"/>
        <v>97314</v>
      </c>
      <c r="AQ7" s="54">
        <f t="shared" ca="1" si="2"/>
        <v>87599</v>
      </c>
      <c r="AR7" s="54">
        <f t="shared" ca="1" si="2"/>
        <v>90816</v>
      </c>
      <c r="AS7" s="54">
        <f t="shared" ca="1" si="2"/>
        <v>67174.666666666672</v>
      </c>
      <c r="AT7" s="54">
        <f t="shared" ca="1" si="2"/>
        <v>56292.066666666666</v>
      </c>
      <c r="AU7" s="54">
        <f t="shared" ca="1" si="2"/>
        <v>61036.4</v>
      </c>
      <c r="AV7" s="54">
        <f t="shared" ca="1" si="2"/>
        <v>78942.5</v>
      </c>
      <c r="AW7" s="54">
        <f t="shared" ca="1" si="2"/>
        <v>109644.26666666666</v>
      </c>
      <c r="AX7" s="54">
        <f t="shared" ca="1" si="2"/>
        <v>110516.66666666667</v>
      </c>
      <c r="AY7" s="54">
        <f t="shared" ca="1" si="2"/>
        <v>111873.33333333334</v>
      </c>
      <c r="AZ7" s="54">
        <f t="shared" ca="1" si="2"/>
        <v>113003.33333333333</v>
      </c>
      <c r="BA7" s="54">
        <f t="shared" ca="1" si="2"/>
        <v>111418</v>
      </c>
      <c r="BB7" s="54">
        <f t="shared" ca="1" si="2"/>
        <v>111824</v>
      </c>
      <c r="BC7" s="54">
        <f t="shared" ca="1" si="2"/>
        <v>1140278</v>
      </c>
      <c r="BD7" s="54">
        <f t="shared" ca="1" si="2"/>
        <v>1262830</v>
      </c>
      <c r="BE7" s="54">
        <f t="shared" ca="1" si="2"/>
        <v>1376067.5</v>
      </c>
      <c r="BF7" s="54">
        <f t="shared" ca="1" si="2"/>
        <v>1207454.2333333334</v>
      </c>
      <c r="BG7" s="54">
        <f t="shared" ca="1" si="2"/>
        <v>4986629.7333333334</v>
      </c>
    </row>
    <row r="8" spans="1:59" s="16" customFormat="1" ht="16.149999999999999" customHeight="1" x14ac:dyDescent="0.3">
      <c r="A8" s="168" t="s">
        <v>116</v>
      </c>
      <c r="B8" s="46" t="s">
        <v>105</v>
      </c>
      <c r="C8" s="50">
        <f t="shared" ref="C8:BB9" si="3">C5-C11</f>
        <v>39000</v>
      </c>
      <c r="D8" s="51">
        <f t="shared" si="3"/>
        <v>32921.600000000006</v>
      </c>
      <c r="E8" s="51">
        <f t="shared" si="3"/>
        <v>41600</v>
      </c>
      <c r="F8" s="51">
        <f t="shared" si="3"/>
        <v>42640</v>
      </c>
      <c r="G8" s="51">
        <f t="shared" si="3"/>
        <v>41088</v>
      </c>
      <c r="H8" s="51">
        <f t="shared" si="3"/>
        <v>38430</v>
      </c>
      <c r="I8" s="51">
        <f t="shared" si="3"/>
        <v>34398</v>
      </c>
      <c r="J8" s="51">
        <f t="shared" si="3"/>
        <v>39690</v>
      </c>
      <c r="K8" s="51">
        <f t="shared" si="3"/>
        <v>37800</v>
      </c>
      <c r="L8" s="51">
        <f t="shared" si="3"/>
        <v>40320</v>
      </c>
      <c r="M8" s="51">
        <f t="shared" si="3"/>
        <v>41580</v>
      </c>
      <c r="N8" s="51">
        <f t="shared" si="3"/>
        <v>41328</v>
      </c>
      <c r="O8" s="51">
        <f t="shared" si="3"/>
        <v>39060</v>
      </c>
      <c r="P8" s="51">
        <f t="shared" si="3"/>
        <v>44100</v>
      </c>
      <c r="Q8" s="51">
        <f t="shared" si="3"/>
        <v>40320</v>
      </c>
      <c r="R8" s="51">
        <f t="shared" si="3"/>
        <v>40698</v>
      </c>
      <c r="S8" s="51">
        <f t="shared" si="3"/>
        <v>43470</v>
      </c>
      <c r="T8" s="51">
        <f t="shared" si="3"/>
        <v>44604</v>
      </c>
      <c r="U8" s="51">
        <f t="shared" si="3"/>
        <v>43722</v>
      </c>
      <c r="V8" s="51">
        <f t="shared" si="3"/>
        <v>38440</v>
      </c>
      <c r="W8" s="51">
        <f t="shared" si="3"/>
        <v>39060</v>
      </c>
      <c r="X8" s="51">
        <f t="shared" si="3"/>
        <v>43400</v>
      </c>
      <c r="Y8" s="51">
        <f t="shared" si="3"/>
        <v>41912</v>
      </c>
      <c r="Z8" s="51">
        <f t="shared" si="3"/>
        <v>44888</v>
      </c>
      <c r="AA8" s="51">
        <f t="shared" si="3"/>
        <v>44268</v>
      </c>
      <c r="AB8" s="51">
        <f t="shared" si="3"/>
        <v>43066</v>
      </c>
      <c r="AC8" s="51">
        <f t="shared" si="3"/>
        <v>43440</v>
      </c>
      <c r="AD8" s="51">
        <f t="shared" si="3"/>
        <v>44160</v>
      </c>
      <c r="AE8" s="51">
        <f t="shared" si="3"/>
        <v>44640</v>
      </c>
      <c r="AF8" s="51">
        <f t="shared" si="3"/>
        <v>41880</v>
      </c>
      <c r="AG8" s="51">
        <f t="shared" si="3"/>
        <v>44400</v>
      </c>
      <c r="AH8" s="51">
        <f t="shared" si="3"/>
        <v>43680</v>
      </c>
      <c r="AI8" s="51">
        <f t="shared" si="3"/>
        <v>45720</v>
      </c>
      <c r="AJ8" s="51">
        <f t="shared" si="3"/>
        <v>46680</v>
      </c>
      <c r="AK8" s="51">
        <f t="shared" si="3"/>
        <v>44640</v>
      </c>
      <c r="AL8" s="51">
        <f t="shared" si="3"/>
        <v>45600</v>
      </c>
      <c r="AM8" s="51">
        <f t="shared" si="3"/>
        <v>46200</v>
      </c>
      <c r="AN8" s="51">
        <f t="shared" si="3"/>
        <v>44880</v>
      </c>
      <c r="AO8" s="51">
        <f t="shared" si="3"/>
        <v>46800</v>
      </c>
      <c r="AP8" s="51">
        <f t="shared" si="3"/>
        <v>42336</v>
      </c>
      <c r="AQ8" s="51">
        <f t="shared" si="3"/>
        <v>36144</v>
      </c>
      <c r="AR8" s="51">
        <f t="shared" si="3"/>
        <v>38016</v>
      </c>
      <c r="AS8" s="51">
        <f t="shared" si="3"/>
        <v>29136</v>
      </c>
      <c r="AT8" s="51">
        <f t="shared" si="3"/>
        <v>24489.599999999999</v>
      </c>
      <c r="AU8" s="51">
        <f t="shared" si="3"/>
        <v>26553.599999999999</v>
      </c>
      <c r="AV8" s="51">
        <f t="shared" si="3"/>
        <v>32760</v>
      </c>
      <c r="AW8" s="51">
        <f t="shared" si="3"/>
        <v>45897.599999999999</v>
      </c>
      <c r="AX8" s="51">
        <f t="shared" si="3"/>
        <v>45600</v>
      </c>
      <c r="AY8" s="51">
        <f t="shared" si="3"/>
        <v>46560</v>
      </c>
      <c r="AZ8" s="51">
        <f t="shared" si="3"/>
        <v>48720</v>
      </c>
      <c r="BA8" s="51">
        <f t="shared" si="3"/>
        <v>47328</v>
      </c>
      <c r="BB8" s="51">
        <f t="shared" si="3"/>
        <v>46272</v>
      </c>
      <c r="BC8" s="52">
        <f ca="1">SUM(OFFSET($B8,0,1,1,Assumptions!$C$8))</f>
        <v>509855.6</v>
      </c>
      <c r="BD8" s="52">
        <f ca="1">SUM(OFFSET($B8,0,1+Assumptions!$C$8,1,SUM(Assumptions!$C$9)))</f>
        <v>551948</v>
      </c>
      <c r="BE8" s="52">
        <f ca="1">SUM(OFFSET($B8,0,1+SUM(Assumptions!$C$8:$C$9),1,SUM(Assumptions!$C$10)))</f>
        <v>582720</v>
      </c>
      <c r="BF8" s="52">
        <f ca="1">SUM(OFFSET($B8,0,1+SUM(Assumptions!$C$8:$C$10),1,SUM(Assumptions!$C$11)))</f>
        <v>509812.8</v>
      </c>
      <c r="BG8" s="52">
        <f t="shared" ref="BG8:BG9" ca="1" si="4">SUM(BC8:BF8)</f>
        <v>2154336.4</v>
      </c>
    </row>
    <row r="9" spans="1:59" s="16" customFormat="1" ht="16.149999999999999" customHeight="1" x14ac:dyDescent="0.3">
      <c r="A9" s="172" t="s">
        <v>117</v>
      </c>
      <c r="B9" s="55" t="s">
        <v>106</v>
      </c>
      <c r="C9" s="51">
        <f t="shared" si="3"/>
        <v>0</v>
      </c>
      <c r="D9" s="51">
        <f t="shared" si="3"/>
        <v>0</v>
      </c>
      <c r="E9" s="51">
        <f t="shared" si="3"/>
        <v>0</v>
      </c>
      <c r="F9" s="51">
        <f t="shared" si="3"/>
        <v>0</v>
      </c>
      <c r="G9" s="51">
        <f t="shared" si="3"/>
        <v>0</v>
      </c>
      <c r="H9" s="51">
        <f t="shared" si="3"/>
        <v>0</v>
      </c>
      <c r="I9" s="51">
        <f t="shared" si="3"/>
        <v>0</v>
      </c>
      <c r="J9" s="51">
        <f t="shared" si="3"/>
        <v>0</v>
      </c>
      <c r="K9" s="51">
        <f t="shared" si="3"/>
        <v>0</v>
      </c>
      <c r="L9" s="51">
        <f t="shared" si="3"/>
        <v>0</v>
      </c>
      <c r="M9" s="51">
        <f t="shared" si="3"/>
        <v>0</v>
      </c>
      <c r="N9" s="51">
        <f t="shared" si="3"/>
        <v>0</v>
      </c>
      <c r="O9" s="51">
        <f t="shared" si="3"/>
        <v>0</v>
      </c>
      <c r="P9" s="51">
        <f t="shared" si="3"/>
        <v>0</v>
      </c>
      <c r="Q9" s="51">
        <f t="shared" si="3"/>
        <v>0</v>
      </c>
      <c r="R9" s="51">
        <f t="shared" si="3"/>
        <v>0</v>
      </c>
      <c r="S9" s="51">
        <f t="shared" si="3"/>
        <v>0</v>
      </c>
      <c r="T9" s="51">
        <f t="shared" si="3"/>
        <v>0</v>
      </c>
      <c r="U9" s="51">
        <f t="shared" si="3"/>
        <v>0</v>
      </c>
      <c r="V9" s="51">
        <f t="shared" si="3"/>
        <v>0</v>
      </c>
      <c r="W9" s="51">
        <f t="shared" si="3"/>
        <v>0</v>
      </c>
      <c r="X9" s="51">
        <f t="shared" si="3"/>
        <v>0</v>
      </c>
      <c r="Y9" s="51">
        <f t="shared" si="3"/>
        <v>0</v>
      </c>
      <c r="Z9" s="51">
        <f t="shared" si="3"/>
        <v>0</v>
      </c>
      <c r="AA9" s="51">
        <f t="shared" si="3"/>
        <v>0</v>
      </c>
      <c r="AB9" s="51">
        <f t="shared" si="3"/>
        <v>0</v>
      </c>
      <c r="AC9" s="51">
        <f t="shared" si="3"/>
        <v>0</v>
      </c>
      <c r="AD9" s="51">
        <f t="shared" si="3"/>
        <v>0</v>
      </c>
      <c r="AE9" s="51">
        <f t="shared" si="3"/>
        <v>0</v>
      </c>
      <c r="AF9" s="51">
        <f t="shared" si="3"/>
        <v>0</v>
      </c>
      <c r="AG9" s="51">
        <f t="shared" si="3"/>
        <v>0</v>
      </c>
      <c r="AH9" s="51">
        <f t="shared" si="3"/>
        <v>0</v>
      </c>
      <c r="AI9" s="51">
        <f t="shared" si="3"/>
        <v>0</v>
      </c>
      <c r="AJ9" s="51">
        <f t="shared" si="3"/>
        <v>0</v>
      </c>
      <c r="AK9" s="51">
        <f t="shared" si="3"/>
        <v>0</v>
      </c>
      <c r="AL9" s="51">
        <f t="shared" si="3"/>
        <v>0</v>
      </c>
      <c r="AM9" s="51">
        <f t="shared" si="3"/>
        <v>0</v>
      </c>
      <c r="AN9" s="51">
        <f t="shared" si="3"/>
        <v>0</v>
      </c>
      <c r="AO9" s="51">
        <f t="shared" si="3"/>
        <v>0</v>
      </c>
      <c r="AP9" s="51">
        <f t="shared" si="3"/>
        <v>0</v>
      </c>
      <c r="AQ9" s="51">
        <f t="shared" si="3"/>
        <v>0</v>
      </c>
      <c r="AR9" s="51">
        <f t="shared" si="3"/>
        <v>0</v>
      </c>
      <c r="AS9" s="51">
        <f t="shared" si="3"/>
        <v>0</v>
      </c>
      <c r="AT9" s="51">
        <f t="shared" si="3"/>
        <v>0</v>
      </c>
      <c r="AU9" s="51">
        <f t="shared" si="3"/>
        <v>0</v>
      </c>
      <c r="AV9" s="51">
        <f t="shared" si="3"/>
        <v>0</v>
      </c>
      <c r="AW9" s="51">
        <f t="shared" si="3"/>
        <v>0</v>
      </c>
      <c r="AX9" s="51">
        <f t="shared" si="3"/>
        <v>0</v>
      </c>
      <c r="AY9" s="51">
        <f t="shared" si="3"/>
        <v>0</v>
      </c>
      <c r="AZ9" s="51">
        <f t="shared" si="3"/>
        <v>0</v>
      </c>
      <c r="BA9" s="51">
        <f t="shared" si="3"/>
        <v>0</v>
      </c>
      <c r="BB9" s="51">
        <f t="shared" si="3"/>
        <v>0</v>
      </c>
      <c r="BC9" s="52">
        <f ca="1">SUM(OFFSET($B9,0,1,1,Assumptions!$C$8))</f>
        <v>0</v>
      </c>
      <c r="BD9" s="52">
        <f ca="1">SUM(OFFSET($B9,0,1+Assumptions!$C$8,1,SUM(Assumptions!$C$9)))</f>
        <v>0</v>
      </c>
      <c r="BE9" s="52">
        <f ca="1">SUM(OFFSET($B9,0,1+SUM(Assumptions!$C$8:$C$9),1,SUM(Assumptions!$C$10)))</f>
        <v>0</v>
      </c>
      <c r="BF9" s="52">
        <f ca="1">SUM(OFFSET($B9,0,1+SUM(Assumptions!$C$8:$C$10),1,SUM(Assumptions!$C$11)))</f>
        <v>0</v>
      </c>
      <c r="BG9" s="52">
        <f t="shared" ca="1" si="4"/>
        <v>0</v>
      </c>
    </row>
    <row r="10" spans="1:59" s="3" customFormat="1" ht="16.149999999999999" customHeight="1" thickBot="1" x14ac:dyDescent="0.35">
      <c r="A10" s="172"/>
      <c r="B10" s="56" t="s">
        <v>107</v>
      </c>
      <c r="C10" s="57">
        <f ca="1">SUM(OFFSET(C7,1,0,ROW($B10)-ROW($B7)-1,1))</f>
        <v>39000</v>
      </c>
      <c r="D10" s="57">
        <f t="shared" ref="D10:BG10" ca="1" si="5">SUM(OFFSET(D7,1,0,ROW($B10)-ROW($B7)-1,1))</f>
        <v>32921.600000000006</v>
      </c>
      <c r="E10" s="57">
        <f t="shared" ca="1" si="5"/>
        <v>41600</v>
      </c>
      <c r="F10" s="57">
        <f t="shared" ca="1" si="5"/>
        <v>42640</v>
      </c>
      <c r="G10" s="57">
        <f t="shared" ca="1" si="5"/>
        <v>41088</v>
      </c>
      <c r="H10" s="57">
        <f t="shared" ca="1" si="5"/>
        <v>38430</v>
      </c>
      <c r="I10" s="57">
        <f t="shared" ca="1" si="5"/>
        <v>34398</v>
      </c>
      <c r="J10" s="57">
        <f t="shared" ca="1" si="5"/>
        <v>39690</v>
      </c>
      <c r="K10" s="57">
        <f t="shared" ca="1" si="5"/>
        <v>37800</v>
      </c>
      <c r="L10" s="57">
        <f t="shared" ca="1" si="5"/>
        <v>40320</v>
      </c>
      <c r="M10" s="57">
        <f t="shared" ca="1" si="5"/>
        <v>41580</v>
      </c>
      <c r="N10" s="57">
        <f t="shared" ca="1" si="5"/>
        <v>41328</v>
      </c>
      <c r="O10" s="57">
        <f t="shared" ca="1" si="5"/>
        <v>39060</v>
      </c>
      <c r="P10" s="57">
        <f t="shared" ca="1" si="5"/>
        <v>44100</v>
      </c>
      <c r="Q10" s="57">
        <f t="shared" ca="1" si="5"/>
        <v>40320</v>
      </c>
      <c r="R10" s="57">
        <f t="shared" ca="1" si="5"/>
        <v>40698</v>
      </c>
      <c r="S10" s="57">
        <f t="shared" ca="1" si="5"/>
        <v>43470</v>
      </c>
      <c r="T10" s="57">
        <f t="shared" ca="1" si="5"/>
        <v>44604</v>
      </c>
      <c r="U10" s="57">
        <f t="shared" ca="1" si="5"/>
        <v>43722</v>
      </c>
      <c r="V10" s="57">
        <f t="shared" ca="1" si="5"/>
        <v>38440</v>
      </c>
      <c r="W10" s="57">
        <f t="shared" ca="1" si="5"/>
        <v>39060</v>
      </c>
      <c r="X10" s="57">
        <f t="shared" ca="1" si="5"/>
        <v>43400</v>
      </c>
      <c r="Y10" s="57">
        <f t="shared" ca="1" si="5"/>
        <v>41912</v>
      </c>
      <c r="Z10" s="57">
        <f t="shared" ca="1" si="5"/>
        <v>44888</v>
      </c>
      <c r="AA10" s="57">
        <f t="shared" ca="1" si="5"/>
        <v>44268</v>
      </c>
      <c r="AB10" s="57">
        <f t="shared" ca="1" si="5"/>
        <v>43066</v>
      </c>
      <c r="AC10" s="57">
        <f t="shared" ca="1" si="5"/>
        <v>43440</v>
      </c>
      <c r="AD10" s="57">
        <f t="shared" ca="1" si="5"/>
        <v>44160</v>
      </c>
      <c r="AE10" s="57">
        <f t="shared" ca="1" si="5"/>
        <v>44640</v>
      </c>
      <c r="AF10" s="57">
        <f t="shared" ca="1" si="5"/>
        <v>41880</v>
      </c>
      <c r="AG10" s="57">
        <f t="shared" ca="1" si="5"/>
        <v>44400</v>
      </c>
      <c r="AH10" s="57">
        <f t="shared" ca="1" si="5"/>
        <v>43680</v>
      </c>
      <c r="AI10" s="57">
        <f t="shared" ca="1" si="5"/>
        <v>45720</v>
      </c>
      <c r="AJ10" s="57">
        <f t="shared" ca="1" si="5"/>
        <v>46680</v>
      </c>
      <c r="AK10" s="57">
        <f t="shared" ca="1" si="5"/>
        <v>44640</v>
      </c>
      <c r="AL10" s="57">
        <f t="shared" ca="1" si="5"/>
        <v>45600</v>
      </c>
      <c r="AM10" s="57">
        <f t="shared" ca="1" si="5"/>
        <v>46200</v>
      </c>
      <c r="AN10" s="57">
        <f t="shared" ca="1" si="5"/>
        <v>44880</v>
      </c>
      <c r="AO10" s="57">
        <f t="shared" ca="1" si="5"/>
        <v>46800</v>
      </c>
      <c r="AP10" s="57">
        <f t="shared" ca="1" si="5"/>
        <v>42336</v>
      </c>
      <c r="AQ10" s="57">
        <f t="shared" ca="1" si="5"/>
        <v>36144</v>
      </c>
      <c r="AR10" s="57">
        <f t="shared" ca="1" si="5"/>
        <v>38016</v>
      </c>
      <c r="AS10" s="57">
        <f t="shared" ca="1" si="5"/>
        <v>29136</v>
      </c>
      <c r="AT10" s="57">
        <f t="shared" ca="1" si="5"/>
        <v>24489.599999999999</v>
      </c>
      <c r="AU10" s="57">
        <f t="shared" ca="1" si="5"/>
        <v>26553.599999999999</v>
      </c>
      <c r="AV10" s="57">
        <f t="shared" ca="1" si="5"/>
        <v>32760</v>
      </c>
      <c r="AW10" s="57">
        <f t="shared" ca="1" si="5"/>
        <v>45897.599999999999</v>
      </c>
      <c r="AX10" s="57">
        <f t="shared" ca="1" si="5"/>
        <v>45600</v>
      </c>
      <c r="AY10" s="57">
        <f t="shared" ca="1" si="5"/>
        <v>46560</v>
      </c>
      <c r="AZ10" s="57">
        <f t="shared" ca="1" si="5"/>
        <v>48720</v>
      </c>
      <c r="BA10" s="57">
        <f t="shared" ca="1" si="5"/>
        <v>47328</v>
      </c>
      <c r="BB10" s="57">
        <f t="shared" ca="1" si="5"/>
        <v>46272</v>
      </c>
      <c r="BC10" s="57">
        <f t="shared" ca="1" si="5"/>
        <v>509855.6</v>
      </c>
      <c r="BD10" s="57">
        <f t="shared" ca="1" si="5"/>
        <v>551948</v>
      </c>
      <c r="BE10" s="57">
        <f t="shared" ca="1" si="5"/>
        <v>582720</v>
      </c>
      <c r="BF10" s="57">
        <f t="shared" ca="1" si="5"/>
        <v>509812.8</v>
      </c>
      <c r="BG10" s="57">
        <f t="shared" ca="1" si="5"/>
        <v>2154336.4</v>
      </c>
    </row>
    <row r="11" spans="1:59" s="16" customFormat="1" ht="16.149999999999999" customHeight="1" x14ac:dyDescent="0.3">
      <c r="A11" s="172"/>
      <c r="B11" s="55" t="s">
        <v>105</v>
      </c>
      <c r="C11" s="51">
        <f t="shared" ref="C11:BB12" si="6">C5*C14</f>
        <v>21000</v>
      </c>
      <c r="D11" s="51">
        <f t="shared" si="6"/>
        <v>18518.399999999998</v>
      </c>
      <c r="E11" s="51">
        <f t="shared" si="6"/>
        <v>22400</v>
      </c>
      <c r="F11" s="51">
        <f t="shared" si="6"/>
        <v>22960</v>
      </c>
      <c r="G11" s="51">
        <f t="shared" si="6"/>
        <v>23112</v>
      </c>
      <c r="H11" s="51">
        <f t="shared" si="6"/>
        <v>22570</v>
      </c>
      <c r="I11" s="51">
        <f t="shared" si="6"/>
        <v>20202</v>
      </c>
      <c r="J11" s="51">
        <f t="shared" si="6"/>
        <v>23310</v>
      </c>
      <c r="K11" s="51">
        <f t="shared" si="6"/>
        <v>22200</v>
      </c>
      <c r="L11" s="51">
        <f t="shared" si="6"/>
        <v>23680</v>
      </c>
      <c r="M11" s="51">
        <f t="shared" si="6"/>
        <v>24420</v>
      </c>
      <c r="N11" s="51">
        <f t="shared" si="6"/>
        <v>24272</v>
      </c>
      <c r="O11" s="51">
        <f t="shared" si="6"/>
        <v>22940</v>
      </c>
      <c r="P11" s="51">
        <f t="shared" si="6"/>
        <v>25900</v>
      </c>
      <c r="Q11" s="51">
        <f t="shared" si="6"/>
        <v>23680</v>
      </c>
      <c r="R11" s="51">
        <f t="shared" si="6"/>
        <v>23902</v>
      </c>
      <c r="S11" s="51">
        <f t="shared" si="6"/>
        <v>25530</v>
      </c>
      <c r="T11" s="51">
        <f t="shared" si="6"/>
        <v>26196</v>
      </c>
      <c r="U11" s="51">
        <f t="shared" si="6"/>
        <v>25678</v>
      </c>
      <c r="V11" s="51">
        <f t="shared" si="6"/>
        <v>23560</v>
      </c>
      <c r="W11" s="51">
        <f t="shared" si="6"/>
        <v>23940</v>
      </c>
      <c r="X11" s="51">
        <f t="shared" si="6"/>
        <v>26600</v>
      </c>
      <c r="Y11" s="51">
        <f t="shared" si="6"/>
        <v>25688</v>
      </c>
      <c r="Z11" s="51">
        <f t="shared" si="6"/>
        <v>27512</v>
      </c>
      <c r="AA11" s="51">
        <f t="shared" si="6"/>
        <v>27132</v>
      </c>
      <c r="AB11" s="51">
        <f t="shared" si="6"/>
        <v>27534</v>
      </c>
      <c r="AC11" s="51">
        <f t="shared" si="6"/>
        <v>28960</v>
      </c>
      <c r="AD11" s="51">
        <f t="shared" si="6"/>
        <v>29440</v>
      </c>
      <c r="AE11" s="51">
        <f t="shared" si="6"/>
        <v>29760</v>
      </c>
      <c r="AF11" s="51">
        <f t="shared" si="6"/>
        <v>27920</v>
      </c>
      <c r="AG11" s="51">
        <f t="shared" si="6"/>
        <v>29600</v>
      </c>
      <c r="AH11" s="51">
        <f t="shared" si="6"/>
        <v>29120</v>
      </c>
      <c r="AI11" s="51">
        <f t="shared" si="6"/>
        <v>30480</v>
      </c>
      <c r="AJ11" s="51">
        <f t="shared" si="6"/>
        <v>31120</v>
      </c>
      <c r="AK11" s="51">
        <f t="shared" si="6"/>
        <v>29760</v>
      </c>
      <c r="AL11" s="51">
        <f t="shared" si="6"/>
        <v>30400</v>
      </c>
      <c r="AM11" s="51">
        <f t="shared" si="6"/>
        <v>30800</v>
      </c>
      <c r="AN11" s="51">
        <f t="shared" si="6"/>
        <v>29920</v>
      </c>
      <c r="AO11" s="51">
        <f t="shared" si="6"/>
        <v>31200</v>
      </c>
      <c r="AP11" s="51">
        <f t="shared" si="6"/>
        <v>28224</v>
      </c>
      <c r="AQ11" s="51">
        <f t="shared" si="6"/>
        <v>24096</v>
      </c>
      <c r="AR11" s="51">
        <f t="shared" si="6"/>
        <v>25344</v>
      </c>
      <c r="AS11" s="51">
        <f t="shared" si="6"/>
        <v>19424</v>
      </c>
      <c r="AT11" s="51">
        <f t="shared" si="6"/>
        <v>16326.400000000001</v>
      </c>
      <c r="AU11" s="51">
        <f t="shared" si="6"/>
        <v>17702.400000000001</v>
      </c>
      <c r="AV11" s="51">
        <f t="shared" si="6"/>
        <v>21840</v>
      </c>
      <c r="AW11" s="51">
        <f t="shared" si="6"/>
        <v>30598.400000000001</v>
      </c>
      <c r="AX11" s="51">
        <f t="shared" si="6"/>
        <v>30400</v>
      </c>
      <c r="AY11" s="51">
        <f t="shared" si="6"/>
        <v>31040</v>
      </c>
      <c r="AZ11" s="51">
        <f t="shared" si="6"/>
        <v>32480</v>
      </c>
      <c r="BA11" s="51">
        <f t="shared" si="6"/>
        <v>31552</v>
      </c>
      <c r="BB11" s="51">
        <f t="shared" si="6"/>
        <v>30848</v>
      </c>
      <c r="BC11" s="52">
        <f ca="1">SUM(OFFSET($B11,0,1,1,Assumptions!$C$8))</f>
        <v>291584.40000000002</v>
      </c>
      <c r="BD11" s="52">
        <f ca="1">SUM(OFFSET($B11,0,1+Assumptions!$C$8,1,SUM(Assumptions!$C$9)))</f>
        <v>332852</v>
      </c>
      <c r="BE11" s="52">
        <f ca="1">SUM(OFFSET($B11,0,1+SUM(Assumptions!$C$8:$C$9),1,SUM(Assumptions!$C$10)))</f>
        <v>388480</v>
      </c>
      <c r="BF11" s="52">
        <f ca="1">SUM(OFFSET($B11,0,1+SUM(Assumptions!$C$8:$C$10),1,SUM(Assumptions!$C$11)))</f>
        <v>339875.19999999995</v>
      </c>
      <c r="BG11" s="52">
        <f t="shared" ref="BG11:BG12" ca="1" si="7">SUM(BC11:BF11)</f>
        <v>1352791.6</v>
      </c>
    </row>
    <row r="12" spans="1:59" s="16" customFormat="1" ht="16.149999999999999" customHeight="1" x14ac:dyDescent="0.3">
      <c r="A12" s="172"/>
      <c r="B12" s="55" t="s">
        <v>106</v>
      </c>
      <c r="C12" s="51">
        <f t="shared" si="6"/>
        <v>25000</v>
      </c>
      <c r="D12" s="51">
        <f t="shared" si="6"/>
        <v>21004.666666666664</v>
      </c>
      <c r="E12" s="51">
        <f t="shared" si="6"/>
        <v>25066.666666666668</v>
      </c>
      <c r="F12" s="51">
        <f t="shared" si="6"/>
        <v>26513.333333333332</v>
      </c>
      <c r="G12" s="51">
        <f t="shared" si="6"/>
        <v>28355</v>
      </c>
      <c r="H12" s="51">
        <f t="shared" si="6"/>
        <v>27704.166666666672</v>
      </c>
      <c r="I12" s="51">
        <f t="shared" si="6"/>
        <v>22522.5</v>
      </c>
      <c r="J12" s="51">
        <f t="shared" si="6"/>
        <v>27825</v>
      </c>
      <c r="K12" s="51">
        <f t="shared" si="6"/>
        <v>23750</v>
      </c>
      <c r="L12" s="51">
        <f t="shared" si="6"/>
        <v>24266.666666666668</v>
      </c>
      <c r="M12" s="51">
        <f t="shared" si="6"/>
        <v>29425</v>
      </c>
      <c r="N12" s="51">
        <f t="shared" si="6"/>
        <v>29246.666666666668</v>
      </c>
      <c r="O12" s="51">
        <f t="shared" si="6"/>
        <v>28158.333333333336</v>
      </c>
      <c r="P12" s="51">
        <f t="shared" si="6"/>
        <v>32083.333333333336</v>
      </c>
      <c r="Q12" s="51">
        <f t="shared" si="6"/>
        <v>28000.000000000004</v>
      </c>
      <c r="R12" s="51">
        <f t="shared" si="6"/>
        <v>24763.333333333336</v>
      </c>
      <c r="S12" s="51">
        <f t="shared" si="6"/>
        <v>28462.5</v>
      </c>
      <c r="T12" s="51">
        <f t="shared" si="6"/>
        <v>29500</v>
      </c>
      <c r="U12" s="51">
        <f t="shared" si="6"/>
        <v>31519.166666666672</v>
      </c>
      <c r="V12" s="51">
        <f t="shared" si="6"/>
        <v>28158.333333333336</v>
      </c>
      <c r="W12" s="51">
        <f t="shared" si="6"/>
        <v>27825</v>
      </c>
      <c r="X12" s="51">
        <f t="shared" si="6"/>
        <v>31791.666666666672</v>
      </c>
      <c r="Y12" s="51">
        <f t="shared" si="6"/>
        <v>29856.666666666668</v>
      </c>
      <c r="Z12" s="51">
        <f t="shared" si="6"/>
        <v>29865</v>
      </c>
      <c r="AA12" s="51">
        <f t="shared" si="6"/>
        <v>27965</v>
      </c>
      <c r="AB12" s="51">
        <f t="shared" si="6"/>
        <v>28240</v>
      </c>
      <c r="AC12" s="51">
        <f t="shared" si="6"/>
        <v>29563.333333333336</v>
      </c>
      <c r="AD12" s="51">
        <f t="shared" si="6"/>
        <v>28520</v>
      </c>
      <c r="AE12" s="51">
        <f t="shared" si="6"/>
        <v>29450</v>
      </c>
      <c r="AF12" s="51">
        <f t="shared" si="6"/>
        <v>30537.5</v>
      </c>
      <c r="AG12" s="51">
        <f t="shared" si="6"/>
        <v>32991.666666666664</v>
      </c>
      <c r="AH12" s="51">
        <f t="shared" si="6"/>
        <v>33366.666666666672</v>
      </c>
      <c r="AI12" s="51">
        <f t="shared" si="6"/>
        <v>29845</v>
      </c>
      <c r="AJ12" s="51">
        <f t="shared" si="6"/>
        <v>33713.333333333336</v>
      </c>
      <c r="AK12" s="51">
        <f t="shared" si="6"/>
        <v>31620</v>
      </c>
      <c r="AL12" s="51">
        <f t="shared" si="6"/>
        <v>30400</v>
      </c>
      <c r="AM12" s="51">
        <f t="shared" si="6"/>
        <v>32725</v>
      </c>
      <c r="AN12" s="51">
        <f t="shared" si="6"/>
        <v>28985</v>
      </c>
      <c r="AO12" s="51">
        <f t="shared" si="6"/>
        <v>33150</v>
      </c>
      <c r="AP12" s="51">
        <f t="shared" si="6"/>
        <v>26754</v>
      </c>
      <c r="AQ12" s="51">
        <f t="shared" si="6"/>
        <v>27359.000000000004</v>
      </c>
      <c r="AR12" s="51">
        <f t="shared" si="6"/>
        <v>27456</v>
      </c>
      <c r="AS12" s="51">
        <f t="shared" si="6"/>
        <v>18614.666666666668</v>
      </c>
      <c r="AT12" s="51">
        <f t="shared" si="6"/>
        <v>15476.066666666668</v>
      </c>
      <c r="AU12" s="51">
        <f t="shared" si="6"/>
        <v>16780.400000000001</v>
      </c>
      <c r="AV12" s="51">
        <f t="shared" si="6"/>
        <v>24342.5</v>
      </c>
      <c r="AW12" s="51">
        <f t="shared" si="6"/>
        <v>33148.26666666667</v>
      </c>
      <c r="AX12" s="51">
        <f t="shared" si="6"/>
        <v>34516.666666666672</v>
      </c>
      <c r="AY12" s="51">
        <f t="shared" si="6"/>
        <v>34273.333333333336</v>
      </c>
      <c r="AZ12" s="51">
        <f t="shared" si="6"/>
        <v>31803.333333333332</v>
      </c>
      <c r="BA12" s="51">
        <f t="shared" si="6"/>
        <v>32537.999999999996</v>
      </c>
      <c r="BB12" s="51">
        <f t="shared" si="6"/>
        <v>34704</v>
      </c>
      <c r="BC12" s="52">
        <f ca="1">SUM(OFFSET($B12,0,1,1,Assumptions!$C$8))</f>
        <v>338838</v>
      </c>
      <c r="BD12" s="52">
        <f ca="1">SUM(OFFSET($B12,0,1+Assumptions!$C$8,1,SUM(Assumptions!$C$9)))</f>
        <v>378030.00000000006</v>
      </c>
      <c r="BE12" s="52">
        <f ca="1">SUM(OFFSET($B12,0,1+SUM(Assumptions!$C$8:$C$9),1,SUM(Assumptions!$C$10)))</f>
        <v>404867.5</v>
      </c>
      <c r="BF12" s="52">
        <f ca="1">SUM(OFFSET($B12,0,1+SUM(Assumptions!$C$8:$C$10),1,SUM(Assumptions!$C$11)))</f>
        <v>357766.23333333334</v>
      </c>
      <c r="BG12" s="52">
        <f t="shared" ca="1" si="7"/>
        <v>1479501.7333333334</v>
      </c>
    </row>
    <row r="13" spans="1:59" s="3" customFormat="1" ht="16.149999999999999" customHeight="1" thickBot="1" x14ac:dyDescent="0.35">
      <c r="A13" s="172"/>
      <c r="B13" s="56" t="s">
        <v>108</v>
      </c>
      <c r="C13" s="57">
        <f ca="1">SUM(OFFSET(C10,1,0,ROW($B13)-ROW($B10)-1,1))</f>
        <v>46000</v>
      </c>
      <c r="D13" s="57">
        <f t="shared" ref="D13:BG13" ca="1" si="8">SUM(OFFSET(D10,1,0,ROW($B13)-ROW($B10)-1,1))</f>
        <v>39523.066666666666</v>
      </c>
      <c r="E13" s="57">
        <f t="shared" ca="1" si="8"/>
        <v>47466.666666666672</v>
      </c>
      <c r="F13" s="57">
        <f t="shared" ca="1" si="8"/>
        <v>49473.333333333328</v>
      </c>
      <c r="G13" s="57">
        <f t="shared" ca="1" si="8"/>
        <v>51467</v>
      </c>
      <c r="H13" s="57">
        <f t="shared" ca="1" si="8"/>
        <v>50274.166666666672</v>
      </c>
      <c r="I13" s="57">
        <f t="shared" ca="1" si="8"/>
        <v>42724.5</v>
      </c>
      <c r="J13" s="57">
        <f t="shared" ca="1" si="8"/>
        <v>51135</v>
      </c>
      <c r="K13" s="57">
        <f t="shared" ca="1" si="8"/>
        <v>45950</v>
      </c>
      <c r="L13" s="57">
        <f t="shared" ca="1" si="8"/>
        <v>47946.666666666672</v>
      </c>
      <c r="M13" s="57">
        <f t="shared" ca="1" si="8"/>
        <v>53845</v>
      </c>
      <c r="N13" s="57">
        <f t="shared" ca="1" si="8"/>
        <v>53518.666666666672</v>
      </c>
      <c r="O13" s="57">
        <f t="shared" ca="1" si="8"/>
        <v>51098.333333333336</v>
      </c>
      <c r="P13" s="57">
        <f t="shared" ca="1" si="8"/>
        <v>57983.333333333336</v>
      </c>
      <c r="Q13" s="57">
        <f t="shared" ca="1" si="8"/>
        <v>51680</v>
      </c>
      <c r="R13" s="57">
        <f t="shared" ca="1" si="8"/>
        <v>48665.333333333336</v>
      </c>
      <c r="S13" s="57">
        <f t="shared" ca="1" si="8"/>
        <v>53992.5</v>
      </c>
      <c r="T13" s="57">
        <f t="shared" ca="1" si="8"/>
        <v>55696</v>
      </c>
      <c r="U13" s="57">
        <f t="shared" ca="1" si="8"/>
        <v>57197.166666666672</v>
      </c>
      <c r="V13" s="57">
        <f t="shared" ca="1" si="8"/>
        <v>51718.333333333336</v>
      </c>
      <c r="W13" s="57">
        <f t="shared" ca="1" si="8"/>
        <v>51765</v>
      </c>
      <c r="X13" s="57">
        <f t="shared" ca="1" si="8"/>
        <v>58391.666666666672</v>
      </c>
      <c r="Y13" s="57">
        <f t="shared" ca="1" si="8"/>
        <v>55544.666666666672</v>
      </c>
      <c r="Z13" s="57">
        <f t="shared" ca="1" si="8"/>
        <v>57377</v>
      </c>
      <c r="AA13" s="57">
        <f t="shared" ca="1" si="8"/>
        <v>55097</v>
      </c>
      <c r="AB13" s="57">
        <f t="shared" ca="1" si="8"/>
        <v>55774</v>
      </c>
      <c r="AC13" s="57">
        <f t="shared" ca="1" si="8"/>
        <v>58523.333333333336</v>
      </c>
      <c r="AD13" s="57">
        <f t="shared" ca="1" si="8"/>
        <v>57960</v>
      </c>
      <c r="AE13" s="57">
        <f t="shared" ca="1" si="8"/>
        <v>59210</v>
      </c>
      <c r="AF13" s="57">
        <f t="shared" ca="1" si="8"/>
        <v>58457.5</v>
      </c>
      <c r="AG13" s="57">
        <f t="shared" ca="1" si="8"/>
        <v>62591.666666666664</v>
      </c>
      <c r="AH13" s="57">
        <f t="shared" ca="1" si="8"/>
        <v>62486.666666666672</v>
      </c>
      <c r="AI13" s="57">
        <f t="shared" ca="1" si="8"/>
        <v>60325</v>
      </c>
      <c r="AJ13" s="57">
        <f t="shared" ca="1" si="8"/>
        <v>64833.333333333336</v>
      </c>
      <c r="AK13" s="57">
        <f t="shared" ca="1" si="8"/>
        <v>61380</v>
      </c>
      <c r="AL13" s="57">
        <f t="shared" ca="1" si="8"/>
        <v>60800</v>
      </c>
      <c r="AM13" s="57">
        <f t="shared" ca="1" si="8"/>
        <v>63525</v>
      </c>
      <c r="AN13" s="57">
        <f t="shared" ca="1" si="8"/>
        <v>58905</v>
      </c>
      <c r="AO13" s="57">
        <f t="shared" ca="1" si="8"/>
        <v>64350</v>
      </c>
      <c r="AP13" s="57">
        <f t="shared" ca="1" si="8"/>
        <v>54978</v>
      </c>
      <c r="AQ13" s="57">
        <f t="shared" ca="1" si="8"/>
        <v>51455</v>
      </c>
      <c r="AR13" s="57">
        <f t="shared" ca="1" si="8"/>
        <v>52800</v>
      </c>
      <c r="AS13" s="57">
        <f t="shared" ca="1" si="8"/>
        <v>38038.666666666672</v>
      </c>
      <c r="AT13" s="57">
        <f t="shared" ca="1" si="8"/>
        <v>31802.466666666667</v>
      </c>
      <c r="AU13" s="57">
        <f t="shared" ca="1" si="8"/>
        <v>34482.800000000003</v>
      </c>
      <c r="AV13" s="57">
        <f t="shared" ca="1" si="8"/>
        <v>46182.5</v>
      </c>
      <c r="AW13" s="57">
        <f t="shared" ca="1" si="8"/>
        <v>63746.666666666672</v>
      </c>
      <c r="AX13" s="57">
        <f t="shared" ca="1" si="8"/>
        <v>64916.666666666672</v>
      </c>
      <c r="AY13" s="57">
        <f t="shared" ca="1" si="8"/>
        <v>65313.333333333336</v>
      </c>
      <c r="AZ13" s="57">
        <f t="shared" ca="1" si="8"/>
        <v>64283.333333333328</v>
      </c>
      <c r="BA13" s="57">
        <f t="shared" ca="1" si="8"/>
        <v>64090</v>
      </c>
      <c r="BB13" s="57">
        <f t="shared" ca="1" si="8"/>
        <v>65552</v>
      </c>
      <c r="BC13" s="57">
        <f t="shared" ca="1" si="8"/>
        <v>630422.4</v>
      </c>
      <c r="BD13" s="57">
        <f t="shared" ca="1" si="8"/>
        <v>710882</v>
      </c>
      <c r="BE13" s="57">
        <f t="shared" ca="1" si="8"/>
        <v>793347.5</v>
      </c>
      <c r="BF13" s="57">
        <f t="shared" ca="1" si="8"/>
        <v>697641.43333333335</v>
      </c>
      <c r="BG13" s="57">
        <f t="shared" ca="1" si="8"/>
        <v>2832293.3333333335</v>
      </c>
    </row>
    <row r="14" spans="1:59" s="58" customFormat="1" ht="16.149999999999999" customHeight="1" x14ac:dyDescent="0.3">
      <c r="A14" s="173"/>
      <c r="B14" s="58" t="s">
        <v>105</v>
      </c>
      <c r="C14" s="59">
        <v>0.35</v>
      </c>
      <c r="D14" s="59">
        <v>0.36</v>
      </c>
      <c r="E14" s="59">
        <v>0.35</v>
      </c>
      <c r="F14" s="59">
        <v>0.35</v>
      </c>
      <c r="G14" s="59">
        <v>0.36</v>
      </c>
      <c r="H14" s="59">
        <v>0.37</v>
      </c>
      <c r="I14" s="59">
        <v>0.37</v>
      </c>
      <c r="J14" s="59">
        <v>0.37</v>
      </c>
      <c r="K14" s="59">
        <v>0.37</v>
      </c>
      <c r="L14" s="59">
        <v>0.37</v>
      </c>
      <c r="M14" s="59">
        <v>0.37</v>
      </c>
      <c r="N14" s="59">
        <v>0.37</v>
      </c>
      <c r="O14" s="59">
        <v>0.37</v>
      </c>
      <c r="P14" s="59">
        <v>0.37</v>
      </c>
      <c r="Q14" s="59">
        <v>0.37</v>
      </c>
      <c r="R14" s="59">
        <v>0.37</v>
      </c>
      <c r="S14" s="59">
        <v>0.37</v>
      </c>
      <c r="T14" s="59">
        <v>0.37</v>
      </c>
      <c r="U14" s="59">
        <v>0.37</v>
      </c>
      <c r="V14" s="59">
        <v>0.38</v>
      </c>
      <c r="W14" s="59">
        <v>0.38</v>
      </c>
      <c r="X14" s="59">
        <v>0.38</v>
      </c>
      <c r="Y14" s="59">
        <v>0.38</v>
      </c>
      <c r="Z14" s="59">
        <v>0.38</v>
      </c>
      <c r="AA14" s="59">
        <v>0.38</v>
      </c>
      <c r="AB14" s="59">
        <v>0.39</v>
      </c>
      <c r="AC14" s="59">
        <v>0.4</v>
      </c>
      <c r="AD14" s="59">
        <v>0.4</v>
      </c>
      <c r="AE14" s="59">
        <v>0.4</v>
      </c>
      <c r="AF14" s="59">
        <v>0.4</v>
      </c>
      <c r="AG14" s="59">
        <v>0.4</v>
      </c>
      <c r="AH14" s="59">
        <v>0.4</v>
      </c>
      <c r="AI14" s="59">
        <v>0.4</v>
      </c>
      <c r="AJ14" s="59">
        <v>0.4</v>
      </c>
      <c r="AK14" s="59">
        <v>0.4</v>
      </c>
      <c r="AL14" s="59">
        <v>0.4</v>
      </c>
      <c r="AM14" s="59">
        <v>0.4</v>
      </c>
      <c r="AN14" s="59">
        <v>0.4</v>
      </c>
      <c r="AO14" s="59">
        <v>0.4</v>
      </c>
      <c r="AP14" s="59">
        <v>0.4</v>
      </c>
      <c r="AQ14" s="59">
        <v>0.4</v>
      </c>
      <c r="AR14" s="59">
        <v>0.4</v>
      </c>
      <c r="AS14" s="59">
        <v>0.4</v>
      </c>
      <c r="AT14" s="59">
        <v>0.4</v>
      </c>
      <c r="AU14" s="59">
        <v>0.4</v>
      </c>
      <c r="AV14" s="59">
        <v>0.4</v>
      </c>
      <c r="AW14" s="59">
        <v>0.4</v>
      </c>
      <c r="AX14" s="59">
        <v>0.4</v>
      </c>
      <c r="AY14" s="59">
        <v>0.4</v>
      </c>
      <c r="AZ14" s="59">
        <v>0.4</v>
      </c>
      <c r="BA14" s="59">
        <v>0.4</v>
      </c>
      <c r="BB14" s="59">
        <v>0.4</v>
      </c>
      <c r="BC14" s="60">
        <f t="shared" ref="BC14:BG14" ca="1" si="9">IF(BC5=0,0,BC11/BC5)</f>
        <v>0.36382561389498908</v>
      </c>
      <c r="BD14" s="60">
        <f t="shared" ca="1" si="9"/>
        <v>0.37618896925858952</v>
      </c>
      <c r="BE14" s="60">
        <f t="shared" ca="1" si="9"/>
        <v>0.4</v>
      </c>
      <c r="BF14" s="60">
        <f t="shared" ca="1" si="9"/>
        <v>0.39999999999999997</v>
      </c>
      <c r="BG14" s="60">
        <f t="shared" ca="1" si="9"/>
        <v>0.38572632649849109</v>
      </c>
    </row>
    <row r="15" spans="1:59" s="58" customFormat="1" ht="16.149999999999999" customHeight="1" x14ac:dyDescent="0.3">
      <c r="A15" s="173"/>
      <c r="B15" s="58" t="s">
        <v>106</v>
      </c>
      <c r="C15" s="59">
        <v>1</v>
      </c>
      <c r="D15" s="59">
        <v>1</v>
      </c>
      <c r="E15" s="59">
        <v>1</v>
      </c>
      <c r="F15" s="59">
        <v>1</v>
      </c>
      <c r="G15" s="59">
        <v>1</v>
      </c>
      <c r="H15" s="59">
        <v>1</v>
      </c>
      <c r="I15" s="59">
        <v>1</v>
      </c>
      <c r="J15" s="59">
        <v>1</v>
      </c>
      <c r="K15" s="59">
        <v>1</v>
      </c>
      <c r="L15" s="59">
        <v>1</v>
      </c>
      <c r="M15" s="59">
        <v>1</v>
      </c>
      <c r="N15" s="59">
        <v>1</v>
      </c>
      <c r="O15" s="59">
        <v>1</v>
      </c>
      <c r="P15" s="59">
        <v>1</v>
      </c>
      <c r="Q15" s="59">
        <v>1</v>
      </c>
      <c r="R15" s="59">
        <v>1</v>
      </c>
      <c r="S15" s="59">
        <v>1</v>
      </c>
      <c r="T15" s="59">
        <v>1</v>
      </c>
      <c r="U15" s="59">
        <v>1</v>
      </c>
      <c r="V15" s="59">
        <v>1</v>
      </c>
      <c r="W15" s="59">
        <v>1</v>
      </c>
      <c r="X15" s="59">
        <v>1</v>
      </c>
      <c r="Y15" s="59">
        <v>1</v>
      </c>
      <c r="Z15" s="59">
        <v>1</v>
      </c>
      <c r="AA15" s="59">
        <v>1</v>
      </c>
      <c r="AB15" s="59">
        <v>1</v>
      </c>
      <c r="AC15" s="59">
        <v>1</v>
      </c>
      <c r="AD15" s="59">
        <v>1</v>
      </c>
      <c r="AE15" s="59">
        <v>1</v>
      </c>
      <c r="AF15" s="59">
        <v>1</v>
      </c>
      <c r="AG15" s="59">
        <v>1</v>
      </c>
      <c r="AH15" s="59">
        <v>1</v>
      </c>
      <c r="AI15" s="59">
        <v>1</v>
      </c>
      <c r="AJ15" s="59">
        <v>1</v>
      </c>
      <c r="AK15" s="59">
        <v>1</v>
      </c>
      <c r="AL15" s="59">
        <v>1</v>
      </c>
      <c r="AM15" s="59">
        <v>1</v>
      </c>
      <c r="AN15" s="59">
        <v>1</v>
      </c>
      <c r="AO15" s="59">
        <v>1</v>
      </c>
      <c r="AP15" s="59">
        <v>1</v>
      </c>
      <c r="AQ15" s="59">
        <v>1</v>
      </c>
      <c r="AR15" s="59">
        <v>1</v>
      </c>
      <c r="AS15" s="59">
        <v>1</v>
      </c>
      <c r="AT15" s="59">
        <v>1</v>
      </c>
      <c r="AU15" s="59">
        <v>1</v>
      </c>
      <c r="AV15" s="59">
        <v>1</v>
      </c>
      <c r="AW15" s="59">
        <v>1</v>
      </c>
      <c r="AX15" s="59">
        <v>1</v>
      </c>
      <c r="AY15" s="59">
        <v>1</v>
      </c>
      <c r="AZ15" s="59">
        <v>1</v>
      </c>
      <c r="BA15" s="59">
        <v>1</v>
      </c>
      <c r="BB15" s="59">
        <v>1</v>
      </c>
      <c r="BC15" s="60">
        <f t="shared" ref="BC15:BG15" ca="1" si="10">IF(BC6=0,0,BC12/BC6)</f>
        <v>1</v>
      </c>
      <c r="BD15" s="60">
        <f t="shared" ca="1" si="10"/>
        <v>1</v>
      </c>
      <c r="BE15" s="60">
        <f t="shared" ca="1" si="10"/>
        <v>1</v>
      </c>
      <c r="BF15" s="60">
        <f t="shared" ca="1" si="10"/>
        <v>1</v>
      </c>
      <c r="BG15" s="60">
        <f t="shared" ca="1" si="10"/>
        <v>1</v>
      </c>
    </row>
    <row r="16" spans="1:59" s="61" customFormat="1" ht="16.149999999999999" customHeight="1" thickBot="1" x14ac:dyDescent="0.35">
      <c r="A16" s="174"/>
      <c r="B16" s="61" t="s">
        <v>2</v>
      </c>
      <c r="C16" s="62">
        <f ca="1">IF(C7=0,0,C13/C7)</f>
        <v>0.54117647058823526</v>
      </c>
      <c r="D16" s="62">
        <f t="shared" ref="D16:BG16" ca="1" si="11">IF(D7=0,0,D13/D7)</f>
        <v>0.54556213017751487</v>
      </c>
      <c r="E16" s="62">
        <f t="shared" ca="1" si="11"/>
        <v>0.53293413173652693</v>
      </c>
      <c r="F16" s="62">
        <f t="shared" ca="1" si="11"/>
        <v>0.5370919881305638</v>
      </c>
      <c r="G16" s="62">
        <f t="shared" ca="1" si="11"/>
        <v>0.55606936416184971</v>
      </c>
      <c r="H16" s="62">
        <f t="shared" ca="1" si="11"/>
        <v>0.5667621776504298</v>
      </c>
      <c r="I16" s="62">
        <f t="shared" ca="1" si="11"/>
        <v>0.5539823008849557</v>
      </c>
      <c r="J16" s="62">
        <f t="shared" ca="1" si="11"/>
        <v>0.56300578034682081</v>
      </c>
      <c r="K16" s="62">
        <f t="shared" ca="1" si="11"/>
        <v>0.54865671641791047</v>
      </c>
      <c r="L16" s="62">
        <f t="shared" ca="1" si="11"/>
        <v>0.54320241691842908</v>
      </c>
      <c r="M16" s="62">
        <f t="shared" ca="1" si="11"/>
        <v>0.56426512968299714</v>
      </c>
      <c r="N16" s="62">
        <f t="shared" ca="1" si="11"/>
        <v>0.56426512968299714</v>
      </c>
      <c r="O16" s="62">
        <f t="shared" ca="1" si="11"/>
        <v>0.5667621776504298</v>
      </c>
      <c r="P16" s="62">
        <f t="shared" ca="1" si="11"/>
        <v>0.56799999999999995</v>
      </c>
      <c r="Q16" s="62">
        <f t="shared" ca="1" si="11"/>
        <v>0.56173913043478263</v>
      </c>
      <c r="R16" s="62">
        <f t="shared" ca="1" si="11"/>
        <v>0.54457831325301198</v>
      </c>
      <c r="S16" s="62">
        <f t="shared" ca="1" si="11"/>
        <v>0.5539823008849557</v>
      </c>
      <c r="T16" s="62">
        <f t="shared" ca="1" si="11"/>
        <v>0.55529411764705883</v>
      </c>
      <c r="U16" s="62">
        <f t="shared" ca="1" si="11"/>
        <v>0.5667621776504298</v>
      </c>
      <c r="V16" s="62">
        <f t="shared" ca="1" si="11"/>
        <v>0.5736389684813753</v>
      </c>
      <c r="W16" s="62">
        <f t="shared" ca="1" si="11"/>
        <v>0.5699421965317919</v>
      </c>
      <c r="X16" s="62">
        <f t="shared" ca="1" si="11"/>
        <v>0.57363896848137541</v>
      </c>
      <c r="Y16" s="62">
        <f t="shared" ca="1" si="11"/>
        <v>0.5699421965317919</v>
      </c>
      <c r="Z16" s="62">
        <f t="shared" ca="1" si="11"/>
        <v>0.56106194690265487</v>
      </c>
      <c r="AA16" s="62">
        <f t="shared" ca="1" si="11"/>
        <v>0.55449101796407185</v>
      </c>
      <c r="AB16" s="62">
        <f t="shared" ca="1" si="11"/>
        <v>0.56428571428571428</v>
      </c>
      <c r="AC16" s="62">
        <f t="shared" ca="1" si="11"/>
        <v>0.57396449704142005</v>
      </c>
      <c r="AD16" s="62">
        <f t="shared" ca="1" si="11"/>
        <v>0.56756756756756754</v>
      </c>
      <c r="AE16" s="62">
        <f t="shared" ca="1" si="11"/>
        <v>0.57014925373134329</v>
      </c>
      <c r="AF16" s="62">
        <f t="shared" ca="1" si="11"/>
        <v>0.58260869565217388</v>
      </c>
      <c r="AG16" s="62">
        <f t="shared" ca="1" si="11"/>
        <v>0.58501440922190207</v>
      </c>
      <c r="AH16" s="62">
        <f t="shared" ca="1" si="11"/>
        <v>0.58857142857142863</v>
      </c>
      <c r="AI16" s="62">
        <f t="shared" ca="1" si="11"/>
        <v>0.56886227544910184</v>
      </c>
      <c r="AJ16" s="62">
        <f t="shared" ca="1" si="11"/>
        <v>0.58139534883720922</v>
      </c>
      <c r="AK16" s="62">
        <f t="shared" ca="1" si="11"/>
        <v>0.57894736842105265</v>
      </c>
      <c r="AL16" s="62">
        <f t="shared" ca="1" si="11"/>
        <v>0.5714285714285714</v>
      </c>
      <c r="AM16" s="62">
        <f t="shared" ca="1" si="11"/>
        <v>0.57894736842105265</v>
      </c>
      <c r="AN16" s="62">
        <f t="shared" ca="1" si="11"/>
        <v>0.56756756756756754</v>
      </c>
      <c r="AO16" s="62">
        <f t="shared" ca="1" si="11"/>
        <v>0.57894736842105265</v>
      </c>
      <c r="AP16" s="62">
        <f t="shared" ca="1" si="11"/>
        <v>0.56495468277945615</v>
      </c>
      <c r="AQ16" s="62">
        <f t="shared" ca="1" si="11"/>
        <v>0.58739255014326652</v>
      </c>
      <c r="AR16" s="62">
        <f t="shared" ca="1" si="11"/>
        <v>0.58139534883720934</v>
      </c>
      <c r="AS16" s="62">
        <f t="shared" ca="1" si="11"/>
        <v>0.5662650602409639</v>
      </c>
      <c r="AT16" s="62">
        <f t="shared" ca="1" si="11"/>
        <v>0.56495468277945626</v>
      </c>
      <c r="AU16" s="62">
        <f t="shared" ca="1" si="11"/>
        <v>0.56495468277945626</v>
      </c>
      <c r="AV16" s="62">
        <f t="shared" ca="1" si="11"/>
        <v>0.58501440922190207</v>
      </c>
      <c r="AW16" s="62">
        <f t="shared" ca="1" si="11"/>
        <v>0.58139534883720934</v>
      </c>
      <c r="AX16" s="62">
        <f t="shared" ca="1" si="11"/>
        <v>0.58739255014326652</v>
      </c>
      <c r="AY16" s="62">
        <f t="shared" ca="1" si="11"/>
        <v>0.58381502890173409</v>
      </c>
      <c r="AZ16" s="62">
        <f t="shared" ca="1" si="11"/>
        <v>0.56886227544910173</v>
      </c>
      <c r="BA16" s="62">
        <f t="shared" ca="1" si="11"/>
        <v>0.5752212389380531</v>
      </c>
      <c r="BB16" s="62">
        <f t="shared" ca="1" si="11"/>
        <v>0.58620689655172409</v>
      </c>
      <c r="BC16" s="62">
        <f t="shared" ca="1" si="11"/>
        <v>0.55286728324145518</v>
      </c>
      <c r="BD16" s="62">
        <f t="shared" ca="1" si="11"/>
        <v>0.56292770998471686</v>
      </c>
      <c r="BE16" s="62">
        <f t="shared" ca="1" si="11"/>
        <v>0.57653240120851634</v>
      </c>
      <c r="BF16" s="62">
        <f t="shared" ca="1" si="11"/>
        <v>0.57777877957941648</v>
      </c>
      <c r="BG16" s="62">
        <f t="shared" ca="1" si="11"/>
        <v>0.56797746871012922</v>
      </c>
    </row>
    <row r="17" spans="1:59" s="16" customFormat="1" ht="16.149999999999999" customHeight="1" x14ac:dyDescent="0.3">
      <c r="A17" s="171"/>
      <c r="B17" s="55" t="s">
        <v>260</v>
      </c>
      <c r="C17" s="51">
        <v>0</v>
      </c>
      <c r="D17" s="51">
        <v>0</v>
      </c>
      <c r="E17" s="51">
        <v>0</v>
      </c>
      <c r="F17" s="51">
        <v>0</v>
      </c>
      <c r="G17" s="51">
        <v>500</v>
      </c>
      <c r="H17" s="51">
        <v>0</v>
      </c>
      <c r="I17" s="51">
        <v>0</v>
      </c>
      <c r="J17" s="51">
        <v>0</v>
      </c>
      <c r="K17" s="51">
        <v>500</v>
      </c>
      <c r="L17" s="51">
        <v>0</v>
      </c>
      <c r="M17" s="51">
        <v>0</v>
      </c>
      <c r="N17" s="51">
        <v>0</v>
      </c>
      <c r="O17" s="51">
        <v>500</v>
      </c>
      <c r="P17" s="51">
        <v>0</v>
      </c>
      <c r="Q17" s="51">
        <v>0</v>
      </c>
      <c r="R17" s="51">
        <v>0</v>
      </c>
      <c r="S17" s="51">
        <v>0</v>
      </c>
      <c r="T17" s="51">
        <v>500</v>
      </c>
      <c r="U17" s="51">
        <v>0</v>
      </c>
      <c r="V17" s="51">
        <v>0</v>
      </c>
      <c r="W17" s="51">
        <v>0</v>
      </c>
      <c r="X17" s="51">
        <v>500</v>
      </c>
      <c r="Y17" s="51">
        <v>0</v>
      </c>
      <c r="Z17" s="51">
        <v>0</v>
      </c>
      <c r="AA17" s="51">
        <v>0</v>
      </c>
      <c r="AB17" s="51">
        <v>500</v>
      </c>
      <c r="AC17" s="51">
        <v>0</v>
      </c>
      <c r="AD17" s="51">
        <v>0</v>
      </c>
      <c r="AE17" s="51">
        <v>0</v>
      </c>
      <c r="AF17" s="51">
        <v>0</v>
      </c>
      <c r="AG17" s="51">
        <v>500</v>
      </c>
      <c r="AH17" s="51">
        <v>0</v>
      </c>
      <c r="AI17" s="51">
        <v>0</v>
      </c>
      <c r="AJ17" s="51">
        <v>0</v>
      </c>
      <c r="AK17" s="51">
        <v>500</v>
      </c>
      <c r="AL17" s="51">
        <v>0</v>
      </c>
      <c r="AM17" s="51">
        <v>0</v>
      </c>
      <c r="AN17" s="51">
        <v>0</v>
      </c>
      <c r="AO17" s="51">
        <v>500</v>
      </c>
      <c r="AP17" s="51">
        <v>0</v>
      </c>
      <c r="AQ17" s="51">
        <v>0</v>
      </c>
      <c r="AR17" s="51">
        <v>0</v>
      </c>
      <c r="AS17" s="51">
        <v>0</v>
      </c>
      <c r="AT17" s="51">
        <v>500</v>
      </c>
      <c r="AU17" s="51">
        <v>0</v>
      </c>
      <c r="AV17" s="51">
        <v>0</v>
      </c>
      <c r="AW17" s="51">
        <v>0</v>
      </c>
      <c r="AX17" s="51">
        <v>500</v>
      </c>
      <c r="AY17" s="51">
        <v>0</v>
      </c>
      <c r="AZ17" s="51">
        <v>0</v>
      </c>
      <c r="BA17" s="51">
        <v>0</v>
      </c>
      <c r="BB17" s="51">
        <v>500</v>
      </c>
      <c r="BC17" s="52">
        <f ca="1">SUM(OFFSET($B17,0,1,1,Assumptions!$C$8))</f>
        <v>1500</v>
      </c>
      <c r="BD17" s="52">
        <f ca="1">SUM(OFFSET($B17,0,1+Assumptions!$C$8,1,SUM(Assumptions!$C$9)))</f>
        <v>1500</v>
      </c>
      <c r="BE17" s="52">
        <f ca="1">SUM(OFFSET($B17,0,1+SUM(Assumptions!$C$8:$C$9),1,SUM(Assumptions!$C$10)))</f>
        <v>1500</v>
      </c>
      <c r="BF17" s="52">
        <f ca="1">SUM(OFFSET($B17,0,1+SUM(Assumptions!$C$8:$C$10),1,SUM(Assumptions!$C$11)))</f>
        <v>1500</v>
      </c>
      <c r="BG17" s="52">
        <f t="shared" ref="BG17" ca="1" si="12">SUM(BC17:BF17)</f>
        <v>6000</v>
      </c>
    </row>
    <row r="18" spans="1:59" ht="16.149999999999999" customHeight="1" x14ac:dyDescent="0.3">
      <c r="B18" s="2" t="s">
        <v>109</v>
      </c>
      <c r="C18" s="51"/>
      <c r="D18" s="51"/>
      <c r="E18" s="51"/>
      <c r="F18" s="51"/>
      <c r="G18" s="51"/>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4"/>
      <c r="BD18" s="64"/>
      <c r="BE18" s="64"/>
      <c r="BF18" s="64"/>
      <c r="BG18" s="64"/>
    </row>
    <row r="19" spans="1:59" s="16" customFormat="1" ht="16.149999999999999" customHeight="1" x14ac:dyDescent="0.3">
      <c r="A19" s="171" t="s">
        <v>116</v>
      </c>
      <c r="B19" s="55" t="s">
        <v>3</v>
      </c>
      <c r="C19" s="51">
        <v>0</v>
      </c>
      <c r="D19" s="51">
        <v>0</v>
      </c>
      <c r="E19" s="51">
        <v>0</v>
      </c>
      <c r="F19" s="51">
        <v>0</v>
      </c>
      <c r="G19" s="51">
        <v>2000</v>
      </c>
      <c r="H19" s="51">
        <v>0</v>
      </c>
      <c r="I19" s="51">
        <v>0</v>
      </c>
      <c r="J19" s="51">
        <v>0</v>
      </c>
      <c r="K19" s="51">
        <v>2000</v>
      </c>
      <c r="L19" s="51">
        <v>0</v>
      </c>
      <c r="M19" s="51">
        <v>0</v>
      </c>
      <c r="N19" s="51">
        <v>0</v>
      </c>
      <c r="O19" s="51">
        <v>2000</v>
      </c>
      <c r="P19" s="51">
        <v>0</v>
      </c>
      <c r="Q19" s="51">
        <v>0</v>
      </c>
      <c r="R19" s="51">
        <v>0</v>
      </c>
      <c r="S19" s="51">
        <v>0</v>
      </c>
      <c r="T19" s="51">
        <v>2000</v>
      </c>
      <c r="U19" s="51">
        <v>0</v>
      </c>
      <c r="V19" s="51">
        <v>0</v>
      </c>
      <c r="W19" s="51">
        <v>0</v>
      </c>
      <c r="X19" s="51">
        <v>2000</v>
      </c>
      <c r="Y19" s="51">
        <v>0</v>
      </c>
      <c r="Z19" s="51">
        <v>0</v>
      </c>
      <c r="AA19" s="51">
        <v>0</v>
      </c>
      <c r="AB19" s="51">
        <v>2000</v>
      </c>
      <c r="AC19" s="51">
        <v>0</v>
      </c>
      <c r="AD19" s="51">
        <v>0</v>
      </c>
      <c r="AE19" s="51">
        <v>0</v>
      </c>
      <c r="AF19" s="51">
        <v>0</v>
      </c>
      <c r="AG19" s="51">
        <v>2000</v>
      </c>
      <c r="AH19" s="51">
        <v>0</v>
      </c>
      <c r="AI19" s="51">
        <v>0</v>
      </c>
      <c r="AJ19" s="51">
        <v>0</v>
      </c>
      <c r="AK19" s="51">
        <v>2000</v>
      </c>
      <c r="AL19" s="51">
        <v>0</v>
      </c>
      <c r="AM19" s="51">
        <v>0</v>
      </c>
      <c r="AN19" s="51">
        <v>0</v>
      </c>
      <c r="AO19" s="51">
        <v>2000</v>
      </c>
      <c r="AP19" s="51">
        <v>0</v>
      </c>
      <c r="AQ19" s="51">
        <v>0</v>
      </c>
      <c r="AR19" s="51">
        <v>0</v>
      </c>
      <c r="AS19" s="51">
        <v>0</v>
      </c>
      <c r="AT19" s="51">
        <v>2000</v>
      </c>
      <c r="AU19" s="51">
        <v>0</v>
      </c>
      <c r="AV19" s="51">
        <v>0</v>
      </c>
      <c r="AW19" s="51">
        <v>0</v>
      </c>
      <c r="AX19" s="51">
        <v>2000</v>
      </c>
      <c r="AY19" s="51">
        <v>0</v>
      </c>
      <c r="AZ19" s="51">
        <v>0</v>
      </c>
      <c r="BA19" s="51">
        <v>0</v>
      </c>
      <c r="BB19" s="51">
        <v>2000</v>
      </c>
      <c r="BC19" s="52">
        <f ca="1">SUM(OFFSET($B19,0,1,1,Assumptions!$C$8))</f>
        <v>6000</v>
      </c>
      <c r="BD19" s="52">
        <f ca="1">SUM(OFFSET($B19,0,1+Assumptions!$C$8,1,SUM(Assumptions!$C$9)))</f>
        <v>6000</v>
      </c>
      <c r="BE19" s="52">
        <f ca="1">SUM(OFFSET($B19,0,1+SUM(Assumptions!$C$8:$C$9),1,SUM(Assumptions!$C$10)))</f>
        <v>6000</v>
      </c>
      <c r="BF19" s="52">
        <f ca="1">SUM(OFFSET($B19,0,1+SUM(Assumptions!$C$8:$C$10),1,SUM(Assumptions!$C$11)))</f>
        <v>6000</v>
      </c>
      <c r="BG19" s="52">
        <f t="shared" ref="BG19:BG40" ca="1" si="13">SUM(BC19:BF19)</f>
        <v>24000</v>
      </c>
    </row>
    <row r="20" spans="1:59" s="16" customFormat="1" ht="16.149999999999999" customHeight="1" x14ac:dyDescent="0.3">
      <c r="A20" s="171" t="s">
        <v>116</v>
      </c>
      <c r="B20" s="55" t="s">
        <v>15</v>
      </c>
      <c r="C20" s="51">
        <v>0</v>
      </c>
      <c r="D20" s="51">
        <v>0</v>
      </c>
      <c r="E20" s="51">
        <v>0</v>
      </c>
      <c r="F20" s="51">
        <v>0</v>
      </c>
      <c r="G20" s="51">
        <v>5000</v>
      </c>
      <c r="H20" s="51">
        <v>0</v>
      </c>
      <c r="I20" s="51">
        <v>0</v>
      </c>
      <c r="J20" s="51">
        <v>0</v>
      </c>
      <c r="K20" s="51">
        <v>5000</v>
      </c>
      <c r="L20" s="51">
        <v>0</v>
      </c>
      <c r="M20" s="51">
        <v>0</v>
      </c>
      <c r="N20" s="51">
        <v>0</v>
      </c>
      <c r="O20" s="51">
        <v>25000</v>
      </c>
      <c r="P20" s="51">
        <v>0</v>
      </c>
      <c r="Q20" s="51">
        <v>0</v>
      </c>
      <c r="R20" s="51">
        <v>0</v>
      </c>
      <c r="S20" s="51">
        <v>0</v>
      </c>
      <c r="T20" s="51">
        <v>5000</v>
      </c>
      <c r="U20" s="51">
        <v>0</v>
      </c>
      <c r="V20" s="51">
        <v>0</v>
      </c>
      <c r="W20" s="51">
        <v>0</v>
      </c>
      <c r="X20" s="51">
        <v>5000</v>
      </c>
      <c r="Y20" s="51">
        <v>0</v>
      </c>
      <c r="Z20" s="51">
        <v>0</v>
      </c>
      <c r="AA20" s="51">
        <v>0</v>
      </c>
      <c r="AB20" s="51">
        <v>15000</v>
      </c>
      <c r="AC20" s="51">
        <v>0</v>
      </c>
      <c r="AD20" s="51">
        <v>0</v>
      </c>
      <c r="AE20" s="51">
        <v>0</v>
      </c>
      <c r="AF20" s="51">
        <v>0</v>
      </c>
      <c r="AG20" s="51">
        <v>5000</v>
      </c>
      <c r="AH20" s="51">
        <v>0</v>
      </c>
      <c r="AI20" s="51">
        <v>0</v>
      </c>
      <c r="AJ20" s="51">
        <v>0</v>
      </c>
      <c r="AK20" s="51">
        <v>8000</v>
      </c>
      <c r="AL20" s="51">
        <v>0</v>
      </c>
      <c r="AM20" s="51">
        <v>0</v>
      </c>
      <c r="AN20" s="51">
        <v>0</v>
      </c>
      <c r="AO20" s="51">
        <v>18000</v>
      </c>
      <c r="AP20" s="51">
        <v>0</v>
      </c>
      <c r="AQ20" s="51">
        <v>0</v>
      </c>
      <c r="AR20" s="51">
        <v>0</v>
      </c>
      <c r="AS20" s="51">
        <v>0</v>
      </c>
      <c r="AT20" s="51">
        <v>5000</v>
      </c>
      <c r="AU20" s="51">
        <v>0</v>
      </c>
      <c r="AV20" s="51">
        <v>0</v>
      </c>
      <c r="AW20" s="51">
        <v>0</v>
      </c>
      <c r="AX20" s="51">
        <v>8000</v>
      </c>
      <c r="AY20" s="51">
        <v>0</v>
      </c>
      <c r="AZ20" s="51">
        <v>0</v>
      </c>
      <c r="BA20" s="51">
        <v>0</v>
      </c>
      <c r="BB20" s="51">
        <v>22000</v>
      </c>
      <c r="BC20" s="52">
        <f ca="1">SUM(OFFSET($B20,0,1,1,Assumptions!$C$8))</f>
        <v>35000</v>
      </c>
      <c r="BD20" s="52">
        <f ca="1">SUM(OFFSET($B20,0,1+Assumptions!$C$8,1,SUM(Assumptions!$C$9)))</f>
        <v>25000</v>
      </c>
      <c r="BE20" s="52">
        <f ca="1">SUM(OFFSET($B20,0,1+SUM(Assumptions!$C$8:$C$9),1,SUM(Assumptions!$C$10)))</f>
        <v>31000</v>
      </c>
      <c r="BF20" s="52">
        <f ca="1">SUM(OFFSET($B20,0,1+SUM(Assumptions!$C$8:$C$10),1,SUM(Assumptions!$C$11)))</f>
        <v>35000</v>
      </c>
      <c r="BG20" s="52">
        <f t="shared" ca="1" si="13"/>
        <v>126000</v>
      </c>
    </row>
    <row r="21" spans="1:59" s="16" customFormat="1" ht="16.149999999999999" customHeight="1" x14ac:dyDescent="0.3">
      <c r="A21" s="171" t="s">
        <v>117</v>
      </c>
      <c r="B21" s="55" t="s">
        <v>4</v>
      </c>
      <c r="C21" s="51">
        <v>0</v>
      </c>
      <c r="D21" s="51">
        <v>0</v>
      </c>
      <c r="E21" s="51">
        <v>0</v>
      </c>
      <c r="F21" s="51">
        <v>0</v>
      </c>
      <c r="G21" s="51">
        <v>250</v>
      </c>
      <c r="H21" s="51">
        <v>0</v>
      </c>
      <c r="I21" s="51">
        <v>0</v>
      </c>
      <c r="J21" s="51">
        <v>0</v>
      </c>
      <c r="K21" s="51">
        <v>250</v>
      </c>
      <c r="L21" s="51">
        <v>0</v>
      </c>
      <c r="M21" s="51">
        <v>0</v>
      </c>
      <c r="N21" s="51">
        <v>0</v>
      </c>
      <c r="O21" s="51">
        <v>250</v>
      </c>
      <c r="P21" s="51">
        <v>0</v>
      </c>
      <c r="Q21" s="51">
        <v>0</v>
      </c>
      <c r="R21" s="51">
        <v>0</v>
      </c>
      <c r="S21" s="51">
        <v>0</v>
      </c>
      <c r="T21" s="51">
        <v>500</v>
      </c>
      <c r="U21" s="51">
        <v>0</v>
      </c>
      <c r="V21" s="51">
        <v>0</v>
      </c>
      <c r="W21" s="51">
        <v>0</v>
      </c>
      <c r="X21" s="51">
        <v>500</v>
      </c>
      <c r="Y21" s="51">
        <v>0</v>
      </c>
      <c r="Z21" s="51">
        <v>0</v>
      </c>
      <c r="AA21" s="51">
        <v>0</v>
      </c>
      <c r="AB21" s="51">
        <v>500</v>
      </c>
      <c r="AC21" s="51">
        <v>0</v>
      </c>
      <c r="AD21" s="51">
        <v>0</v>
      </c>
      <c r="AE21" s="51">
        <v>0</v>
      </c>
      <c r="AF21" s="51">
        <v>0</v>
      </c>
      <c r="AG21" s="51">
        <v>500</v>
      </c>
      <c r="AH21" s="51">
        <v>0</v>
      </c>
      <c r="AI21" s="51">
        <v>0</v>
      </c>
      <c r="AJ21" s="51">
        <v>0</v>
      </c>
      <c r="AK21" s="51">
        <v>500</v>
      </c>
      <c r="AL21" s="51">
        <v>0</v>
      </c>
      <c r="AM21" s="51">
        <v>0</v>
      </c>
      <c r="AN21" s="51">
        <v>0</v>
      </c>
      <c r="AO21" s="51">
        <v>500</v>
      </c>
      <c r="AP21" s="51">
        <v>0</v>
      </c>
      <c r="AQ21" s="51">
        <v>0</v>
      </c>
      <c r="AR21" s="51">
        <v>0</v>
      </c>
      <c r="AS21" s="51">
        <v>0</v>
      </c>
      <c r="AT21" s="51">
        <v>500</v>
      </c>
      <c r="AU21" s="51">
        <v>0</v>
      </c>
      <c r="AV21" s="51">
        <v>0</v>
      </c>
      <c r="AW21" s="51">
        <v>0</v>
      </c>
      <c r="AX21" s="51">
        <v>500</v>
      </c>
      <c r="AY21" s="51">
        <v>0</v>
      </c>
      <c r="AZ21" s="51">
        <v>0</v>
      </c>
      <c r="BA21" s="51">
        <v>0</v>
      </c>
      <c r="BB21" s="51">
        <v>500</v>
      </c>
      <c r="BC21" s="52">
        <f ca="1">SUM(OFFSET($B21,0,1,1,Assumptions!$C$8))</f>
        <v>750</v>
      </c>
      <c r="BD21" s="52">
        <f ca="1">SUM(OFFSET($B21,0,1+Assumptions!$C$8,1,SUM(Assumptions!$C$9)))</f>
        <v>1500</v>
      </c>
      <c r="BE21" s="52">
        <f ca="1">SUM(OFFSET($B21,0,1+SUM(Assumptions!$C$8:$C$9),1,SUM(Assumptions!$C$10)))</f>
        <v>1500</v>
      </c>
      <c r="BF21" s="52">
        <f ca="1">SUM(OFFSET($B21,0,1+SUM(Assumptions!$C$8:$C$10),1,SUM(Assumptions!$C$11)))</f>
        <v>1500</v>
      </c>
      <c r="BG21" s="52">
        <f t="shared" ca="1" si="13"/>
        <v>5250</v>
      </c>
    </row>
    <row r="22" spans="1:59" s="16" customFormat="1" ht="16.149999999999999" customHeight="1" x14ac:dyDescent="0.3">
      <c r="A22" s="171" t="s">
        <v>117</v>
      </c>
      <c r="B22" s="55" t="s">
        <v>16</v>
      </c>
      <c r="C22" s="51">
        <v>0</v>
      </c>
      <c r="D22" s="51">
        <v>0</v>
      </c>
      <c r="E22" s="51">
        <v>800</v>
      </c>
      <c r="F22" s="51">
        <v>0</v>
      </c>
      <c r="G22" s="51">
        <v>0</v>
      </c>
      <c r="H22" s="51">
        <v>0</v>
      </c>
      <c r="I22" s="51">
        <v>0</v>
      </c>
      <c r="J22" s="51">
        <v>860</v>
      </c>
      <c r="K22" s="51">
        <v>0</v>
      </c>
      <c r="L22" s="51">
        <v>0</v>
      </c>
      <c r="M22" s="51">
        <v>860</v>
      </c>
      <c r="N22" s="51">
        <v>0</v>
      </c>
      <c r="O22" s="51">
        <v>0</v>
      </c>
      <c r="P22" s="51">
        <v>0</v>
      </c>
      <c r="Q22" s="51">
        <v>0</v>
      </c>
      <c r="R22" s="51">
        <v>920</v>
      </c>
      <c r="S22" s="51">
        <v>0</v>
      </c>
      <c r="T22" s="51">
        <v>0</v>
      </c>
      <c r="U22" s="51">
        <v>0</v>
      </c>
      <c r="V22" s="51">
        <v>920</v>
      </c>
      <c r="W22" s="51">
        <v>0</v>
      </c>
      <c r="X22" s="51">
        <v>0</v>
      </c>
      <c r="Y22" s="51">
        <v>0</v>
      </c>
      <c r="Z22" s="51">
        <v>945</v>
      </c>
      <c r="AA22" s="51">
        <v>0</v>
      </c>
      <c r="AB22" s="51">
        <v>0</v>
      </c>
      <c r="AC22" s="51">
        <v>0</v>
      </c>
      <c r="AD22" s="51">
        <v>0</v>
      </c>
      <c r="AE22" s="51">
        <v>950</v>
      </c>
      <c r="AF22" s="51">
        <v>0</v>
      </c>
      <c r="AG22" s="51">
        <v>0</v>
      </c>
      <c r="AH22" s="51">
        <v>0</v>
      </c>
      <c r="AI22" s="51">
        <v>950</v>
      </c>
      <c r="AJ22" s="51">
        <v>0</v>
      </c>
      <c r="AK22" s="51">
        <v>0</v>
      </c>
      <c r="AL22" s="51">
        <v>0</v>
      </c>
      <c r="AM22" s="51">
        <v>950</v>
      </c>
      <c r="AN22" s="51">
        <v>0</v>
      </c>
      <c r="AO22" s="51">
        <v>0</v>
      </c>
      <c r="AP22" s="51">
        <v>0</v>
      </c>
      <c r="AQ22" s="51">
        <v>0</v>
      </c>
      <c r="AR22" s="51">
        <v>950</v>
      </c>
      <c r="AS22" s="51">
        <v>0</v>
      </c>
      <c r="AT22" s="51">
        <v>0</v>
      </c>
      <c r="AU22" s="51">
        <v>0</v>
      </c>
      <c r="AV22" s="51">
        <v>950</v>
      </c>
      <c r="AW22" s="51">
        <v>0</v>
      </c>
      <c r="AX22" s="51">
        <v>0</v>
      </c>
      <c r="AY22" s="51">
        <v>0</v>
      </c>
      <c r="AZ22" s="51">
        <v>970</v>
      </c>
      <c r="BA22" s="51">
        <v>0</v>
      </c>
      <c r="BB22" s="51">
        <v>0</v>
      </c>
      <c r="BC22" s="52">
        <f ca="1">SUM(OFFSET($B22,0,1,1,Assumptions!$C$8))</f>
        <v>2520</v>
      </c>
      <c r="BD22" s="52">
        <f ca="1">SUM(OFFSET($B22,0,1+Assumptions!$C$8,1,SUM(Assumptions!$C$9)))</f>
        <v>2785</v>
      </c>
      <c r="BE22" s="52">
        <f ca="1">SUM(OFFSET($B22,0,1+SUM(Assumptions!$C$8:$C$9),1,SUM(Assumptions!$C$10)))</f>
        <v>2850</v>
      </c>
      <c r="BF22" s="52">
        <f ca="1">SUM(OFFSET($B22,0,1+SUM(Assumptions!$C$8:$C$10),1,SUM(Assumptions!$C$11)))</f>
        <v>2870</v>
      </c>
      <c r="BG22" s="52">
        <f t="shared" ca="1" si="13"/>
        <v>11025</v>
      </c>
    </row>
    <row r="23" spans="1:59" s="16" customFormat="1" ht="16.149999999999999" customHeight="1" x14ac:dyDescent="0.3">
      <c r="A23" s="171" t="s">
        <v>117</v>
      </c>
      <c r="B23" s="55" t="s">
        <v>5</v>
      </c>
      <c r="C23" s="51">
        <v>0</v>
      </c>
      <c r="D23" s="51">
        <v>0</v>
      </c>
      <c r="E23" s="51">
        <v>0</v>
      </c>
      <c r="F23" s="51">
        <v>0</v>
      </c>
      <c r="G23" s="51">
        <v>3800</v>
      </c>
      <c r="H23" s="51">
        <v>0</v>
      </c>
      <c r="I23" s="51">
        <v>0</v>
      </c>
      <c r="J23" s="51">
        <v>0</v>
      </c>
      <c r="K23" s="51">
        <v>0</v>
      </c>
      <c r="L23" s="51">
        <v>0</v>
      </c>
      <c r="M23" s="51">
        <v>0</v>
      </c>
      <c r="N23" s="51">
        <v>0</v>
      </c>
      <c r="O23" s="51">
        <v>0</v>
      </c>
      <c r="P23" s="51">
        <v>0</v>
      </c>
      <c r="Q23" s="51">
        <v>0</v>
      </c>
      <c r="R23" s="51">
        <v>0</v>
      </c>
      <c r="S23" s="51">
        <v>0</v>
      </c>
      <c r="T23" s="51">
        <v>0</v>
      </c>
      <c r="U23" s="51">
        <v>0</v>
      </c>
      <c r="V23" s="51">
        <v>1285</v>
      </c>
      <c r="W23" s="51">
        <v>0</v>
      </c>
      <c r="X23" s="51">
        <v>0</v>
      </c>
      <c r="Y23" s="51">
        <v>0</v>
      </c>
      <c r="Z23" s="51">
        <v>0</v>
      </c>
      <c r="AA23" s="51">
        <v>0</v>
      </c>
      <c r="AB23" s="51">
        <v>0</v>
      </c>
      <c r="AC23" s="51">
        <v>0</v>
      </c>
      <c r="AD23" s="51">
        <v>0</v>
      </c>
      <c r="AE23" s="51">
        <v>0</v>
      </c>
      <c r="AF23" s="51">
        <v>854</v>
      </c>
      <c r="AG23" s="51">
        <v>0</v>
      </c>
      <c r="AH23" s="51">
        <v>0</v>
      </c>
      <c r="AI23" s="51">
        <v>0</v>
      </c>
      <c r="AJ23" s="51">
        <v>0</v>
      </c>
      <c r="AK23" s="51">
        <v>0</v>
      </c>
      <c r="AL23" s="51">
        <v>0</v>
      </c>
      <c r="AM23" s="51">
        <v>0</v>
      </c>
      <c r="AN23" s="51">
        <v>0</v>
      </c>
      <c r="AO23" s="51">
        <v>0</v>
      </c>
      <c r="AP23" s="51">
        <v>0</v>
      </c>
      <c r="AQ23" s="51">
        <v>0</v>
      </c>
      <c r="AR23" s="51">
        <v>0</v>
      </c>
      <c r="AS23" s="51">
        <v>0</v>
      </c>
      <c r="AT23" s="51">
        <v>0</v>
      </c>
      <c r="AU23" s="51">
        <v>0</v>
      </c>
      <c r="AV23" s="51">
        <v>0</v>
      </c>
      <c r="AW23" s="51">
        <v>0</v>
      </c>
      <c r="AX23" s="51">
        <v>4200</v>
      </c>
      <c r="AY23" s="51">
        <v>0</v>
      </c>
      <c r="AZ23" s="51">
        <v>0</v>
      </c>
      <c r="BA23" s="51">
        <v>0</v>
      </c>
      <c r="BB23" s="51">
        <v>0</v>
      </c>
      <c r="BC23" s="52">
        <f ca="1">SUM(OFFSET($B23,0,1,1,Assumptions!$C$8))</f>
        <v>3800</v>
      </c>
      <c r="BD23" s="52">
        <f ca="1">SUM(OFFSET($B23,0,1+Assumptions!$C$8,1,SUM(Assumptions!$C$9)))</f>
        <v>1285</v>
      </c>
      <c r="BE23" s="52">
        <f ca="1">SUM(OFFSET($B23,0,1+SUM(Assumptions!$C$8:$C$9),1,SUM(Assumptions!$C$10)))</f>
        <v>854</v>
      </c>
      <c r="BF23" s="52">
        <f ca="1">SUM(OFFSET($B23,0,1+SUM(Assumptions!$C$8:$C$10),1,SUM(Assumptions!$C$11)))</f>
        <v>4200</v>
      </c>
      <c r="BG23" s="52">
        <f t="shared" ca="1" si="13"/>
        <v>10139</v>
      </c>
    </row>
    <row r="24" spans="1:59" s="16" customFormat="1" ht="16.149999999999999" customHeight="1" x14ac:dyDescent="0.3">
      <c r="A24" s="171" t="s">
        <v>117</v>
      </c>
      <c r="B24" s="55" t="s">
        <v>22</v>
      </c>
      <c r="C24" s="51">
        <v>1250</v>
      </c>
      <c r="D24" s="51">
        <v>0</v>
      </c>
      <c r="E24" s="51">
        <v>0</v>
      </c>
      <c r="F24" s="51">
        <v>0</v>
      </c>
      <c r="G24" s="51">
        <v>0</v>
      </c>
      <c r="H24" s="51">
        <v>0</v>
      </c>
      <c r="I24" s="51">
        <v>0</v>
      </c>
      <c r="J24" s="51">
        <v>0</v>
      </c>
      <c r="K24" s="51">
        <v>0</v>
      </c>
      <c r="L24" s="51">
        <v>0</v>
      </c>
      <c r="M24" s="51">
        <v>759</v>
      </c>
      <c r="N24" s="51">
        <v>0</v>
      </c>
      <c r="O24" s="51">
        <v>0</v>
      </c>
      <c r="P24" s="51">
        <v>0</v>
      </c>
      <c r="Q24" s="51">
        <v>0</v>
      </c>
      <c r="R24" s="51">
        <v>0</v>
      </c>
      <c r="S24" s="51">
        <v>0</v>
      </c>
      <c r="T24" s="51">
        <v>0</v>
      </c>
      <c r="U24" s="51">
        <v>567</v>
      </c>
      <c r="V24" s="51">
        <v>0</v>
      </c>
      <c r="W24" s="51">
        <v>0</v>
      </c>
      <c r="X24" s="51">
        <v>0</v>
      </c>
      <c r="Y24" s="51">
        <v>0</v>
      </c>
      <c r="Z24" s="51">
        <v>0</v>
      </c>
      <c r="AA24" s="51">
        <v>0</v>
      </c>
      <c r="AB24" s="51">
        <v>0</v>
      </c>
      <c r="AC24" s="51">
        <v>0</v>
      </c>
      <c r="AD24" s="51">
        <v>0</v>
      </c>
      <c r="AE24" s="51">
        <v>0</v>
      </c>
      <c r="AF24" s="51">
        <v>0</v>
      </c>
      <c r="AG24" s="51">
        <v>0</v>
      </c>
      <c r="AH24" s="51">
        <v>0</v>
      </c>
      <c r="AI24" s="51">
        <v>764</v>
      </c>
      <c r="AJ24" s="51">
        <v>0</v>
      </c>
      <c r="AK24" s="51">
        <v>0</v>
      </c>
      <c r="AL24" s="51">
        <v>0</v>
      </c>
      <c r="AM24" s="51">
        <v>0</v>
      </c>
      <c r="AN24" s="51">
        <v>0</v>
      </c>
      <c r="AO24" s="51">
        <v>0</v>
      </c>
      <c r="AP24" s="51">
        <v>0</v>
      </c>
      <c r="AQ24" s="51">
        <v>0</v>
      </c>
      <c r="AR24" s="51">
        <v>0</v>
      </c>
      <c r="AS24" s="51">
        <v>3556</v>
      </c>
      <c r="AT24" s="51">
        <v>0</v>
      </c>
      <c r="AU24" s="51">
        <v>0</v>
      </c>
      <c r="AV24" s="51">
        <v>0</v>
      </c>
      <c r="AW24" s="51">
        <v>0</v>
      </c>
      <c r="AX24" s="51">
        <v>0</v>
      </c>
      <c r="AY24" s="51">
        <v>0</v>
      </c>
      <c r="AZ24" s="51">
        <v>0</v>
      </c>
      <c r="BA24" s="51">
        <v>0</v>
      </c>
      <c r="BB24" s="51">
        <v>987</v>
      </c>
      <c r="BC24" s="52">
        <f ca="1">SUM(OFFSET($B24,0,1,1,Assumptions!$C$8))</f>
        <v>2009</v>
      </c>
      <c r="BD24" s="52">
        <f ca="1">SUM(OFFSET($B24,0,1+Assumptions!$C$8,1,SUM(Assumptions!$C$9)))</f>
        <v>567</v>
      </c>
      <c r="BE24" s="52">
        <f ca="1">SUM(OFFSET($B24,0,1+SUM(Assumptions!$C$8:$C$9),1,SUM(Assumptions!$C$10)))</f>
        <v>764</v>
      </c>
      <c r="BF24" s="52">
        <f ca="1">SUM(OFFSET($B24,0,1+SUM(Assumptions!$C$8:$C$10),1,SUM(Assumptions!$C$11)))</f>
        <v>4543</v>
      </c>
      <c r="BG24" s="52">
        <f t="shared" ca="1" si="13"/>
        <v>7883</v>
      </c>
    </row>
    <row r="25" spans="1:59" s="16" customFormat="1" ht="16.149999999999999" customHeight="1" x14ac:dyDescent="0.3">
      <c r="A25" s="171" t="s">
        <v>117</v>
      </c>
      <c r="B25" s="55" t="s">
        <v>7</v>
      </c>
      <c r="C25" s="51">
        <v>0</v>
      </c>
      <c r="D25" s="51">
        <v>0</v>
      </c>
      <c r="E25" s="51">
        <v>0</v>
      </c>
      <c r="F25" s="51">
        <v>0</v>
      </c>
      <c r="G25" s="51">
        <v>1000</v>
      </c>
      <c r="H25" s="51">
        <v>0</v>
      </c>
      <c r="I25" s="51">
        <v>0</v>
      </c>
      <c r="J25" s="51">
        <v>0</v>
      </c>
      <c r="K25" s="51">
        <v>1000</v>
      </c>
      <c r="L25" s="51">
        <v>0</v>
      </c>
      <c r="M25" s="51">
        <v>0</v>
      </c>
      <c r="N25" s="51">
        <v>0</v>
      </c>
      <c r="O25" s="51">
        <v>1000</v>
      </c>
      <c r="P25" s="51">
        <v>0</v>
      </c>
      <c r="Q25" s="51">
        <v>0</v>
      </c>
      <c r="R25" s="51">
        <v>0</v>
      </c>
      <c r="S25" s="51">
        <v>0</v>
      </c>
      <c r="T25" s="51">
        <v>1000</v>
      </c>
      <c r="U25" s="51">
        <v>0</v>
      </c>
      <c r="V25" s="51">
        <v>0</v>
      </c>
      <c r="W25" s="51">
        <v>0</v>
      </c>
      <c r="X25" s="51">
        <v>1000</v>
      </c>
      <c r="Y25" s="51">
        <v>0</v>
      </c>
      <c r="Z25" s="51">
        <v>0</v>
      </c>
      <c r="AA25" s="51">
        <v>0</v>
      </c>
      <c r="AB25" s="51">
        <v>1000</v>
      </c>
      <c r="AC25" s="51">
        <v>0</v>
      </c>
      <c r="AD25" s="51">
        <v>0</v>
      </c>
      <c r="AE25" s="51">
        <v>0</v>
      </c>
      <c r="AF25" s="51">
        <v>0</v>
      </c>
      <c r="AG25" s="51">
        <v>1000</v>
      </c>
      <c r="AH25" s="51">
        <v>0</v>
      </c>
      <c r="AI25" s="51">
        <v>0</v>
      </c>
      <c r="AJ25" s="51">
        <v>0</v>
      </c>
      <c r="AK25" s="51">
        <v>1000</v>
      </c>
      <c r="AL25" s="51">
        <v>0</v>
      </c>
      <c r="AM25" s="51">
        <v>0</v>
      </c>
      <c r="AN25" s="51">
        <v>0</v>
      </c>
      <c r="AO25" s="51">
        <v>1000</v>
      </c>
      <c r="AP25" s="51">
        <v>0</v>
      </c>
      <c r="AQ25" s="51">
        <v>0</v>
      </c>
      <c r="AR25" s="51">
        <v>0</v>
      </c>
      <c r="AS25" s="51">
        <v>0</v>
      </c>
      <c r="AT25" s="51">
        <v>1000</v>
      </c>
      <c r="AU25" s="51">
        <v>0</v>
      </c>
      <c r="AV25" s="51">
        <v>0</v>
      </c>
      <c r="AW25" s="51">
        <v>0</v>
      </c>
      <c r="AX25" s="51">
        <v>1000</v>
      </c>
      <c r="AY25" s="51">
        <v>0</v>
      </c>
      <c r="AZ25" s="51">
        <v>0</v>
      </c>
      <c r="BA25" s="51">
        <v>0</v>
      </c>
      <c r="BB25" s="51">
        <v>1000</v>
      </c>
      <c r="BC25" s="52">
        <f ca="1">SUM(OFFSET($B25,0,1,1,Assumptions!$C$8))</f>
        <v>3000</v>
      </c>
      <c r="BD25" s="52">
        <f ca="1">SUM(OFFSET($B25,0,1+Assumptions!$C$8,1,SUM(Assumptions!$C$9)))</f>
        <v>3000</v>
      </c>
      <c r="BE25" s="52">
        <f ca="1">SUM(OFFSET($B25,0,1+SUM(Assumptions!$C$8:$C$9),1,SUM(Assumptions!$C$10)))</f>
        <v>3000</v>
      </c>
      <c r="BF25" s="52">
        <f ca="1">SUM(OFFSET($B25,0,1+SUM(Assumptions!$C$8:$C$10),1,SUM(Assumptions!$C$11)))</f>
        <v>3000</v>
      </c>
      <c r="BG25" s="52">
        <f t="shared" ca="1" si="13"/>
        <v>12000</v>
      </c>
    </row>
    <row r="26" spans="1:59" s="16" customFormat="1" ht="16.149999999999999" customHeight="1" x14ac:dyDescent="0.3">
      <c r="A26" s="171" t="s">
        <v>117</v>
      </c>
      <c r="B26" s="55" t="s">
        <v>8</v>
      </c>
      <c r="C26" s="51">
        <v>0</v>
      </c>
      <c r="D26" s="51">
        <v>0</v>
      </c>
      <c r="E26" s="51">
        <v>0</v>
      </c>
      <c r="F26" s="51">
        <v>0</v>
      </c>
      <c r="G26" s="51">
        <v>0</v>
      </c>
      <c r="H26" s="51">
        <v>0</v>
      </c>
      <c r="I26" s="51">
        <v>0</v>
      </c>
      <c r="J26" s="51">
        <v>0</v>
      </c>
      <c r="K26" s="51">
        <v>0</v>
      </c>
      <c r="L26" s="51">
        <v>0</v>
      </c>
      <c r="M26" s="51">
        <v>0</v>
      </c>
      <c r="N26" s="51">
        <v>0</v>
      </c>
      <c r="O26" s="51">
        <v>0</v>
      </c>
      <c r="P26" s="51">
        <v>0</v>
      </c>
      <c r="Q26" s="51">
        <v>0</v>
      </c>
      <c r="R26" s="51">
        <v>0</v>
      </c>
      <c r="S26" s="51">
        <v>12000</v>
      </c>
      <c r="T26" s="51"/>
      <c r="U26" s="51">
        <v>0</v>
      </c>
      <c r="V26" s="51">
        <v>0</v>
      </c>
      <c r="W26" s="51">
        <v>0</v>
      </c>
      <c r="X26" s="51">
        <v>0</v>
      </c>
      <c r="Y26" s="51">
        <v>0</v>
      </c>
      <c r="Z26" s="51">
        <v>0</v>
      </c>
      <c r="AA26" s="51">
        <v>0</v>
      </c>
      <c r="AB26" s="51">
        <v>0</v>
      </c>
      <c r="AC26" s="51">
        <v>0</v>
      </c>
      <c r="AD26" s="51">
        <v>0</v>
      </c>
      <c r="AE26" s="51">
        <v>0</v>
      </c>
      <c r="AF26" s="51">
        <v>0</v>
      </c>
      <c r="AG26" s="51">
        <v>0</v>
      </c>
      <c r="AH26" s="51">
        <v>0</v>
      </c>
      <c r="AI26" s="51">
        <v>0</v>
      </c>
      <c r="AJ26" s="51">
        <v>0</v>
      </c>
      <c r="AK26" s="51">
        <v>0</v>
      </c>
      <c r="AL26" s="51">
        <v>0</v>
      </c>
      <c r="AM26" s="51">
        <v>0</v>
      </c>
      <c r="AN26" s="51">
        <v>0</v>
      </c>
      <c r="AO26" s="51">
        <v>0</v>
      </c>
      <c r="AP26" s="51">
        <v>0</v>
      </c>
      <c r="AQ26" s="51">
        <v>0</v>
      </c>
      <c r="AR26" s="51">
        <v>22000</v>
      </c>
      <c r="AS26" s="51">
        <v>0</v>
      </c>
      <c r="AT26" s="51">
        <v>0</v>
      </c>
      <c r="AU26" s="51">
        <v>0</v>
      </c>
      <c r="AV26" s="51">
        <v>0</v>
      </c>
      <c r="AW26" s="51">
        <v>0</v>
      </c>
      <c r="AX26" s="51">
        <v>0</v>
      </c>
      <c r="AY26" s="51">
        <v>0</v>
      </c>
      <c r="AZ26" s="51">
        <v>0</v>
      </c>
      <c r="BA26" s="51">
        <v>0</v>
      </c>
      <c r="BB26" s="51">
        <v>0</v>
      </c>
      <c r="BC26" s="52">
        <f ca="1">SUM(OFFSET($B26,0,1,1,Assumptions!$C$8))</f>
        <v>0</v>
      </c>
      <c r="BD26" s="52">
        <f ca="1">SUM(OFFSET($B26,0,1+Assumptions!$C$8,1,SUM(Assumptions!$C$9)))</f>
        <v>12000</v>
      </c>
      <c r="BE26" s="52">
        <f ca="1">SUM(OFFSET($B26,0,1+SUM(Assumptions!$C$8:$C$9),1,SUM(Assumptions!$C$10)))</f>
        <v>0</v>
      </c>
      <c r="BF26" s="52">
        <f ca="1">SUM(OFFSET($B26,0,1+SUM(Assumptions!$C$8:$C$10),1,SUM(Assumptions!$C$11)))</f>
        <v>22000</v>
      </c>
      <c r="BG26" s="52">
        <f t="shared" ca="1" si="13"/>
        <v>34000</v>
      </c>
    </row>
    <row r="27" spans="1:59" s="16" customFormat="1" ht="16.149999999999999" customHeight="1" x14ac:dyDescent="0.3">
      <c r="A27" s="171" t="s">
        <v>116</v>
      </c>
      <c r="B27" s="55" t="s">
        <v>20</v>
      </c>
      <c r="C27" s="51">
        <v>0</v>
      </c>
      <c r="D27" s="51">
        <v>0</v>
      </c>
      <c r="E27" s="51">
        <v>0</v>
      </c>
      <c r="F27" s="51">
        <v>0</v>
      </c>
      <c r="G27" s="51">
        <v>0</v>
      </c>
      <c r="H27" s="51">
        <v>8000</v>
      </c>
      <c r="I27" s="51">
        <v>0</v>
      </c>
      <c r="J27" s="51">
        <v>0</v>
      </c>
      <c r="K27" s="51">
        <v>0</v>
      </c>
      <c r="L27" s="51">
        <v>0</v>
      </c>
      <c r="M27" s="51">
        <v>0</v>
      </c>
      <c r="N27" s="51">
        <v>0</v>
      </c>
      <c r="O27" s="51">
        <v>0</v>
      </c>
      <c r="P27" s="51">
        <v>0</v>
      </c>
      <c r="Q27" s="51">
        <v>0</v>
      </c>
      <c r="R27" s="51">
        <v>0</v>
      </c>
      <c r="S27" s="51">
        <v>0</v>
      </c>
      <c r="T27" s="51">
        <v>0</v>
      </c>
      <c r="U27" s="51">
        <v>0</v>
      </c>
      <c r="V27" s="51">
        <v>0</v>
      </c>
      <c r="W27" s="51">
        <v>0</v>
      </c>
      <c r="X27" s="51">
        <v>0</v>
      </c>
      <c r="Y27" s="51">
        <v>0</v>
      </c>
      <c r="Z27" s="51">
        <v>0</v>
      </c>
      <c r="AA27" s="51">
        <v>0</v>
      </c>
      <c r="AB27" s="51">
        <v>0</v>
      </c>
      <c r="AC27" s="51">
        <v>0</v>
      </c>
      <c r="AD27" s="51">
        <v>0</v>
      </c>
      <c r="AE27" s="51">
        <v>0</v>
      </c>
      <c r="AF27" s="51">
        <v>0</v>
      </c>
      <c r="AG27" s="51">
        <v>0</v>
      </c>
      <c r="AH27" s="51">
        <v>10000</v>
      </c>
      <c r="AI27" s="51">
        <v>0</v>
      </c>
      <c r="AJ27" s="51">
        <v>0</v>
      </c>
      <c r="AK27" s="51">
        <v>0</v>
      </c>
      <c r="AL27" s="51">
        <v>0</v>
      </c>
      <c r="AM27" s="51">
        <v>0</v>
      </c>
      <c r="AN27" s="51">
        <v>0</v>
      </c>
      <c r="AO27" s="51">
        <v>0</v>
      </c>
      <c r="AP27" s="51">
        <v>0</v>
      </c>
      <c r="AQ27" s="51">
        <v>0</v>
      </c>
      <c r="AR27" s="51">
        <v>0</v>
      </c>
      <c r="AS27" s="51">
        <v>0</v>
      </c>
      <c r="AT27" s="51">
        <v>0</v>
      </c>
      <c r="AU27" s="51">
        <v>0</v>
      </c>
      <c r="AV27" s="51">
        <v>0</v>
      </c>
      <c r="AW27" s="51">
        <v>0</v>
      </c>
      <c r="AX27" s="51">
        <v>0</v>
      </c>
      <c r="AY27" s="51">
        <v>0</v>
      </c>
      <c r="AZ27" s="51">
        <v>0</v>
      </c>
      <c r="BA27" s="51">
        <v>0</v>
      </c>
      <c r="BB27" s="51">
        <v>0</v>
      </c>
      <c r="BC27" s="52">
        <f ca="1">SUM(OFFSET($B27,0,1,1,Assumptions!$C$8))</f>
        <v>8000</v>
      </c>
      <c r="BD27" s="52">
        <f ca="1">SUM(OFFSET($B27,0,1+Assumptions!$C$8,1,SUM(Assumptions!$C$9)))</f>
        <v>0</v>
      </c>
      <c r="BE27" s="52">
        <f ca="1">SUM(OFFSET($B27,0,1+SUM(Assumptions!$C$8:$C$9),1,SUM(Assumptions!$C$10)))</f>
        <v>10000</v>
      </c>
      <c r="BF27" s="52">
        <f ca="1">SUM(OFFSET($B27,0,1+SUM(Assumptions!$C$8:$C$10),1,SUM(Assumptions!$C$11)))</f>
        <v>0</v>
      </c>
      <c r="BG27" s="52">
        <f t="shared" ca="1" si="13"/>
        <v>18000</v>
      </c>
    </row>
    <row r="28" spans="1:59" s="16" customFormat="1" ht="16.149999999999999" customHeight="1" x14ac:dyDescent="0.3">
      <c r="A28" s="171" t="s">
        <v>117</v>
      </c>
      <c r="B28" s="55" t="s">
        <v>9</v>
      </c>
      <c r="C28" s="51">
        <v>2000</v>
      </c>
      <c r="D28" s="51">
        <v>0</v>
      </c>
      <c r="E28" s="51">
        <v>0</v>
      </c>
      <c r="F28" s="51">
        <v>0</v>
      </c>
      <c r="G28" s="51">
        <v>0</v>
      </c>
      <c r="H28" s="51">
        <v>2000</v>
      </c>
      <c r="I28" s="51">
        <v>0</v>
      </c>
      <c r="J28" s="51">
        <v>0</v>
      </c>
      <c r="K28" s="51">
        <v>0</v>
      </c>
      <c r="L28" s="51">
        <v>2000</v>
      </c>
      <c r="M28" s="51">
        <v>0</v>
      </c>
      <c r="N28" s="51">
        <v>0</v>
      </c>
      <c r="O28" s="51">
        <v>0</v>
      </c>
      <c r="P28" s="51">
        <v>2000</v>
      </c>
      <c r="Q28" s="51">
        <v>0</v>
      </c>
      <c r="R28" s="51">
        <v>0</v>
      </c>
      <c r="S28" s="51">
        <v>0</v>
      </c>
      <c r="T28" s="51">
        <v>0</v>
      </c>
      <c r="U28" s="51">
        <v>2000</v>
      </c>
      <c r="V28" s="51">
        <v>0</v>
      </c>
      <c r="W28" s="51">
        <v>0</v>
      </c>
      <c r="X28" s="51">
        <v>0</v>
      </c>
      <c r="Y28" s="51">
        <v>2000</v>
      </c>
      <c r="Z28" s="51">
        <v>0</v>
      </c>
      <c r="AA28" s="51">
        <v>0</v>
      </c>
      <c r="AB28" s="51">
        <v>0</v>
      </c>
      <c r="AC28" s="51">
        <v>2000</v>
      </c>
      <c r="AD28" s="51">
        <v>0</v>
      </c>
      <c r="AE28" s="51">
        <v>0</v>
      </c>
      <c r="AF28" s="51">
        <v>0</v>
      </c>
      <c r="AG28" s="51">
        <v>0</v>
      </c>
      <c r="AH28" s="51">
        <v>2000</v>
      </c>
      <c r="AI28" s="51">
        <v>0</v>
      </c>
      <c r="AJ28" s="51">
        <v>0</v>
      </c>
      <c r="AK28" s="51">
        <v>0</v>
      </c>
      <c r="AL28" s="51">
        <v>2000</v>
      </c>
      <c r="AM28" s="51">
        <v>0</v>
      </c>
      <c r="AN28" s="51">
        <v>0</v>
      </c>
      <c r="AO28" s="51">
        <v>0</v>
      </c>
      <c r="AP28" s="51">
        <v>0</v>
      </c>
      <c r="AQ28" s="51">
        <v>2000</v>
      </c>
      <c r="AR28" s="51">
        <v>0</v>
      </c>
      <c r="AS28" s="51">
        <v>0</v>
      </c>
      <c r="AT28" s="51">
        <v>0</v>
      </c>
      <c r="AU28" s="51">
        <v>2000</v>
      </c>
      <c r="AV28" s="51">
        <v>0</v>
      </c>
      <c r="AW28" s="51">
        <v>0</v>
      </c>
      <c r="AX28" s="51">
        <v>0</v>
      </c>
      <c r="AY28" s="51">
        <v>2000</v>
      </c>
      <c r="AZ28" s="51">
        <v>0</v>
      </c>
      <c r="BA28" s="51">
        <v>0</v>
      </c>
      <c r="BB28" s="51">
        <v>0</v>
      </c>
      <c r="BC28" s="52">
        <f ca="1">SUM(OFFSET($B28,0,1,1,Assumptions!$C$8))</f>
        <v>6000</v>
      </c>
      <c r="BD28" s="52">
        <f ca="1">SUM(OFFSET($B28,0,1+Assumptions!$C$8,1,SUM(Assumptions!$C$9)))</f>
        <v>6000</v>
      </c>
      <c r="BE28" s="52">
        <f ca="1">SUM(OFFSET($B28,0,1+SUM(Assumptions!$C$8:$C$9),1,SUM(Assumptions!$C$10)))</f>
        <v>6000</v>
      </c>
      <c r="BF28" s="52">
        <f ca="1">SUM(OFFSET($B28,0,1+SUM(Assumptions!$C$8:$C$10),1,SUM(Assumptions!$C$11)))</f>
        <v>6000</v>
      </c>
      <c r="BG28" s="52">
        <f t="shared" ca="1" si="13"/>
        <v>24000</v>
      </c>
    </row>
    <row r="29" spans="1:59" s="16" customFormat="1" ht="16.149999999999999" customHeight="1" x14ac:dyDescent="0.3">
      <c r="A29" s="171" t="s">
        <v>116</v>
      </c>
      <c r="B29" s="55" t="s">
        <v>23</v>
      </c>
      <c r="C29" s="51">
        <v>0</v>
      </c>
      <c r="D29" s="51">
        <v>0</v>
      </c>
      <c r="E29" s="51">
        <v>0</v>
      </c>
      <c r="F29" s="51">
        <v>0</v>
      </c>
      <c r="G29" s="51">
        <v>0</v>
      </c>
      <c r="H29" s="51">
        <v>0</v>
      </c>
      <c r="I29" s="51">
        <v>0</v>
      </c>
      <c r="J29" s="51">
        <v>0</v>
      </c>
      <c r="K29" s="51">
        <v>0</v>
      </c>
      <c r="L29" s="51">
        <v>0</v>
      </c>
      <c r="M29" s="51">
        <v>0</v>
      </c>
      <c r="N29" s="51">
        <v>0</v>
      </c>
      <c r="O29" s="51">
        <v>0</v>
      </c>
      <c r="P29" s="51">
        <v>0</v>
      </c>
      <c r="Q29" s="51">
        <v>0</v>
      </c>
      <c r="R29" s="51">
        <v>0</v>
      </c>
      <c r="S29" s="51">
        <v>0</v>
      </c>
      <c r="T29" s="51">
        <v>0</v>
      </c>
      <c r="U29" s="51">
        <v>0</v>
      </c>
      <c r="V29" s="51">
        <v>0</v>
      </c>
      <c r="W29" s="51">
        <v>0</v>
      </c>
      <c r="X29" s="51">
        <v>0</v>
      </c>
      <c r="Y29" s="51">
        <v>0</v>
      </c>
      <c r="Z29" s="51">
        <v>12340</v>
      </c>
      <c r="AA29" s="51">
        <v>0</v>
      </c>
      <c r="AB29" s="51">
        <v>0</v>
      </c>
      <c r="AC29" s="51">
        <v>0</v>
      </c>
      <c r="AD29" s="51">
        <v>0</v>
      </c>
      <c r="AE29" s="51">
        <v>0</v>
      </c>
      <c r="AF29" s="51">
        <v>0</v>
      </c>
      <c r="AG29" s="51">
        <v>0</v>
      </c>
      <c r="AH29" s="51">
        <v>0</v>
      </c>
      <c r="AI29" s="51">
        <v>0</v>
      </c>
      <c r="AJ29" s="51">
        <v>22000</v>
      </c>
      <c r="AK29" s="51">
        <v>0</v>
      </c>
      <c r="AL29" s="51">
        <v>0</v>
      </c>
      <c r="AM29" s="51">
        <v>0</v>
      </c>
      <c r="AN29" s="51">
        <v>0</v>
      </c>
      <c r="AO29" s="51">
        <v>0</v>
      </c>
      <c r="AP29" s="51">
        <v>0</v>
      </c>
      <c r="AQ29" s="51">
        <v>0</v>
      </c>
      <c r="AR29" s="51">
        <v>0</v>
      </c>
      <c r="AS29" s="51">
        <v>0</v>
      </c>
      <c r="AT29" s="51">
        <v>0</v>
      </c>
      <c r="AU29" s="51">
        <v>0</v>
      </c>
      <c r="AV29" s="51">
        <v>0</v>
      </c>
      <c r="AW29" s="51">
        <v>0</v>
      </c>
      <c r="AX29" s="51">
        <v>0</v>
      </c>
      <c r="AY29" s="51">
        <v>0</v>
      </c>
      <c r="AZ29" s="51">
        <v>0</v>
      </c>
      <c r="BA29" s="51">
        <v>14000</v>
      </c>
      <c r="BB29" s="51">
        <v>0</v>
      </c>
      <c r="BC29" s="52">
        <f ca="1">SUM(OFFSET($B29,0,1,1,Assumptions!$C$8))</f>
        <v>0</v>
      </c>
      <c r="BD29" s="52">
        <f ca="1">SUM(OFFSET($B29,0,1+Assumptions!$C$8,1,SUM(Assumptions!$C$9)))</f>
        <v>12340</v>
      </c>
      <c r="BE29" s="52">
        <f ca="1">SUM(OFFSET($B29,0,1+SUM(Assumptions!$C$8:$C$9),1,SUM(Assumptions!$C$10)))</f>
        <v>22000</v>
      </c>
      <c r="BF29" s="52">
        <f ca="1">SUM(OFFSET($B29,0,1+SUM(Assumptions!$C$8:$C$10),1,SUM(Assumptions!$C$11)))</f>
        <v>14000</v>
      </c>
      <c r="BG29" s="52">
        <f t="shared" ca="1" si="13"/>
        <v>48340</v>
      </c>
    </row>
    <row r="30" spans="1:59" s="16" customFormat="1" ht="16.149999999999999" customHeight="1" x14ac:dyDescent="0.3">
      <c r="A30" s="171" t="s">
        <v>117</v>
      </c>
      <c r="B30" s="55" t="s">
        <v>19</v>
      </c>
      <c r="C30" s="51">
        <v>0</v>
      </c>
      <c r="D30" s="51">
        <v>0</v>
      </c>
      <c r="E30" s="51">
        <v>0</v>
      </c>
      <c r="F30" s="51">
        <v>0</v>
      </c>
      <c r="G30" s="51">
        <v>0</v>
      </c>
      <c r="H30" s="51">
        <v>0</v>
      </c>
      <c r="I30" s="51">
        <v>0</v>
      </c>
      <c r="J30" s="51">
        <v>1800</v>
      </c>
      <c r="K30" s="51">
        <v>0</v>
      </c>
      <c r="L30" s="51">
        <v>0</v>
      </c>
      <c r="M30" s="51">
        <v>0</v>
      </c>
      <c r="N30" s="51">
        <v>0</v>
      </c>
      <c r="O30" s="51">
        <v>0</v>
      </c>
      <c r="P30" s="51">
        <v>0</v>
      </c>
      <c r="Q30" s="51">
        <v>0</v>
      </c>
      <c r="R30" s="51">
        <v>0</v>
      </c>
      <c r="S30" s="51">
        <v>0</v>
      </c>
      <c r="T30" s="51">
        <v>0</v>
      </c>
      <c r="U30" s="51">
        <v>0</v>
      </c>
      <c r="V30" s="51">
        <v>0</v>
      </c>
      <c r="W30" s="51">
        <v>9000</v>
      </c>
      <c r="X30" s="51">
        <v>0</v>
      </c>
      <c r="Y30" s="51">
        <v>0</v>
      </c>
      <c r="Z30" s="51">
        <v>0</v>
      </c>
      <c r="AA30" s="51">
        <v>0</v>
      </c>
      <c r="AB30" s="51">
        <v>0</v>
      </c>
      <c r="AC30" s="51">
        <v>0</v>
      </c>
      <c r="AD30" s="51">
        <v>0</v>
      </c>
      <c r="AE30" s="51">
        <v>0</v>
      </c>
      <c r="AF30" s="51">
        <v>0</v>
      </c>
      <c r="AG30" s="51">
        <v>0</v>
      </c>
      <c r="AH30" s="51">
        <v>0</v>
      </c>
      <c r="AI30" s="51">
        <v>0</v>
      </c>
      <c r="AJ30" s="51">
        <v>0</v>
      </c>
      <c r="AK30" s="51">
        <v>0</v>
      </c>
      <c r="AL30" s="51">
        <v>0</v>
      </c>
      <c r="AM30" s="51">
        <v>0</v>
      </c>
      <c r="AN30" s="51">
        <v>0</v>
      </c>
      <c r="AO30" s="51">
        <v>0</v>
      </c>
      <c r="AP30" s="51">
        <v>0</v>
      </c>
      <c r="AQ30" s="51">
        <v>0</v>
      </c>
      <c r="AR30" s="51">
        <v>0</v>
      </c>
      <c r="AS30" s="51">
        <v>0</v>
      </c>
      <c r="AT30" s="51">
        <v>0</v>
      </c>
      <c r="AU30" s="51">
        <v>0</v>
      </c>
      <c r="AV30" s="51">
        <v>0</v>
      </c>
      <c r="AW30" s="51">
        <v>3200</v>
      </c>
      <c r="AX30" s="51">
        <v>0</v>
      </c>
      <c r="AY30" s="51">
        <v>0</v>
      </c>
      <c r="AZ30" s="51">
        <v>0</v>
      </c>
      <c r="BA30" s="51">
        <v>0</v>
      </c>
      <c r="BB30" s="51">
        <v>0</v>
      </c>
      <c r="BC30" s="52">
        <f ca="1">SUM(OFFSET($B30,0,1,1,Assumptions!$C$8))</f>
        <v>1800</v>
      </c>
      <c r="BD30" s="52">
        <f ca="1">SUM(OFFSET($B30,0,1+Assumptions!$C$8,1,SUM(Assumptions!$C$9)))</f>
        <v>9000</v>
      </c>
      <c r="BE30" s="52">
        <f ca="1">SUM(OFFSET($B30,0,1+SUM(Assumptions!$C$8:$C$9),1,SUM(Assumptions!$C$10)))</f>
        <v>0</v>
      </c>
      <c r="BF30" s="52">
        <f ca="1">SUM(OFFSET($B30,0,1+SUM(Assumptions!$C$8:$C$10),1,SUM(Assumptions!$C$11)))</f>
        <v>3200</v>
      </c>
      <c r="BG30" s="52">
        <f t="shared" ca="1" si="13"/>
        <v>14000</v>
      </c>
    </row>
    <row r="31" spans="1:59" s="16" customFormat="1" ht="16.149999999999999" customHeight="1" x14ac:dyDescent="0.3">
      <c r="A31" s="171" t="s">
        <v>117</v>
      </c>
      <c r="B31" s="55" t="s">
        <v>18</v>
      </c>
      <c r="C31" s="51">
        <v>0</v>
      </c>
      <c r="D31" s="51">
        <v>0</v>
      </c>
      <c r="E31" s="51">
        <v>0</v>
      </c>
      <c r="F31" s="51">
        <v>0</v>
      </c>
      <c r="G31" s="51">
        <v>100</v>
      </c>
      <c r="H31" s="51">
        <v>0</v>
      </c>
      <c r="I31" s="51">
        <v>0</v>
      </c>
      <c r="J31" s="51">
        <v>0</v>
      </c>
      <c r="K31" s="51">
        <v>100</v>
      </c>
      <c r="L31" s="51">
        <v>0</v>
      </c>
      <c r="M31" s="51">
        <v>0</v>
      </c>
      <c r="N31" s="51">
        <v>0</v>
      </c>
      <c r="O31" s="51">
        <v>100</v>
      </c>
      <c r="P31" s="51">
        <v>0</v>
      </c>
      <c r="Q31" s="51">
        <v>0</v>
      </c>
      <c r="R31" s="51">
        <v>0</v>
      </c>
      <c r="S31" s="51">
        <v>0</v>
      </c>
      <c r="T31" s="51">
        <v>100</v>
      </c>
      <c r="U31" s="51">
        <v>0</v>
      </c>
      <c r="V31" s="51">
        <v>0</v>
      </c>
      <c r="W31" s="51">
        <v>0</v>
      </c>
      <c r="X31" s="51">
        <v>100</v>
      </c>
      <c r="Y31" s="51">
        <v>0</v>
      </c>
      <c r="Z31" s="51">
        <v>0</v>
      </c>
      <c r="AA31" s="51">
        <v>0</v>
      </c>
      <c r="AB31" s="51">
        <v>100</v>
      </c>
      <c r="AC31" s="51">
        <v>0</v>
      </c>
      <c r="AD31" s="51">
        <v>0</v>
      </c>
      <c r="AE31" s="51">
        <v>0</v>
      </c>
      <c r="AF31" s="51">
        <v>0</v>
      </c>
      <c r="AG31" s="51">
        <v>100</v>
      </c>
      <c r="AH31" s="51">
        <v>0</v>
      </c>
      <c r="AI31" s="51">
        <v>0</v>
      </c>
      <c r="AJ31" s="51">
        <v>0</v>
      </c>
      <c r="AK31" s="51">
        <v>100</v>
      </c>
      <c r="AL31" s="51">
        <v>0</v>
      </c>
      <c r="AM31" s="51">
        <v>0</v>
      </c>
      <c r="AN31" s="51">
        <v>0</v>
      </c>
      <c r="AO31" s="51">
        <v>100</v>
      </c>
      <c r="AP31" s="51">
        <v>0</v>
      </c>
      <c r="AQ31" s="51">
        <v>0</v>
      </c>
      <c r="AR31" s="51">
        <v>0</v>
      </c>
      <c r="AS31" s="51">
        <v>0</v>
      </c>
      <c r="AT31" s="51">
        <v>100</v>
      </c>
      <c r="AU31" s="51">
        <v>0</v>
      </c>
      <c r="AV31" s="51">
        <v>0</v>
      </c>
      <c r="AW31" s="51">
        <v>0</v>
      </c>
      <c r="AX31" s="51">
        <v>100</v>
      </c>
      <c r="AY31" s="51">
        <v>0</v>
      </c>
      <c r="AZ31" s="51">
        <v>0</v>
      </c>
      <c r="BA31" s="51">
        <v>0</v>
      </c>
      <c r="BB31" s="51">
        <v>100</v>
      </c>
      <c r="BC31" s="52">
        <f ca="1">SUM(OFFSET($B31,0,1,1,Assumptions!$C$8))</f>
        <v>300</v>
      </c>
      <c r="BD31" s="52">
        <f ca="1">SUM(OFFSET($B31,0,1+Assumptions!$C$8,1,SUM(Assumptions!$C$9)))</f>
        <v>300</v>
      </c>
      <c r="BE31" s="52">
        <f ca="1">SUM(OFFSET($B31,0,1+SUM(Assumptions!$C$8:$C$9),1,SUM(Assumptions!$C$10)))</f>
        <v>300</v>
      </c>
      <c r="BF31" s="52">
        <f ca="1">SUM(OFFSET($B31,0,1+SUM(Assumptions!$C$8:$C$10),1,SUM(Assumptions!$C$11)))</f>
        <v>300</v>
      </c>
      <c r="BG31" s="52">
        <f t="shared" ca="1" si="13"/>
        <v>1200</v>
      </c>
    </row>
    <row r="32" spans="1:59" s="16" customFormat="1" ht="16.149999999999999" customHeight="1" x14ac:dyDescent="0.3">
      <c r="A32" s="171" t="s">
        <v>116</v>
      </c>
      <c r="B32" s="55" t="s">
        <v>10</v>
      </c>
      <c r="C32" s="51">
        <v>0</v>
      </c>
      <c r="D32" s="51">
        <v>0</v>
      </c>
      <c r="E32" s="51">
        <v>0</v>
      </c>
      <c r="F32" s="51">
        <v>0</v>
      </c>
      <c r="G32" s="51">
        <v>300</v>
      </c>
      <c r="H32" s="51">
        <v>0</v>
      </c>
      <c r="I32" s="51">
        <v>0</v>
      </c>
      <c r="J32" s="51">
        <v>0</v>
      </c>
      <c r="K32" s="51">
        <v>300</v>
      </c>
      <c r="L32" s="51">
        <v>0</v>
      </c>
      <c r="M32" s="51">
        <v>0</v>
      </c>
      <c r="N32" s="51">
        <v>0</v>
      </c>
      <c r="O32" s="51">
        <v>300</v>
      </c>
      <c r="P32" s="51">
        <v>0</v>
      </c>
      <c r="Q32" s="51">
        <v>0</v>
      </c>
      <c r="R32" s="51">
        <v>0</v>
      </c>
      <c r="S32" s="51">
        <v>0</v>
      </c>
      <c r="T32" s="51">
        <v>300</v>
      </c>
      <c r="U32" s="51">
        <v>0</v>
      </c>
      <c r="V32" s="51">
        <v>0</v>
      </c>
      <c r="W32" s="51">
        <v>0</v>
      </c>
      <c r="X32" s="51">
        <v>300</v>
      </c>
      <c r="Y32" s="51">
        <v>0</v>
      </c>
      <c r="Z32" s="51">
        <v>0</v>
      </c>
      <c r="AA32" s="51">
        <v>0</v>
      </c>
      <c r="AB32" s="51">
        <v>300</v>
      </c>
      <c r="AC32" s="51">
        <v>0</v>
      </c>
      <c r="AD32" s="51">
        <v>0</v>
      </c>
      <c r="AE32" s="51">
        <v>0</v>
      </c>
      <c r="AF32" s="51">
        <v>0</v>
      </c>
      <c r="AG32" s="51">
        <v>300</v>
      </c>
      <c r="AH32" s="51">
        <v>0</v>
      </c>
      <c r="AI32" s="51">
        <v>0</v>
      </c>
      <c r="AJ32" s="51">
        <v>0</v>
      </c>
      <c r="AK32" s="51">
        <v>300</v>
      </c>
      <c r="AL32" s="51">
        <v>0</v>
      </c>
      <c r="AM32" s="51">
        <v>0</v>
      </c>
      <c r="AN32" s="51">
        <v>0</v>
      </c>
      <c r="AO32" s="51">
        <v>300</v>
      </c>
      <c r="AP32" s="51">
        <v>0</v>
      </c>
      <c r="AQ32" s="51">
        <v>0</v>
      </c>
      <c r="AR32" s="51">
        <v>0</v>
      </c>
      <c r="AS32" s="51">
        <v>0</v>
      </c>
      <c r="AT32" s="51">
        <v>300</v>
      </c>
      <c r="AU32" s="51">
        <v>0</v>
      </c>
      <c r="AV32" s="51">
        <v>0</v>
      </c>
      <c r="AW32" s="51">
        <v>0</v>
      </c>
      <c r="AX32" s="51">
        <v>300</v>
      </c>
      <c r="AY32" s="51">
        <v>0</v>
      </c>
      <c r="AZ32" s="51">
        <v>0</v>
      </c>
      <c r="BA32" s="51">
        <v>0</v>
      </c>
      <c r="BB32" s="51">
        <v>300</v>
      </c>
      <c r="BC32" s="52">
        <f ca="1">SUM(OFFSET($B32,0,1,1,Assumptions!$C$8))</f>
        <v>900</v>
      </c>
      <c r="BD32" s="52">
        <f ca="1">SUM(OFFSET($B32,0,1+Assumptions!$C$8,1,SUM(Assumptions!$C$9)))</f>
        <v>900</v>
      </c>
      <c r="BE32" s="52">
        <f ca="1">SUM(OFFSET($B32,0,1+SUM(Assumptions!$C$8:$C$9),1,SUM(Assumptions!$C$10)))</f>
        <v>900</v>
      </c>
      <c r="BF32" s="52">
        <f ca="1">SUM(OFFSET($B32,0,1+SUM(Assumptions!$C$8:$C$10),1,SUM(Assumptions!$C$11)))</f>
        <v>900</v>
      </c>
      <c r="BG32" s="52">
        <f t="shared" ca="1" si="13"/>
        <v>3600</v>
      </c>
    </row>
    <row r="33" spans="1:59" s="16" customFormat="1" ht="16.149999999999999" customHeight="1" x14ac:dyDescent="0.3">
      <c r="A33" s="171" t="s">
        <v>116</v>
      </c>
      <c r="B33" s="55" t="s">
        <v>17</v>
      </c>
      <c r="C33" s="51">
        <v>0</v>
      </c>
      <c r="D33" s="51">
        <v>0</v>
      </c>
      <c r="E33" s="51">
        <v>0</v>
      </c>
      <c r="F33" s="51">
        <v>0</v>
      </c>
      <c r="G33" s="51">
        <v>0</v>
      </c>
      <c r="H33" s="51">
        <v>0</v>
      </c>
      <c r="I33" s="51">
        <v>12000</v>
      </c>
      <c r="J33" s="51">
        <v>0</v>
      </c>
      <c r="K33" s="51">
        <v>0</v>
      </c>
      <c r="L33" s="51">
        <v>0</v>
      </c>
      <c r="M33" s="51">
        <v>0</v>
      </c>
      <c r="N33" s="51">
        <v>0</v>
      </c>
      <c r="O33" s="51">
        <v>0</v>
      </c>
      <c r="P33" s="51">
        <v>0</v>
      </c>
      <c r="Q33" s="51">
        <v>0</v>
      </c>
      <c r="R33" s="51">
        <v>0</v>
      </c>
      <c r="S33" s="51">
        <v>0</v>
      </c>
      <c r="T33" s="51">
        <v>0</v>
      </c>
      <c r="U33" s="51">
        <v>0</v>
      </c>
      <c r="V33" s="51">
        <v>0</v>
      </c>
      <c r="W33" s="51">
        <v>0</v>
      </c>
      <c r="X33" s="51">
        <v>0</v>
      </c>
      <c r="Y33" s="51">
        <v>0</v>
      </c>
      <c r="Z33" s="51">
        <v>0</v>
      </c>
      <c r="AA33" s="51">
        <v>0</v>
      </c>
      <c r="AB33" s="51">
        <v>0</v>
      </c>
      <c r="AC33" s="51">
        <v>0</v>
      </c>
      <c r="AD33" s="51">
        <v>0</v>
      </c>
      <c r="AE33" s="51">
        <v>0</v>
      </c>
      <c r="AF33" s="51">
        <v>0</v>
      </c>
      <c r="AG33" s="51">
        <v>0</v>
      </c>
      <c r="AH33" s="51">
        <v>0</v>
      </c>
      <c r="AI33" s="51">
        <v>0</v>
      </c>
      <c r="AJ33" s="51">
        <v>0</v>
      </c>
      <c r="AK33" s="51">
        <v>0</v>
      </c>
      <c r="AL33" s="51">
        <v>3900</v>
      </c>
      <c r="AM33" s="51">
        <v>0</v>
      </c>
      <c r="AN33" s="51">
        <v>0</v>
      </c>
      <c r="AO33" s="51">
        <v>0</v>
      </c>
      <c r="AP33" s="51">
        <v>0</v>
      </c>
      <c r="AQ33" s="51">
        <v>0</v>
      </c>
      <c r="AR33" s="51">
        <v>0</v>
      </c>
      <c r="AS33" s="51">
        <v>0</v>
      </c>
      <c r="AT33" s="51">
        <v>0</v>
      </c>
      <c r="AU33" s="51">
        <v>0</v>
      </c>
      <c r="AV33" s="51">
        <v>0</v>
      </c>
      <c r="AW33" s="51">
        <v>0</v>
      </c>
      <c r="AX33" s="51">
        <v>0</v>
      </c>
      <c r="AY33" s="51">
        <v>0</v>
      </c>
      <c r="AZ33" s="51">
        <v>0</v>
      </c>
      <c r="BA33" s="51">
        <v>5000</v>
      </c>
      <c r="BB33" s="51">
        <v>0</v>
      </c>
      <c r="BC33" s="52">
        <f ca="1">SUM(OFFSET($B33,0,1,1,Assumptions!$C$8))</f>
        <v>12000</v>
      </c>
      <c r="BD33" s="52">
        <f ca="1">SUM(OFFSET($B33,0,1+Assumptions!$C$8,1,SUM(Assumptions!$C$9)))</f>
        <v>0</v>
      </c>
      <c r="BE33" s="52">
        <f ca="1">SUM(OFFSET($B33,0,1+SUM(Assumptions!$C$8:$C$9),1,SUM(Assumptions!$C$10)))</f>
        <v>3900</v>
      </c>
      <c r="BF33" s="52">
        <f ca="1">SUM(OFFSET($B33,0,1+SUM(Assumptions!$C$8:$C$10),1,SUM(Assumptions!$C$11)))</f>
        <v>5000</v>
      </c>
      <c r="BG33" s="52">
        <f t="shared" ca="1" si="13"/>
        <v>20900</v>
      </c>
    </row>
    <row r="34" spans="1:59" s="16" customFormat="1" ht="16.149999999999999" customHeight="1" x14ac:dyDescent="0.3">
      <c r="A34" s="171" t="s">
        <v>117</v>
      </c>
      <c r="B34" s="55" t="s">
        <v>11</v>
      </c>
      <c r="C34" s="51">
        <v>20000</v>
      </c>
      <c r="D34" s="51">
        <v>0</v>
      </c>
      <c r="E34" s="51">
        <v>0</v>
      </c>
      <c r="F34" s="51">
        <v>0</v>
      </c>
      <c r="G34" s="51">
        <v>0</v>
      </c>
      <c r="H34" s="51">
        <v>20000</v>
      </c>
      <c r="I34" s="51">
        <v>0</v>
      </c>
      <c r="J34" s="51">
        <v>0</v>
      </c>
      <c r="K34" s="51">
        <v>0</v>
      </c>
      <c r="L34" s="51">
        <v>20000</v>
      </c>
      <c r="M34" s="51">
        <v>0</v>
      </c>
      <c r="N34" s="51">
        <v>0</v>
      </c>
      <c r="O34" s="51">
        <v>0</v>
      </c>
      <c r="P34" s="51">
        <v>20000</v>
      </c>
      <c r="Q34" s="51">
        <v>0</v>
      </c>
      <c r="R34" s="51">
        <v>0</v>
      </c>
      <c r="S34" s="51">
        <v>0</v>
      </c>
      <c r="T34" s="51">
        <v>0</v>
      </c>
      <c r="U34" s="51">
        <v>20000</v>
      </c>
      <c r="V34" s="51">
        <v>0</v>
      </c>
      <c r="W34" s="51">
        <v>0</v>
      </c>
      <c r="X34" s="51">
        <v>0</v>
      </c>
      <c r="Y34" s="51">
        <v>20000</v>
      </c>
      <c r="Z34" s="51">
        <v>0</v>
      </c>
      <c r="AA34" s="51">
        <v>0</v>
      </c>
      <c r="AB34" s="51">
        <v>0</v>
      </c>
      <c r="AC34" s="51">
        <v>20000</v>
      </c>
      <c r="AD34" s="51">
        <v>0</v>
      </c>
      <c r="AE34" s="51">
        <v>0</v>
      </c>
      <c r="AF34" s="51">
        <v>0</v>
      </c>
      <c r="AG34" s="51">
        <v>0</v>
      </c>
      <c r="AH34" s="51">
        <v>20000</v>
      </c>
      <c r="AI34" s="51">
        <v>0</v>
      </c>
      <c r="AJ34" s="51">
        <v>0</v>
      </c>
      <c r="AK34" s="51">
        <v>0</v>
      </c>
      <c r="AL34" s="51">
        <v>20000</v>
      </c>
      <c r="AM34" s="51">
        <v>0</v>
      </c>
      <c r="AN34" s="51">
        <v>0</v>
      </c>
      <c r="AO34" s="51">
        <v>0</v>
      </c>
      <c r="AP34" s="51">
        <v>0</v>
      </c>
      <c r="AQ34" s="51">
        <v>20000</v>
      </c>
      <c r="AR34" s="51">
        <v>0</v>
      </c>
      <c r="AS34" s="51">
        <v>0</v>
      </c>
      <c r="AT34" s="51">
        <v>0</v>
      </c>
      <c r="AU34" s="51">
        <v>20000</v>
      </c>
      <c r="AV34" s="51">
        <v>0</v>
      </c>
      <c r="AW34" s="51">
        <v>0</v>
      </c>
      <c r="AX34" s="51">
        <v>0</v>
      </c>
      <c r="AY34" s="51">
        <v>20000</v>
      </c>
      <c r="AZ34" s="51">
        <v>0</v>
      </c>
      <c r="BA34" s="51">
        <v>0</v>
      </c>
      <c r="BB34" s="51">
        <v>0</v>
      </c>
      <c r="BC34" s="52">
        <f ca="1">SUM(OFFSET($B34,0,1,1,Assumptions!$C$8))</f>
        <v>60000</v>
      </c>
      <c r="BD34" s="52">
        <f ca="1">SUM(OFFSET($B34,0,1+Assumptions!$C$8,1,SUM(Assumptions!$C$9)))</f>
        <v>60000</v>
      </c>
      <c r="BE34" s="52">
        <f ca="1">SUM(OFFSET($B34,0,1+SUM(Assumptions!$C$8:$C$9),1,SUM(Assumptions!$C$10)))</f>
        <v>60000</v>
      </c>
      <c r="BF34" s="52">
        <f ca="1">SUM(OFFSET($B34,0,1+SUM(Assumptions!$C$8:$C$10),1,SUM(Assumptions!$C$11)))</f>
        <v>60000</v>
      </c>
      <c r="BG34" s="52">
        <f t="shared" ca="1" si="13"/>
        <v>240000</v>
      </c>
    </row>
    <row r="35" spans="1:59" s="16" customFormat="1" ht="16.149999999999999" customHeight="1" x14ac:dyDescent="0.3">
      <c r="A35" s="171" t="s">
        <v>117</v>
      </c>
      <c r="B35" s="55" t="s">
        <v>21</v>
      </c>
      <c r="C35" s="51">
        <v>0</v>
      </c>
      <c r="D35" s="51">
        <v>0</v>
      </c>
      <c r="E35" s="51">
        <v>0</v>
      </c>
      <c r="F35" s="51">
        <v>0</v>
      </c>
      <c r="G35" s="51">
        <v>0</v>
      </c>
      <c r="H35" s="51">
        <v>0</v>
      </c>
      <c r="I35" s="51">
        <v>0</v>
      </c>
      <c r="J35" s="51">
        <v>0</v>
      </c>
      <c r="K35" s="51">
        <v>0</v>
      </c>
      <c r="L35" s="51">
        <v>4300</v>
      </c>
      <c r="M35" s="51">
        <v>0</v>
      </c>
      <c r="N35" s="51">
        <v>0</v>
      </c>
      <c r="O35" s="51">
        <v>0</v>
      </c>
      <c r="P35" s="51">
        <v>0</v>
      </c>
      <c r="Q35" s="51">
        <v>0</v>
      </c>
      <c r="R35" s="51">
        <v>0</v>
      </c>
      <c r="S35" s="51">
        <v>0</v>
      </c>
      <c r="T35" s="51">
        <v>2100</v>
      </c>
      <c r="U35" s="51">
        <v>0</v>
      </c>
      <c r="V35" s="51">
        <v>0</v>
      </c>
      <c r="W35" s="51">
        <v>0</v>
      </c>
      <c r="X35" s="51">
        <v>0</v>
      </c>
      <c r="Y35" s="51">
        <v>0</v>
      </c>
      <c r="Z35" s="51">
        <v>0</v>
      </c>
      <c r="AA35" s="51">
        <v>0</v>
      </c>
      <c r="AB35" s="51">
        <v>0</v>
      </c>
      <c r="AC35" s="51">
        <v>0</v>
      </c>
      <c r="AD35" s="51">
        <v>1900</v>
      </c>
      <c r="AE35" s="51">
        <v>0</v>
      </c>
      <c r="AF35" s="51">
        <v>0</v>
      </c>
      <c r="AG35" s="51">
        <v>0</v>
      </c>
      <c r="AH35" s="51">
        <v>0</v>
      </c>
      <c r="AI35" s="51">
        <v>0</v>
      </c>
      <c r="AJ35" s="51">
        <v>0</v>
      </c>
      <c r="AK35" s="51">
        <v>0</v>
      </c>
      <c r="AL35" s="51">
        <v>0</v>
      </c>
      <c r="AM35" s="51">
        <v>0</v>
      </c>
      <c r="AN35" s="51">
        <v>0</v>
      </c>
      <c r="AO35" s="51">
        <v>0</v>
      </c>
      <c r="AP35" s="51">
        <v>0</v>
      </c>
      <c r="AQ35" s="51">
        <v>0</v>
      </c>
      <c r="AR35" s="51">
        <v>0</v>
      </c>
      <c r="AS35" s="51">
        <v>3100</v>
      </c>
      <c r="AT35" s="51">
        <v>0</v>
      </c>
      <c r="AU35" s="51">
        <v>0</v>
      </c>
      <c r="AV35" s="51">
        <v>0</v>
      </c>
      <c r="AW35" s="51">
        <v>0</v>
      </c>
      <c r="AX35" s="51">
        <v>0</v>
      </c>
      <c r="AY35" s="51">
        <v>0</v>
      </c>
      <c r="AZ35" s="51">
        <v>0</v>
      </c>
      <c r="BA35" s="51">
        <v>0</v>
      </c>
      <c r="BB35" s="51">
        <v>0</v>
      </c>
      <c r="BC35" s="52">
        <f ca="1">SUM(OFFSET($B35,0,1,1,Assumptions!$C$8))</f>
        <v>4300</v>
      </c>
      <c r="BD35" s="52">
        <f ca="1">SUM(OFFSET($B35,0,1+Assumptions!$C$8,1,SUM(Assumptions!$C$9)))</f>
        <v>2100</v>
      </c>
      <c r="BE35" s="52">
        <f ca="1">SUM(OFFSET($B35,0,1+SUM(Assumptions!$C$8:$C$9),1,SUM(Assumptions!$C$10)))</f>
        <v>1900</v>
      </c>
      <c r="BF35" s="52">
        <f ca="1">SUM(OFFSET($B35,0,1+SUM(Assumptions!$C$8:$C$10),1,SUM(Assumptions!$C$11)))</f>
        <v>3100</v>
      </c>
      <c r="BG35" s="52">
        <f t="shared" ca="1" si="13"/>
        <v>11400</v>
      </c>
    </row>
    <row r="36" spans="1:59" s="16" customFormat="1" ht="16.149999999999999" customHeight="1" x14ac:dyDescent="0.3">
      <c r="A36" s="171" t="s">
        <v>116</v>
      </c>
      <c r="B36" s="55" t="s">
        <v>12</v>
      </c>
      <c r="C36" s="51">
        <v>0</v>
      </c>
      <c r="D36" s="51">
        <v>0</v>
      </c>
      <c r="E36" s="51">
        <v>0</v>
      </c>
      <c r="F36" s="51">
        <v>0</v>
      </c>
      <c r="G36" s="51">
        <v>325</v>
      </c>
      <c r="H36" s="51">
        <v>0</v>
      </c>
      <c r="I36" s="51">
        <v>0</v>
      </c>
      <c r="J36" s="51">
        <v>0</v>
      </c>
      <c r="K36" s="51">
        <v>325</v>
      </c>
      <c r="L36" s="51">
        <v>0</v>
      </c>
      <c r="M36" s="51">
        <v>0</v>
      </c>
      <c r="N36" s="51">
        <v>0</v>
      </c>
      <c r="O36" s="51">
        <v>325</v>
      </c>
      <c r="P36" s="51">
        <v>0</v>
      </c>
      <c r="Q36" s="51">
        <v>0</v>
      </c>
      <c r="R36" s="51">
        <v>0</v>
      </c>
      <c r="S36" s="51">
        <v>0</v>
      </c>
      <c r="T36" s="51">
        <v>325</v>
      </c>
      <c r="U36" s="51">
        <v>0</v>
      </c>
      <c r="V36" s="51">
        <v>0</v>
      </c>
      <c r="W36" s="51">
        <v>0</v>
      </c>
      <c r="X36" s="51">
        <v>325</v>
      </c>
      <c r="Y36" s="51">
        <v>0</v>
      </c>
      <c r="Z36" s="51">
        <v>0</v>
      </c>
      <c r="AA36" s="51">
        <v>0</v>
      </c>
      <c r="AB36" s="51">
        <v>325</v>
      </c>
      <c r="AC36" s="51">
        <v>0</v>
      </c>
      <c r="AD36" s="51">
        <v>0</v>
      </c>
      <c r="AE36" s="51">
        <v>0</v>
      </c>
      <c r="AF36" s="51">
        <v>0</v>
      </c>
      <c r="AG36" s="51">
        <v>325</v>
      </c>
      <c r="AH36" s="51">
        <v>0</v>
      </c>
      <c r="AI36" s="51">
        <v>0</v>
      </c>
      <c r="AJ36" s="51">
        <v>0</v>
      </c>
      <c r="AK36" s="51">
        <v>325</v>
      </c>
      <c r="AL36" s="51">
        <v>0</v>
      </c>
      <c r="AM36" s="51">
        <v>0</v>
      </c>
      <c r="AN36" s="51">
        <v>0</v>
      </c>
      <c r="AO36" s="51">
        <v>325</v>
      </c>
      <c r="AP36" s="51">
        <v>0</v>
      </c>
      <c r="AQ36" s="51">
        <v>0</v>
      </c>
      <c r="AR36" s="51">
        <v>0</v>
      </c>
      <c r="AS36" s="51">
        <v>0</v>
      </c>
      <c r="AT36" s="51">
        <v>325</v>
      </c>
      <c r="AU36" s="51">
        <v>0</v>
      </c>
      <c r="AV36" s="51">
        <v>0</v>
      </c>
      <c r="AW36" s="51">
        <v>0</v>
      </c>
      <c r="AX36" s="51">
        <v>325</v>
      </c>
      <c r="AY36" s="51">
        <v>0</v>
      </c>
      <c r="AZ36" s="51">
        <v>0</v>
      </c>
      <c r="BA36" s="51">
        <v>0</v>
      </c>
      <c r="BB36" s="51">
        <v>325</v>
      </c>
      <c r="BC36" s="52">
        <f ca="1">SUM(OFFSET($B36,0,1,1,Assumptions!$C$8))</f>
        <v>975</v>
      </c>
      <c r="BD36" s="52">
        <f ca="1">SUM(OFFSET($B36,0,1+Assumptions!$C$8,1,SUM(Assumptions!$C$9)))</f>
        <v>975</v>
      </c>
      <c r="BE36" s="52">
        <f ca="1">SUM(OFFSET($B36,0,1+SUM(Assumptions!$C$8:$C$9),1,SUM(Assumptions!$C$10)))</f>
        <v>975</v>
      </c>
      <c r="BF36" s="52">
        <f ca="1">SUM(OFFSET($B36,0,1+SUM(Assumptions!$C$8:$C$10),1,SUM(Assumptions!$C$11)))</f>
        <v>975</v>
      </c>
      <c r="BG36" s="52">
        <f t="shared" ca="1" si="13"/>
        <v>3900</v>
      </c>
    </row>
    <row r="37" spans="1:59" s="16" customFormat="1" ht="16.149999999999999" customHeight="1" x14ac:dyDescent="0.3">
      <c r="A37" s="171" t="s">
        <v>117</v>
      </c>
      <c r="B37" s="55" t="s">
        <v>13</v>
      </c>
      <c r="C37" s="51">
        <v>0</v>
      </c>
      <c r="D37" s="51">
        <v>0</v>
      </c>
      <c r="E37" s="51">
        <v>0</v>
      </c>
      <c r="F37" s="51">
        <v>0</v>
      </c>
      <c r="G37" s="51">
        <v>0</v>
      </c>
      <c r="H37" s="51">
        <v>0</v>
      </c>
      <c r="I37" s="51">
        <v>3200</v>
      </c>
      <c r="J37" s="51">
        <v>0</v>
      </c>
      <c r="K37" s="51">
        <v>0</v>
      </c>
      <c r="L37" s="51">
        <v>0</v>
      </c>
      <c r="M37" s="51">
        <v>0</v>
      </c>
      <c r="N37" s="51">
        <v>0</v>
      </c>
      <c r="O37" s="51">
        <v>0</v>
      </c>
      <c r="P37" s="51">
        <v>0</v>
      </c>
      <c r="Q37" s="51">
        <v>0</v>
      </c>
      <c r="R37" s="51">
        <v>0</v>
      </c>
      <c r="S37" s="51">
        <v>0</v>
      </c>
      <c r="T37" s="51">
        <v>0</v>
      </c>
      <c r="U37" s="51">
        <v>0</v>
      </c>
      <c r="V37" s="51">
        <v>0</v>
      </c>
      <c r="W37" s="51">
        <v>0</v>
      </c>
      <c r="X37" s="51">
        <v>0</v>
      </c>
      <c r="Y37" s="51">
        <v>0</v>
      </c>
      <c r="Z37" s="51">
        <v>0</v>
      </c>
      <c r="AA37" s="51">
        <v>0</v>
      </c>
      <c r="AB37" s="51">
        <v>0</v>
      </c>
      <c r="AC37" s="51">
        <v>0</v>
      </c>
      <c r="AD37" s="51">
        <v>0</v>
      </c>
      <c r="AE37" s="51">
        <v>0</v>
      </c>
      <c r="AF37" s="51">
        <v>0</v>
      </c>
      <c r="AG37" s="51">
        <v>0</v>
      </c>
      <c r="AH37" s="51">
        <v>0</v>
      </c>
      <c r="AI37" s="51">
        <v>0</v>
      </c>
      <c r="AJ37" s="51">
        <v>0</v>
      </c>
      <c r="AK37" s="51">
        <v>0</v>
      </c>
      <c r="AL37" s="51">
        <v>0</v>
      </c>
      <c r="AM37" s="51">
        <v>0</v>
      </c>
      <c r="AN37" s="51">
        <v>0</v>
      </c>
      <c r="AO37" s="51">
        <v>0</v>
      </c>
      <c r="AP37" s="51">
        <v>0</v>
      </c>
      <c r="AQ37" s="51">
        <v>0</v>
      </c>
      <c r="AR37" s="51">
        <v>0</v>
      </c>
      <c r="AS37" s="51">
        <v>0</v>
      </c>
      <c r="AT37" s="51">
        <v>0</v>
      </c>
      <c r="AU37" s="51">
        <v>0</v>
      </c>
      <c r="AV37" s="51">
        <v>0</v>
      </c>
      <c r="AW37" s="51">
        <v>0</v>
      </c>
      <c r="AX37" s="51">
        <v>0</v>
      </c>
      <c r="AY37" s="51">
        <v>0</v>
      </c>
      <c r="AZ37" s="51">
        <v>0</v>
      </c>
      <c r="BA37" s="51">
        <v>0</v>
      </c>
      <c r="BB37" s="51">
        <v>0</v>
      </c>
      <c r="BC37" s="52">
        <f ca="1">SUM(OFFSET($B37,0,1,1,Assumptions!$C$8))</f>
        <v>3200</v>
      </c>
      <c r="BD37" s="52">
        <f ca="1">SUM(OFFSET($B37,0,1+Assumptions!$C$8,1,SUM(Assumptions!$C$9)))</f>
        <v>0</v>
      </c>
      <c r="BE37" s="52">
        <f ca="1">SUM(OFFSET($B37,0,1+SUM(Assumptions!$C$8:$C$9),1,SUM(Assumptions!$C$10)))</f>
        <v>0</v>
      </c>
      <c r="BF37" s="52">
        <f ca="1">SUM(OFFSET($B37,0,1+SUM(Assumptions!$C$8:$C$10),1,SUM(Assumptions!$C$11)))</f>
        <v>0</v>
      </c>
      <c r="BG37" s="52">
        <f t="shared" ca="1" si="13"/>
        <v>3200</v>
      </c>
    </row>
    <row r="38" spans="1:59" s="16" customFormat="1" ht="16.149999999999999" customHeight="1" x14ac:dyDescent="0.3">
      <c r="A38" s="171" t="s">
        <v>116</v>
      </c>
      <c r="B38" s="55" t="s">
        <v>14</v>
      </c>
      <c r="C38" s="51">
        <v>0</v>
      </c>
      <c r="D38" s="51">
        <v>0</v>
      </c>
      <c r="E38" s="51">
        <v>0</v>
      </c>
      <c r="F38" s="51">
        <v>0</v>
      </c>
      <c r="G38" s="51">
        <v>2510</v>
      </c>
      <c r="H38" s="51">
        <v>0</v>
      </c>
      <c r="I38" s="51">
        <v>0</v>
      </c>
      <c r="J38" s="51">
        <v>0</v>
      </c>
      <c r="K38" s="51">
        <v>2510</v>
      </c>
      <c r="L38" s="51">
        <v>0</v>
      </c>
      <c r="M38" s="51">
        <v>0</v>
      </c>
      <c r="N38" s="51">
        <v>0</v>
      </c>
      <c r="O38" s="51">
        <v>2510</v>
      </c>
      <c r="P38" s="51">
        <v>0</v>
      </c>
      <c r="Q38" s="51">
        <v>0</v>
      </c>
      <c r="R38" s="51">
        <v>0</v>
      </c>
      <c r="S38" s="51">
        <v>0</v>
      </c>
      <c r="T38" s="51">
        <v>2510</v>
      </c>
      <c r="U38" s="51">
        <v>0</v>
      </c>
      <c r="V38" s="51">
        <v>0</v>
      </c>
      <c r="W38" s="51">
        <v>0</v>
      </c>
      <c r="X38" s="51">
        <v>2510</v>
      </c>
      <c r="Y38" s="51">
        <v>0</v>
      </c>
      <c r="Z38" s="51">
        <v>0</v>
      </c>
      <c r="AA38" s="51">
        <v>0</v>
      </c>
      <c r="AB38" s="51">
        <v>2510</v>
      </c>
      <c r="AC38" s="51">
        <v>0</v>
      </c>
      <c r="AD38" s="51">
        <v>0</v>
      </c>
      <c r="AE38" s="51">
        <v>0</v>
      </c>
      <c r="AF38" s="51">
        <v>0</v>
      </c>
      <c r="AG38" s="51">
        <v>2510</v>
      </c>
      <c r="AH38" s="51">
        <v>0</v>
      </c>
      <c r="AI38" s="51">
        <v>0</v>
      </c>
      <c r="AJ38" s="51">
        <v>0</v>
      </c>
      <c r="AK38" s="51">
        <v>2510</v>
      </c>
      <c r="AL38" s="51">
        <v>0</v>
      </c>
      <c r="AM38" s="51">
        <v>0</v>
      </c>
      <c r="AN38" s="51">
        <v>0</v>
      </c>
      <c r="AO38" s="51">
        <v>2510</v>
      </c>
      <c r="AP38" s="51">
        <v>0</v>
      </c>
      <c r="AQ38" s="51">
        <v>0</v>
      </c>
      <c r="AR38" s="51">
        <v>0</v>
      </c>
      <c r="AS38" s="51">
        <v>0</v>
      </c>
      <c r="AT38" s="51">
        <v>2510</v>
      </c>
      <c r="AU38" s="51">
        <v>0</v>
      </c>
      <c r="AV38" s="51">
        <v>0</v>
      </c>
      <c r="AW38" s="51">
        <v>0</v>
      </c>
      <c r="AX38" s="51">
        <v>2510</v>
      </c>
      <c r="AY38" s="51">
        <v>0</v>
      </c>
      <c r="AZ38" s="51">
        <v>0</v>
      </c>
      <c r="BA38" s="51">
        <v>0</v>
      </c>
      <c r="BB38" s="51">
        <v>2510</v>
      </c>
      <c r="BC38" s="52">
        <f ca="1">SUM(OFFSET($B38,0,1,1,Assumptions!$C$8))</f>
        <v>7530</v>
      </c>
      <c r="BD38" s="52">
        <f ca="1">SUM(OFFSET($B38,0,1+Assumptions!$C$8,1,SUM(Assumptions!$C$9)))</f>
        <v>7530</v>
      </c>
      <c r="BE38" s="52">
        <f ca="1">SUM(OFFSET($B38,0,1+SUM(Assumptions!$C$8:$C$9),1,SUM(Assumptions!$C$10)))</f>
        <v>7530</v>
      </c>
      <c r="BF38" s="52">
        <f ca="1">SUM(OFFSET($B38,0,1+SUM(Assumptions!$C$8:$C$10),1,SUM(Assumptions!$C$11)))</f>
        <v>7530</v>
      </c>
      <c r="BG38" s="52">
        <f t="shared" ca="1" si="13"/>
        <v>30120</v>
      </c>
    </row>
    <row r="39" spans="1:59" s="16" customFormat="1" ht="16.149999999999999" customHeight="1" x14ac:dyDescent="0.3">
      <c r="A39" s="171" t="s">
        <v>116</v>
      </c>
      <c r="B39" s="55" t="s">
        <v>24</v>
      </c>
      <c r="C39" s="51">
        <v>0</v>
      </c>
      <c r="D39" s="51">
        <v>0</v>
      </c>
      <c r="E39" s="51">
        <v>4000</v>
      </c>
      <c r="F39" s="51">
        <v>0</v>
      </c>
      <c r="G39" s="51">
        <v>0</v>
      </c>
      <c r="H39" s="51">
        <v>0</v>
      </c>
      <c r="I39" s="51">
        <v>0</v>
      </c>
      <c r="J39" s="51">
        <v>0</v>
      </c>
      <c r="K39" s="51">
        <v>0</v>
      </c>
      <c r="L39" s="51">
        <v>0</v>
      </c>
      <c r="M39" s="51">
        <v>0</v>
      </c>
      <c r="N39" s="51">
        <v>0</v>
      </c>
      <c r="O39" s="51">
        <v>0</v>
      </c>
      <c r="P39" s="51">
        <v>0</v>
      </c>
      <c r="Q39" s="51">
        <v>0</v>
      </c>
      <c r="R39" s="51">
        <v>0</v>
      </c>
      <c r="S39" s="51">
        <v>0</v>
      </c>
      <c r="T39" s="51">
        <v>0</v>
      </c>
      <c r="U39" s="51">
        <v>0</v>
      </c>
      <c r="V39" s="51">
        <v>4000</v>
      </c>
      <c r="W39" s="51">
        <v>0</v>
      </c>
      <c r="X39" s="51">
        <v>0</v>
      </c>
      <c r="Y39" s="51">
        <v>0</v>
      </c>
      <c r="Z39" s="51">
        <v>0</v>
      </c>
      <c r="AA39" s="51">
        <v>0</v>
      </c>
      <c r="AB39" s="51">
        <v>0</v>
      </c>
      <c r="AC39" s="51">
        <v>0</v>
      </c>
      <c r="AD39" s="51">
        <v>0</v>
      </c>
      <c r="AE39" s="51">
        <v>0</v>
      </c>
      <c r="AF39" s="51">
        <v>0</v>
      </c>
      <c r="AG39" s="51">
        <v>0</v>
      </c>
      <c r="AH39" s="51">
        <v>0</v>
      </c>
      <c r="AI39" s="51">
        <v>0</v>
      </c>
      <c r="AJ39" s="51">
        <v>0</v>
      </c>
      <c r="AK39" s="51">
        <v>0</v>
      </c>
      <c r="AL39" s="51">
        <v>0</v>
      </c>
      <c r="AM39" s="51">
        <v>0</v>
      </c>
      <c r="AN39" s="51">
        <v>4000</v>
      </c>
      <c r="AO39" s="51">
        <v>0</v>
      </c>
      <c r="AP39" s="51">
        <v>0</v>
      </c>
      <c r="AQ39" s="51">
        <v>0</v>
      </c>
      <c r="AR39" s="51">
        <v>0</v>
      </c>
      <c r="AS39" s="51">
        <v>0</v>
      </c>
      <c r="AT39" s="51">
        <v>0</v>
      </c>
      <c r="AU39" s="51">
        <v>0</v>
      </c>
      <c r="AV39" s="51">
        <v>0</v>
      </c>
      <c r="AW39" s="51">
        <v>0</v>
      </c>
      <c r="AX39" s="51">
        <v>0</v>
      </c>
      <c r="AY39" s="51">
        <v>0</v>
      </c>
      <c r="AZ39" s="51">
        <v>4000</v>
      </c>
      <c r="BA39" s="51">
        <v>0</v>
      </c>
      <c r="BB39" s="51">
        <v>0</v>
      </c>
      <c r="BC39" s="52">
        <f ca="1">SUM(OFFSET($B39,0,1,1,Assumptions!$C$8))</f>
        <v>4000</v>
      </c>
      <c r="BD39" s="52">
        <f ca="1">SUM(OFFSET($B39,0,1+Assumptions!$C$8,1,SUM(Assumptions!$C$9)))</f>
        <v>4000</v>
      </c>
      <c r="BE39" s="52">
        <f ca="1">SUM(OFFSET($B39,0,1+SUM(Assumptions!$C$8:$C$9),1,SUM(Assumptions!$C$10)))</f>
        <v>4000</v>
      </c>
      <c r="BF39" s="52">
        <f ca="1">SUM(OFFSET($B39,0,1+SUM(Assumptions!$C$8:$C$10),1,SUM(Assumptions!$C$11)))</f>
        <v>4000</v>
      </c>
      <c r="BG39" s="52">
        <f t="shared" ca="1" si="13"/>
        <v>16000</v>
      </c>
    </row>
    <row r="40" spans="1:59" s="16" customFormat="1" ht="16.149999999999999" customHeight="1" x14ac:dyDescent="0.3">
      <c r="A40" s="171" t="s">
        <v>116</v>
      </c>
      <c r="B40" s="55" t="s">
        <v>6</v>
      </c>
      <c r="C40" s="51">
        <v>0</v>
      </c>
      <c r="D40" s="51">
        <v>0</v>
      </c>
      <c r="E40" s="51">
        <v>0</v>
      </c>
      <c r="F40" s="51">
        <v>0</v>
      </c>
      <c r="G40" s="51">
        <v>0</v>
      </c>
      <c r="H40" s="51">
        <v>0</v>
      </c>
      <c r="I40" s="51">
        <v>0</v>
      </c>
      <c r="J40" s="51">
        <v>0</v>
      </c>
      <c r="K40" s="51">
        <v>0</v>
      </c>
      <c r="L40" s="51">
        <v>0</v>
      </c>
      <c r="M40" s="51">
        <v>0</v>
      </c>
      <c r="N40" s="51">
        <v>0</v>
      </c>
      <c r="O40" s="51">
        <v>0</v>
      </c>
      <c r="P40" s="51">
        <v>0</v>
      </c>
      <c r="Q40" s="51">
        <v>2500</v>
      </c>
      <c r="R40" s="51">
        <v>0</v>
      </c>
      <c r="S40" s="51">
        <v>0</v>
      </c>
      <c r="T40" s="51">
        <v>0</v>
      </c>
      <c r="U40" s="51">
        <v>0</v>
      </c>
      <c r="V40" s="51">
        <v>0</v>
      </c>
      <c r="W40" s="51">
        <v>0</v>
      </c>
      <c r="X40" s="51">
        <v>0</v>
      </c>
      <c r="Y40" s="51">
        <v>0</v>
      </c>
      <c r="Z40" s="51">
        <v>0</v>
      </c>
      <c r="AA40" s="51">
        <v>0</v>
      </c>
      <c r="AB40" s="51">
        <v>0</v>
      </c>
      <c r="AC40" s="51">
        <v>0</v>
      </c>
      <c r="AD40" s="51">
        <v>0</v>
      </c>
      <c r="AE40" s="51">
        <v>0</v>
      </c>
      <c r="AF40" s="51">
        <v>0</v>
      </c>
      <c r="AG40" s="51">
        <v>0</v>
      </c>
      <c r="AH40" s="51">
        <v>0</v>
      </c>
      <c r="AI40" s="51">
        <v>0</v>
      </c>
      <c r="AJ40" s="51">
        <v>0</v>
      </c>
      <c r="AK40" s="51">
        <v>0</v>
      </c>
      <c r="AL40" s="51">
        <v>0</v>
      </c>
      <c r="AM40" s="51">
        <v>0</v>
      </c>
      <c r="AN40" s="51">
        <v>0</v>
      </c>
      <c r="AO40" s="51">
        <v>0</v>
      </c>
      <c r="AP40" s="51">
        <v>0</v>
      </c>
      <c r="AQ40" s="51">
        <v>0</v>
      </c>
      <c r="AR40" s="51">
        <v>0</v>
      </c>
      <c r="AS40" s="51">
        <v>0</v>
      </c>
      <c r="AT40" s="51">
        <v>0</v>
      </c>
      <c r="AU40" s="51">
        <v>0</v>
      </c>
      <c r="AV40" s="51">
        <v>0</v>
      </c>
      <c r="AW40" s="51">
        <v>0</v>
      </c>
      <c r="AX40" s="51">
        <v>0</v>
      </c>
      <c r="AY40" s="51">
        <v>0</v>
      </c>
      <c r="AZ40" s="51">
        <v>0</v>
      </c>
      <c r="BA40" s="51">
        <v>0</v>
      </c>
      <c r="BB40" s="51">
        <v>0</v>
      </c>
      <c r="BC40" s="52">
        <f ca="1">SUM(OFFSET($B40,0,1,1,Assumptions!$C$8))</f>
        <v>0</v>
      </c>
      <c r="BD40" s="52">
        <f ca="1">SUM(OFFSET($B40,0,1+Assumptions!$C$8,1,SUM(Assumptions!$C$9)))</f>
        <v>2500</v>
      </c>
      <c r="BE40" s="52">
        <f ca="1">SUM(OFFSET($B40,0,1+SUM(Assumptions!$C$8:$C$9),1,SUM(Assumptions!$C$10)))</f>
        <v>0</v>
      </c>
      <c r="BF40" s="52">
        <f ca="1">SUM(OFFSET($B40,0,1+SUM(Assumptions!$C$8:$C$10),1,SUM(Assumptions!$C$11)))</f>
        <v>0</v>
      </c>
      <c r="BG40" s="52">
        <f t="shared" ca="1" si="13"/>
        <v>2500</v>
      </c>
    </row>
    <row r="41" spans="1:59" s="10" customFormat="1" ht="16.149999999999999" customHeight="1" x14ac:dyDescent="0.3">
      <c r="A41" s="168"/>
      <c r="B41" s="2" t="s">
        <v>110</v>
      </c>
      <c r="C41" s="65">
        <f ca="1">SUM(OFFSET(B18,1,1,ROW($B$41)-ROW($B$18)-1,1))</f>
        <v>23250</v>
      </c>
      <c r="D41" s="65">
        <f t="shared" ref="D41:BG41" ca="1" si="14">SUM(OFFSET(C18,1,1,ROW($B$41)-ROW($B$18)-1,1))</f>
        <v>0</v>
      </c>
      <c r="E41" s="65">
        <f t="shared" ca="1" si="14"/>
        <v>4800</v>
      </c>
      <c r="F41" s="65">
        <f t="shared" ca="1" si="14"/>
        <v>0</v>
      </c>
      <c r="G41" s="65">
        <f t="shared" ca="1" si="14"/>
        <v>15285</v>
      </c>
      <c r="H41" s="65">
        <f t="shared" ca="1" si="14"/>
        <v>30000</v>
      </c>
      <c r="I41" s="65">
        <f t="shared" ca="1" si="14"/>
        <v>15200</v>
      </c>
      <c r="J41" s="65">
        <f t="shared" ca="1" si="14"/>
        <v>2660</v>
      </c>
      <c r="K41" s="65">
        <f t="shared" ca="1" si="14"/>
        <v>11485</v>
      </c>
      <c r="L41" s="65">
        <f t="shared" ca="1" si="14"/>
        <v>26300</v>
      </c>
      <c r="M41" s="65">
        <f t="shared" ca="1" si="14"/>
        <v>1619</v>
      </c>
      <c r="N41" s="65">
        <f t="shared" ca="1" si="14"/>
        <v>0</v>
      </c>
      <c r="O41" s="65">
        <f t="shared" ca="1" si="14"/>
        <v>31485</v>
      </c>
      <c r="P41" s="65">
        <f t="shared" ca="1" si="14"/>
        <v>22000</v>
      </c>
      <c r="Q41" s="65">
        <f t="shared" ca="1" si="14"/>
        <v>2500</v>
      </c>
      <c r="R41" s="65">
        <f t="shared" ca="1" si="14"/>
        <v>920</v>
      </c>
      <c r="S41" s="65">
        <f t="shared" ca="1" si="14"/>
        <v>12000</v>
      </c>
      <c r="T41" s="65">
        <f t="shared" ca="1" si="14"/>
        <v>13835</v>
      </c>
      <c r="U41" s="65">
        <f t="shared" ca="1" si="14"/>
        <v>22567</v>
      </c>
      <c r="V41" s="65">
        <f t="shared" ca="1" si="14"/>
        <v>6205</v>
      </c>
      <c r="W41" s="65">
        <f t="shared" ca="1" si="14"/>
        <v>9000</v>
      </c>
      <c r="X41" s="65">
        <f t="shared" ca="1" si="14"/>
        <v>11735</v>
      </c>
      <c r="Y41" s="65">
        <f t="shared" ca="1" si="14"/>
        <v>22000</v>
      </c>
      <c r="Z41" s="65">
        <f t="shared" ca="1" si="14"/>
        <v>13285</v>
      </c>
      <c r="AA41" s="65">
        <f t="shared" ca="1" si="14"/>
        <v>0</v>
      </c>
      <c r="AB41" s="65">
        <f t="shared" ca="1" si="14"/>
        <v>21735</v>
      </c>
      <c r="AC41" s="65">
        <f t="shared" ca="1" si="14"/>
        <v>22000</v>
      </c>
      <c r="AD41" s="65">
        <f t="shared" ca="1" si="14"/>
        <v>1900</v>
      </c>
      <c r="AE41" s="65">
        <f t="shared" ca="1" si="14"/>
        <v>950</v>
      </c>
      <c r="AF41" s="65">
        <f t="shared" ca="1" si="14"/>
        <v>854</v>
      </c>
      <c r="AG41" s="65">
        <f t="shared" ca="1" si="14"/>
        <v>11735</v>
      </c>
      <c r="AH41" s="65">
        <f t="shared" ca="1" si="14"/>
        <v>32000</v>
      </c>
      <c r="AI41" s="65">
        <f t="shared" ca="1" si="14"/>
        <v>1714</v>
      </c>
      <c r="AJ41" s="65">
        <f t="shared" ca="1" si="14"/>
        <v>22000</v>
      </c>
      <c r="AK41" s="65">
        <f t="shared" ca="1" si="14"/>
        <v>14735</v>
      </c>
      <c r="AL41" s="65">
        <f t="shared" ca="1" si="14"/>
        <v>25900</v>
      </c>
      <c r="AM41" s="65">
        <f t="shared" ca="1" si="14"/>
        <v>950</v>
      </c>
      <c r="AN41" s="65">
        <f t="shared" ca="1" si="14"/>
        <v>4000</v>
      </c>
      <c r="AO41" s="65">
        <f t="shared" ca="1" si="14"/>
        <v>24735</v>
      </c>
      <c r="AP41" s="65">
        <f t="shared" ca="1" si="14"/>
        <v>0</v>
      </c>
      <c r="AQ41" s="65">
        <f t="shared" ca="1" si="14"/>
        <v>22000</v>
      </c>
      <c r="AR41" s="65">
        <f t="shared" ca="1" si="14"/>
        <v>22950</v>
      </c>
      <c r="AS41" s="65">
        <f t="shared" ca="1" si="14"/>
        <v>6656</v>
      </c>
      <c r="AT41" s="65">
        <f t="shared" ca="1" si="14"/>
        <v>11735</v>
      </c>
      <c r="AU41" s="65">
        <f t="shared" ca="1" si="14"/>
        <v>22000</v>
      </c>
      <c r="AV41" s="65">
        <f t="shared" ca="1" si="14"/>
        <v>950</v>
      </c>
      <c r="AW41" s="65">
        <f t="shared" ca="1" si="14"/>
        <v>3200</v>
      </c>
      <c r="AX41" s="65">
        <f t="shared" ca="1" si="14"/>
        <v>18935</v>
      </c>
      <c r="AY41" s="65">
        <f t="shared" ca="1" si="14"/>
        <v>22000</v>
      </c>
      <c r="AZ41" s="65">
        <f t="shared" ca="1" si="14"/>
        <v>4970</v>
      </c>
      <c r="BA41" s="65">
        <f t="shared" ca="1" si="14"/>
        <v>19000</v>
      </c>
      <c r="BB41" s="65">
        <f t="shared" ca="1" si="14"/>
        <v>29722</v>
      </c>
      <c r="BC41" s="65">
        <f t="shared" ca="1" si="14"/>
        <v>162084</v>
      </c>
      <c r="BD41" s="65">
        <f t="shared" ca="1" si="14"/>
        <v>157782</v>
      </c>
      <c r="BE41" s="65">
        <f t="shared" ca="1" si="14"/>
        <v>163473</v>
      </c>
      <c r="BF41" s="65">
        <f t="shared" ca="1" si="14"/>
        <v>184118</v>
      </c>
      <c r="BG41" s="65">
        <f t="shared" ca="1" si="14"/>
        <v>667457</v>
      </c>
    </row>
    <row r="42" spans="1:59" s="10" customFormat="1" ht="16.149999999999999" customHeight="1" x14ac:dyDescent="0.3">
      <c r="A42" s="168"/>
      <c r="B42" s="2" t="s">
        <v>111</v>
      </c>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row>
    <row r="43" spans="1:59" ht="16.149999999999999" customHeight="1" x14ac:dyDescent="0.3">
      <c r="A43" s="171" t="s">
        <v>284</v>
      </c>
      <c r="B43" s="12" t="s">
        <v>112</v>
      </c>
      <c r="C43" s="51">
        <v>0</v>
      </c>
      <c r="D43" s="51">
        <v>0</v>
      </c>
      <c r="E43" s="51">
        <v>0</v>
      </c>
      <c r="F43" s="51">
        <v>70000</v>
      </c>
      <c r="G43" s="51">
        <v>0</v>
      </c>
      <c r="H43" s="51">
        <v>0</v>
      </c>
      <c r="I43" s="51">
        <v>0</v>
      </c>
      <c r="J43" s="51">
        <v>0</v>
      </c>
      <c r="K43" s="51">
        <v>70000</v>
      </c>
      <c r="L43" s="51">
        <v>0</v>
      </c>
      <c r="M43" s="51">
        <v>0</v>
      </c>
      <c r="N43" s="51">
        <v>0</v>
      </c>
      <c r="O43" s="51">
        <v>70000</v>
      </c>
      <c r="P43" s="51">
        <v>0</v>
      </c>
      <c r="Q43" s="51">
        <v>0</v>
      </c>
      <c r="R43" s="51">
        <v>0</v>
      </c>
      <c r="S43" s="51">
        <v>70000</v>
      </c>
      <c r="T43" s="51">
        <v>0</v>
      </c>
      <c r="U43" s="51">
        <v>0</v>
      </c>
      <c r="V43" s="51">
        <v>0</v>
      </c>
      <c r="W43" s="51">
        <v>0</v>
      </c>
      <c r="X43" s="51">
        <v>70000</v>
      </c>
      <c r="Y43" s="51">
        <v>0</v>
      </c>
      <c r="Z43" s="51">
        <v>0</v>
      </c>
      <c r="AA43" s="51">
        <v>0</v>
      </c>
      <c r="AB43" s="51">
        <v>70000</v>
      </c>
      <c r="AC43" s="51">
        <v>0</v>
      </c>
      <c r="AD43" s="51">
        <v>0</v>
      </c>
      <c r="AE43" s="51">
        <v>0</v>
      </c>
      <c r="AF43" s="51">
        <v>0</v>
      </c>
      <c r="AG43" s="51">
        <v>70000</v>
      </c>
      <c r="AH43" s="51">
        <v>0</v>
      </c>
      <c r="AI43" s="51">
        <v>0</v>
      </c>
      <c r="AJ43" s="51">
        <v>0</v>
      </c>
      <c r="AK43" s="51">
        <v>70000</v>
      </c>
      <c r="AL43" s="51">
        <v>0</v>
      </c>
      <c r="AM43" s="51">
        <v>0</v>
      </c>
      <c r="AN43" s="51">
        <v>0</v>
      </c>
      <c r="AO43" s="51">
        <v>70000</v>
      </c>
      <c r="AP43" s="51">
        <v>0</v>
      </c>
      <c r="AQ43" s="51">
        <v>0</v>
      </c>
      <c r="AR43" s="51">
        <v>0</v>
      </c>
      <c r="AS43" s="51">
        <v>75000</v>
      </c>
      <c r="AT43" s="51">
        <v>0</v>
      </c>
      <c r="AU43" s="51">
        <v>0</v>
      </c>
      <c r="AV43" s="51">
        <v>0</v>
      </c>
      <c r="AW43" s="51">
        <v>0</v>
      </c>
      <c r="AX43" s="51">
        <v>70000</v>
      </c>
      <c r="AY43" s="51">
        <v>0</v>
      </c>
      <c r="AZ43" s="51">
        <v>0</v>
      </c>
      <c r="BA43" s="51">
        <v>0</v>
      </c>
      <c r="BB43" s="51">
        <v>70000</v>
      </c>
      <c r="BC43" s="52">
        <f ca="1">SUM(OFFSET($B43,0,1,1,Assumptions!$C$8))</f>
        <v>210000</v>
      </c>
      <c r="BD43" s="52">
        <f ca="1">SUM(OFFSET($B43,0,1+Assumptions!$C$8,1,SUM(Assumptions!$C$9)))</f>
        <v>210000</v>
      </c>
      <c r="BE43" s="52">
        <f ca="1">SUM(OFFSET($B43,0,1+SUM(Assumptions!$C$8:$C$9),1,SUM(Assumptions!$C$10)))</f>
        <v>210000</v>
      </c>
      <c r="BF43" s="52">
        <f ca="1">SUM(OFFSET($B43,0,1+SUM(Assumptions!$C$8:$C$10),1,SUM(Assumptions!$C$11)))</f>
        <v>215000</v>
      </c>
      <c r="BG43" s="52">
        <f t="shared" ref="BG43:BG44" ca="1" si="15">SUM(BC43:BF43)</f>
        <v>845000</v>
      </c>
    </row>
    <row r="44" spans="1:59" ht="16.149999999999999" customHeight="1" x14ac:dyDescent="0.3">
      <c r="A44" s="171" t="s">
        <v>284</v>
      </c>
      <c r="B44" s="12" t="s">
        <v>113</v>
      </c>
      <c r="C44" s="51">
        <v>5800</v>
      </c>
      <c r="D44" s="51">
        <v>5800</v>
      </c>
      <c r="E44" s="51">
        <v>5800</v>
      </c>
      <c r="F44" s="51">
        <v>5800</v>
      </c>
      <c r="G44" s="51">
        <v>5800</v>
      </c>
      <c r="H44" s="51">
        <v>5800</v>
      </c>
      <c r="I44" s="51">
        <v>5800</v>
      </c>
      <c r="J44" s="51">
        <v>5800</v>
      </c>
      <c r="K44" s="51">
        <v>5800</v>
      </c>
      <c r="L44" s="51">
        <v>5800</v>
      </c>
      <c r="M44" s="51">
        <v>5800</v>
      </c>
      <c r="N44" s="51">
        <v>5800</v>
      </c>
      <c r="O44" s="51">
        <v>5800</v>
      </c>
      <c r="P44" s="51">
        <v>5800</v>
      </c>
      <c r="Q44" s="51">
        <v>5800</v>
      </c>
      <c r="R44" s="51">
        <v>5800</v>
      </c>
      <c r="S44" s="51">
        <v>5800</v>
      </c>
      <c r="T44" s="51">
        <v>5800</v>
      </c>
      <c r="U44" s="51">
        <v>5800</v>
      </c>
      <c r="V44" s="51">
        <v>5800</v>
      </c>
      <c r="W44" s="51">
        <v>5800</v>
      </c>
      <c r="X44" s="51">
        <v>5800</v>
      </c>
      <c r="Y44" s="51">
        <v>5800</v>
      </c>
      <c r="Z44" s="51">
        <v>5800</v>
      </c>
      <c r="AA44" s="51">
        <v>6200</v>
      </c>
      <c r="AB44" s="51">
        <v>6200</v>
      </c>
      <c r="AC44" s="51">
        <v>6200</v>
      </c>
      <c r="AD44" s="51">
        <v>6200</v>
      </c>
      <c r="AE44" s="51">
        <v>6200</v>
      </c>
      <c r="AF44" s="51">
        <v>6200</v>
      </c>
      <c r="AG44" s="51">
        <v>6200</v>
      </c>
      <c r="AH44" s="51">
        <v>6200</v>
      </c>
      <c r="AI44" s="51">
        <v>6200</v>
      </c>
      <c r="AJ44" s="51">
        <v>6200</v>
      </c>
      <c r="AK44" s="51">
        <v>6200</v>
      </c>
      <c r="AL44" s="51">
        <v>6200</v>
      </c>
      <c r="AM44" s="51">
        <v>6200</v>
      </c>
      <c r="AN44" s="51">
        <v>6200</v>
      </c>
      <c r="AO44" s="51">
        <v>6200</v>
      </c>
      <c r="AP44" s="51">
        <v>6200</v>
      </c>
      <c r="AQ44" s="51">
        <v>6800</v>
      </c>
      <c r="AR44" s="51">
        <v>6800</v>
      </c>
      <c r="AS44" s="51">
        <v>6800</v>
      </c>
      <c r="AT44" s="51">
        <v>6800</v>
      </c>
      <c r="AU44" s="51">
        <v>6800</v>
      </c>
      <c r="AV44" s="51">
        <v>6800</v>
      </c>
      <c r="AW44" s="51">
        <v>6800</v>
      </c>
      <c r="AX44" s="51">
        <v>6800</v>
      </c>
      <c r="AY44" s="51">
        <v>6800</v>
      </c>
      <c r="AZ44" s="51">
        <v>6800</v>
      </c>
      <c r="BA44" s="51">
        <v>6800</v>
      </c>
      <c r="BB44" s="51">
        <v>6800</v>
      </c>
      <c r="BC44" s="52">
        <f ca="1">SUM(OFFSET($B44,0,1,1,Assumptions!$C$8))</f>
        <v>75400</v>
      </c>
      <c r="BD44" s="52">
        <f ca="1">SUM(OFFSET($B44,0,1+Assumptions!$C$8,1,SUM(Assumptions!$C$9)))</f>
        <v>76200</v>
      </c>
      <c r="BE44" s="52">
        <f ca="1">SUM(OFFSET($B44,0,1+SUM(Assumptions!$C$8:$C$9),1,SUM(Assumptions!$C$10)))</f>
        <v>80600</v>
      </c>
      <c r="BF44" s="52">
        <f ca="1">SUM(OFFSET($B44,0,1+SUM(Assumptions!$C$8:$C$10),1,SUM(Assumptions!$C$11)))</f>
        <v>87800</v>
      </c>
      <c r="BG44" s="52">
        <f t="shared" ca="1" si="15"/>
        <v>320000</v>
      </c>
    </row>
    <row r="45" spans="1:59" s="10" customFormat="1" ht="16.149999999999999" customHeight="1" thickBot="1" x14ac:dyDescent="0.35">
      <c r="A45" s="168" t="s">
        <v>118</v>
      </c>
      <c r="B45" s="2" t="s">
        <v>114</v>
      </c>
      <c r="C45" s="57">
        <f ca="1">SUM(OFFSET(C42,1,0,ROW($B45)-ROW($B42)-1,1))</f>
        <v>5800</v>
      </c>
      <c r="D45" s="57">
        <f t="shared" ref="D45:BG45" ca="1" si="16">SUM(OFFSET(D42,1,0,ROW($B45)-ROW($B42)-1,1))</f>
        <v>5800</v>
      </c>
      <c r="E45" s="57">
        <f t="shared" ca="1" si="16"/>
        <v>5800</v>
      </c>
      <c r="F45" s="57">
        <f t="shared" ca="1" si="16"/>
        <v>75800</v>
      </c>
      <c r="G45" s="57">
        <f t="shared" ca="1" si="16"/>
        <v>5800</v>
      </c>
      <c r="H45" s="57">
        <f t="shared" ca="1" si="16"/>
        <v>5800</v>
      </c>
      <c r="I45" s="57">
        <f t="shared" ca="1" si="16"/>
        <v>5800</v>
      </c>
      <c r="J45" s="57">
        <f t="shared" ca="1" si="16"/>
        <v>5800</v>
      </c>
      <c r="K45" s="57">
        <f t="shared" ca="1" si="16"/>
        <v>75800</v>
      </c>
      <c r="L45" s="57">
        <f t="shared" ca="1" si="16"/>
        <v>5800</v>
      </c>
      <c r="M45" s="57">
        <f t="shared" ca="1" si="16"/>
        <v>5800</v>
      </c>
      <c r="N45" s="57">
        <f t="shared" ca="1" si="16"/>
        <v>5800</v>
      </c>
      <c r="O45" s="57">
        <f t="shared" ca="1" si="16"/>
        <v>75800</v>
      </c>
      <c r="P45" s="57">
        <f t="shared" ca="1" si="16"/>
        <v>5800</v>
      </c>
      <c r="Q45" s="57">
        <f t="shared" ca="1" si="16"/>
        <v>5800</v>
      </c>
      <c r="R45" s="57">
        <f t="shared" ca="1" si="16"/>
        <v>5800</v>
      </c>
      <c r="S45" s="57">
        <f t="shared" ca="1" si="16"/>
        <v>75800</v>
      </c>
      <c r="T45" s="57">
        <f t="shared" ca="1" si="16"/>
        <v>5800</v>
      </c>
      <c r="U45" s="57">
        <f t="shared" ca="1" si="16"/>
        <v>5800</v>
      </c>
      <c r="V45" s="57">
        <f t="shared" ca="1" si="16"/>
        <v>5800</v>
      </c>
      <c r="W45" s="57">
        <f t="shared" ca="1" si="16"/>
        <v>5800</v>
      </c>
      <c r="X45" s="57">
        <f t="shared" ca="1" si="16"/>
        <v>75800</v>
      </c>
      <c r="Y45" s="57">
        <f t="shared" ca="1" si="16"/>
        <v>5800</v>
      </c>
      <c r="Z45" s="57">
        <f t="shared" ca="1" si="16"/>
        <v>5800</v>
      </c>
      <c r="AA45" s="57">
        <f t="shared" ca="1" si="16"/>
        <v>6200</v>
      </c>
      <c r="AB45" s="57">
        <f t="shared" ca="1" si="16"/>
        <v>76200</v>
      </c>
      <c r="AC45" s="57">
        <f t="shared" ca="1" si="16"/>
        <v>6200</v>
      </c>
      <c r="AD45" s="57">
        <f t="shared" ca="1" si="16"/>
        <v>6200</v>
      </c>
      <c r="AE45" s="57">
        <f t="shared" ca="1" si="16"/>
        <v>6200</v>
      </c>
      <c r="AF45" s="57">
        <f t="shared" ca="1" si="16"/>
        <v>6200</v>
      </c>
      <c r="AG45" s="57">
        <f t="shared" ca="1" si="16"/>
        <v>76200</v>
      </c>
      <c r="AH45" s="57">
        <f t="shared" ca="1" si="16"/>
        <v>6200</v>
      </c>
      <c r="AI45" s="57">
        <f t="shared" ca="1" si="16"/>
        <v>6200</v>
      </c>
      <c r="AJ45" s="57">
        <f t="shared" ca="1" si="16"/>
        <v>6200</v>
      </c>
      <c r="AK45" s="57">
        <f t="shared" ca="1" si="16"/>
        <v>76200</v>
      </c>
      <c r="AL45" s="57">
        <f t="shared" ca="1" si="16"/>
        <v>6200</v>
      </c>
      <c r="AM45" s="57">
        <f t="shared" ca="1" si="16"/>
        <v>6200</v>
      </c>
      <c r="AN45" s="57">
        <f t="shared" ca="1" si="16"/>
        <v>6200</v>
      </c>
      <c r="AO45" s="57">
        <f t="shared" ca="1" si="16"/>
        <v>76200</v>
      </c>
      <c r="AP45" s="57">
        <f t="shared" ca="1" si="16"/>
        <v>6200</v>
      </c>
      <c r="AQ45" s="57">
        <f t="shared" ca="1" si="16"/>
        <v>6800</v>
      </c>
      <c r="AR45" s="57">
        <f t="shared" ca="1" si="16"/>
        <v>6800</v>
      </c>
      <c r="AS45" s="57">
        <f t="shared" ca="1" si="16"/>
        <v>81800</v>
      </c>
      <c r="AT45" s="57">
        <f t="shared" ca="1" si="16"/>
        <v>6800</v>
      </c>
      <c r="AU45" s="57">
        <f t="shared" ca="1" si="16"/>
        <v>6800</v>
      </c>
      <c r="AV45" s="57">
        <f t="shared" ca="1" si="16"/>
        <v>6800</v>
      </c>
      <c r="AW45" s="57">
        <f t="shared" ca="1" si="16"/>
        <v>6800</v>
      </c>
      <c r="AX45" s="57">
        <f t="shared" ca="1" si="16"/>
        <v>76800</v>
      </c>
      <c r="AY45" s="57">
        <f t="shared" ca="1" si="16"/>
        <v>6800</v>
      </c>
      <c r="AZ45" s="57">
        <f t="shared" ca="1" si="16"/>
        <v>6800</v>
      </c>
      <c r="BA45" s="57">
        <f t="shared" ca="1" si="16"/>
        <v>6800</v>
      </c>
      <c r="BB45" s="57">
        <f t="shared" ca="1" si="16"/>
        <v>76800</v>
      </c>
      <c r="BC45" s="57">
        <f t="shared" ca="1" si="16"/>
        <v>285400</v>
      </c>
      <c r="BD45" s="57">
        <f t="shared" ca="1" si="16"/>
        <v>286200</v>
      </c>
      <c r="BE45" s="57">
        <f t="shared" ca="1" si="16"/>
        <v>290600</v>
      </c>
      <c r="BF45" s="57">
        <f t="shared" ca="1" si="16"/>
        <v>302800</v>
      </c>
      <c r="BG45" s="57">
        <f t="shared" ca="1" si="16"/>
        <v>1165000</v>
      </c>
    </row>
    <row r="46" spans="1:59" s="10" customFormat="1" ht="16.149999999999999" customHeight="1" x14ac:dyDescent="0.3">
      <c r="A46" s="168"/>
      <c r="B46" s="2" t="s">
        <v>115</v>
      </c>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row>
    <row r="47" spans="1:59" ht="16.149999999999999" customHeight="1" x14ac:dyDescent="0.3">
      <c r="A47" s="171" t="s">
        <v>119</v>
      </c>
      <c r="B47" s="12" t="s">
        <v>58</v>
      </c>
      <c r="C47" s="51">
        <v>0</v>
      </c>
      <c r="D47" s="51">
        <v>0</v>
      </c>
      <c r="E47" s="51">
        <v>0</v>
      </c>
      <c r="F47" s="51">
        <v>0</v>
      </c>
      <c r="G47" s="51">
        <v>15000</v>
      </c>
      <c r="H47" s="51">
        <v>0</v>
      </c>
      <c r="I47" s="51">
        <v>0</v>
      </c>
      <c r="J47" s="51">
        <v>0</v>
      </c>
      <c r="K47" s="51">
        <v>15000</v>
      </c>
      <c r="L47" s="51">
        <v>0</v>
      </c>
      <c r="M47" s="51">
        <v>0</v>
      </c>
      <c r="N47" s="51">
        <v>0</v>
      </c>
      <c r="O47" s="51">
        <v>15000</v>
      </c>
      <c r="P47" s="51">
        <v>0</v>
      </c>
      <c r="Q47" s="51">
        <v>0</v>
      </c>
      <c r="R47" s="51">
        <v>0</v>
      </c>
      <c r="S47" s="51">
        <v>0</v>
      </c>
      <c r="T47" s="51">
        <v>15000</v>
      </c>
      <c r="U47" s="51">
        <v>0</v>
      </c>
      <c r="V47" s="51">
        <v>0</v>
      </c>
      <c r="W47" s="51">
        <v>0</v>
      </c>
      <c r="X47" s="51">
        <v>15000</v>
      </c>
      <c r="Y47" s="51">
        <v>0</v>
      </c>
      <c r="Z47" s="51">
        <v>0</v>
      </c>
      <c r="AA47" s="51">
        <v>0</v>
      </c>
      <c r="AB47" s="51">
        <v>15000</v>
      </c>
      <c r="AC47" s="51">
        <v>0</v>
      </c>
      <c r="AD47" s="51">
        <v>0</v>
      </c>
      <c r="AE47" s="51">
        <v>0</v>
      </c>
      <c r="AF47" s="51">
        <v>0</v>
      </c>
      <c r="AG47" s="51">
        <v>15000</v>
      </c>
      <c r="AH47" s="51">
        <v>0</v>
      </c>
      <c r="AI47" s="51">
        <v>0</v>
      </c>
      <c r="AJ47" s="51">
        <v>0</v>
      </c>
      <c r="AK47" s="51">
        <v>15000</v>
      </c>
      <c r="AL47" s="51">
        <v>0</v>
      </c>
      <c r="AM47" s="51">
        <v>0</v>
      </c>
      <c r="AN47" s="51">
        <v>0</v>
      </c>
      <c r="AO47" s="51">
        <v>15000</v>
      </c>
      <c r="AP47" s="51">
        <v>0</v>
      </c>
      <c r="AQ47" s="51">
        <v>0</v>
      </c>
      <c r="AR47" s="51">
        <v>0</v>
      </c>
      <c r="AS47" s="51">
        <v>0</v>
      </c>
      <c r="AT47" s="51">
        <v>15000</v>
      </c>
      <c r="AU47" s="51">
        <v>0</v>
      </c>
      <c r="AV47" s="51">
        <v>0</v>
      </c>
      <c r="AW47" s="51">
        <v>0</v>
      </c>
      <c r="AX47" s="51">
        <v>19000</v>
      </c>
      <c r="AY47" s="51">
        <v>0</v>
      </c>
      <c r="AZ47" s="51">
        <v>0</v>
      </c>
      <c r="BA47" s="51">
        <v>0</v>
      </c>
      <c r="BB47" s="51">
        <v>19000</v>
      </c>
      <c r="BC47" s="52">
        <f ca="1">SUM(OFFSET($B47,0,1,1,Assumptions!$C$8))</f>
        <v>45000</v>
      </c>
      <c r="BD47" s="52">
        <f ca="1">SUM(OFFSET($B47,0,1+Assumptions!$C$8,1,SUM(Assumptions!$C$9)))</f>
        <v>45000</v>
      </c>
      <c r="BE47" s="52">
        <f ca="1">SUM(OFFSET($B47,0,1+SUM(Assumptions!$C$8:$C$9),1,SUM(Assumptions!$C$10)))</f>
        <v>45000</v>
      </c>
      <c r="BF47" s="52">
        <f ca="1">SUM(OFFSET($B47,0,1+SUM(Assumptions!$C$8:$C$10),1,SUM(Assumptions!$C$11)))</f>
        <v>53000</v>
      </c>
      <c r="BG47" s="52">
        <f ca="1">SUM(BC47:BF47)</f>
        <v>188000</v>
      </c>
    </row>
    <row r="48" spans="1:59" ht="16.149999999999999" customHeight="1" x14ac:dyDescent="0.3">
      <c r="A48" s="171" t="s">
        <v>120</v>
      </c>
      <c r="B48" s="12" t="s">
        <v>121</v>
      </c>
      <c r="C48" s="51">
        <v>0</v>
      </c>
      <c r="D48" s="51">
        <v>0</v>
      </c>
      <c r="E48" s="51">
        <v>0</v>
      </c>
      <c r="F48" s="51">
        <v>0</v>
      </c>
      <c r="G48" s="51">
        <v>1000</v>
      </c>
      <c r="H48" s="51">
        <v>0</v>
      </c>
      <c r="I48" s="51">
        <v>0</v>
      </c>
      <c r="J48" s="51">
        <v>0</v>
      </c>
      <c r="K48" s="51">
        <v>1000</v>
      </c>
      <c r="L48" s="51">
        <v>0</v>
      </c>
      <c r="M48" s="51">
        <v>0</v>
      </c>
      <c r="N48" s="51">
        <v>0</v>
      </c>
      <c r="O48" s="51">
        <v>1000</v>
      </c>
      <c r="P48" s="51">
        <v>0</v>
      </c>
      <c r="Q48" s="51">
        <v>0</v>
      </c>
      <c r="R48" s="51">
        <v>0</v>
      </c>
      <c r="S48" s="51">
        <v>0</v>
      </c>
      <c r="T48" s="51">
        <v>1000</v>
      </c>
      <c r="U48" s="51">
        <v>0</v>
      </c>
      <c r="V48" s="51">
        <v>0</v>
      </c>
      <c r="W48" s="51">
        <v>0</v>
      </c>
      <c r="X48" s="51">
        <v>1000</v>
      </c>
      <c r="Y48" s="51">
        <v>0</v>
      </c>
      <c r="Z48" s="51">
        <v>0</v>
      </c>
      <c r="AA48" s="51">
        <v>0</v>
      </c>
      <c r="AB48" s="51">
        <v>1000</v>
      </c>
      <c r="AC48" s="51">
        <v>0</v>
      </c>
      <c r="AD48" s="51">
        <v>0</v>
      </c>
      <c r="AE48" s="51">
        <v>0</v>
      </c>
      <c r="AF48" s="51">
        <v>0</v>
      </c>
      <c r="AG48" s="51">
        <v>1000</v>
      </c>
      <c r="AH48" s="51">
        <v>0</v>
      </c>
      <c r="AI48" s="51">
        <v>0</v>
      </c>
      <c r="AJ48" s="51">
        <v>0</v>
      </c>
      <c r="AK48" s="51">
        <v>1000</v>
      </c>
      <c r="AL48" s="51">
        <v>0</v>
      </c>
      <c r="AM48" s="51">
        <v>0</v>
      </c>
      <c r="AN48" s="51">
        <v>0</v>
      </c>
      <c r="AO48" s="51">
        <v>1000</v>
      </c>
      <c r="AP48" s="51">
        <v>0</v>
      </c>
      <c r="AQ48" s="51">
        <v>0</v>
      </c>
      <c r="AR48" s="51">
        <v>0</v>
      </c>
      <c r="AS48" s="51">
        <v>0</v>
      </c>
      <c r="AT48" s="51">
        <v>1000</v>
      </c>
      <c r="AU48" s="51">
        <v>0</v>
      </c>
      <c r="AV48" s="51">
        <v>0</v>
      </c>
      <c r="AW48" s="51">
        <v>0</v>
      </c>
      <c r="AX48" s="51">
        <v>1000</v>
      </c>
      <c r="AY48" s="51">
        <v>0</v>
      </c>
      <c r="AZ48" s="51">
        <v>0</v>
      </c>
      <c r="BA48" s="51">
        <v>0</v>
      </c>
      <c r="BB48" s="51">
        <v>1000</v>
      </c>
      <c r="BC48" s="52">
        <f ca="1">SUM(OFFSET($B48,0,1,1,Assumptions!$C$8))</f>
        <v>3000</v>
      </c>
      <c r="BD48" s="52">
        <f ca="1">SUM(OFFSET($B48,0,1+Assumptions!$C$8,1,SUM(Assumptions!$C$9)))</f>
        <v>3000</v>
      </c>
      <c r="BE48" s="52">
        <f ca="1">SUM(OFFSET($B48,0,1+SUM(Assumptions!$C$8:$C$9),1,SUM(Assumptions!$C$10)))</f>
        <v>3000</v>
      </c>
      <c r="BF48" s="52">
        <f ca="1">SUM(OFFSET($B48,0,1+SUM(Assumptions!$C$8:$C$10),1,SUM(Assumptions!$C$11)))</f>
        <v>3000</v>
      </c>
      <c r="BG48" s="52">
        <f ca="1">SUM(BC48:BF48)</f>
        <v>12000</v>
      </c>
    </row>
    <row r="49" spans="1:59" s="10" customFormat="1" ht="16.149999999999999" customHeight="1" thickBot="1" x14ac:dyDescent="0.3">
      <c r="A49" s="175"/>
      <c r="B49" s="2" t="s">
        <v>122</v>
      </c>
      <c r="C49" s="57">
        <f>SUM(C47:C48)</f>
        <v>0</v>
      </c>
      <c r="D49" s="57">
        <f t="shared" ref="D49:BG49" si="17">SUM(D47:D48)</f>
        <v>0</v>
      </c>
      <c r="E49" s="57">
        <f t="shared" si="17"/>
        <v>0</v>
      </c>
      <c r="F49" s="57">
        <f t="shared" si="17"/>
        <v>0</v>
      </c>
      <c r="G49" s="57">
        <f t="shared" si="17"/>
        <v>16000</v>
      </c>
      <c r="H49" s="57">
        <f t="shared" si="17"/>
        <v>0</v>
      </c>
      <c r="I49" s="57">
        <f t="shared" si="17"/>
        <v>0</v>
      </c>
      <c r="J49" s="57">
        <f t="shared" si="17"/>
        <v>0</v>
      </c>
      <c r="K49" s="57">
        <f t="shared" si="17"/>
        <v>16000</v>
      </c>
      <c r="L49" s="57">
        <f t="shared" si="17"/>
        <v>0</v>
      </c>
      <c r="M49" s="57">
        <f t="shared" si="17"/>
        <v>0</v>
      </c>
      <c r="N49" s="57">
        <f t="shared" si="17"/>
        <v>0</v>
      </c>
      <c r="O49" s="57">
        <f t="shared" si="17"/>
        <v>16000</v>
      </c>
      <c r="P49" s="57">
        <f t="shared" si="17"/>
        <v>0</v>
      </c>
      <c r="Q49" s="57">
        <f t="shared" si="17"/>
        <v>0</v>
      </c>
      <c r="R49" s="57">
        <f t="shared" si="17"/>
        <v>0</v>
      </c>
      <c r="S49" s="57">
        <f t="shared" si="17"/>
        <v>0</v>
      </c>
      <c r="T49" s="57">
        <f t="shared" si="17"/>
        <v>16000</v>
      </c>
      <c r="U49" s="57">
        <f t="shared" si="17"/>
        <v>0</v>
      </c>
      <c r="V49" s="57">
        <f t="shared" si="17"/>
        <v>0</v>
      </c>
      <c r="W49" s="57">
        <f t="shared" si="17"/>
        <v>0</v>
      </c>
      <c r="X49" s="57">
        <f t="shared" si="17"/>
        <v>16000</v>
      </c>
      <c r="Y49" s="57">
        <f t="shared" si="17"/>
        <v>0</v>
      </c>
      <c r="Z49" s="57">
        <f t="shared" si="17"/>
        <v>0</v>
      </c>
      <c r="AA49" s="57">
        <f t="shared" si="17"/>
        <v>0</v>
      </c>
      <c r="AB49" s="57">
        <f t="shared" si="17"/>
        <v>16000</v>
      </c>
      <c r="AC49" s="57">
        <f t="shared" si="17"/>
        <v>0</v>
      </c>
      <c r="AD49" s="57">
        <f t="shared" si="17"/>
        <v>0</v>
      </c>
      <c r="AE49" s="57">
        <f t="shared" si="17"/>
        <v>0</v>
      </c>
      <c r="AF49" s="57">
        <f t="shared" si="17"/>
        <v>0</v>
      </c>
      <c r="AG49" s="57">
        <f t="shared" si="17"/>
        <v>16000</v>
      </c>
      <c r="AH49" s="57">
        <f t="shared" si="17"/>
        <v>0</v>
      </c>
      <c r="AI49" s="57">
        <f t="shared" si="17"/>
        <v>0</v>
      </c>
      <c r="AJ49" s="57">
        <f t="shared" si="17"/>
        <v>0</v>
      </c>
      <c r="AK49" s="57">
        <f t="shared" si="17"/>
        <v>16000</v>
      </c>
      <c r="AL49" s="57">
        <f t="shared" si="17"/>
        <v>0</v>
      </c>
      <c r="AM49" s="57">
        <f t="shared" si="17"/>
        <v>0</v>
      </c>
      <c r="AN49" s="57">
        <f t="shared" si="17"/>
        <v>0</v>
      </c>
      <c r="AO49" s="57">
        <f t="shared" si="17"/>
        <v>16000</v>
      </c>
      <c r="AP49" s="57">
        <f t="shared" si="17"/>
        <v>0</v>
      </c>
      <c r="AQ49" s="57">
        <f t="shared" si="17"/>
        <v>0</v>
      </c>
      <c r="AR49" s="57">
        <f t="shared" si="17"/>
        <v>0</v>
      </c>
      <c r="AS49" s="57">
        <f t="shared" si="17"/>
        <v>0</v>
      </c>
      <c r="AT49" s="57">
        <f t="shared" si="17"/>
        <v>16000</v>
      </c>
      <c r="AU49" s="57">
        <f t="shared" si="17"/>
        <v>0</v>
      </c>
      <c r="AV49" s="57">
        <f t="shared" si="17"/>
        <v>0</v>
      </c>
      <c r="AW49" s="57">
        <f t="shared" si="17"/>
        <v>0</v>
      </c>
      <c r="AX49" s="57">
        <f t="shared" si="17"/>
        <v>20000</v>
      </c>
      <c r="AY49" s="57">
        <f t="shared" si="17"/>
        <v>0</v>
      </c>
      <c r="AZ49" s="57">
        <f t="shared" si="17"/>
        <v>0</v>
      </c>
      <c r="BA49" s="57">
        <f t="shared" si="17"/>
        <v>0</v>
      </c>
      <c r="BB49" s="57">
        <f t="shared" si="17"/>
        <v>20000</v>
      </c>
      <c r="BC49" s="57">
        <f t="shared" ca="1" si="17"/>
        <v>48000</v>
      </c>
      <c r="BD49" s="57">
        <f t="shared" ca="1" si="17"/>
        <v>48000</v>
      </c>
      <c r="BE49" s="57">
        <f t="shared" ca="1" si="17"/>
        <v>48000</v>
      </c>
      <c r="BF49" s="57">
        <f t="shared" ca="1" si="17"/>
        <v>56000</v>
      </c>
      <c r="BG49" s="57">
        <f t="shared" ca="1" si="17"/>
        <v>200000</v>
      </c>
    </row>
    <row r="50" spans="1:59" s="10" customFormat="1" ht="16.149999999999999" customHeight="1" x14ac:dyDescent="0.3">
      <c r="A50" s="168"/>
      <c r="B50" s="2" t="s">
        <v>123</v>
      </c>
      <c r="C50" s="52">
        <f ca="1">SUM(C13,C17,-C41,-C45,-C49)</f>
        <v>16950</v>
      </c>
      <c r="D50" s="52">
        <f t="shared" ref="D50:BG50" ca="1" si="18">SUM(D13,D17,-D41,-D45,-D49)</f>
        <v>33723.066666666666</v>
      </c>
      <c r="E50" s="52">
        <f t="shared" ca="1" si="18"/>
        <v>36866.666666666672</v>
      </c>
      <c r="F50" s="52">
        <f t="shared" ca="1" si="18"/>
        <v>-26326.666666666672</v>
      </c>
      <c r="G50" s="52">
        <f t="shared" ca="1" si="18"/>
        <v>14882</v>
      </c>
      <c r="H50" s="52">
        <f t="shared" ca="1" si="18"/>
        <v>14474.166666666672</v>
      </c>
      <c r="I50" s="52">
        <f t="shared" ca="1" si="18"/>
        <v>21724.5</v>
      </c>
      <c r="J50" s="52">
        <f t="shared" ca="1" si="18"/>
        <v>42675</v>
      </c>
      <c r="K50" s="52">
        <f t="shared" ca="1" si="18"/>
        <v>-56835</v>
      </c>
      <c r="L50" s="52">
        <f t="shared" ca="1" si="18"/>
        <v>15846.666666666672</v>
      </c>
      <c r="M50" s="52">
        <f t="shared" ca="1" si="18"/>
        <v>46426</v>
      </c>
      <c r="N50" s="52">
        <f t="shared" ca="1" si="18"/>
        <v>47718.666666666672</v>
      </c>
      <c r="O50" s="52">
        <f t="shared" ca="1" si="18"/>
        <v>-71686.666666666657</v>
      </c>
      <c r="P50" s="52">
        <f t="shared" ca="1" si="18"/>
        <v>30183.333333333336</v>
      </c>
      <c r="Q50" s="52">
        <f t="shared" ca="1" si="18"/>
        <v>43380</v>
      </c>
      <c r="R50" s="52">
        <f t="shared" ca="1" si="18"/>
        <v>41945.333333333336</v>
      </c>
      <c r="S50" s="52">
        <f t="shared" ca="1" si="18"/>
        <v>-33807.5</v>
      </c>
      <c r="T50" s="52">
        <f t="shared" ca="1" si="18"/>
        <v>20561</v>
      </c>
      <c r="U50" s="52">
        <f t="shared" ca="1" si="18"/>
        <v>28830.166666666672</v>
      </c>
      <c r="V50" s="52">
        <f t="shared" ca="1" si="18"/>
        <v>39713.333333333336</v>
      </c>
      <c r="W50" s="52">
        <f t="shared" ca="1" si="18"/>
        <v>36965</v>
      </c>
      <c r="X50" s="52">
        <f t="shared" ca="1" si="18"/>
        <v>-44643.333333333328</v>
      </c>
      <c r="Y50" s="52">
        <f t="shared" ca="1" si="18"/>
        <v>27744.666666666672</v>
      </c>
      <c r="Z50" s="52">
        <f t="shared" ca="1" si="18"/>
        <v>38292</v>
      </c>
      <c r="AA50" s="52">
        <f t="shared" ca="1" si="18"/>
        <v>48897</v>
      </c>
      <c r="AB50" s="52">
        <f t="shared" ca="1" si="18"/>
        <v>-57661</v>
      </c>
      <c r="AC50" s="52">
        <f t="shared" ca="1" si="18"/>
        <v>30323.333333333336</v>
      </c>
      <c r="AD50" s="52">
        <f t="shared" ca="1" si="18"/>
        <v>49860</v>
      </c>
      <c r="AE50" s="52">
        <f t="shared" ca="1" si="18"/>
        <v>52060</v>
      </c>
      <c r="AF50" s="52">
        <f t="shared" ca="1" si="18"/>
        <v>51403.5</v>
      </c>
      <c r="AG50" s="52">
        <f t="shared" ca="1" si="18"/>
        <v>-40843.333333333336</v>
      </c>
      <c r="AH50" s="52">
        <f t="shared" ca="1" si="18"/>
        <v>24286.666666666672</v>
      </c>
      <c r="AI50" s="52">
        <f t="shared" ca="1" si="18"/>
        <v>52411</v>
      </c>
      <c r="AJ50" s="52">
        <f t="shared" ca="1" si="18"/>
        <v>36633.333333333336</v>
      </c>
      <c r="AK50" s="52">
        <f t="shared" ca="1" si="18"/>
        <v>-45055</v>
      </c>
      <c r="AL50" s="52">
        <f t="shared" ca="1" si="18"/>
        <v>28700</v>
      </c>
      <c r="AM50" s="52">
        <f t="shared" ca="1" si="18"/>
        <v>56375</v>
      </c>
      <c r="AN50" s="52">
        <f t="shared" ca="1" si="18"/>
        <v>48705</v>
      </c>
      <c r="AO50" s="52">
        <f t="shared" ca="1" si="18"/>
        <v>-52085</v>
      </c>
      <c r="AP50" s="52">
        <f t="shared" ca="1" si="18"/>
        <v>48778</v>
      </c>
      <c r="AQ50" s="52">
        <f t="shared" ca="1" si="18"/>
        <v>22655</v>
      </c>
      <c r="AR50" s="52">
        <f t="shared" ca="1" si="18"/>
        <v>23050</v>
      </c>
      <c r="AS50" s="52">
        <f t="shared" ca="1" si="18"/>
        <v>-50417.333333333328</v>
      </c>
      <c r="AT50" s="52">
        <f t="shared" ca="1" si="18"/>
        <v>-2232.5333333333328</v>
      </c>
      <c r="AU50" s="52">
        <f t="shared" ca="1" si="18"/>
        <v>5682.8000000000029</v>
      </c>
      <c r="AV50" s="52">
        <f t="shared" ca="1" si="18"/>
        <v>38432.5</v>
      </c>
      <c r="AW50" s="52">
        <f t="shared" ca="1" si="18"/>
        <v>53746.666666666672</v>
      </c>
      <c r="AX50" s="52">
        <f t="shared" ca="1" si="18"/>
        <v>-50318.333333333328</v>
      </c>
      <c r="AY50" s="52">
        <f t="shared" ca="1" si="18"/>
        <v>36513.333333333336</v>
      </c>
      <c r="AZ50" s="52">
        <f t="shared" ca="1" si="18"/>
        <v>52513.333333333328</v>
      </c>
      <c r="BA50" s="52">
        <f t="shared" ca="1" si="18"/>
        <v>38290</v>
      </c>
      <c r="BB50" s="52">
        <f t="shared" ca="1" si="18"/>
        <v>-60470</v>
      </c>
      <c r="BC50" s="52">
        <f t="shared" ca="1" si="18"/>
        <v>136438.40000000002</v>
      </c>
      <c r="BD50" s="52">
        <f t="shared" ca="1" si="18"/>
        <v>220400</v>
      </c>
      <c r="BE50" s="52">
        <f t="shared" ca="1" si="18"/>
        <v>292774.5</v>
      </c>
      <c r="BF50" s="52">
        <f t="shared" ca="1" si="18"/>
        <v>156223.43333333335</v>
      </c>
      <c r="BG50" s="52">
        <f t="shared" ca="1" si="18"/>
        <v>805836.33333333349</v>
      </c>
    </row>
    <row r="51" spans="1:59" s="10" customFormat="1" ht="16.149999999999999" customHeight="1" x14ac:dyDescent="0.3">
      <c r="A51" s="168"/>
      <c r="B51" s="2" t="s">
        <v>124</v>
      </c>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row>
    <row r="52" spans="1:59" s="16" customFormat="1" ht="16.149999999999999" customHeight="1" x14ac:dyDescent="0.3">
      <c r="A52" s="172" t="s">
        <v>125</v>
      </c>
      <c r="B52" s="55" t="s">
        <v>126</v>
      </c>
      <c r="C52" s="51">
        <f ca="1">OFFSET(Loans1!$F$9,COLUMN(C$4)-COLUMN($B$4),0,1,1)</f>
        <v>10249.999999999998</v>
      </c>
      <c r="D52" s="51">
        <f ca="1">OFFSET(Loans1!$F$9,COLUMN(D$4)-COLUMN($B$4),0,1,1)</f>
        <v>0</v>
      </c>
      <c r="E52" s="51">
        <f ca="1">OFFSET(Loans1!$F$9,COLUMN(E$4)-COLUMN($B$4),0,1,1)</f>
        <v>0</v>
      </c>
      <c r="F52" s="51">
        <f ca="1">OFFSET(Loans1!$F$9,COLUMN(F$4)-COLUMN($B$4),0,1,1)</f>
        <v>0</v>
      </c>
      <c r="G52" s="51">
        <f ca="1">OFFSET(Loans1!$F$9,COLUMN(G$4)-COLUMN($B$4),0,1,1)</f>
        <v>0</v>
      </c>
      <c r="H52" s="51">
        <f ca="1">OFFSET(Loans1!$F$9,COLUMN(H$4)-COLUMN($B$4),0,1,1)</f>
        <v>10200.674606409635</v>
      </c>
      <c r="I52" s="51">
        <f ca="1">OFFSET(Loans1!$F$9,COLUMN(I$4)-COLUMN($B$4),0,1,1)</f>
        <v>0</v>
      </c>
      <c r="J52" s="51">
        <f ca="1">OFFSET(Loans1!$F$9,COLUMN(J$4)-COLUMN($B$4),0,1,1)</f>
        <v>0</v>
      </c>
      <c r="K52" s="51">
        <f ca="1">OFFSET(Loans1!$F$9,COLUMN(K$4)-COLUMN($B$4),0,1,1)</f>
        <v>0</v>
      </c>
      <c r="L52" s="51">
        <f ca="1">OFFSET(Loans1!$F$9,COLUMN(L$4)-COLUMN($B$4),0,1,1)</f>
        <v>10150.927891749021</v>
      </c>
      <c r="M52" s="51">
        <f ca="1">OFFSET(Loans1!$F$9,COLUMN(M$4)-COLUMN($B$4),0,1,1)</f>
        <v>0</v>
      </c>
      <c r="N52" s="51">
        <f ca="1">OFFSET(Loans1!$F$9,COLUMN(N$4)-COLUMN($B$4),0,1,1)</f>
        <v>0</v>
      </c>
      <c r="O52" s="51">
        <f ca="1">OFFSET(Loans1!$F$9,COLUMN(O$4)-COLUMN($B$4),0,1,1)</f>
        <v>0</v>
      </c>
      <c r="P52" s="51">
        <f ca="1">OFFSET(Loans1!$F$9,COLUMN(P$4)-COLUMN($B$4),0,1,1)</f>
        <v>10100.756257234016</v>
      </c>
      <c r="Q52" s="51">
        <f ca="1">OFFSET(Loans1!$F$9,COLUMN(Q$4)-COLUMN($B$4),0,1,1)</f>
        <v>0</v>
      </c>
      <c r="R52" s="51">
        <f ca="1">OFFSET(Loans1!$F$9,COLUMN(R$4)-COLUMN($B$4),0,1,1)</f>
        <v>0</v>
      </c>
      <c r="S52" s="51">
        <f ca="1">OFFSET(Loans1!$F$9,COLUMN(S$4)-COLUMN($B$4),0,1,1)</f>
        <v>0</v>
      </c>
      <c r="T52" s="51">
        <f ca="1">OFFSET(Loans1!$F$9,COLUMN(T$4)-COLUMN($B$4),0,1,1)</f>
        <v>0</v>
      </c>
      <c r="U52" s="51">
        <f ca="1">OFFSET(Loans1!$F$9,COLUMN(U$4)-COLUMN($B$4),0,1,1)</f>
        <v>10050.156073340861</v>
      </c>
      <c r="V52" s="51">
        <f ca="1">OFFSET(Loans1!$F$9,COLUMN(V$4)-COLUMN($B$4),0,1,1)</f>
        <v>0</v>
      </c>
      <c r="W52" s="51">
        <f ca="1">OFFSET(Loans1!$F$9,COLUMN(W$4)-COLUMN($B$4),0,1,1)</f>
        <v>0</v>
      </c>
      <c r="X52" s="51">
        <f ca="1">OFFSET(Loans1!$F$9,COLUMN(X$4)-COLUMN($B$4),0,1,1)</f>
        <v>0</v>
      </c>
      <c r="Y52" s="51">
        <f ca="1">OFFSET(Loans1!$F$9,COLUMN(Y$4)-COLUMN($B$4),0,1,1)</f>
        <v>9999.123679543618</v>
      </c>
      <c r="Z52" s="51">
        <f ca="1">OFFSET(Loans1!$F$9,COLUMN(Z$4)-COLUMN($B$4),0,1,1)</f>
        <v>0</v>
      </c>
      <c r="AA52" s="51">
        <f ca="1">OFFSET(Loans1!$F$9,COLUMN(AA$4)-COLUMN($B$4),0,1,1)</f>
        <v>0</v>
      </c>
      <c r="AB52" s="51">
        <f ca="1">OFFSET(Loans1!$F$9,COLUMN(AB$4)-COLUMN($B$4),0,1,1)</f>
        <v>0</v>
      </c>
      <c r="AC52" s="51">
        <f ca="1">OFFSET(Loans1!$F$9,COLUMN(AC$4)-COLUMN($B$4),0,1,1)</f>
        <v>9947.6553840493561</v>
      </c>
      <c r="AD52" s="51">
        <f ca="1">OFFSET(Loans1!$F$9,COLUMN(AD$4)-COLUMN($B$4),0,1,1)</f>
        <v>0</v>
      </c>
      <c r="AE52" s="51">
        <f ca="1">OFFSET(Loans1!$F$9,COLUMN(AE$4)-COLUMN($B$4),0,1,1)</f>
        <v>0</v>
      </c>
      <c r="AF52" s="51">
        <f ca="1">OFFSET(Loans1!$F$9,COLUMN(AF$4)-COLUMN($B$4),0,1,1)</f>
        <v>0</v>
      </c>
      <c r="AG52" s="51">
        <f ca="1">OFFSET(Loans1!$F$9,COLUMN(AG$4)-COLUMN($B$4),0,1,1)</f>
        <v>0</v>
      </c>
      <c r="AH52" s="51">
        <f ca="1">OFFSET(Loans1!$F$9,COLUMN(AH$4)-COLUMN($B$4),0,1,1)</f>
        <v>9895.7474635310809</v>
      </c>
      <c r="AI52" s="51">
        <f ca="1">OFFSET(Loans1!$F$9,COLUMN(AI$4)-COLUMN($B$4),0,1,1)</f>
        <v>0</v>
      </c>
      <c r="AJ52" s="51">
        <f ca="1">OFFSET(Loans1!$F$9,COLUMN(AJ$4)-COLUMN($B$4),0,1,1)</f>
        <v>0</v>
      </c>
      <c r="AK52" s="51">
        <f ca="1">OFFSET(Loans1!$F$9,COLUMN(AK$4)-COLUMN($B$4),0,1,1)</f>
        <v>0</v>
      </c>
      <c r="AL52" s="51">
        <f ca="1">OFFSET(Loans1!$F$9,COLUMN(AL$4)-COLUMN($B$4),0,1,1)</f>
        <v>9843.3961628583802</v>
      </c>
      <c r="AM52" s="51">
        <f ca="1">OFFSET(Loans1!$F$9,COLUMN(AM$4)-COLUMN($B$4),0,1,1)</f>
        <v>0</v>
      </c>
      <c r="AN52" s="51">
        <f ca="1">OFFSET(Loans1!$F$9,COLUMN(AN$4)-COLUMN($B$4),0,1,1)</f>
        <v>0</v>
      </c>
      <c r="AO52" s="51">
        <f ca="1">OFFSET(Loans1!$F$9,COLUMN(AO$4)-COLUMN($B$4),0,1,1)</f>
        <v>0</v>
      </c>
      <c r="AP52" s="51">
        <f ca="1">OFFSET(Loans1!$F$9,COLUMN(AP$4)-COLUMN($B$4),0,1,1)</f>
        <v>9790.5976948257648</v>
      </c>
      <c r="AQ52" s="51">
        <f ca="1">OFFSET(Loans1!$F$9,COLUMN(AQ$4)-COLUMN($B$4),0,1,1)</f>
        <v>0</v>
      </c>
      <c r="AR52" s="51">
        <f ca="1">OFFSET(Loans1!$F$9,COLUMN(AR$4)-COLUMN($B$4),0,1,1)</f>
        <v>0</v>
      </c>
      <c r="AS52" s="51">
        <f ca="1">OFFSET(Loans1!$F$9,COLUMN(AS$4)-COLUMN($B$4),0,1,1)</f>
        <v>0</v>
      </c>
      <c r="AT52" s="51">
        <f ca="1">OFFSET(Loans1!$F$9,COLUMN(AT$4)-COLUMN($B$4),0,1,1)</f>
        <v>0</v>
      </c>
      <c r="AU52" s="51">
        <f ca="1">OFFSET(Loans1!$F$9,COLUMN(AU$4)-COLUMN($B$4),0,1,1)</f>
        <v>9737.3482398787055</v>
      </c>
      <c r="AV52" s="51">
        <f ca="1">OFFSET(Loans1!$F$9,COLUMN(AV$4)-COLUMN($B$4),0,1,1)</f>
        <v>0</v>
      </c>
      <c r="AW52" s="51">
        <f ca="1">OFFSET(Loans1!$F$9,COLUMN(AW$4)-COLUMN($B$4),0,1,1)</f>
        <v>0</v>
      </c>
      <c r="AX52" s="51">
        <f ca="1">OFFSET(Loans1!$F$9,COLUMN(AX$4)-COLUMN($B$4),0,1,1)</f>
        <v>0</v>
      </c>
      <c r="AY52" s="51">
        <f ca="1">OFFSET(Loans1!$F$9,COLUMN(AY$4)-COLUMN($B$4),0,1,1)</f>
        <v>9683.6439458373079</v>
      </c>
      <c r="AZ52" s="51">
        <f ca="1">OFFSET(Loans1!$F$9,COLUMN(AZ$4)-COLUMN($B$4),0,1,1)</f>
        <v>0</v>
      </c>
      <c r="BA52" s="51">
        <f ca="1">OFFSET(Loans1!$F$9,COLUMN(BA$4)-COLUMN($B$4),0,1,1)</f>
        <v>0</v>
      </c>
      <c r="BB52" s="51">
        <f ca="1">OFFSET(Loans1!$F$9,COLUMN(BB$4)-COLUMN($B$4),0,1,1)</f>
        <v>0</v>
      </c>
      <c r="BC52" s="52">
        <f ca="1">SUM(OFFSET($B52,0,1,1,Assumptions!$C$8))</f>
        <v>30601.602498158652</v>
      </c>
      <c r="BD52" s="52">
        <f ca="1">SUM(OFFSET($B52,0,1+Assumptions!$C$8,1,SUM(Assumptions!$C$9)))</f>
        <v>30150.036010118492</v>
      </c>
      <c r="BE52" s="52">
        <f ca="1">SUM(OFFSET($B52,0,1+SUM(Assumptions!$C$8:$C$9),1,SUM(Assumptions!$C$10)))</f>
        <v>29686.799010438815</v>
      </c>
      <c r="BF52" s="52">
        <f ca="1">SUM(OFFSET($B52,0,1+SUM(Assumptions!$C$8:$C$10),1,SUM(Assumptions!$C$11)))</f>
        <v>29211.589880541775</v>
      </c>
      <c r="BG52" s="52">
        <f ca="1">SUM(BC52:BF52)</f>
        <v>119650.02739925773</v>
      </c>
    </row>
    <row r="53" spans="1:59" s="16" customFormat="1" ht="16.149999999999999" customHeight="1" x14ac:dyDescent="0.3">
      <c r="A53" s="172" t="s">
        <v>125</v>
      </c>
      <c r="B53" s="55" t="s">
        <v>127</v>
      </c>
      <c r="C53" s="51">
        <f ca="1">OFFSET(Loans2!$F$9,COLUMN(C$4)-COLUMN($B$4),0,1,1)</f>
        <v>0</v>
      </c>
      <c r="D53" s="51">
        <f ca="1">OFFSET(Loans2!$F$9,COLUMN(D$4)-COLUMN($B$4),0,1,1)</f>
        <v>0</v>
      </c>
      <c r="E53" s="51">
        <f ca="1">OFFSET(Loans2!$F$9,COLUMN(E$4)-COLUMN($B$4),0,1,1)</f>
        <v>0</v>
      </c>
      <c r="F53" s="51">
        <f ca="1">OFFSET(Loans2!$F$9,COLUMN(F$4)-COLUMN($B$4),0,1,1)</f>
        <v>0</v>
      </c>
      <c r="G53" s="51">
        <f ca="1">OFFSET(Loans2!$F$9,COLUMN(G$4)-COLUMN($B$4),0,1,1)</f>
        <v>3854.1666666666665</v>
      </c>
      <c r="H53" s="51">
        <f ca="1">OFFSET(Loans2!$F$9,COLUMN(H$4)-COLUMN($B$4),0,1,1)</f>
        <v>0</v>
      </c>
      <c r="I53" s="51">
        <f ca="1">OFFSET(Loans2!$F$9,COLUMN(I$4)-COLUMN($B$4),0,1,1)</f>
        <v>0</v>
      </c>
      <c r="J53" s="51">
        <f ca="1">OFFSET(Loans2!$F$9,COLUMN(J$4)-COLUMN($B$4),0,1,1)</f>
        <v>0</v>
      </c>
      <c r="K53" s="51">
        <f ca="1">OFFSET(Loans2!$F$9,COLUMN(K$4)-COLUMN($B$4),0,1,1)</f>
        <v>3826.9104361872446</v>
      </c>
      <c r="L53" s="51">
        <f ca="1">OFFSET(Loans2!$F$9,COLUMN(L$4)-COLUMN($B$4),0,1,1)</f>
        <v>0</v>
      </c>
      <c r="M53" s="51">
        <f ca="1">OFFSET(Loans2!$F$9,COLUMN(M$4)-COLUMN($B$4),0,1,1)</f>
        <v>0</v>
      </c>
      <c r="N53" s="51">
        <f ca="1">OFFSET(Loans2!$F$9,COLUMN(N$4)-COLUMN($B$4),0,1,1)</f>
        <v>0</v>
      </c>
      <c r="O53" s="51">
        <f ca="1">OFFSET(Loans2!$F$9,COLUMN(O$4)-COLUMN($B$4),0,1,1)</f>
        <v>3799.4441055978764</v>
      </c>
      <c r="P53" s="51">
        <f ca="1">OFFSET(Loans2!$F$9,COLUMN(P$4)-COLUMN($B$4),0,1,1)</f>
        <v>0</v>
      </c>
      <c r="Q53" s="51">
        <f ca="1">OFFSET(Loans2!$F$9,COLUMN(Q$4)-COLUMN($B$4),0,1,1)</f>
        <v>0</v>
      </c>
      <c r="R53" s="51">
        <f ca="1">OFFSET(Loans2!$F$9,COLUMN(R$4)-COLUMN($B$4),0,1,1)</f>
        <v>0</v>
      </c>
      <c r="S53" s="51">
        <f ca="1">OFFSET(Loans2!$F$9,COLUMN(S$4)-COLUMN($B$4),0,1,1)</f>
        <v>0</v>
      </c>
      <c r="T53" s="51">
        <f ca="1">OFFSET(Loans2!$F$9,COLUMN(T$4)-COLUMN($B$4),0,1,1)</f>
        <v>3771.7660553768819</v>
      </c>
      <c r="U53" s="51">
        <f ca="1">OFFSET(Loans2!$F$9,COLUMN(U$4)-COLUMN($B$4),0,1,1)</f>
        <v>0</v>
      </c>
      <c r="V53" s="51">
        <f ca="1">OFFSET(Loans2!$F$9,COLUMN(V$4)-COLUMN($B$4),0,1,1)</f>
        <v>0</v>
      </c>
      <c r="W53" s="51">
        <f ca="1">OFFSET(Loans2!$F$9,COLUMN(W$4)-COLUMN($B$4),0,1,1)</f>
        <v>0</v>
      </c>
      <c r="X53" s="51">
        <f ca="1">OFFSET(Loans2!$F$9,COLUMN(X$4)-COLUMN($B$4),0,1,1)</f>
        <v>3743.8746535187674</v>
      </c>
      <c r="Y53" s="51">
        <f ca="1">OFFSET(Loans2!$F$9,COLUMN(Y$4)-COLUMN($B$4),0,1,1)</f>
        <v>0</v>
      </c>
      <c r="Z53" s="51">
        <f ca="1">OFFSET(Loans2!$F$9,COLUMN(Z$4)-COLUMN($B$4),0,1,1)</f>
        <v>0</v>
      </c>
      <c r="AA53" s="51">
        <f ca="1">OFFSET(Loans2!$F$9,COLUMN(AA$4)-COLUMN($B$4),0,1,1)</f>
        <v>0</v>
      </c>
      <c r="AB53" s="51">
        <f ca="1">OFFSET(Loans2!$F$9,COLUMN(AB$4)-COLUMN($B$4),0,1,1)</f>
        <v>0</v>
      </c>
      <c r="AC53" s="51">
        <f ca="1">OFFSET(Loans2!$F$9,COLUMN(AC$4)-COLUMN($B$4),0,1,1)</f>
        <v>4486.6015887713302</v>
      </c>
      <c r="AD53" s="51">
        <f ca="1">OFFSET(Loans2!$F$9,COLUMN(AD$4)-COLUMN($B$4),0,1,1)</f>
        <v>0</v>
      </c>
      <c r="AE53" s="51">
        <f ca="1">OFFSET(Loans2!$F$9,COLUMN(AE$4)-COLUMN($B$4),0,1,1)</f>
        <v>0</v>
      </c>
      <c r="AF53" s="51">
        <f ca="1">OFFSET(Loans2!$F$9,COLUMN(AF$4)-COLUMN($B$4),0,1,1)</f>
        <v>0</v>
      </c>
      <c r="AG53" s="51">
        <f ca="1">OFFSET(Loans2!$F$9,COLUMN(AG$4)-COLUMN($B$4),0,1,1)</f>
        <v>4452.8272911094691</v>
      </c>
      <c r="AH53" s="51">
        <f ca="1">OFFSET(Loans2!$F$9,COLUMN(AH$4)-COLUMN($B$4),0,1,1)</f>
        <v>0</v>
      </c>
      <c r="AI53" s="51">
        <f ca="1">OFFSET(Loans2!$F$9,COLUMN(AI$4)-COLUMN($B$4),0,1,1)</f>
        <v>0</v>
      </c>
      <c r="AJ53" s="51">
        <f ca="1">OFFSET(Loans2!$F$9,COLUMN(AJ$4)-COLUMN($B$4),0,1,1)</f>
        <v>0</v>
      </c>
      <c r="AK53" s="51">
        <f ca="1">OFFSET(Loans2!$F$9,COLUMN(AK$4)-COLUMN($B$4),0,1,1)</f>
        <v>4418.7926499031319</v>
      </c>
      <c r="AL53" s="51">
        <f ca="1">OFFSET(Loans2!$F$9,COLUMN(AL$4)-COLUMN($B$4),0,1,1)</f>
        <v>0</v>
      </c>
      <c r="AM53" s="51">
        <f ca="1">OFFSET(Loans2!$F$9,COLUMN(AM$4)-COLUMN($B$4),0,1,1)</f>
        <v>0</v>
      </c>
      <c r="AN53" s="51">
        <f ca="1">OFFSET(Loans2!$F$9,COLUMN(AN$4)-COLUMN($B$4),0,1,1)</f>
        <v>0</v>
      </c>
      <c r="AO53" s="51">
        <f ca="1">OFFSET(Loans2!$F$9,COLUMN(AO$4)-COLUMN($B$4),0,1,1)</f>
        <v>0</v>
      </c>
      <c r="AP53" s="51">
        <f ca="1">OFFSET(Loans2!$F$9,COLUMN(AP$4)-COLUMN($B$4),0,1,1)</f>
        <v>4384.4956583374942</v>
      </c>
      <c r="AQ53" s="51">
        <f ca="1">OFFSET(Loans2!$F$9,COLUMN(AQ$4)-COLUMN($B$4),0,1,1)</f>
        <v>0</v>
      </c>
      <c r="AR53" s="51">
        <f ca="1">OFFSET(Loans2!$F$9,COLUMN(AR$4)-COLUMN($B$4),0,1,1)</f>
        <v>0</v>
      </c>
      <c r="AS53" s="51">
        <f ca="1">OFFSET(Loans2!$F$9,COLUMN(AS$4)-COLUMN($B$4),0,1,1)</f>
        <v>0</v>
      </c>
      <c r="AT53" s="51">
        <f ca="1">OFFSET(Loans2!$F$9,COLUMN(AT$4)-COLUMN($B$4),0,1,1)</f>
        <v>4349.9342941285386</v>
      </c>
      <c r="AU53" s="51">
        <f ca="1">OFFSET(Loans2!$F$9,COLUMN(AU$4)-COLUMN($B$4),0,1,1)</f>
        <v>0</v>
      </c>
      <c r="AV53" s="51">
        <f ca="1">OFFSET(Loans2!$F$9,COLUMN(AV$4)-COLUMN($B$4),0,1,1)</f>
        <v>0</v>
      </c>
      <c r="AW53" s="51">
        <f ca="1">OFFSET(Loans2!$F$9,COLUMN(AW$4)-COLUMN($B$4),0,1,1)</f>
        <v>0</v>
      </c>
      <c r="AX53" s="51">
        <f ca="1">OFFSET(Loans2!$F$9,COLUMN(AX$4)-COLUMN($B$4),0,1,1)</f>
        <v>4315.1065194038065</v>
      </c>
      <c r="AY53" s="51">
        <f ca="1">OFFSET(Loans2!$F$9,COLUMN(AY$4)-COLUMN($B$4),0,1,1)</f>
        <v>0</v>
      </c>
      <c r="AZ53" s="51">
        <f ca="1">OFFSET(Loans2!$F$9,COLUMN(AZ$4)-COLUMN($B$4),0,1,1)</f>
        <v>0</v>
      </c>
      <c r="BA53" s="51">
        <f ca="1">OFFSET(Loans2!$F$9,COLUMN(BA$4)-COLUMN($B$4),0,1,1)</f>
        <v>0</v>
      </c>
      <c r="BB53" s="51">
        <f ca="1">OFFSET(Loans2!$F$9,COLUMN(BB$4)-COLUMN($B$4),0,1,1)</f>
        <v>0</v>
      </c>
      <c r="BC53" s="52">
        <f ca="1">SUM(OFFSET($B53,0,1,1,Assumptions!$C$8))</f>
        <v>11480.521208451788</v>
      </c>
      <c r="BD53" s="52">
        <f ca="1">SUM(OFFSET($B53,0,1+Assumptions!$C$8,1,SUM(Assumptions!$C$9)))</f>
        <v>7515.6407088956494</v>
      </c>
      <c r="BE53" s="52">
        <f ca="1">SUM(OFFSET($B53,0,1+SUM(Assumptions!$C$8:$C$9),1,SUM(Assumptions!$C$10)))</f>
        <v>13358.221529783932</v>
      </c>
      <c r="BF53" s="52">
        <f ca="1">SUM(OFFSET($B53,0,1+SUM(Assumptions!$C$8:$C$10),1,SUM(Assumptions!$C$11)))</f>
        <v>13049.53647186984</v>
      </c>
      <c r="BG53" s="52">
        <f t="shared" ref="BG53:BG55" ca="1" si="19">SUM(BC53:BF53)</f>
        <v>45403.919919001215</v>
      </c>
    </row>
    <row r="54" spans="1:59" s="16" customFormat="1" ht="16.149999999999999" customHeight="1" x14ac:dyDescent="0.3">
      <c r="A54" s="172" t="s">
        <v>125</v>
      </c>
      <c r="B54" s="55" t="s">
        <v>128</v>
      </c>
      <c r="C54" s="51">
        <f ca="1">OFFSET(Loans3!$F$9,COLUMN(C$4)-COLUMN($B$4),0,1,1)</f>
        <v>0</v>
      </c>
      <c r="D54" s="51">
        <f ca="1">OFFSET(Loans3!$F$9,COLUMN(D$4)-COLUMN($B$4),0,1,1)</f>
        <v>0</v>
      </c>
      <c r="E54" s="51">
        <f ca="1">OFFSET(Loans3!$F$9,COLUMN(E$4)-COLUMN($B$4),0,1,1)</f>
        <v>0</v>
      </c>
      <c r="F54" s="51">
        <f ca="1">OFFSET(Loans3!$F$9,COLUMN(F$4)-COLUMN($B$4),0,1,1)</f>
        <v>0</v>
      </c>
      <c r="G54" s="51">
        <f ca="1">OFFSET(Loans3!$F$9,COLUMN(G$4)-COLUMN($B$4),0,1,1)</f>
        <v>0</v>
      </c>
      <c r="H54" s="51">
        <f ca="1">OFFSET(Loans3!$F$9,COLUMN(H$4)-COLUMN($B$4),0,1,1)</f>
        <v>0</v>
      </c>
      <c r="I54" s="51">
        <f ca="1">OFFSET(Loans3!$F$9,COLUMN(I$4)-COLUMN($B$4),0,1,1)</f>
        <v>0</v>
      </c>
      <c r="J54" s="51">
        <f ca="1">OFFSET(Loans3!$F$9,COLUMN(J$4)-COLUMN($B$4),0,1,1)</f>
        <v>0</v>
      </c>
      <c r="K54" s="51">
        <f ca="1">OFFSET(Loans3!$F$9,COLUMN(K$4)-COLUMN($B$4),0,1,1)</f>
        <v>0</v>
      </c>
      <c r="L54" s="51">
        <f ca="1">OFFSET(Loans3!$F$9,COLUMN(L$4)-COLUMN($B$4),0,1,1)</f>
        <v>0</v>
      </c>
      <c r="M54" s="51">
        <f ca="1">OFFSET(Loans3!$F$9,COLUMN(M$4)-COLUMN($B$4),0,1,1)</f>
        <v>0</v>
      </c>
      <c r="N54" s="51">
        <f ca="1">OFFSET(Loans3!$F$9,COLUMN(N$4)-COLUMN($B$4),0,1,1)</f>
        <v>0</v>
      </c>
      <c r="O54" s="51">
        <f ca="1">OFFSET(Loans3!$F$9,COLUMN(O$4)-COLUMN($B$4),0,1,1)</f>
        <v>0</v>
      </c>
      <c r="P54" s="51">
        <f ca="1">OFFSET(Loans3!$F$9,COLUMN(P$4)-COLUMN($B$4),0,1,1)</f>
        <v>0</v>
      </c>
      <c r="Q54" s="51">
        <f ca="1">OFFSET(Loans3!$F$9,COLUMN(Q$4)-COLUMN($B$4),0,1,1)</f>
        <v>0</v>
      </c>
      <c r="R54" s="51">
        <f ca="1">OFFSET(Loans3!$F$9,COLUMN(R$4)-COLUMN($B$4),0,1,1)</f>
        <v>0</v>
      </c>
      <c r="S54" s="51">
        <f ca="1">OFFSET(Loans3!$F$9,COLUMN(S$4)-COLUMN($B$4),0,1,1)</f>
        <v>0</v>
      </c>
      <c r="T54" s="51">
        <f ca="1">OFFSET(Loans3!$F$9,COLUMN(T$4)-COLUMN($B$4),0,1,1)</f>
        <v>0</v>
      </c>
      <c r="U54" s="51">
        <f ca="1">OFFSET(Loans3!$F$9,COLUMN(U$4)-COLUMN($B$4),0,1,1)</f>
        <v>0</v>
      </c>
      <c r="V54" s="51">
        <f ca="1">OFFSET(Loans3!$F$9,COLUMN(V$4)-COLUMN($B$4),0,1,1)</f>
        <v>0</v>
      </c>
      <c r="W54" s="51">
        <f ca="1">OFFSET(Loans3!$F$9,COLUMN(W$4)-COLUMN($B$4),0,1,1)</f>
        <v>0</v>
      </c>
      <c r="X54" s="51">
        <f ca="1">OFFSET(Loans3!$F$9,COLUMN(X$4)-COLUMN($B$4),0,1,1)</f>
        <v>0</v>
      </c>
      <c r="Y54" s="51">
        <f ca="1">OFFSET(Loans3!$F$9,COLUMN(Y$4)-COLUMN($B$4),0,1,1)</f>
        <v>0</v>
      </c>
      <c r="Z54" s="51">
        <f ca="1">OFFSET(Loans3!$F$9,COLUMN(Z$4)-COLUMN($B$4),0,1,1)</f>
        <v>0</v>
      </c>
      <c r="AA54" s="51">
        <f ca="1">OFFSET(Loans3!$F$9,COLUMN(AA$4)-COLUMN($B$4),0,1,1)</f>
        <v>0</v>
      </c>
      <c r="AB54" s="51">
        <f ca="1">OFFSET(Loans3!$F$9,COLUMN(AB$4)-COLUMN($B$4),0,1,1)</f>
        <v>0</v>
      </c>
      <c r="AC54" s="51">
        <f ca="1">OFFSET(Loans3!$F$9,COLUMN(AC$4)-COLUMN($B$4),0,1,1)</f>
        <v>0</v>
      </c>
      <c r="AD54" s="51">
        <f ca="1">OFFSET(Loans3!$F$9,COLUMN(AD$4)-COLUMN($B$4),0,1,1)</f>
        <v>0</v>
      </c>
      <c r="AE54" s="51">
        <f ca="1">OFFSET(Loans3!$F$9,COLUMN(AE$4)-COLUMN($B$4),0,1,1)</f>
        <v>0</v>
      </c>
      <c r="AF54" s="51">
        <f ca="1">OFFSET(Loans3!$F$9,COLUMN(AF$4)-COLUMN($B$4),0,1,1)</f>
        <v>0</v>
      </c>
      <c r="AG54" s="51">
        <f ca="1">OFFSET(Loans3!$F$9,COLUMN(AG$4)-COLUMN($B$4),0,1,1)</f>
        <v>0</v>
      </c>
      <c r="AH54" s="51">
        <f ca="1">OFFSET(Loans3!$F$9,COLUMN(AH$4)-COLUMN($B$4),0,1,1)</f>
        <v>0</v>
      </c>
      <c r="AI54" s="51">
        <f ca="1">OFFSET(Loans3!$F$9,COLUMN(AI$4)-COLUMN($B$4),0,1,1)</f>
        <v>0</v>
      </c>
      <c r="AJ54" s="51">
        <f ca="1">OFFSET(Loans3!$F$9,COLUMN(AJ$4)-COLUMN($B$4),0,1,1)</f>
        <v>0</v>
      </c>
      <c r="AK54" s="51">
        <f ca="1">OFFSET(Loans3!$F$9,COLUMN(AK$4)-COLUMN($B$4),0,1,1)</f>
        <v>0</v>
      </c>
      <c r="AL54" s="51">
        <f ca="1">OFFSET(Loans3!$F$9,COLUMN(AL$4)-COLUMN($B$4),0,1,1)</f>
        <v>0</v>
      </c>
      <c r="AM54" s="51">
        <f ca="1">OFFSET(Loans3!$F$9,COLUMN(AM$4)-COLUMN($B$4),0,1,1)</f>
        <v>0</v>
      </c>
      <c r="AN54" s="51">
        <f ca="1">OFFSET(Loans3!$F$9,COLUMN(AN$4)-COLUMN($B$4),0,1,1)</f>
        <v>0</v>
      </c>
      <c r="AO54" s="51">
        <f ca="1">OFFSET(Loans3!$F$9,COLUMN(AO$4)-COLUMN($B$4),0,1,1)</f>
        <v>0</v>
      </c>
      <c r="AP54" s="51">
        <f ca="1">OFFSET(Loans3!$F$9,COLUMN(AP$4)-COLUMN($B$4),0,1,1)</f>
        <v>0</v>
      </c>
      <c r="AQ54" s="51">
        <f ca="1">OFFSET(Loans3!$F$9,COLUMN(AQ$4)-COLUMN($B$4),0,1,1)</f>
        <v>0</v>
      </c>
      <c r="AR54" s="51">
        <f ca="1">OFFSET(Loans3!$F$9,COLUMN(AR$4)-COLUMN($B$4),0,1,1)</f>
        <v>0</v>
      </c>
      <c r="AS54" s="51">
        <f ca="1">OFFSET(Loans3!$F$9,COLUMN(AS$4)-COLUMN($B$4),0,1,1)</f>
        <v>0</v>
      </c>
      <c r="AT54" s="51">
        <f ca="1">OFFSET(Loans3!$F$9,COLUMN(AT$4)-COLUMN($B$4),0,1,1)</f>
        <v>0</v>
      </c>
      <c r="AU54" s="51">
        <f ca="1">OFFSET(Loans3!$F$9,COLUMN(AU$4)-COLUMN($B$4),0,1,1)</f>
        <v>0</v>
      </c>
      <c r="AV54" s="51">
        <f ca="1">OFFSET(Loans3!$F$9,COLUMN(AV$4)-COLUMN($B$4),0,1,1)</f>
        <v>0</v>
      </c>
      <c r="AW54" s="51">
        <f ca="1">OFFSET(Loans3!$F$9,COLUMN(AW$4)-COLUMN($B$4),0,1,1)</f>
        <v>0</v>
      </c>
      <c r="AX54" s="51">
        <f ca="1">OFFSET(Loans3!$F$9,COLUMN(AX$4)-COLUMN($B$4),0,1,1)</f>
        <v>0</v>
      </c>
      <c r="AY54" s="51">
        <f ca="1">OFFSET(Loans3!$F$9,COLUMN(AY$4)-COLUMN($B$4),0,1,1)</f>
        <v>2500</v>
      </c>
      <c r="AZ54" s="51">
        <f ca="1">OFFSET(Loans3!$F$9,COLUMN(AZ$4)-COLUMN($B$4),0,1,1)</f>
        <v>0</v>
      </c>
      <c r="BA54" s="51">
        <f ca="1">OFFSET(Loans3!$F$9,COLUMN(BA$4)-COLUMN($B$4),0,1,1)</f>
        <v>0</v>
      </c>
      <c r="BB54" s="51">
        <f ca="1">OFFSET(Loans3!$F$9,COLUMN(BB$4)-COLUMN($B$4),0,1,1)</f>
        <v>0</v>
      </c>
      <c r="BC54" s="52">
        <f ca="1">SUM(OFFSET($B54,0,1,1,Assumptions!$C$8))</f>
        <v>0</v>
      </c>
      <c r="BD54" s="52">
        <f ca="1">SUM(OFFSET($B54,0,1+Assumptions!$C$8,1,SUM(Assumptions!$C$9)))</f>
        <v>0</v>
      </c>
      <c r="BE54" s="52">
        <f ca="1">SUM(OFFSET($B54,0,1+SUM(Assumptions!$C$8:$C$9),1,SUM(Assumptions!$C$10)))</f>
        <v>0</v>
      </c>
      <c r="BF54" s="52">
        <f ca="1">SUM(OFFSET($B54,0,1+SUM(Assumptions!$C$8:$C$10),1,SUM(Assumptions!$C$11)))</f>
        <v>2500</v>
      </c>
      <c r="BG54" s="52">
        <f t="shared" ca="1" si="19"/>
        <v>2500</v>
      </c>
    </row>
    <row r="55" spans="1:59" s="16" customFormat="1" ht="16.149999999999999" customHeight="1" x14ac:dyDescent="0.3">
      <c r="A55" s="172" t="s">
        <v>125</v>
      </c>
      <c r="B55" s="55" t="s">
        <v>129</v>
      </c>
      <c r="C55" s="51">
        <f ca="1">OFFSET(Leases!$F$9,COLUMN(C$4)-COLUMN($B$4),0,1,1)</f>
        <v>0</v>
      </c>
      <c r="D55" s="51">
        <f ca="1">OFFSET(Leases!$F$9,COLUMN(D$4)-COLUMN($B$4),0,1,1)</f>
        <v>4072.9166666666665</v>
      </c>
      <c r="E55" s="51">
        <f ca="1">OFFSET(Leases!$F$9,COLUMN(E$4)-COLUMN($B$4),0,1,1)</f>
        <v>0</v>
      </c>
      <c r="F55" s="51">
        <f ca="1">OFFSET(Leases!$F$9,COLUMN(F$4)-COLUMN($B$4),0,1,1)</f>
        <v>0</v>
      </c>
      <c r="G55" s="51">
        <f ca="1">OFFSET(Leases!$F$9,COLUMN(G$4)-COLUMN($B$4),0,1,1)</f>
        <v>0</v>
      </c>
      <c r="H55" s="51">
        <f ca="1">OFFSET(Leases!$F$9,COLUMN(H$4)-COLUMN($B$4),0,1,1)</f>
        <v>4005.6904255327408</v>
      </c>
      <c r="I55" s="51">
        <f ca="1">OFFSET(Leases!$F$9,COLUMN(I$4)-COLUMN($B$4),0,1,1)</f>
        <v>0</v>
      </c>
      <c r="J55" s="51">
        <f ca="1">OFFSET(Leases!$F$9,COLUMN(J$4)-COLUMN($B$4),0,1,1)</f>
        <v>0</v>
      </c>
      <c r="K55" s="51">
        <f ca="1">OFFSET(Leases!$F$9,COLUMN(K$4)-COLUMN($B$4),0,1,1)</f>
        <v>0</v>
      </c>
      <c r="L55" s="51">
        <f ca="1">OFFSET(Leases!$F$9,COLUMN(L$4)-COLUMN($B$4),0,1,1)</f>
        <v>0</v>
      </c>
      <c r="M55" s="51">
        <f ca="1">OFFSET(Leases!$F$9,COLUMN(M$4)-COLUMN($B$4),0,1,1)</f>
        <v>3937.8199329212807</v>
      </c>
      <c r="N55" s="51">
        <f ca="1">OFFSET(Leases!$F$9,COLUMN(N$4)-COLUMN($B$4),0,1,1)</f>
        <v>0</v>
      </c>
      <c r="O55" s="51">
        <f ca="1">OFFSET(Leases!$F$9,COLUMN(O$4)-COLUMN($B$4),0,1,1)</f>
        <v>0</v>
      </c>
      <c r="P55" s="51">
        <f ca="1">OFFSET(Leases!$F$9,COLUMN(P$4)-COLUMN($B$4),0,1,1)</f>
        <v>0</v>
      </c>
      <c r="Q55" s="51">
        <f ca="1">OFFSET(Leases!$F$9,COLUMN(Q$4)-COLUMN($B$4),0,1,1)</f>
        <v>3869.2990147556284</v>
      </c>
      <c r="R55" s="51">
        <f ca="1">OFFSET(Leases!$F$9,COLUMN(R$4)-COLUMN($B$4),0,1,1)</f>
        <v>0</v>
      </c>
      <c r="S55" s="51">
        <f ca="1">OFFSET(Leases!$F$9,COLUMN(S$4)-COLUMN($B$4),0,1,1)</f>
        <v>0</v>
      </c>
      <c r="T55" s="51">
        <f ca="1">OFFSET(Leases!$F$9,COLUMN(T$4)-COLUMN($B$4),0,1,1)</f>
        <v>0</v>
      </c>
      <c r="U55" s="51">
        <f ca="1">OFFSET(Leases!$F$9,COLUMN(U$4)-COLUMN($B$4),0,1,1)</f>
        <v>3800.1214377908877</v>
      </c>
      <c r="V55" s="51">
        <f ca="1">OFFSET(Leases!$F$9,COLUMN(V$4)-COLUMN($B$4),0,1,1)</f>
        <v>0</v>
      </c>
      <c r="W55" s="51">
        <f ca="1">OFFSET(Leases!$F$9,COLUMN(W$4)-COLUMN($B$4),0,1,1)</f>
        <v>0</v>
      </c>
      <c r="X55" s="51">
        <f ca="1">OFFSET(Leases!$F$9,COLUMN(X$4)-COLUMN($B$4),0,1,1)</f>
        <v>0</v>
      </c>
      <c r="Y55" s="51">
        <f ca="1">OFFSET(Leases!$F$9,COLUMN(Y$4)-COLUMN($B$4),0,1,1)</f>
        <v>0</v>
      </c>
      <c r="Z55" s="51">
        <f ca="1">OFFSET(Leases!$F$9,COLUMN(Z$4)-COLUMN($B$4),0,1,1)</f>
        <v>3730.2809090469018</v>
      </c>
      <c r="AA55" s="51">
        <f ca="1">OFFSET(Leases!$F$9,COLUMN(AA$4)-COLUMN($B$4),0,1,1)</f>
        <v>0</v>
      </c>
      <c r="AB55" s="51">
        <f ca="1">OFFSET(Leases!$F$9,COLUMN(AB$4)-COLUMN($B$4),0,1,1)</f>
        <v>0</v>
      </c>
      <c r="AC55" s="51">
        <f ca="1">OFFSET(Leases!$F$9,COLUMN(AC$4)-COLUMN($B$4),0,1,1)</f>
        <v>0</v>
      </c>
      <c r="AD55" s="51">
        <f ca="1">OFFSET(Leases!$F$9,COLUMN(AD$4)-COLUMN($B$4),0,1,1)</f>
        <v>3659.7710752357866</v>
      </c>
      <c r="AE55" s="51">
        <f ca="1">OFFSET(Leases!$F$9,COLUMN(AE$4)-COLUMN($B$4),0,1,1)</f>
        <v>0</v>
      </c>
      <c r="AF55" s="51">
        <f ca="1">OFFSET(Leases!$F$9,COLUMN(AF$4)-COLUMN($B$4),0,1,1)</f>
        <v>0</v>
      </c>
      <c r="AG55" s="51">
        <f ca="1">OFFSET(Leases!$F$9,COLUMN(AG$4)-COLUMN($B$4),0,1,1)</f>
        <v>0</v>
      </c>
      <c r="AH55" s="51">
        <f ca="1">OFFSET(Leases!$F$9,COLUMN(AH$4)-COLUMN($B$4),0,1,1)</f>
        <v>3588.5855221839811</v>
      </c>
      <c r="AI55" s="51">
        <f ca="1">OFFSET(Leases!$F$9,COLUMN(AI$4)-COLUMN($B$4),0,1,1)</f>
        <v>0</v>
      </c>
      <c r="AJ55" s="51">
        <f ca="1">OFFSET(Leases!$F$9,COLUMN(AJ$4)-COLUMN($B$4),0,1,1)</f>
        <v>0</v>
      </c>
      <c r="AK55" s="51">
        <f ca="1">OFFSET(Leases!$F$9,COLUMN(AK$4)-COLUMN($B$4),0,1,1)</f>
        <v>0</v>
      </c>
      <c r="AL55" s="51">
        <f ca="1">OFFSET(Leases!$F$9,COLUMN(AL$4)-COLUMN($B$4),0,1,1)</f>
        <v>0</v>
      </c>
      <c r="AM55" s="51">
        <f ca="1">OFFSET(Leases!$F$9,COLUMN(AM$4)-COLUMN($B$4),0,1,1)</f>
        <v>3516.7177742487625</v>
      </c>
      <c r="AN55" s="51">
        <f ca="1">OFFSET(Leases!$F$9,COLUMN(AN$4)-COLUMN($B$4),0,1,1)</f>
        <v>0</v>
      </c>
      <c r="AO55" s="51">
        <f ca="1">OFFSET(Leases!$F$9,COLUMN(AO$4)-COLUMN($B$4),0,1,1)</f>
        <v>0</v>
      </c>
      <c r="AP55" s="51">
        <f ca="1">OFFSET(Leases!$F$9,COLUMN(AP$4)-COLUMN($B$4),0,1,1)</f>
        <v>0</v>
      </c>
      <c r="AQ55" s="51">
        <f ca="1">OFFSET(Leases!$F$9,COLUMN(AQ$4)-COLUMN($B$4),0,1,1)</f>
        <v>3444.1612937291648</v>
      </c>
      <c r="AR55" s="51">
        <f ca="1">OFFSET(Leases!$F$9,COLUMN(AR$4)-COLUMN($B$4),0,1,1)</f>
        <v>0</v>
      </c>
      <c r="AS55" s="51">
        <f ca="1">OFFSET(Leases!$F$9,COLUMN(AS$4)-COLUMN($B$4),0,1,1)</f>
        <v>0</v>
      </c>
      <c r="AT55" s="51">
        <f ca="1">OFFSET(Leases!$F$9,COLUMN(AT$4)-COLUMN($B$4),0,1,1)</f>
        <v>0</v>
      </c>
      <c r="AU55" s="51">
        <f ca="1">OFFSET(Leases!$F$9,COLUMN(AU$4)-COLUMN($B$4),0,1,1)</f>
        <v>0</v>
      </c>
      <c r="AV55" s="51">
        <f ca="1">OFFSET(Leases!$F$9,COLUMN(AV$4)-COLUMN($B$4),0,1,1)</f>
        <v>3370.9094802712548</v>
      </c>
      <c r="AW55" s="51">
        <f ca="1">OFFSET(Leases!$F$9,COLUMN(AW$4)-COLUMN($B$4),0,1,1)</f>
        <v>0</v>
      </c>
      <c r="AX55" s="51">
        <f ca="1">OFFSET(Leases!$F$9,COLUMN(AX$4)-COLUMN($B$4),0,1,1)</f>
        <v>0</v>
      </c>
      <c r="AY55" s="51">
        <f ca="1">OFFSET(Leases!$F$9,COLUMN(AY$4)-COLUMN($B$4),0,1,1)</f>
        <v>0</v>
      </c>
      <c r="AZ55" s="51">
        <f ca="1">OFFSET(Leases!$F$9,COLUMN(AZ$4)-COLUMN($B$4),0,1,1)</f>
        <v>3296.9556702677055</v>
      </c>
      <c r="BA55" s="51">
        <f ca="1">OFFSET(Leases!$F$9,COLUMN(BA$4)-COLUMN($B$4),0,1,1)</f>
        <v>0</v>
      </c>
      <c r="BB55" s="51">
        <f ca="1">OFFSET(Leases!$F$9,COLUMN(BB$4)-COLUMN($B$4),0,1,1)</f>
        <v>0</v>
      </c>
      <c r="BC55" s="52">
        <f ca="1">SUM(OFFSET($B55,0,1,1,Assumptions!$C$8))</f>
        <v>12016.427025120687</v>
      </c>
      <c r="BD55" s="52">
        <f ca="1">SUM(OFFSET($B55,0,1+Assumptions!$C$8,1,SUM(Assumptions!$C$9)))</f>
        <v>11399.701361593417</v>
      </c>
      <c r="BE55" s="52">
        <f ca="1">SUM(OFFSET($B55,0,1+SUM(Assumptions!$C$8:$C$9),1,SUM(Assumptions!$C$10)))</f>
        <v>10765.07437166853</v>
      </c>
      <c r="BF55" s="52">
        <f ca="1">SUM(OFFSET($B55,0,1+SUM(Assumptions!$C$8:$C$10),1,SUM(Assumptions!$C$11)))</f>
        <v>10112.026444268125</v>
      </c>
      <c r="BG55" s="52">
        <f t="shared" ca="1" si="19"/>
        <v>44293.229202650764</v>
      </c>
    </row>
    <row r="56" spans="1:59" s="3" customFormat="1" ht="16.149999999999999" customHeight="1" thickBot="1" x14ac:dyDescent="0.3">
      <c r="A56" s="176"/>
      <c r="B56" s="56" t="s">
        <v>130</v>
      </c>
      <c r="C56" s="57">
        <f ca="1">SUM(C52:C55)</f>
        <v>10249.999999999998</v>
      </c>
      <c r="D56" s="57">
        <f t="shared" ref="D56:BG56" ca="1" si="20">SUM(D52:D55)</f>
        <v>4072.9166666666665</v>
      </c>
      <c r="E56" s="57">
        <f t="shared" ca="1" si="20"/>
        <v>0</v>
      </c>
      <c r="F56" s="57">
        <f t="shared" ca="1" si="20"/>
        <v>0</v>
      </c>
      <c r="G56" s="57">
        <f t="shared" ca="1" si="20"/>
        <v>3854.1666666666665</v>
      </c>
      <c r="H56" s="57">
        <f t="shared" ca="1" si="20"/>
        <v>14206.365031942376</v>
      </c>
      <c r="I56" s="57">
        <f t="shared" ca="1" si="20"/>
        <v>0</v>
      </c>
      <c r="J56" s="57">
        <f t="shared" ca="1" si="20"/>
        <v>0</v>
      </c>
      <c r="K56" s="57">
        <f t="shared" ca="1" si="20"/>
        <v>3826.9104361872446</v>
      </c>
      <c r="L56" s="57">
        <f t="shared" ca="1" si="20"/>
        <v>10150.927891749021</v>
      </c>
      <c r="M56" s="57">
        <f t="shared" ca="1" si="20"/>
        <v>3937.8199329212807</v>
      </c>
      <c r="N56" s="57">
        <f t="shared" ca="1" si="20"/>
        <v>0</v>
      </c>
      <c r="O56" s="57">
        <f t="shared" ca="1" si="20"/>
        <v>3799.4441055978764</v>
      </c>
      <c r="P56" s="57">
        <f t="shared" ca="1" si="20"/>
        <v>10100.756257234016</v>
      </c>
      <c r="Q56" s="57">
        <f t="shared" ca="1" si="20"/>
        <v>3869.2990147556284</v>
      </c>
      <c r="R56" s="57">
        <f t="shared" ca="1" si="20"/>
        <v>0</v>
      </c>
      <c r="S56" s="57">
        <f t="shared" ca="1" si="20"/>
        <v>0</v>
      </c>
      <c r="T56" s="57">
        <f t="shared" ca="1" si="20"/>
        <v>3771.7660553768819</v>
      </c>
      <c r="U56" s="57">
        <f t="shared" ca="1" si="20"/>
        <v>13850.277511131748</v>
      </c>
      <c r="V56" s="57">
        <f t="shared" ca="1" si="20"/>
        <v>0</v>
      </c>
      <c r="W56" s="57">
        <f t="shared" ca="1" si="20"/>
        <v>0</v>
      </c>
      <c r="X56" s="57">
        <f t="shared" ca="1" si="20"/>
        <v>3743.8746535187674</v>
      </c>
      <c r="Y56" s="57">
        <f t="shared" ca="1" si="20"/>
        <v>9999.123679543618</v>
      </c>
      <c r="Z56" s="57">
        <f t="shared" ca="1" si="20"/>
        <v>3730.2809090469018</v>
      </c>
      <c r="AA56" s="57">
        <f t="shared" ca="1" si="20"/>
        <v>0</v>
      </c>
      <c r="AB56" s="57">
        <f t="shared" ca="1" si="20"/>
        <v>0</v>
      </c>
      <c r="AC56" s="57">
        <f t="shared" ca="1" si="20"/>
        <v>14434.256972820687</v>
      </c>
      <c r="AD56" s="57">
        <f t="shared" ca="1" si="20"/>
        <v>3659.7710752357866</v>
      </c>
      <c r="AE56" s="57">
        <f t="shared" ca="1" si="20"/>
        <v>0</v>
      </c>
      <c r="AF56" s="57">
        <f t="shared" ca="1" si="20"/>
        <v>0</v>
      </c>
      <c r="AG56" s="57">
        <f t="shared" ca="1" si="20"/>
        <v>4452.8272911094691</v>
      </c>
      <c r="AH56" s="57">
        <f t="shared" ca="1" si="20"/>
        <v>13484.332985715062</v>
      </c>
      <c r="AI56" s="57">
        <f t="shared" ca="1" si="20"/>
        <v>0</v>
      </c>
      <c r="AJ56" s="57">
        <f t="shared" ca="1" si="20"/>
        <v>0</v>
      </c>
      <c r="AK56" s="57">
        <f t="shared" ca="1" si="20"/>
        <v>4418.7926499031319</v>
      </c>
      <c r="AL56" s="57">
        <f t="shared" ca="1" si="20"/>
        <v>9843.3961628583802</v>
      </c>
      <c r="AM56" s="57">
        <f t="shared" ca="1" si="20"/>
        <v>3516.7177742487625</v>
      </c>
      <c r="AN56" s="57">
        <f t="shared" ca="1" si="20"/>
        <v>0</v>
      </c>
      <c r="AO56" s="57">
        <f t="shared" ca="1" si="20"/>
        <v>0</v>
      </c>
      <c r="AP56" s="57">
        <f t="shared" ca="1" si="20"/>
        <v>14175.093353163258</v>
      </c>
      <c r="AQ56" s="57">
        <f t="shared" ca="1" si="20"/>
        <v>3444.1612937291648</v>
      </c>
      <c r="AR56" s="57">
        <f t="shared" ca="1" si="20"/>
        <v>0</v>
      </c>
      <c r="AS56" s="57">
        <f t="shared" ca="1" si="20"/>
        <v>0</v>
      </c>
      <c r="AT56" s="57">
        <f t="shared" ca="1" si="20"/>
        <v>4349.9342941285386</v>
      </c>
      <c r="AU56" s="57">
        <f t="shared" ca="1" si="20"/>
        <v>9737.3482398787055</v>
      </c>
      <c r="AV56" s="57">
        <f t="shared" ca="1" si="20"/>
        <v>3370.9094802712548</v>
      </c>
      <c r="AW56" s="57">
        <f t="shared" ca="1" si="20"/>
        <v>0</v>
      </c>
      <c r="AX56" s="57">
        <f t="shared" ca="1" si="20"/>
        <v>4315.1065194038065</v>
      </c>
      <c r="AY56" s="57">
        <f t="shared" ca="1" si="20"/>
        <v>12183.643945837308</v>
      </c>
      <c r="AZ56" s="57">
        <f t="shared" ca="1" si="20"/>
        <v>3296.9556702677055</v>
      </c>
      <c r="BA56" s="57">
        <f t="shared" ca="1" si="20"/>
        <v>0</v>
      </c>
      <c r="BB56" s="57">
        <f t="shared" ca="1" si="20"/>
        <v>0</v>
      </c>
      <c r="BC56" s="57">
        <f t="shared" ca="1" si="20"/>
        <v>54098.550731731128</v>
      </c>
      <c r="BD56" s="57">
        <f t="shared" ca="1" si="20"/>
        <v>49065.378080607559</v>
      </c>
      <c r="BE56" s="57">
        <f t="shared" ca="1" si="20"/>
        <v>53810.094911891276</v>
      </c>
      <c r="BF56" s="57">
        <f t="shared" ca="1" si="20"/>
        <v>54873.152796679744</v>
      </c>
      <c r="BG56" s="57">
        <f t="shared" ca="1" si="20"/>
        <v>211847.17652090971</v>
      </c>
    </row>
    <row r="57" spans="1:59" s="3" customFormat="1" ht="16.149999999999999" customHeight="1" x14ac:dyDescent="0.25">
      <c r="A57" s="176"/>
      <c r="B57" s="56" t="s">
        <v>131</v>
      </c>
      <c r="C57" s="52">
        <f ca="1">SUM(C50,-C56)</f>
        <v>6700.0000000000018</v>
      </c>
      <c r="D57" s="52">
        <f t="shared" ref="D57:BG57" ca="1" si="21">SUM(D50,-D56)</f>
        <v>29650.149999999998</v>
      </c>
      <c r="E57" s="52">
        <f t="shared" ca="1" si="21"/>
        <v>36866.666666666672</v>
      </c>
      <c r="F57" s="52">
        <f t="shared" ca="1" si="21"/>
        <v>-26326.666666666672</v>
      </c>
      <c r="G57" s="52">
        <f t="shared" ca="1" si="21"/>
        <v>11027.833333333334</v>
      </c>
      <c r="H57" s="52">
        <f t="shared" ca="1" si="21"/>
        <v>267.80163472429558</v>
      </c>
      <c r="I57" s="52">
        <f t="shared" ca="1" si="21"/>
        <v>21724.5</v>
      </c>
      <c r="J57" s="52">
        <f t="shared" ca="1" si="21"/>
        <v>42675</v>
      </c>
      <c r="K57" s="52">
        <f t="shared" ca="1" si="21"/>
        <v>-60661.910436187245</v>
      </c>
      <c r="L57" s="52">
        <f t="shared" ca="1" si="21"/>
        <v>5695.7387749176505</v>
      </c>
      <c r="M57" s="52">
        <f t="shared" ca="1" si="21"/>
        <v>42488.18006707872</v>
      </c>
      <c r="N57" s="52">
        <f t="shared" ca="1" si="21"/>
        <v>47718.666666666672</v>
      </c>
      <c r="O57" s="52">
        <f t="shared" ca="1" si="21"/>
        <v>-75486.110772264539</v>
      </c>
      <c r="P57" s="52">
        <f t="shared" ca="1" si="21"/>
        <v>20082.577076099318</v>
      </c>
      <c r="Q57" s="52">
        <f t="shared" ca="1" si="21"/>
        <v>39510.700985244373</v>
      </c>
      <c r="R57" s="52">
        <f t="shared" ca="1" si="21"/>
        <v>41945.333333333336</v>
      </c>
      <c r="S57" s="52">
        <f t="shared" ca="1" si="21"/>
        <v>-33807.5</v>
      </c>
      <c r="T57" s="52">
        <f t="shared" ca="1" si="21"/>
        <v>16789.23394462312</v>
      </c>
      <c r="U57" s="52">
        <f t="shared" ca="1" si="21"/>
        <v>14979.889155534924</v>
      </c>
      <c r="V57" s="52">
        <f t="shared" ca="1" si="21"/>
        <v>39713.333333333336</v>
      </c>
      <c r="W57" s="52">
        <f t="shared" ca="1" si="21"/>
        <v>36965</v>
      </c>
      <c r="X57" s="52">
        <f t="shared" ca="1" si="21"/>
        <v>-48387.207986852096</v>
      </c>
      <c r="Y57" s="52">
        <f t="shared" ca="1" si="21"/>
        <v>17745.542987123052</v>
      </c>
      <c r="Z57" s="52">
        <f t="shared" ca="1" si="21"/>
        <v>34561.719090953098</v>
      </c>
      <c r="AA57" s="52">
        <f t="shared" ca="1" si="21"/>
        <v>48897</v>
      </c>
      <c r="AB57" s="52">
        <f t="shared" ca="1" si="21"/>
        <v>-57661</v>
      </c>
      <c r="AC57" s="52">
        <f t="shared" ca="1" si="21"/>
        <v>15889.076360512649</v>
      </c>
      <c r="AD57" s="52">
        <f t="shared" ca="1" si="21"/>
        <v>46200.228924764211</v>
      </c>
      <c r="AE57" s="52">
        <f t="shared" ca="1" si="21"/>
        <v>52060</v>
      </c>
      <c r="AF57" s="52">
        <f t="shared" ca="1" si="21"/>
        <v>51403.5</v>
      </c>
      <c r="AG57" s="52">
        <f t="shared" ca="1" si="21"/>
        <v>-45296.160624442804</v>
      </c>
      <c r="AH57" s="52">
        <f t="shared" ca="1" si="21"/>
        <v>10802.333680951609</v>
      </c>
      <c r="AI57" s="52">
        <f t="shared" ca="1" si="21"/>
        <v>52411</v>
      </c>
      <c r="AJ57" s="52">
        <f t="shared" ca="1" si="21"/>
        <v>36633.333333333336</v>
      </c>
      <c r="AK57" s="52">
        <f t="shared" ca="1" si="21"/>
        <v>-49473.792649903131</v>
      </c>
      <c r="AL57" s="52">
        <f t="shared" ca="1" si="21"/>
        <v>18856.603837141622</v>
      </c>
      <c r="AM57" s="52">
        <f t="shared" ca="1" si="21"/>
        <v>52858.282225751238</v>
      </c>
      <c r="AN57" s="52">
        <f t="shared" ca="1" si="21"/>
        <v>48705</v>
      </c>
      <c r="AO57" s="52">
        <f t="shared" ca="1" si="21"/>
        <v>-52085</v>
      </c>
      <c r="AP57" s="52">
        <f t="shared" ca="1" si="21"/>
        <v>34602.906646836738</v>
      </c>
      <c r="AQ57" s="52">
        <f t="shared" ca="1" si="21"/>
        <v>19210.838706270835</v>
      </c>
      <c r="AR57" s="52">
        <f t="shared" ca="1" si="21"/>
        <v>23050</v>
      </c>
      <c r="AS57" s="52">
        <f t="shared" ca="1" si="21"/>
        <v>-50417.333333333328</v>
      </c>
      <c r="AT57" s="52">
        <f t="shared" ca="1" si="21"/>
        <v>-6582.4676274618714</v>
      </c>
      <c r="AU57" s="52">
        <f t="shared" ca="1" si="21"/>
        <v>-4054.5482398787026</v>
      </c>
      <c r="AV57" s="52">
        <f t="shared" ca="1" si="21"/>
        <v>35061.590519728743</v>
      </c>
      <c r="AW57" s="52">
        <f t="shared" ca="1" si="21"/>
        <v>53746.666666666672</v>
      </c>
      <c r="AX57" s="52">
        <f t="shared" ca="1" si="21"/>
        <v>-54633.439852737138</v>
      </c>
      <c r="AY57" s="52">
        <f t="shared" ca="1" si="21"/>
        <v>24329.68938749603</v>
      </c>
      <c r="AZ57" s="52">
        <f t="shared" ca="1" si="21"/>
        <v>49216.377663065621</v>
      </c>
      <c r="BA57" s="52">
        <f t="shared" ca="1" si="21"/>
        <v>38290</v>
      </c>
      <c r="BB57" s="52">
        <f t="shared" ca="1" si="21"/>
        <v>-60470</v>
      </c>
      <c r="BC57" s="52">
        <f t="shared" ca="1" si="21"/>
        <v>82339.849268268896</v>
      </c>
      <c r="BD57" s="52">
        <f t="shared" ca="1" si="21"/>
        <v>171334.62191939243</v>
      </c>
      <c r="BE57" s="52">
        <f t="shared" ca="1" si="21"/>
        <v>238964.40508810873</v>
      </c>
      <c r="BF57" s="52">
        <f t="shared" ca="1" si="21"/>
        <v>101350.2805366536</v>
      </c>
      <c r="BG57" s="52">
        <f t="shared" ca="1" si="21"/>
        <v>593989.15681242384</v>
      </c>
    </row>
    <row r="58" spans="1:59" s="16" customFormat="1" ht="16.149999999999999" customHeight="1" x14ac:dyDescent="0.3">
      <c r="A58" s="172" t="s">
        <v>132</v>
      </c>
      <c r="B58" s="55" t="s">
        <v>37</v>
      </c>
      <c r="C58" s="51">
        <f ca="1">IF(SUM(OFFSET($B$57,0,1,1,COLUMN(C$4)-COLUMN($B$4)))-Assumptions!$C$69&lt;0,-SUM(OFFSET($B$58,0,0,1,COLUMN(C$4)-COLUMN($B$4))),((SUM(OFFSET($B$57,0,1,1,COLUMN(C$4)-COLUMN($B$4)))-Assumptions!$C$69)*Assumptions!$C$68)-SUM(OFFSET($B$58,0,0,1,COLUMN(C$4)-COLUMN($B$4))))</f>
        <v>1876.0000000000007</v>
      </c>
      <c r="D58" s="51">
        <f ca="1">IF(SUM(OFFSET($B$57,0,1,1,COLUMN(D$4)-COLUMN($B$4)))-Assumptions!$C$69&lt;0,-SUM(OFFSET($B$58,0,0,1,COLUMN(D$4)-COLUMN($B$4))),((SUM(OFFSET($B$57,0,1,1,COLUMN(D$4)-COLUMN($B$4)))-Assumptions!$C$69)*Assumptions!$C$68)-SUM(OFFSET($B$58,0,0,1,COLUMN(D$4)-COLUMN($B$4))))</f>
        <v>8302.0420000000013</v>
      </c>
      <c r="E58" s="51">
        <f ca="1">IF(SUM(OFFSET($B$57,0,1,1,COLUMN(E$4)-COLUMN($B$4)))-Assumptions!$C$69&lt;0,-SUM(OFFSET($B$58,0,0,1,COLUMN(E$4)-COLUMN($B$4))),((SUM(OFFSET($B$57,0,1,1,COLUMN(E$4)-COLUMN($B$4)))-Assumptions!$C$69)*Assumptions!$C$68)-SUM(OFFSET($B$58,0,0,1,COLUMN(E$4)-COLUMN($B$4))))</f>
        <v>10322.666666666672</v>
      </c>
      <c r="F58" s="51">
        <f ca="1">IF(SUM(OFFSET($B$57,0,1,1,COLUMN(F$4)-COLUMN($B$4)))-Assumptions!$C$69&lt;0,-SUM(OFFSET($B$58,0,0,1,COLUMN(F$4)-COLUMN($B$4))),((SUM(OFFSET($B$57,0,1,1,COLUMN(F$4)-COLUMN($B$4)))-Assumptions!$C$69)*Assumptions!$C$68)-SUM(OFFSET($B$58,0,0,1,COLUMN(F$4)-COLUMN($B$4))))</f>
        <v>-7371.466666666669</v>
      </c>
      <c r="G58" s="51">
        <f ca="1">IF(SUM(OFFSET($B$57,0,1,1,COLUMN(G$4)-COLUMN($B$4)))-Assumptions!$C$69&lt;0,-SUM(OFFSET($B$58,0,0,1,COLUMN(G$4)-COLUMN($B$4))),((SUM(OFFSET($B$57,0,1,1,COLUMN(G$4)-COLUMN($B$4)))-Assumptions!$C$69)*Assumptions!$C$68)-SUM(OFFSET($B$58,0,0,1,COLUMN(G$4)-COLUMN($B$4))))</f>
        <v>3087.7933333333349</v>
      </c>
      <c r="H58" s="51">
        <f ca="1">IF(SUM(OFFSET($B$57,0,1,1,COLUMN(H$4)-COLUMN($B$4)))-Assumptions!$C$69&lt;0,-SUM(OFFSET($B$58,0,0,1,COLUMN(H$4)-COLUMN($B$4))),((SUM(OFFSET($B$57,0,1,1,COLUMN(H$4)-COLUMN($B$4)))-Assumptions!$C$69)*Assumptions!$C$68)-SUM(OFFSET($B$58,0,0,1,COLUMN(H$4)-COLUMN($B$4))))</f>
        <v>74.98445772280138</v>
      </c>
      <c r="I58" s="51">
        <f ca="1">IF(SUM(OFFSET($B$57,0,1,1,COLUMN(I$4)-COLUMN($B$4)))-Assumptions!$C$69&lt;0,-SUM(OFFSET($B$58,0,0,1,COLUMN(I$4)-COLUMN($B$4))),((SUM(OFFSET($B$57,0,1,1,COLUMN(I$4)-COLUMN($B$4)))-Assumptions!$C$69)*Assumptions!$C$68)-SUM(OFFSET($B$58,0,0,1,COLUMN(I$4)-COLUMN($B$4))))</f>
        <v>6082.8600000000042</v>
      </c>
      <c r="J58" s="51">
        <f ca="1">IF(SUM(OFFSET($B$57,0,1,1,COLUMN(J$4)-COLUMN($B$4)))-Assumptions!$C$69&lt;0,-SUM(OFFSET($B$58,0,0,1,COLUMN(J$4)-COLUMN($B$4))),((SUM(OFFSET($B$57,0,1,1,COLUMN(J$4)-COLUMN($B$4)))-Assumptions!$C$69)*Assumptions!$C$68)-SUM(OFFSET($B$58,0,0,1,COLUMN(J$4)-COLUMN($B$4))))</f>
        <v>11949.000000000004</v>
      </c>
      <c r="K58" s="51">
        <f ca="1">IF(SUM(OFFSET($B$57,0,1,1,COLUMN(K$4)-COLUMN($B$4)))-Assumptions!$C$69&lt;0,-SUM(OFFSET($B$58,0,0,1,COLUMN(K$4)-COLUMN($B$4))),((SUM(OFFSET($B$57,0,1,1,COLUMN(K$4)-COLUMN($B$4)))-Assumptions!$C$69)*Assumptions!$C$68)-SUM(OFFSET($B$58,0,0,1,COLUMN(K$4)-COLUMN($B$4))))</f>
        <v>-16985.334922132435</v>
      </c>
      <c r="L58" s="51">
        <f ca="1">IF(SUM(OFFSET($B$57,0,1,1,COLUMN(L$4)-COLUMN($B$4)))-Assumptions!$C$69&lt;0,-SUM(OFFSET($B$58,0,0,1,COLUMN(L$4)-COLUMN($B$4))),((SUM(OFFSET($B$57,0,1,1,COLUMN(L$4)-COLUMN($B$4)))-Assumptions!$C$69)*Assumptions!$C$68)-SUM(OFFSET($B$58,0,0,1,COLUMN(L$4)-COLUMN($B$4))))</f>
        <v>1594.8068569769457</v>
      </c>
      <c r="M58" s="51">
        <f ca="1">IF(SUM(OFFSET($B$57,0,1,1,COLUMN(M$4)-COLUMN($B$4)))-Assumptions!$C$69&lt;0,-SUM(OFFSET($B$58,0,0,1,COLUMN(M$4)-COLUMN($B$4))),((SUM(OFFSET($B$57,0,1,1,COLUMN(M$4)-COLUMN($B$4)))-Assumptions!$C$69)*Assumptions!$C$68)-SUM(OFFSET($B$58,0,0,1,COLUMN(M$4)-COLUMN($B$4))))</f>
        <v>11896.690418782044</v>
      </c>
      <c r="N58" s="51">
        <f ca="1">IF(SUM(OFFSET($B$57,0,1,1,COLUMN(N$4)-COLUMN($B$4)))-Assumptions!$C$69&lt;0,-SUM(OFFSET($B$58,0,0,1,COLUMN(N$4)-COLUMN($B$4))),((SUM(OFFSET($B$57,0,1,1,COLUMN(N$4)-COLUMN($B$4)))-Assumptions!$C$69)*Assumptions!$C$68)-SUM(OFFSET($B$58,0,0,1,COLUMN(N$4)-COLUMN($B$4))))</f>
        <v>13361.226666666669</v>
      </c>
      <c r="O58" s="51">
        <f ca="1">IF(SUM(OFFSET($B$57,0,1,1,COLUMN(O$4)-COLUMN($B$4)))-Assumptions!$C$69&lt;0,-SUM(OFFSET($B$58,0,0,1,COLUMN(O$4)-COLUMN($B$4))),((SUM(OFFSET($B$57,0,1,1,COLUMN(O$4)-COLUMN($B$4)))-Assumptions!$C$69)*Assumptions!$C$68)-SUM(OFFSET($B$58,0,0,1,COLUMN(O$4)-COLUMN($B$4))))</f>
        <v>-21136.111016234074</v>
      </c>
      <c r="P58" s="51">
        <f ca="1">IF(SUM(OFFSET($B$57,0,1,1,COLUMN(P$4)-COLUMN($B$4)))-Assumptions!$C$69&lt;0,-SUM(OFFSET($B$58,0,0,1,COLUMN(P$4)-COLUMN($B$4))),((SUM(OFFSET($B$57,0,1,1,COLUMN(P$4)-COLUMN($B$4)))-Assumptions!$C$69)*Assumptions!$C$68)-SUM(OFFSET($B$58,0,0,1,COLUMN(P$4)-COLUMN($B$4))))</f>
        <v>5623.1215813078088</v>
      </c>
      <c r="Q58" s="51">
        <f ca="1">IF(SUM(OFFSET($B$57,0,1,1,COLUMN(Q$4)-COLUMN($B$4)))-Assumptions!$C$69&lt;0,-SUM(OFFSET($B$58,0,0,1,COLUMN(Q$4)-COLUMN($B$4))),((SUM(OFFSET($B$57,0,1,1,COLUMN(Q$4)-COLUMN($B$4)))-Assumptions!$C$69)*Assumptions!$C$68)-SUM(OFFSET($B$58,0,0,1,COLUMN(Q$4)-COLUMN($B$4))))</f>
        <v>11062.996275868431</v>
      </c>
      <c r="R58" s="51">
        <f ca="1">IF(SUM(OFFSET($B$57,0,1,1,COLUMN(R$4)-COLUMN($B$4)))-Assumptions!$C$69&lt;0,-SUM(OFFSET($B$58,0,0,1,COLUMN(R$4)-COLUMN($B$4))),((SUM(OFFSET($B$57,0,1,1,COLUMN(R$4)-COLUMN($B$4)))-Assumptions!$C$69)*Assumptions!$C$68)-SUM(OFFSET($B$58,0,0,1,COLUMN(R$4)-COLUMN($B$4))))</f>
        <v>11744.693333333336</v>
      </c>
      <c r="S58" s="51">
        <f ca="1">IF(SUM(OFFSET($B$57,0,1,1,COLUMN(S$4)-COLUMN($B$4)))-Assumptions!$C$69&lt;0,-SUM(OFFSET($B$58,0,0,1,COLUMN(S$4)-COLUMN($B$4))),((SUM(OFFSET($B$57,0,1,1,COLUMN(S$4)-COLUMN($B$4)))-Assumptions!$C$69)*Assumptions!$C$68)-SUM(OFFSET($B$58,0,0,1,COLUMN(S$4)-COLUMN($B$4))))</f>
        <v>-9466.0999999999985</v>
      </c>
      <c r="T58" s="51">
        <f ca="1">IF(SUM(OFFSET($B$57,0,1,1,COLUMN(T$4)-COLUMN($B$4)))-Assumptions!$C$69&lt;0,-SUM(OFFSET($B$58,0,0,1,COLUMN(T$4)-COLUMN($B$4))),((SUM(OFFSET($B$57,0,1,1,COLUMN(T$4)-COLUMN($B$4)))-Assumptions!$C$69)*Assumptions!$C$68)-SUM(OFFSET($B$58,0,0,1,COLUMN(T$4)-COLUMN($B$4))))</f>
        <v>4700.9855044944707</v>
      </c>
      <c r="U58" s="51">
        <f ca="1">IF(SUM(OFFSET($B$57,0,1,1,COLUMN(U$4)-COLUMN($B$4)))-Assumptions!$C$69&lt;0,-SUM(OFFSET($B$58,0,0,1,COLUMN(U$4)-COLUMN($B$4))),((SUM(OFFSET($B$57,0,1,1,COLUMN(U$4)-COLUMN($B$4)))-Assumptions!$C$69)*Assumptions!$C$68)-SUM(OFFSET($B$58,0,0,1,COLUMN(U$4)-COLUMN($B$4))))</f>
        <v>4194.3689635497794</v>
      </c>
      <c r="V58" s="51">
        <f ca="1">IF(SUM(OFFSET($B$57,0,1,1,COLUMN(V$4)-COLUMN($B$4)))-Assumptions!$C$69&lt;0,-SUM(OFFSET($B$58,0,0,1,COLUMN(V$4)-COLUMN($B$4))),((SUM(OFFSET($B$57,0,1,1,COLUMN(V$4)-COLUMN($B$4)))-Assumptions!$C$69)*Assumptions!$C$68)-SUM(OFFSET($B$58,0,0,1,COLUMN(V$4)-COLUMN($B$4))))</f>
        <v>11119.733333333337</v>
      </c>
      <c r="W58" s="51">
        <f ca="1">IF(SUM(OFFSET($B$57,0,1,1,COLUMN(W$4)-COLUMN($B$4)))-Assumptions!$C$69&lt;0,-SUM(OFFSET($B$58,0,0,1,COLUMN(W$4)-COLUMN($B$4))),((SUM(OFFSET($B$57,0,1,1,COLUMN(W$4)-COLUMN($B$4)))-Assumptions!$C$69)*Assumptions!$C$68)-SUM(OFFSET($B$58,0,0,1,COLUMN(W$4)-COLUMN($B$4))))</f>
        <v>10350.199999999997</v>
      </c>
      <c r="X58" s="51">
        <f ca="1">IF(SUM(OFFSET($B$57,0,1,1,COLUMN(X$4)-COLUMN($B$4)))-Assumptions!$C$69&lt;0,-SUM(OFFSET($B$58,0,0,1,COLUMN(X$4)-COLUMN($B$4))),((SUM(OFFSET($B$57,0,1,1,COLUMN(X$4)-COLUMN($B$4)))-Assumptions!$C$69)*Assumptions!$C$68)-SUM(OFFSET($B$58,0,0,1,COLUMN(X$4)-COLUMN($B$4))))</f>
        <v>-13548.41823631859</v>
      </c>
      <c r="Y58" s="51">
        <f ca="1">IF(SUM(OFFSET($B$57,0,1,1,COLUMN(Y$4)-COLUMN($B$4)))-Assumptions!$C$69&lt;0,-SUM(OFFSET($B$58,0,0,1,COLUMN(Y$4)-COLUMN($B$4))),((SUM(OFFSET($B$57,0,1,1,COLUMN(Y$4)-COLUMN($B$4)))-Assumptions!$C$69)*Assumptions!$C$68)-SUM(OFFSET($B$58,0,0,1,COLUMN(Y$4)-COLUMN($B$4))))</f>
        <v>4968.7520363944568</v>
      </c>
      <c r="Z58" s="51">
        <f ca="1">IF(SUM(OFFSET($B$57,0,1,1,COLUMN(Z$4)-COLUMN($B$4)))-Assumptions!$C$69&lt;0,-SUM(OFFSET($B$58,0,0,1,COLUMN(Z$4)-COLUMN($B$4))),((SUM(OFFSET($B$57,0,1,1,COLUMN(Z$4)-COLUMN($B$4)))-Assumptions!$C$69)*Assumptions!$C$68)-SUM(OFFSET($B$58,0,0,1,COLUMN(Z$4)-COLUMN($B$4))))</f>
        <v>9677.2813454668794</v>
      </c>
      <c r="AA58" s="51">
        <f ca="1">IF(SUM(OFFSET($B$57,0,1,1,COLUMN(AA$4)-COLUMN($B$4)))-Assumptions!$C$69&lt;0,-SUM(OFFSET($B$58,0,0,1,COLUMN(AA$4)-COLUMN($B$4))),((SUM(OFFSET($B$57,0,1,1,COLUMN(AA$4)-COLUMN($B$4)))-Assumptions!$C$69)*Assumptions!$C$68)-SUM(OFFSET($B$58,0,0,1,COLUMN(AA$4)-COLUMN($B$4))))</f>
        <v>13691.159999999989</v>
      </c>
      <c r="AB58" s="51">
        <f ca="1">IF(SUM(OFFSET($B$57,0,1,1,COLUMN(AB$4)-COLUMN($B$4)))-Assumptions!$C$69&lt;0,-SUM(OFFSET($B$58,0,0,1,COLUMN(AB$4)-COLUMN($B$4))),((SUM(OFFSET($B$57,0,1,1,COLUMN(AB$4)-COLUMN($B$4)))-Assumptions!$C$69)*Assumptions!$C$68)-SUM(OFFSET($B$58,0,0,1,COLUMN(AB$4)-COLUMN($B$4))))</f>
        <v>-16145.080000000002</v>
      </c>
      <c r="AC58" s="51">
        <f ca="1">IF(SUM(OFFSET($B$57,0,1,1,COLUMN(AC$4)-COLUMN($B$4)))-Assumptions!$C$69&lt;0,-SUM(OFFSET($B$58,0,0,1,COLUMN(AC$4)-COLUMN($B$4))),((SUM(OFFSET($B$57,0,1,1,COLUMN(AC$4)-COLUMN($B$4)))-Assumptions!$C$69)*Assumptions!$C$68)-SUM(OFFSET($B$58,0,0,1,COLUMN(AC$4)-COLUMN($B$4))))</f>
        <v>4448.94138094355</v>
      </c>
      <c r="AD58" s="51">
        <f ca="1">IF(SUM(OFFSET($B$57,0,1,1,COLUMN(AD$4)-COLUMN($B$4)))-Assumptions!$C$69&lt;0,-SUM(OFFSET($B$58,0,0,1,COLUMN(AD$4)-COLUMN($B$4))),((SUM(OFFSET($B$57,0,1,1,COLUMN(AD$4)-COLUMN($B$4)))-Assumptions!$C$69)*Assumptions!$C$68)-SUM(OFFSET($B$58,0,0,1,COLUMN(AD$4)-COLUMN($B$4))))</f>
        <v>12936.064098933974</v>
      </c>
      <c r="AE58" s="51">
        <f ca="1">IF(SUM(OFFSET($B$57,0,1,1,COLUMN(AE$4)-COLUMN($B$4)))-Assumptions!$C$69&lt;0,-SUM(OFFSET($B$58,0,0,1,COLUMN(AE$4)-COLUMN($B$4))),((SUM(OFFSET($B$57,0,1,1,COLUMN(AE$4)-COLUMN($B$4)))-Assumptions!$C$69)*Assumptions!$C$68)-SUM(OFFSET($B$58,0,0,1,COLUMN(AE$4)-COLUMN($B$4))))</f>
        <v>14576.800000000003</v>
      </c>
      <c r="AF58" s="51">
        <f ca="1">IF(SUM(OFFSET($B$57,0,1,1,COLUMN(AF$4)-COLUMN($B$4)))-Assumptions!$C$69&lt;0,-SUM(OFFSET($B$58,0,0,1,COLUMN(AF$4)-COLUMN($B$4))),((SUM(OFFSET($B$57,0,1,1,COLUMN(AF$4)-COLUMN($B$4)))-Assumptions!$C$69)*Assumptions!$C$68)-SUM(OFFSET($B$58,0,0,1,COLUMN(AF$4)-COLUMN($B$4))))</f>
        <v>14392.979999999996</v>
      </c>
      <c r="AG58" s="51">
        <f ca="1">IF(SUM(OFFSET($B$57,0,1,1,COLUMN(AG$4)-COLUMN($B$4)))-Assumptions!$C$69&lt;0,-SUM(OFFSET($B$58,0,0,1,COLUMN(AG$4)-COLUMN($B$4))),((SUM(OFFSET($B$57,0,1,1,COLUMN(AG$4)-COLUMN($B$4)))-Assumptions!$C$69)*Assumptions!$C$68)-SUM(OFFSET($B$58,0,0,1,COLUMN(AG$4)-COLUMN($B$4))))</f>
        <v>-12682.924974843976</v>
      </c>
      <c r="AH58" s="51">
        <f ca="1">IF(SUM(OFFSET($B$57,0,1,1,COLUMN(AH$4)-COLUMN($B$4)))-Assumptions!$C$69&lt;0,-SUM(OFFSET($B$58,0,0,1,COLUMN(AH$4)-COLUMN($B$4))),((SUM(OFFSET($B$57,0,1,1,COLUMN(AH$4)-COLUMN($B$4)))-Assumptions!$C$69)*Assumptions!$C$68)-SUM(OFFSET($B$58,0,0,1,COLUMN(AH$4)-COLUMN($B$4))))</f>
        <v>3024.6534306664544</v>
      </c>
      <c r="AI58" s="51">
        <f ca="1">IF(SUM(OFFSET($B$57,0,1,1,COLUMN(AI$4)-COLUMN($B$4)))-Assumptions!$C$69&lt;0,-SUM(OFFSET($B$58,0,0,1,COLUMN(AI$4)-COLUMN($B$4))),((SUM(OFFSET($B$57,0,1,1,COLUMN(AI$4)-COLUMN($B$4)))-Assumptions!$C$69)*Assumptions!$C$68)-SUM(OFFSET($B$58,0,0,1,COLUMN(AI$4)-COLUMN($B$4))))</f>
        <v>14675.080000000002</v>
      </c>
      <c r="AJ58" s="51">
        <f ca="1">IF(SUM(OFFSET($B$57,0,1,1,COLUMN(AJ$4)-COLUMN($B$4)))-Assumptions!$C$69&lt;0,-SUM(OFFSET($B$58,0,0,1,COLUMN(AJ$4)-COLUMN($B$4))),((SUM(OFFSET($B$57,0,1,1,COLUMN(AJ$4)-COLUMN($B$4)))-Assumptions!$C$69)*Assumptions!$C$68)-SUM(OFFSET($B$58,0,0,1,COLUMN(AJ$4)-COLUMN($B$4))))</f>
        <v>10257.333333333328</v>
      </c>
      <c r="AK58" s="51">
        <f ca="1">IF(SUM(OFFSET($B$57,0,1,1,COLUMN(AK$4)-COLUMN($B$4)))-Assumptions!$C$69&lt;0,-SUM(OFFSET($B$58,0,0,1,COLUMN(AK$4)-COLUMN($B$4))),((SUM(OFFSET($B$57,0,1,1,COLUMN(AK$4)-COLUMN($B$4)))-Assumptions!$C$69)*Assumptions!$C$68)-SUM(OFFSET($B$58,0,0,1,COLUMN(AK$4)-COLUMN($B$4))))</f>
        <v>-13852.661941972867</v>
      </c>
      <c r="AL58" s="51">
        <f ca="1">IF(SUM(OFFSET($B$57,0,1,1,COLUMN(AL$4)-COLUMN($B$4)))-Assumptions!$C$69&lt;0,-SUM(OFFSET($B$58,0,0,1,COLUMN(AL$4)-COLUMN($B$4))),((SUM(OFFSET($B$57,0,1,1,COLUMN(AL$4)-COLUMN($B$4)))-Assumptions!$C$69)*Assumptions!$C$68)-SUM(OFFSET($B$58,0,0,1,COLUMN(AL$4)-COLUMN($B$4))))</f>
        <v>5279.8490743996517</v>
      </c>
      <c r="AM58" s="51">
        <f ca="1">IF(SUM(OFFSET($B$57,0,1,1,COLUMN(AM$4)-COLUMN($B$4)))-Assumptions!$C$69&lt;0,-SUM(OFFSET($B$58,0,0,1,COLUMN(AM$4)-COLUMN($B$4))),((SUM(OFFSET($B$57,0,1,1,COLUMN(AM$4)-COLUMN($B$4)))-Assumptions!$C$69)*Assumptions!$C$68)-SUM(OFFSET($B$58,0,0,1,COLUMN(AM$4)-COLUMN($B$4))))</f>
        <v>14800.319023210366</v>
      </c>
      <c r="AN58" s="51">
        <f ca="1">IF(SUM(OFFSET($B$57,0,1,1,COLUMN(AN$4)-COLUMN($B$4)))-Assumptions!$C$69&lt;0,-SUM(OFFSET($B$58,0,0,1,COLUMN(AN$4)-COLUMN($B$4))),((SUM(OFFSET($B$57,0,1,1,COLUMN(AN$4)-COLUMN($B$4)))-Assumptions!$C$69)*Assumptions!$C$68)-SUM(OFFSET($B$58,0,0,1,COLUMN(AN$4)-COLUMN($B$4))))</f>
        <v>13637.399999999965</v>
      </c>
      <c r="AO58" s="51">
        <f ca="1">IF(SUM(OFFSET($B$57,0,1,1,COLUMN(AO$4)-COLUMN($B$4)))-Assumptions!$C$69&lt;0,-SUM(OFFSET($B$58,0,0,1,COLUMN(AO$4)-COLUMN($B$4))),((SUM(OFFSET($B$57,0,1,1,COLUMN(AO$4)-COLUMN($B$4)))-Assumptions!$C$69)*Assumptions!$C$68)-SUM(OFFSET($B$58,0,0,1,COLUMN(AO$4)-COLUMN($B$4))))</f>
        <v>-14583.799999999988</v>
      </c>
      <c r="AP58" s="51">
        <f ca="1">IF(SUM(OFFSET($B$57,0,1,1,COLUMN(AP$4)-COLUMN($B$4)))-Assumptions!$C$69&lt;0,-SUM(OFFSET($B$58,0,0,1,COLUMN(AP$4)-COLUMN($B$4))),((SUM(OFFSET($B$57,0,1,1,COLUMN(AP$4)-COLUMN($B$4)))-Assumptions!$C$69)*Assumptions!$C$68)-SUM(OFFSET($B$58,0,0,1,COLUMN(AP$4)-COLUMN($B$4))))</f>
        <v>9688.8138611142931</v>
      </c>
      <c r="AQ58" s="51">
        <f ca="1">IF(SUM(OFFSET($B$57,0,1,1,COLUMN(AQ$4)-COLUMN($B$4)))-Assumptions!$C$69&lt;0,-SUM(OFFSET($B$58,0,0,1,COLUMN(AQ$4)-COLUMN($B$4))),((SUM(OFFSET($B$57,0,1,1,COLUMN(AQ$4)-COLUMN($B$4)))-Assumptions!$C$69)*Assumptions!$C$68)-SUM(OFFSET($B$58,0,0,1,COLUMN(AQ$4)-COLUMN($B$4))))</f>
        <v>5379.0348377558403</v>
      </c>
      <c r="AR58" s="51">
        <f ca="1">IF(SUM(OFFSET($B$57,0,1,1,COLUMN(AR$4)-COLUMN($B$4)))-Assumptions!$C$69&lt;0,-SUM(OFFSET($B$58,0,0,1,COLUMN(AR$4)-COLUMN($B$4))),((SUM(OFFSET($B$57,0,1,1,COLUMN(AR$4)-COLUMN($B$4)))-Assumptions!$C$69)*Assumptions!$C$68)-SUM(OFFSET($B$58,0,0,1,COLUMN(AR$4)-COLUMN($B$4))))</f>
        <v>6454</v>
      </c>
      <c r="AS58" s="51">
        <f ca="1">IF(SUM(OFFSET($B$57,0,1,1,COLUMN(AS$4)-COLUMN($B$4)))-Assumptions!$C$69&lt;0,-SUM(OFFSET($B$58,0,0,1,COLUMN(AS$4)-COLUMN($B$4))),((SUM(OFFSET($B$57,0,1,1,COLUMN(AS$4)-COLUMN($B$4)))-Assumptions!$C$69)*Assumptions!$C$68)-SUM(OFFSET($B$58,0,0,1,COLUMN(AS$4)-COLUMN($B$4))))</f>
        <v>-14116.853333333333</v>
      </c>
      <c r="AT58" s="51">
        <f ca="1">IF(SUM(OFFSET($B$57,0,1,1,COLUMN(AT$4)-COLUMN($B$4)))-Assumptions!$C$69&lt;0,-SUM(OFFSET($B$58,0,0,1,COLUMN(AT$4)-COLUMN($B$4))),((SUM(OFFSET($B$57,0,1,1,COLUMN(AT$4)-COLUMN($B$4)))-Assumptions!$C$69)*Assumptions!$C$68)-SUM(OFFSET($B$58,0,0,1,COLUMN(AT$4)-COLUMN($B$4))))</f>
        <v>-1843.0909356893389</v>
      </c>
      <c r="AU58" s="51">
        <f ca="1">IF(SUM(OFFSET($B$57,0,1,1,COLUMN(AU$4)-COLUMN($B$4)))-Assumptions!$C$69&lt;0,-SUM(OFFSET($B$58,0,0,1,COLUMN(AU$4)-COLUMN($B$4))),((SUM(OFFSET($B$57,0,1,1,COLUMN(AU$4)-COLUMN($B$4)))-Assumptions!$C$69)*Assumptions!$C$68)-SUM(OFFSET($B$58,0,0,1,COLUMN(AU$4)-COLUMN($B$4))))</f>
        <v>-1135.2735071660427</v>
      </c>
      <c r="AV58" s="51">
        <f ca="1">IF(SUM(OFFSET($B$57,0,1,1,COLUMN(AV$4)-COLUMN($B$4)))-Assumptions!$C$69&lt;0,-SUM(OFFSET($B$58,0,0,1,COLUMN(AV$4)-COLUMN($B$4))),((SUM(OFFSET($B$57,0,1,1,COLUMN(AV$4)-COLUMN($B$4)))-Assumptions!$C$69)*Assumptions!$C$68)-SUM(OFFSET($B$58,0,0,1,COLUMN(AV$4)-COLUMN($B$4))))</f>
        <v>9817.2453455240466</v>
      </c>
      <c r="AW58" s="51">
        <f ca="1">IF(SUM(OFFSET($B$57,0,1,1,COLUMN(AW$4)-COLUMN($B$4)))-Assumptions!$C$69&lt;0,-SUM(OFFSET($B$58,0,0,1,COLUMN(AW$4)-COLUMN($B$4))),((SUM(OFFSET($B$57,0,1,1,COLUMN(AW$4)-COLUMN($B$4)))-Assumptions!$C$69)*Assumptions!$C$68)-SUM(OFFSET($B$58,0,0,1,COLUMN(AW$4)-COLUMN($B$4))))</f>
        <v>15049.06666666668</v>
      </c>
      <c r="AX58" s="51">
        <f ca="1">IF(SUM(OFFSET($B$57,0,1,1,COLUMN(AX$4)-COLUMN($B$4)))-Assumptions!$C$69&lt;0,-SUM(OFFSET($B$58,0,0,1,COLUMN(AX$4)-COLUMN($B$4))),((SUM(OFFSET($B$57,0,1,1,COLUMN(AX$4)-COLUMN($B$4)))-Assumptions!$C$69)*Assumptions!$C$68)-SUM(OFFSET($B$58,0,0,1,COLUMN(AX$4)-COLUMN($B$4))))</f>
        <v>-15297.363158766413</v>
      </c>
      <c r="AY58" s="51">
        <f ca="1">IF(SUM(OFFSET($B$57,0,1,1,COLUMN(AY$4)-COLUMN($B$4)))-Assumptions!$C$69&lt;0,-SUM(OFFSET($B$58,0,0,1,COLUMN(AY$4)-COLUMN($B$4))),((SUM(OFFSET($B$57,0,1,1,COLUMN(AY$4)-COLUMN($B$4)))-Assumptions!$C$69)*Assumptions!$C$68)-SUM(OFFSET($B$58,0,0,1,COLUMN(AY$4)-COLUMN($B$4))))</f>
        <v>6812.3130284988729</v>
      </c>
      <c r="AZ58" s="51">
        <f ca="1">IF(SUM(OFFSET($B$57,0,1,1,COLUMN(AZ$4)-COLUMN($B$4)))-Assumptions!$C$69&lt;0,-SUM(OFFSET($B$58,0,0,1,COLUMN(AZ$4)-COLUMN($B$4))),((SUM(OFFSET($B$57,0,1,1,COLUMN(AZ$4)-COLUMN($B$4)))-Assumptions!$C$69)*Assumptions!$C$68)-SUM(OFFSET($B$58,0,0,1,COLUMN(AZ$4)-COLUMN($B$4))))</f>
        <v>13780.585745658376</v>
      </c>
      <c r="BA58" s="51">
        <f ca="1">IF(SUM(OFFSET($B$57,0,1,1,COLUMN(BA$4)-COLUMN($B$4)))-Assumptions!$C$69&lt;0,-SUM(OFFSET($B$58,0,0,1,COLUMN(BA$4)-COLUMN($B$4))),((SUM(OFFSET($B$57,0,1,1,COLUMN(BA$4)-COLUMN($B$4)))-Assumptions!$C$69)*Assumptions!$C$68)-SUM(OFFSET($B$58,0,0,1,COLUMN(BA$4)-COLUMN($B$4))))</f>
        <v>10721.199999999983</v>
      </c>
      <c r="BB58" s="51">
        <f ca="1">IF(SUM(OFFSET($B$57,0,1,1,COLUMN(BB$4)-COLUMN($B$4)))-Assumptions!$C$69&lt;0,-SUM(OFFSET($B$58,0,0,1,COLUMN(BB$4)-COLUMN($B$4))),((SUM(OFFSET($B$57,0,1,1,COLUMN(BB$4)-COLUMN($B$4)))-Assumptions!$C$69)*Assumptions!$C$68)-SUM(OFFSET($B$58,0,0,1,COLUMN(BB$4)-COLUMN($B$4))))</f>
        <v>-16931.599999999977</v>
      </c>
      <c r="BC58" s="52">
        <f ca="1">SUM(OFFSET($B58,0,1,1,Assumptions!$C$8))</f>
        <v>23055.157795115298</v>
      </c>
      <c r="BD58" s="52">
        <f ca="1">SUM(OFFSET($B58,0,1+Assumptions!$C$8,1,SUM(Assumptions!$C$9)))</f>
        <v>47973.694137429891</v>
      </c>
      <c r="BE58" s="52">
        <f ca="1">SUM(OFFSET($B58,0,1+SUM(Assumptions!$C$8:$C$9),1,SUM(Assumptions!$C$10)))</f>
        <v>66910.033424670459</v>
      </c>
      <c r="BF58" s="52">
        <f ca="1">SUM(OFFSET($B58,0,1+SUM(Assumptions!$C$8:$C$10),1,SUM(Assumptions!$C$11)))</f>
        <v>28378.078550262988</v>
      </c>
      <c r="BG58" s="52">
        <f ca="1">SUM(BC58:BF58)</f>
        <v>166316.96390747864</v>
      </c>
    </row>
    <row r="59" spans="1:59" ht="16.149999999999999" customHeight="1" x14ac:dyDescent="0.3">
      <c r="B59" s="2" t="s">
        <v>83</v>
      </c>
      <c r="C59" s="52">
        <f ca="1">SUM(C57,-C58)</f>
        <v>4824.0000000000009</v>
      </c>
      <c r="D59" s="52">
        <f t="shared" ref="D59:BG59" ca="1" si="22">SUM(D57,-D58)</f>
        <v>21348.107999999997</v>
      </c>
      <c r="E59" s="52">
        <f t="shared" ca="1" si="22"/>
        <v>26544</v>
      </c>
      <c r="F59" s="52">
        <f t="shared" ca="1" si="22"/>
        <v>-18955.200000000004</v>
      </c>
      <c r="G59" s="52">
        <f t="shared" ca="1" si="22"/>
        <v>7940.0399999999991</v>
      </c>
      <c r="H59" s="52">
        <f t="shared" ca="1" si="22"/>
        <v>192.8171770014942</v>
      </c>
      <c r="I59" s="52">
        <f t="shared" ca="1" si="22"/>
        <v>15641.639999999996</v>
      </c>
      <c r="J59" s="52">
        <f t="shared" ca="1" si="22"/>
        <v>30725.999999999996</v>
      </c>
      <c r="K59" s="52">
        <f t="shared" ca="1" si="22"/>
        <v>-43676.575514054814</v>
      </c>
      <c r="L59" s="52">
        <f t="shared" ca="1" si="22"/>
        <v>4100.9319179407048</v>
      </c>
      <c r="M59" s="52">
        <f t="shared" ca="1" si="22"/>
        <v>30591.489648296676</v>
      </c>
      <c r="N59" s="52">
        <f t="shared" ca="1" si="22"/>
        <v>34357.440000000002</v>
      </c>
      <c r="O59" s="52">
        <f t="shared" ca="1" si="22"/>
        <v>-54349.999756030462</v>
      </c>
      <c r="P59" s="52">
        <f t="shared" ca="1" si="22"/>
        <v>14459.455494791509</v>
      </c>
      <c r="Q59" s="52">
        <f t="shared" ca="1" si="22"/>
        <v>28447.704709375943</v>
      </c>
      <c r="R59" s="52">
        <f t="shared" ca="1" si="22"/>
        <v>30200.639999999999</v>
      </c>
      <c r="S59" s="52">
        <f t="shared" ca="1" si="22"/>
        <v>-24341.4</v>
      </c>
      <c r="T59" s="52">
        <f t="shared" ca="1" si="22"/>
        <v>12088.248440128649</v>
      </c>
      <c r="U59" s="52">
        <f t="shared" ca="1" si="22"/>
        <v>10785.520191985144</v>
      </c>
      <c r="V59" s="52">
        <f t="shared" ca="1" si="22"/>
        <v>28593.599999999999</v>
      </c>
      <c r="W59" s="52">
        <f t="shared" ca="1" si="22"/>
        <v>26614.800000000003</v>
      </c>
      <c r="X59" s="52">
        <f t="shared" ca="1" si="22"/>
        <v>-34838.789750533506</v>
      </c>
      <c r="Y59" s="52">
        <f t="shared" ca="1" si="22"/>
        <v>12776.790950728595</v>
      </c>
      <c r="Z59" s="52">
        <f t="shared" ca="1" si="22"/>
        <v>24884.437745486219</v>
      </c>
      <c r="AA59" s="52">
        <f t="shared" ca="1" si="22"/>
        <v>35205.840000000011</v>
      </c>
      <c r="AB59" s="52">
        <f t="shared" ca="1" si="22"/>
        <v>-41515.919999999998</v>
      </c>
      <c r="AC59" s="52">
        <f t="shared" ca="1" si="22"/>
        <v>11440.134979569099</v>
      </c>
      <c r="AD59" s="52">
        <f t="shared" ca="1" si="22"/>
        <v>33264.164825830238</v>
      </c>
      <c r="AE59" s="52">
        <f t="shared" ca="1" si="22"/>
        <v>37483.199999999997</v>
      </c>
      <c r="AF59" s="52">
        <f t="shared" ca="1" si="22"/>
        <v>37010.520000000004</v>
      </c>
      <c r="AG59" s="52">
        <f t="shared" ca="1" si="22"/>
        <v>-32613.235649598828</v>
      </c>
      <c r="AH59" s="52">
        <f t="shared" ca="1" si="22"/>
        <v>7777.6802502851551</v>
      </c>
      <c r="AI59" s="52">
        <f t="shared" ca="1" si="22"/>
        <v>37735.919999999998</v>
      </c>
      <c r="AJ59" s="52">
        <f t="shared" ca="1" si="22"/>
        <v>26376.000000000007</v>
      </c>
      <c r="AK59" s="52">
        <f t="shared" ca="1" si="22"/>
        <v>-35621.130707930264</v>
      </c>
      <c r="AL59" s="52">
        <f t="shared" ca="1" si="22"/>
        <v>13576.75476274197</v>
      </c>
      <c r="AM59" s="52">
        <f t="shared" ca="1" si="22"/>
        <v>38057.963202540872</v>
      </c>
      <c r="AN59" s="52">
        <f t="shared" ca="1" si="22"/>
        <v>35067.600000000035</v>
      </c>
      <c r="AO59" s="52">
        <f t="shared" ca="1" si="22"/>
        <v>-37501.200000000012</v>
      </c>
      <c r="AP59" s="52">
        <f t="shared" ca="1" si="22"/>
        <v>24914.092785722445</v>
      </c>
      <c r="AQ59" s="52">
        <f t="shared" ca="1" si="22"/>
        <v>13831.803868514995</v>
      </c>
      <c r="AR59" s="52">
        <f t="shared" ca="1" si="22"/>
        <v>16596</v>
      </c>
      <c r="AS59" s="52">
        <f t="shared" ca="1" si="22"/>
        <v>-36300.479999999996</v>
      </c>
      <c r="AT59" s="52">
        <f t="shared" ca="1" si="22"/>
        <v>-4739.3766917725325</v>
      </c>
      <c r="AU59" s="52">
        <f t="shared" ca="1" si="22"/>
        <v>-2919.2747327126599</v>
      </c>
      <c r="AV59" s="52">
        <f t="shared" ca="1" si="22"/>
        <v>25244.345174204696</v>
      </c>
      <c r="AW59" s="52">
        <f t="shared" ca="1" si="22"/>
        <v>38697.599999999991</v>
      </c>
      <c r="AX59" s="52">
        <f t="shared" ca="1" si="22"/>
        <v>-39336.076693970725</v>
      </c>
      <c r="AY59" s="52">
        <f t="shared" ca="1" si="22"/>
        <v>17517.376358997157</v>
      </c>
      <c r="AZ59" s="52">
        <f t="shared" ca="1" si="22"/>
        <v>35435.791917407245</v>
      </c>
      <c r="BA59" s="52">
        <f t="shared" ca="1" si="22"/>
        <v>27568.800000000017</v>
      </c>
      <c r="BB59" s="52">
        <f t="shared" ca="1" si="22"/>
        <v>-43538.400000000023</v>
      </c>
      <c r="BC59" s="52">
        <f t="shared" ca="1" si="22"/>
        <v>59284.691473153594</v>
      </c>
      <c r="BD59" s="52">
        <f t="shared" ca="1" si="22"/>
        <v>123360.92778196254</v>
      </c>
      <c r="BE59" s="52">
        <f t="shared" ca="1" si="22"/>
        <v>172054.37166343827</v>
      </c>
      <c r="BF59" s="52">
        <f t="shared" ca="1" si="22"/>
        <v>72972.201986390617</v>
      </c>
      <c r="BG59" s="52">
        <f t="shared" ca="1" si="22"/>
        <v>427672.19290494523</v>
      </c>
    </row>
    <row r="60" spans="1:59" ht="16.149999999999999" customHeight="1" x14ac:dyDescent="0.3">
      <c r="A60" s="164" t="s">
        <v>261</v>
      </c>
      <c r="B60" s="12" t="s">
        <v>262</v>
      </c>
      <c r="C60" s="51">
        <f ca="1">BalanceSheet!D75</f>
        <v>0</v>
      </c>
      <c r="D60" s="51">
        <f ca="1">BalanceSheet!E75</f>
        <v>0</v>
      </c>
      <c r="E60" s="51">
        <f ca="1">BalanceSheet!F75</f>
        <v>0</v>
      </c>
      <c r="F60" s="51">
        <f ca="1">BalanceSheet!G75</f>
        <v>0</v>
      </c>
      <c r="G60" s="51">
        <f ca="1">BalanceSheet!H75</f>
        <v>0</v>
      </c>
      <c r="H60" s="51">
        <f ca="1">BalanceSheet!I75</f>
        <v>0</v>
      </c>
      <c r="I60" s="51">
        <f ca="1">BalanceSheet!J75</f>
        <v>0</v>
      </c>
      <c r="J60" s="51">
        <f ca="1">BalanceSheet!K75</f>
        <v>0</v>
      </c>
      <c r="K60" s="51">
        <f ca="1">BalanceSheet!L75</f>
        <v>0</v>
      </c>
      <c r="L60" s="51">
        <f ca="1">BalanceSheet!M75</f>
        <v>0</v>
      </c>
      <c r="M60" s="51">
        <f ca="1">BalanceSheet!N75</f>
        <v>0</v>
      </c>
      <c r="N60" s="51">
        <f ca="1">BalanceSheet!O75</f>
        <v>0</v>
      </c>
      <c r="O60" s="51">
        <f ca="1">BalanceSheet!P75</f>
        <v>0</v>
      </c>
      <c r="P60" s="51">
        <f ca="1">BalanceSheet!Q75</f>
        <v>0</v>
      </c>
      <c r="Q60" s="51">
        <f ca="1">BalanceSheet!R75</f>
        <v>0</v>
      </c>
      <c r="R60" s="51">
        <f ca="1">BalanceSheet!S75</f>
        <v>0</v>
      </c>
      <c r="S60" s="51">
        <f ca="1">BalanceSheet!T75</f>
        <v>0</v>
      </c>
      <c r="T60" s="51">
        <f ca="1">BalanceSheet!U75</f>
        <v>0</v>
      </c>
      <c r="U60" s="51">
        <f ca="1">BalanceSheet!V75</f>
        <v>0</v>
      </c>
      <c r="V60" s="51">
        <f ca="1">BalanceSheet!W75</f>
        <v>0</v>
      </c>
      <c r="W60" s="51">
        <f ca="1">BalanceSheet!X75</f>
        <v>0</v>
      </c>
      <c r="X60" s="51">
        <f ca="1">BalanceSheet!Y75</f>
        <v>0</v>
      </c>
      <c r="Y60" s="51">
        <f ca="1">BalanceSheet!Z75</f>
        <v>0</v>
      </c>
      <c r="Z60" s="51">
        <f ca="1">BalanceSheet!AA75</f>
        <v>0</v>
      </c>
      <c r="AA60" s="51">
        <f ca="1">BalanceSheet!AB75</f>
        <v>0</v>
      </c>
      <c r="AB60" s="51">
        <f ca="1">BalanceSheet!AC75</f>
        <v>0</v>
      </c>
      <c r="AC60" s="51">
        <f ca="1">BalanceSheet!AD75</f>
        <v>0</v>
      </c>
      <c r="AD60" s="51">
        <f ca="1">BalanceSheet!AE75</f>
        <v>0</v>
      </c>
      <c r="AE60" s="51">
        <f ca="1">BalanceSheet!AF75</f>
        <v>0</v>
      </c>
      <c r="AF60" s="51">
        <f ca="1">BalanceSheet!AG75</f>
        <v>0</v>
      </c>
      <c r="AG60" s="51">
        <f ca="1">BalanceSheet!AH75</f>
        <v>0</v>
      </c>
      <c r="AH60" s="51">
        <f ca="1">BalanceSheet!AI75</f>
        <v>0</v>
      </c>
      <c r="AI60" s="51">
        <f ca="1">BalanceSheet!AJ75</f>
        <v>0</v>
      </c>
      <c r="AJ60" s="51">
        <f ca="1">BalanceSheet!AK75</f>
        <v>0</v>
      </c>
      <c r="AK60" s="51">
        <f ca="1">BalanceSheet!AL75</f>
        <v>0</v>
      </c>
      <c r="AL60" s="51">
        <f ca="1">BalanceSheet!AM75</f>
        <v>0</v>
      </c>
      <c r="AM60" s="51">
        <f ca="1">BalanceSheet!AN75</f>
        <v>0</v>
      </c>
      <c r="AN60" s="51">
        <f ca="1">BalanceSheet!AO75</f>
        <v>0</v>
      </c>
      <c r="AO60" s="51">
        <f ca="1">BalanceSheet!AP75</f>
        <v>0</v>
      </c>
      <c r="AP60" s="51">
        <f ca="1">BalanceSheet!AQ75</f>
        <v>0</v>
      </c>
      <c r="AQ60" s="51">
        <f ca="1">BalanceSheet!AR75</f>
        <v>0</v>
      </c>
      <c r="AR60" s="51">
        <f ca="1">BalanceSheet!AS75</f>
        <v>0</v>
      </c>
      <c r="AS60" s="51">
        <f ca="1">BalanceSheet!AT75</f>
        <v>0</v>
      </c>
      <c r="AT60" s="51">
        <f ca="1">BalanceSheet!AU75</f>
        <v>0</v>
      </c>
      <c r="AU60" s="51">
        <f ca="1">BalanceSheet!AV75</f>
        <v>0</v>
      </c>
      <c r="AV60" s="51">
        <f ca="1">BalanceSheet!AW75</f>
        <v>0</v>
      </c>
      <c r="AW60" s="51">
        <f ca="1">BalanceSheet!AX75</f>
        <v>0</v>
      </c>
      <c r="AX60" s="51">
        <f ca="1">BalanceSheet!AY75</f>
        <v>0</v>
      </c>
      <c r="AY60" s="51">
        <f ca="1">BalanceSheet!AZ75</f>
        <v>0</v>
      </c>
      <c r="AZ60" s="51">
        <f ca="1">BalanceSheet!BA75</f>
        <v>0</v>
      </c>
      <c r="BA60" s="51">
        <f ca="1">BalanceSheet!BB75</f>
        <v>0</v>
      </c>
      <c r="BB60" s="51">
        <f ca="1">BalanceSheet!BC75</f>
        <v>0</v>
      </c>
      <c r="BC60" s="52">
        <f ca="1">SUM(OFFSET($B60,0,1,1,Assumptions!$C$8))</f>
        <v>0</v>
      </c>
      <c r="BD60" s="52">
        <f ca="1">SUM(OFFSET($B60,0,1+Assumptions!$C$8,1,SUM(Assumptions!$C$9)))</f>
        <v>0</v>
      </c>
      <c r="BE60" s="52">
        <f ca="1">SUM(OFFSET($B60,0,1+SUM(Assumptions!$C$8:$C$9),1,SUM(Assumptions!$C$10)))</f>
        <v>0</v>
      </c>
      <c r="BF60" s="52">
        <f ca="1">SUM(OFFSET($B60,0,1+SUM(Assumptions!$C$8:$C$10),1,SUM(Assumptions!$C$11)))</f>
        <v>0</v>
      </c>
      <c r="BG60" s="52">
        <f ca="1">SUM(BC60:BF60)</f>
        <v>0</v>
      </c>
    </row>
    <row r="61" spans="1:59" ht="16.149999999999999" customHeight="1" x14ac:dyDescent="0.3">
      <c r="A61" s="164"/>
      <c r="B61" s="2" t="s">
        <v>263</v>
      </c>
      <c r="C61" s="52">
        <f ca="1">SUM(C59,-C60)</f>
        <v>4824.0000000000009</v>
      </c>
      <c r="D61" s="52">
        <f t="shared" ref="D61:BG61" ca="1" si="23">SUM(D59,-D60)</f>
        <v>21348.107999999997</v>
      </c>
      <c r="E61" s="52">
        <f t="shared" ca="1" si="23"/>
        <v>26544</v>
      </c>
      <c r="F61" s="52">
        <f t="shared" ca="1" si="23"/>
        <v>-18955.200000000004</v>
      </c>
      <c r="G61" s="52">
        <f t="shared" ca="1" si="23"/>
        <v>7940.0399999999991</v>
      </c>
      <c r="H61" s="52">
        <f t="shared" ca="1" si="23"/>
        <v>192.8171770014942</v>
      </c>
      <c r="I61" s="52">
        <f t="shared" ca="1" si="23"/>
        <v>15641.639999999996</v>
      </c>
      <c r="J61" s="52">
        <f t="shared" ca="1" si="23"/>
        <v>30725.999999999996</v>
      </c>
      <c r="K61" s="52">
        <f t="shared" ca="1" si="23"/>
        <v>-43676.575514054814</v>
      </c>
      <c r="L61" s="52">
        <f t="shared" ca="1" si="23"/>
        <v>4100.9319179407048</v>
      </c>
      <c r="M61" s="52">
        <f t="shared" ca="1" si="23"/>
        <v>30591.489648296676</v>
      </c>
      <c r="N61" s="52">
        <f t="shared" ca="1" si="23"/>
        <v>34357.440000000002</v>
      </c>
      <c r="O61" s="52">
        <f t="shared" ca="1" si="23"/>
        <v>-54349.999756030462</v>
      </c>
      <c r="P61" s="52">
        <f t="shared" ca="1" si="23"/>
        <v>14459.455494791509</v>
      </c>
      <c r="Q61" s="52">
        <f t="shared" ca="1" si="23"/>
        <v>28447.704709375943</v>
      </c>
      <c r="R61" s="52">
        <f t="shared" ca="1" si="23"/>
        <v>30200.639999999999</v>
      </c>
      <c r="S61" s="52">
        <f t="shared" ca="1" si="23"/>
        <v>-24341.4</v>
      </c>
      <c r="T61" s="52">
        <f t="shared" ca="1" si="23"/>
        <v>12088.248440128649</v>
      </c>
      <c r="U61" s="52">
        <f t="shared" ca="1" si="23"/>
        <v>10785.520191985144</v>
      </c>
      <c r="V61" s="52">
        <f t="shared" ca="1" si="23"/>
        <v>28593.599999999999</v>
      </c>
      <c r="W61" s="52">
        <f t="shared" ca="1" si="23"/>
        <v>26614.800000000003</v>
      </c>
      <c r="X61" s="52">
        <f t="shared" ca="1" si="23"/>
        <v>-34838.789750533506</v>
      </c>
      <c r="Y61" s="52">
        <f t="shared" ca="1" si="23"/>
        <v>12776.790950728595</v>
      </c>
      <c r="Z61" s="52">
        <f t="shared" ca="1" si="23"/>
        <v>24884.437745486219</v>
      </c>
      <c r="AA61" s="52">
        <f t="shared" ca="1" si="23"/>
        <v>35205.840000000011</v>
      </c>
      <c r="AB61" s="52">
        <f t="shared" ca="1" si="23"/>
        <v>-41515.919999999998</v>
      </c>
      <c r="AC61" s="52">
        <f t="shared" ca="1" si="23"/>
        <v>11440.134979569099</v>
      </c>
      <c r="AD61" s="52">
        <f t="shared" ca="1" si="23"/>
        <v>33264.164825830238</v>
      </c>
      <c r="AE61" s="52">
        <f t="shared" ca="1" si="23"/>
        <v>37483.199999999997</v>
      </c>
      <c r="AF61" s="52">
        <f t="shared" ca="1" si="23"/>
        <v>37010.520000000004</v>
      </c>
      <c r="AG61" s="52">
        <f t="shared" ca="1" si="23"/>
        <v>-32613.235649598828</v>
      </c>
      <c r="AH61" s="52">
        <f t="shared" ca="1" si="23"/>
        <v>7777.6802502851551</v>
      </c>
      <c r="AI61" s="52">
        <f t="shared" ca="1" si="23"/>
        <v>37735.919999999998</v>
      </c>
      <c r="AJ61" s="52">
        <f t="shared" ca="1" si="23"/>
        <v>26376.000000000007</v>
      </c>
      <c r="AK61" s="52">
        <f t="shared" ca="1" si="23"/>
        <v>-35621.130707930264</v>
      </c>
      <c r="AL61" s="52">
        <f t="shared" ca="1" si="23"/>
        <v>13576.75476274197</v>
      </c>
      <c r="AM61" s="52">
        <f t="shared" ca="1" si="23"/>
        <v>38057.963202540872</v>
      </c>
      <c r="AN61" s="52">
        <f t="shared" ca="1" si="23"/>
        <v>35067.600000000035</v>
      </c>
      <c r="AO61" s="52">
        <f t="shared" ca="1" si="23"/>
        <v>-37501.200000000012</v>
      </c>
      <c r="AP61" s="52">
        <f t="shared" ca="1" si="23"/>
        <v>24914.092785722445</v>
      </c>
      <c r="AQ61" s="52">
        <f t="shared" ca="1" si="23"/>
        <v>13831.803868514995</v>
      </c>
      <c r="AR61" s="52">
        <f t="shared" ca="1" si="23"/>
        <v>16596</v>
      </c>
      <c r="AS61" s="52">
        <f t="shared" ca="1" si="23"/>
        <v>-36300.479999999996</v>
      </c>
      <c r="AT61" s="52">
        <f t="shared" ca="1" si="23"/>
        <v>-4739.3766917725325</v>
      </c>
      <c r="AU61" s="52">
        <f t="shared" ca="1" si="23"/>
        <v>-2919.2747327126599</v>
      </c>
      <c r="AV61" s="52">
        <f t="shared" ca="1" si="23"/>
        <v>25244.345174204696</v>
      </c>
      <c r="AW61" s="52">
        <f t="shared" ca="1" si="23"/>
        <v>38697.599999999991</v>
      </c>
      <c r="AX61" s="52">
        <f t="shared" ca="1" si="23"/>
        <v>-39336.076693970725</v>
      </c>
      <c r="AY61" s="52">
        <f t="shared" ca="1" si="23"/>
        <v>17517.376358997157</v>
      </c>
      <c r="AZ61" s="52">
        <f t="shared" ca="1" si="23"/>
        <v>35435.791917407245</v>
      </c>
      <c r="BA61" s="52">
        <f t="shared" ca="1" si="23"/>
        <v>27568.800000000017</v>
      </c>
      <c r="BB61" s="52">
        <f t="shared" ca="1" si="23"/>
        <v>-43538.400000000023</v>
      </c>
      <c r="BC61" s="52">
        <f t="shared" ca="1" si="23"/>
        <v>59284.691473153594</v>
      </c>
      <c r="BD61" s="52">
        <f t="shared" ca="1" si="23"/>
        <v>123360.92778196254</v>
      </c>
      <c r="BE61" s="52">
        <f t="shared" ca="1" si="23"/>
        <v>172054.37166343827</v>
      </c>
      <c r="BF61" s="52">
        <f t="shared" ca="1" si="23"/>
        <v>72972.201986390617</v>
      </c>
      <c r="BG61" s="52">
        <f t="shared" ca="1" si="23"/>
        <v>427672.19290494523</v>
      </c>
    </row>
    <row r="62" spans="1:59" s="58" customFormat="1" ht="16.149999999999999" customHeight="1" x14ac:dyDescent="0.25">
      <c r="A62" s="177"/>
      <c r="B62" s="58" t="s">
        <v>57</v>
      </c>
      <c r="C62" s="66">
        <f t="shared" ref="C62:AO62" ca="1" si="24">IF(C$7=0,0,C59/C$7)</f>
        <v>5.6752941176470596E-2</v>
      </c>
      <c r="D62" s="66">
        <f t="shared" ca="1" si="24"/>
        <v>0.29468156846144644</v>
      </c>
      <c r="E62" s="66">
        <f ca="1">IF(E$7=0,0,E59/E$7)</f>
        <v>0.29802395209580834</v>
      </c>
      <c r="F62" s="66">
        <f t="shared" ca="1" si="24"/>
        <v>-0.20578128392559897</v>
      </c>
      <c r="G62" s="66">
        <f t="shared" ca="1" si="24"/>
        <v>8.5787261628221048E-2</v>
      </c>
      <c r="H62" s="66">
        <f t="shared" ca="1" si="24"/>
        <v>2.1737104833650525E-3</v>
      </c>
      <c r="I62" s="66">
        <f t="shared" ca="1" si="24"/>
        <v>0.20281552076242337</v>
      </c>
      <c r="J62" s="66">
        <f t="shared" ca="1" si="24"/>
        <v>0.33829892650701893</v>
      </c>
      <c r="K62" s="66">
        <f t="shared" ca="1" si="24"/>
        <v>-0.52151134942154997</v>
      </c>
      <c r="L62" s="66">
        <f t="shared" ca="1" si="24"/>
        <v>4.6460709040113721E-2</v>
      </c>
      <c r="M62" s="66">
        <f t="shared" ca="1" si="24"/>
        <v>0.32058150011314307</v>
      </c>
      <c r="N62" s="66">
        <f t="shared" ca="1" si="24"/>
        <v>0.36224193435017926</v>
      </c>
      <c r="O62" s="66">
        <f t="shared" ca="1" si="24"/>
        <v>-0.6028283548131671</v>
      </c>
      <c r="P62" s="66">
        <f t="shared" ca="1" si="24"/>
        <v>0.14164364566326376</v>
      </c>
      <c r="Q62" s="66">
        <f ca="1">IF(Q$7=0,0,Q59/Q$7)</f>
        <v>0.30921418162365155</v>
      </c>
      <c r="R62" s="66">
        <f t="shared" ca="1" si="24"/>
        <v>0.33795337386698493</v>
      </c>
      <c r="S62" s="66">
        <f t="shared" ca="1" si="24"/>
        <v>-0.24975144286263948</v>
      </c>
      <c r="T62" s="66">
        <f t="shared" ca="1" si="24"/>
        <v>0.12052092163637736</v>
      </c>
      <c r="U62" s="66">
        <f t="shared" ca="1" si="24"/>
        <v>0.10687286219484383</v>
      </c>
      <c r="V62" s="66">
        <f t="shared" ca="1" si="24"/>
        <v>0.3171487198447176</v>
      </c>
      <c r="W62" s="66">
        <f t="shared" ca="1" si="24"/>
        <v>0.29303385631709333</v>
      </c>
      <c r="X62" s="66">
        <f t="shared" ca="1" si="24"/>
        <v>-0.34225581416815559</v>
      </c>
      <c r="Y62" s="66">
        <f t="shared" ca="1" si="24"/>
        <v>0.13110227742992026</v>
      </c>
      <c r="Z62" s="66">
        <f t="shared" ca="1" si="24"/>
        <v>0.24333288755181362</v>
      </c>
      <c r="AA62" s="66">
        <f t="shared" ca="1" si="24"/>
        <v>0.35430825743471051</v>
      </c>
      <c r="AB62" s="66">
        <f t="shared" ca="1" si="24"/>
        <v>-0.4200315661675435</v>
      </c>
      <c r="AC62" s="66">
        <f t="shared" ca="1" si="24"/>
        <v>0.11219851887510965</v>
      </c>
      <c r="AD62" s="66">
        <f ca="1">IF(AD$7=0,0,AD59/AD$7)</f>
        <v>0.32573604412289697</v>
      </c>
      <c r="AE62" s="66">
        <f t="shared" ca="1" si="24"/>
        <v>0.36093596533461719</v>
      </c>
      <c r="AF62" s="66">
        <f t="shared" ca="1" si="24"/>
        <v>0.36886029649931484</v>
      </c>
      <c r="AG62" s="66">
        <f t="shared" ca="1" si="24"/>
        <v>-0.30482033475752468</v>
      </c>
      <c r="AH62" s="66">
        <f t="shared" ca="1" si="24"/>
        <v>7.3259154633769114E-2</v>
      </c>
      <c r="AI62" s="66">
        <f t="shared" ca="1" si="24"/>
        <v>0.35584817766042715</v>
      </c>
      <c r="AJ62" s="66">
        <f t="shared" ca="1" si="24"/>
        <v>0.23652776947450235</v>
      </c>
      <c r="AK62" s="66">
        <f t="shared" ca="1" si="24"/>
        <v>-0.33598500950698229</v>
      </c>
      <c r="AL62" s="66">
        <f t="shared" ca="1" si="24"/>
        <v>0.12760107859719896</v>
      </c>
      <c r="AM62" s="66">
        <f t="shared" ca="1" si="24"/>
        <v>0.34684860517239346</v>
      </c>
      <c r="AN62" s="66">
        <f t="shared" ca="1" si="24"/>
        <v>0.33788697788697825</v>
      </c>
      <c r="AO62" s="66">
        <f t="shared" ca="1" si="24"/>
        <v>-0.33739271255060738</v>
      </c>
      <c r="AP62" s="66">
        <f t="shared" ref="AP62:BF62" ca="1" si="25">IF(AP$7=0,0,AP59/AP$7)</f>
        <v>0.25601755950554334</v>
      </c>
      <c r="AQ62" s="66">
        <f t="shared" ca="1" si="25"/>
        <v>0.15789910693632342</v>
      </c>
      <c r="AR62" s="66">
        <f t="shared" ca="1" si="25"/>
        <v>0.1827431289640592</v>
      </c>
      <c r="AS62" s="66">
        <f t="shared" ca="1" si="25"/>
        <v>-0.54038943252416571</v>
      </c>
      <c r="AT62" s="66">
        <f t="shared" ca="1" si="25"/>
        <v>-8.4192622023219366E-2</v>
      </c>
      <c r="AU62" s="66">
        <f t="shared" ca="1" si="25"/>
        <v>-4.7828422592300003E-2</v>
      </c>
      <c r="AV62" s="66">
        <f t="shared" ca="1" si="25"/>
        <v>0.31978142539449217</v>
      </c>
      <c r="AW62" s="66">
        <f t="shared" ca="1" si="25"/>
        <v>0.35293774290675778</v>
      </c>
      <c r="AX62" s="66">
        <f t="shared" ca="1" si="25"/>
        <v>-0.35592890991377518</v>
      </c>
      <c r="AY62" s="66">
        <f t="shared" ca="1" si="25"/>
        <v>0.15658223311182726</v>
      </c>
      <c r="AZ62" s="66">
        <f t="shared" ca="1" si="25"/>
        <v>0.31358182871367141</v>
      </c>
      <c r="BA62" s="66">
        <f t="shared" ca="1" si="25"/>
        <v>0.24743578236909672</v>
      </c>
      <c r="BB62" s="66">
        <f t="shared" ca="1" si="25"/>
        <v>-0.38934754614394068</v>
      </c>
      <c r="BC62" s="67">
        <f ca="1">IF(BC$7=0,0,BC59/BC$7)</f>
        <v>5.1991436713813295E-2</v>
      </c>
      <c r="BD62" s="67">
        <f ca="1">IF(BD$7=0,0,BD59/BD$7)</f>
        <v>9.7686092175480896E-2</v>
      </c>
      <c r="BE62" s="67">
        <f ca="1">IF(BE$7=0,0,BE59/BE$7)</f>
        <v>0.12503338074871928</v>
      </c>
      <c r="BF62" s="67">
        <f t="shared" ca="1" si="25"/>
        <v>6.0434756011365685E-2</v>
      </c>
      <c r="BG62" s="67">
        <f ca="1">IF(BG$7=0,0,BG59/BG$7)</f>
        <v>8.5763775490719257E-2</v>
      </c>
    </row>
    <row r="63" spans="1:59" ht="16.149999999999999" customHeight="1" x14ac:dyDescent="0.3">
      <c r="C63" s="68"/>
      <c r="D63" s="68"/>
      <c r="E63" s="68"/>
      <c r="F63" s="68"/>
      <c r="G63" s="68"/>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70"/>
      <c r="BD63" s="70"/>
      <c r="BE63" s="70"/>
      <c r="BF63" s="70"/>
      <c r="BG63" s="70"/>
    </row>
    <row r="65" spans="3:54" ht="16.149999999999999" customHeight="1" x14ac:dyDescent="0.3">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1"/>
      <c r="AY65" s="71"/>
      <c r="AZ65" s="71"/>
      <c r="BA65" s="71"/>
      <c r="BB65" s="71"/>
    </row>
    <row r="70" spans="3:54" ht="16.149999999999999" customHeight="1" x14ac:dyDescent="0.3">
      <c r="C70" s="5"/>
      <c r="D70" s="5"/>
      <c r="E70" s="5"/>
      <c r="F70" s="5"/>
      <c r="G70" s="5"/>
    </row>
    <row r="71" spans="3:54" ht="16.149999999999999" customHeight="1" x14ac:dyDescent="0.3">
      <c r="C71" s="5"/>
      <c r="D71" s="5"/>
      <c r="E71" s="5"/>
      <c r="F71" s="5"/>
      <c r="G71" s="5"/>
    </row>
    <row r="86" spans="3:7" ht="16.149999999999999" customHeight="1" x14ac:dyDescent="0.3">
      <c r="C86" s="5"/>
      <c r="D86" s="5"/>
      <c r="E86" s="5"/>
      <c r="F86" s="5"/>
      <c r="G86" s="5"/>
    </row>
  </sheetData>
  <phoneticPr fontId="3" type="noConversion"/>
  <pageMargins left="0.59055118110236227" right="0.59055118110236227" top="0.59055118110236227" bottom="0.59055118110236227" header="0.39370078740157483" footer="0.39370078740157483"/>
  <pageSetup paperSize="9" scale="50" fitToWidth="0" orientation="landscape"/>
  <headerFooter alignWithMargins="0">
    <oddFooter>&amp;C&amp;9Page &amp;P of &amp;N</oddFooter>
  </headerFooter>
  <colBreaks count="4" manualBreakCount="4">
    <brk id="15" max="47" man="1"/>
    <brk id="28" max="47" man="1"/>
    <brk id="41" max="47" man="1"/>
    <brk id="54" max="47" man="1"/>
  </colBreaks>
  <ignoredErrors>
    <ignoredError sqref="C60:BB60 BC59:BG59 BC60:BG60" 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BG47"/>
  <sheetViews>
    <sheetView zoomScale="95" zoomScaleNormal="95" workbookViewId="0">
      <pane xSplit="2" ySplit="4" topLeftCell="C5" activePane="bottomRight" state="frozen"/>
      <selection pane="topRight" activeCell="C1" sqref="C1"/>
      <selection pane="bottomLeft" activeCell="A5" sqref="A5"/>
      <selection pane="bottomRight" activeCell="B4" sqref="B4"/>
    </sheetView>
  </sheetViews>
  <sheetFormatPr defaultColWidth="9.140625" defaultRowHeight="16.149999999999999" customHeight="1" x14ac:dyDescent="0.3"/>
  <cols>
    <col min="1" max="1" width="5.7109375" style="168" customWidth="1"/>
    <col min="2" max="2" width="44.7109375" style="5" customWidth="1"/>
    <col min="3" max="54" width="12.7109375" style="71" customWidth="1"/>
    <col min="55" max="59" width="14.7109375" style="72" customWidth="1"/>
    <col min="60" max="16384" width="9.140625" style="5"/>
  </cols>
  <sheetData>
    <row r="1" spans="1:59" ht="16.149999999999999" customHeight="1" x14ac:dyDescent="0.3">
      <c r="B1" s="163" t="str">
        <f>IF(ISBLANK(Assumptions!$C$4),"Example Limited",Assumptions!$C$4)</f>
        <v>Example (Pty) Limited</v>
      </c>
      <c r="C1" s="16"/>
      <c r="D1" s="16"/>
      <c r="E1" s="16"/>
      <c r="F1" s="16"/>
      <c r="G1" s="16"/>
    </row>
    <row r="2" spans="1:59" ht="16.149999999999999" customHeight="1" x14ac:dyDescent="0.3">
      <c r="B2" s="6" t="s">
        <v>59</v>
      </c>
      <c r="C2" s="16"/>
      <c r="D2" s="16"/>
      <c r="E2" s="16"/>
      <c r="F2" s="16"/>
      <c r="G2" s="16"/>
    </row>
    <row r="3" spans="1:59" s="19" customFormat="1" ht="16.149999999999999" customHeight="1" x14ac:dyDescent="0.25">
      <c r="A3" s="169"/>
      <c r="B3" s="73" t="s">
        <v>50</v>
      </c>
      <c r="C3" s="25" t="str">
        <f>IF(COLUMN(C4)-2&lt;=Assumptions!$C$8,"Q1",IF(COLUMN(C4)-2&lt;=SUM(Assumptions!$C$8:$C$9),"Q2",IF(COLUMN(C4)-2&lt;=SUM(Assumptions!$C$8:$C$10),"Q3","Q4")))</f>
        <v>Q1</v>
      </c>
      <c r="D3" s="25" t="str">
        <f>IF(COLUMN(D4)-2&lt;=Assumptions!$C$8,"Q1",IF(COLUMN(D4)-2&lt;=SUM(Assumptions!$C$8:$C$9),"Q2",IF(COLUMN(D4)-2&lt;=SUM(Assumptions!$C$8:$C$10),"Q3","Q4")))</f>
        <v>Q1</v>
      </c>
      <c r="E3" s="25" t="str">
        <f>IF(COLUMN(E4)-2&lt;=Assumptions!$C$8,"Q1",IF(COLUMN(E4)-2&lt;=SUM(Assumptions!$C$8:$C$9),"Q2",IF(COLUMN(E4)-2&lt;=SUM(Assumptions!$C$8:$C$10),"Q3","Q4")))</f>
        <v>Q1</v>
      </c>
      <c r="F3" s="25" t="str">
        <f>IF(COLUMN(F4)-2&lt;=Assumptions!$C$8,"Q1",IF(COLUMN(F4)-2&lt;=SUM(Assumptions!$C$8:$C$9),"Q2",IF(COLUMN(F4)-2&lt;=SUM(Assumptions!$C$8:$C$10),"Q3","Q4")))</f>
        <v>Q1</v>
      </c>
      <c r="G3" s="25" t="str">
        <f>IF(COLUMN(G4)-2&lt;=Assumptions!$C$8,"Q1",IF(COLUMN(G4)-2&lt;=SUM(Assumptions!$C$8:$C$9),"Q2",IF(COLUMN(G4)-2&lt;=SUM(Assumptions!$C$8:$C$10),"Q3","Q4")))</f>
        <v>Q1</v>
      </c>
      <c r="H3" s="25" t="str">
        <f>IF(COLUMN(H4)-2&lt;=Assumptions!$C$8,"Q1",IF(COLUMN(H4)-2&lt;=SUM(Assumptions!$C$8:$C$9),"Q2",IF(COLUMN(H4)-2&lt;=SUM(Assumptions!$C$8:$C$10),"Q3","Q4")))</f>
        <v>Q1</v>
      </c>
      <c r="I3" s="25" t="str">
        <f>IF(COLUMN(I4)-2&lt;=Assumptions!$C$8,"Q1",IF(COLUMN(I4)-2&lt;=SUM(Assumptions!$C$8:$C$9),"Q2",IF(COLUMN(I4)-2&lt;=SUM(Assumptions!$C$8:$C$10),"Q3","Q4")))</f>
        <v>Q1</v>
      </c>
      <c r="J3" s="25" t="str">
        <f>IF(COLUMN(J4)-2&lt;=Assumptions!$C$8,"Q1",IF(COLUMN(J4)-2&lt;=SUM(Assumptions!$C$8:$C$9),"Q2",IF(COLUMN(J4)-2&lt;=SUM(Assumptions!$C$8:$C$10),"Q3","Q4")))</f>
        <v>Q1</v>
      </c>
      <c r="K3" s="25" t="str">
        <f>IF(COLUMN(K4)-2&lt;=Assumptions!$C$8,"Q1",IF(COLUMN(K4)-2&lt;=SUM(Assumptions!$C$8:$C$9),"Q2",IF(COLUMN(K4)-2&lt;=SUM(Assumptions!$C$8:$C$10),"Q3","Q4")))</f>
        <v>Q1</v>
      </c>
      <c r="L3" s="25" t="str">
        <f>IF(COLUMN(L4)-2&lt;=Assumptions!$C$8,"Q1",IF(COLUMN(L4)-2&lt;=SUM(Assumptions!$C$8:$C$9),"Q2",IF(COLUMN(L4)-2&lt;=SUM(Assumptions!$C$8:$C$10),"Q3","Q4")))</f>
        <v>Q1</v>
      </c>
      <c r="M3" s="25" t="str">
        <f>IF(COLUMN(M4)-2&lt;=Assumptions!$C$8,"Q1",IF(COLUMN(M4)-2&lt;=SUM(Assumptions!$C$8:$C$9),"Q2",IF(COLUMN(M4)-2&lt;=SUM(Assumptions!$C$8:$C$10),"Q3","Q4")))</f>
        <v>Q1</v>
      </c>
      <c r="N3" s="25" t="str">
        <f>IF(COLUMN(N4)-2&lt;=Assumptions!$C$8,"Q1",IF(COLUMN(N4)-2&lt;=SUM(Assumptions!$C$8:$C$9),"Q2",IF(COLUMN(N4)-2&lt;=SUM(Assumptions!$C$8:$C$10),"Q3","Q4")))</f>
        <v>Q1</v>
      </c>
      <c r="O3" s="25" t="str">
        <f>IF(COLUMN(O4)-2&lt;=Assumptions!$C$8,"Q1",IF(COLUMN(O4)-2&lt;=SUM(Assumptions!$C$8:$C$9),"Q2",IF(COLUMN(O4)-2&lt;=SUM(Assumptions!$C$8:$C$10),"Q3","Q4")))</f>
        <v>Q1</v>
      </c>
      <c r="P3" s="25" t="str">
        <f>IF(COLUMN(P4)-2&lt;=Assumptions!$C$8,"Q1",IF(COLUMN(P4)-2&lt;=SUM(Assumptions!$C$8:$C$9),"Q2",IF(COLUMN(P4)-2&lt;=SUM(Assumptions!$C$8:$C$10),"Q3","Q4")))</f>
        <v>Q2</v>
      </c>
      <c r="Q3" s="25" t="str">
        <f>IF(COLUMN(Q4)-2&lt;=Assumptions!$C$8,"Q1",IF(COLUMN(Q4)-2&lt;=SUM(Assumptions!$C$8:$C$9),"Q2",IF(COLUMN(Q4)-2&lt;=SUM(Assumptions!$C$8:$C$10),"Q3","Q4")))</f>
        <v>Q2</v>
      </c>
      <c r="R3" s="25" t="str">
        <f>IF(COLUMN(R4)-2&lt;=Assumptions!$C$8,"Q1",IF(COLUMN(R4)-2&lt;=SUM(Assumptions!$C$8:$C$9),"Q2",IF(COLUMN(R4)-2&lt;=SUM(Assumptions!$C$8:$C$10),"Q3","Q4")))</f>
        <v>Q2</v>
      </c>
      <c r="S3" s="25" t="str">
        <f>IF(COLUMN(S4)-2&lt;=Assumptions!$C$8,"Q1",IF(COLUMN(S4)-2&lt;=SUM(Assumptions!$C$8:$C$9),"Q2",IF(COLUMN(S4)-2&lt;=SUM(Assumptions!$C$8:$C$10),"Q3","Q4")))</f>
        <v>Q2</v>
      </c>
      <c r="T3" s="25" t="str">
        <f>IF(COLUMN(T4)-2&lt;=Assumptions!$C$8,"Q1",IF(COLUMN(T4)-2&lt;=SUM(Assumptions!$C$8:$C$9),"Q2",IF(COLUMN(T4)-2&lt;=SUM(Assumptions!$C$8:$C$10),"Q3","Q4")))</f>
        <v>Q2</v>
      </c>
      <c r="U3" s="25" t="str">
        <f>IF(COLUMN(U4)-2&lt;=Assumptions!$C$8,"Q1",IF(COLUMN(U4)-2&lt;=SUM(Assumptions!$C$8:$C$9),"Q2",IF(COLUMN(U4)-2&lt;=SUM(Assumptions!$C$8:$C$10),"Q3","Q4")))</f>
        <v>Q2</v>
      </c>
      <c r="V3" s="25" t="str">
        <f>IF(COLUMN(V4)-2&lt;=Assumptions!$C$8,"Q1",IF(COLUMN(V4)-2&lt;=SUM(Assumptions!$C$8:$C$9),"Q2",IF(COLUMN(V4)-2&lt;=SUM(Assumptions!$C$8:$C$10),"Q3","Q4")))</f>
        <v>Q2</v>
      </c>
      <c r="W3" s="25" t="str">
        <f>IF(COLUMN(W4)-2&lt;=Assumptions!$C$8,"Q1",IF(COLUMN(W4)-2&lt;=SUM(Assumptions!$C$8:$C$9),"Q2",IF(COLUMN(W4)-2&lt;=SUM(Assumptions!$C$8:$C$10),"Q3","Q4")))</f>
        <v>Q2</v>
      </c>
      <c r="X3" s="25" t="str">
        <f>IF(COLUMN(X4)-2&lt;=Assumptions!$C$8,"Q1",IF(COLUMN(X4)-2&lt;=SUM(Assumptions!$C$8:$C$9),"Q2",IF(COLUMN(X4)-2&lt;=SUM(Assumptions!$C$8:$C$10),"Q3","Q4")))</f>
        <v>Q2</v>
      </c>
      <c r="Y3" s="25" t="str">
        <f>IF(COLUMN(Y4)-2&lt;=Assumptions!$C$8,"Q1",IF(COLUMN(Y4)-2&lt;=SUM(Assumptions!$C$8:$C$9),"Q2",IF(COLUMN(Y4)-2&lt;=SUM(Assumptions!$C$8:$C$10),"Q3","Q4")))</f>
        <v>Q2</v>
      </c>
      <c r="Z3" s="25" t="str">
        <f>IF(COLUMN(Z4)-2&lt;=Assumptions!$C$8,"Q1",IF(COLUMN(Z4)-2&lt;=SUM(Assumptions!$C$8:$C$9),"Q2",IF(COLUMN(Z4)-2&lt;=SUM(Assumptions!$C$8:$C$10),"Q3","Q4")))</f>
        <v>Q2</v>
      </c>
      <c r="AA3" s="25" t="str">
        <f>IF(COLUMN(AA4)-2&lt;=Assumptions!$C$8,"Q1",IF(COLUMN(AA4)-2&lt;=SUM(Assumptions!$C$8:$C$9),"Q2",IF(COLUMN(AA4)-2&lt;=SUM(Assumptions!$C$8:$C$10),"Q3","Q4")))</f>
        <v>Q2</v>
      </c>
      <c r="AB3" s="25" t="str">
        <f>IF(COLUMN(AB4)-2&lt;=Assumptions!$C$8,"Q1",IF(COLUMN(AB4)-2&lt;=SUM(Assumptions!$C$8:$C$9),"Q2",IF(COLUMN(AB4)-2&lt;=SUM(Assumptions!$C$8:$C$10),"Q3","Q4")))</f>
        <v>Q2</v>
      </c>
      <c r="AC3" s="25" t="str">
        <f>IF(COLUMN(AC4)-2&lt;=Assumptions!$C$8,"Q1",IF(COLUMN(AC4)-2&lt;=SUM(Assumptions!$C$8:$C$9),"Q2",IF(COLUMN(AC4)-2&lt;=SUM(Assumptions!$C$8:$C$10),"Q3","Q4")))</f>
        <v>Q3</v>
      </c>
      <c r="AD3" s="25" t="str">
        <f>IF(COLUMN(AD4)-2&lt;=Assumptions!$C$8,"Q1",IF(COLUMN(AD4)-2&lt;=SUM(Assumptions!$C$8:$C$9),"Q2",IF(COLUMN(AD4)-2&lt;=SUM(Assumptions!$C$8:$C$10),"Q3","Q4")))</f>
        <v>Q3</v>
      </c>
      <c r="AE3" s="25" t="str">
        <f>IF(COLUMN(AE4)-2&lt;=Assumptions!$C$8,"Q1",IF(COLUMN(AE4)-2&lt;=SUM(Assumptions!$C$8:$C$9),"Q2",IF(COLUMN(AE4)-2&lt;=SUM(Assumptions!$C$8:$C$10),"Q3","Q4")))</f>
        <v>Q3</v>
      </c>
      <c r="AF3" s="25" t="str">
        <f>IF(COLUMN(AF4)-2&lt;=Assumptions!$C$8,"Q1",IF(COLUMN(AF4)-2&lt;=SUM(Assumptions!$C$8:$C$9),"Q2",IF(COLUMN(AF4)-2&lt;=SUM(Assumptions!$C$8:$C$10),"Q3","Q4")))</f>
        <v>Q3</v>
      </c>
      <c r="AG3" s="25" t="str">
        <f>IF(COLUMN(AG4)-2&lt;=Assumptions!$C$8,"Q1",IF(COLUMN(AG4)-2&lt;=SUM(Assumptions!$C$8:$C$9),"Q2",IF(COLUMN(AG4)-2&lt;=SUM(Assumptions!$C$8:$C$10),"Q3","Q4")))</f>
        <v>Q3</v>
      </c>
      <c r="AH3" s="25" t="str">
        <f>IF(COLUMN(AH4)-2&lt;=Assumptions!$C$8,"Q1",IF(COLUMN(AH4)-2&lt;=SUM(Assumptions!$C$8:$C$9),"Q2",IF(COLUMN(AH4)-2&lt;=SUM(Assumptions!$C$8:$C$10),"Q3","Q4")))</f>
        <v>Q3</v>
      </c>
      <c r="AI3" s="25" t="str">
        <f>IF(COLUMN(AI4)-2&lt;=Assumptions!$C$8,"Q1",IF(COLUMN(AI4)-2&lt;=SUM(Assumptions!$C$8:$C$9),"Q2",IF(COLUMN(AI4)-2&lt;=SUM(Assumptions!$C$8:$C$10),"Q3","Q4")))</f>
        <v>Q3</v>
      </c>
      <c r="AJ3" s="25" t="str">
        <f>IF(COLUMN(AJ4)-2&lt;=Assumptions!$C$8,"Q1",IF(COLUMN(AJ4)-2&lt;=SUM(Assumptions!$C$8:$C$9),"Q2",IF(COLUMN(AJ4)-2&lt;=SUM(Assumptions!$C$8:$C$10),"Q3","Q4")))</f>
        <v>Q3</v>
      </c>
      <c r="AK3" s="25" t="str">
        <f>IF(COLUMN(AK4)-2&lt;=Assumptions!$C$8,"Q1",IF(COLUMN(AK4)-2&lt;=SUM(Assumptions!$C$8:$C$9),"Q2",IF(COLUMN(AK4)-2&lt;=SUM(Assumptions!$C$8:$C$10),"Q3","Q4")))</f>
        <v>Q3</v>
      </c>
      <c r="AL3" s="25" t="str">
        <f>IF(COLUMN(AL4)-2&lt;=Assumptions!$C$8,"Q1",IF(COLUMN(AL4)-2&lt;=SUM(Assumptions!$C$8:$C$9),"Q2",IF(COLUMN(AL4)-2&lt;=SUM(Assumptions!$C$8:$C$10),"Q3","Q4")))</f>
        <v>Q3</v>
      </c>
      <c r="AM3" s="25" t="str">
        <f>IF(COLUMN(AM4)-2&lt;=Assumptions!$C$8,"Q1",IF(COLUMN(AM4)-2&lt;=SUM(Assumptions!$C$8:$C$9),"Q2",IF(COLUMN(AM4)-2&lt;=SUM(Assumptions!$C$8:$C$10),"Q3","Q4")))</f>
        <v>Q3</v>
      </c>
      <c r="AN3" s="25" t="str">
        <f>IF(COLUMN(AN4)-2&lt;=Assumptions!$C$8,"Q1",IF(COLUMN(AN4)-2&lt;=SUM(Assumptions!$C$8:$C$9),"Q2",IF(COLUMN(AN4)-2&lt;=SUM(Assumptions!$C$8:$C$10),"Q3","Q4")))</f>
        <v>Q3</v>
      </c>
      <c r="AO3" s="25" t="str">
        <f>IF(COLUMN(AO4)-2&lt;=Assumptions!$C$8,"Q1",IF(COLUMN(AO4)-2&lt;=SUM(Assumptions!$C$8:$C$9),"Q2",IF(COLUMN(AO4)-2&lt;=SUM(Assumptions!$C$8:$C$10),"Q3","Q4")))</f>
        <v>Q3</v>
      </c>
      <c r="AP3" s="25" t="str">
        <f>IF(COLUMN(AP4)-2&lt;=Assumptions!$C$8,"Q1",IF(COLUMN(AP4)-2&lt;=SUM(Assumptions!$C$8:$C$9),"Q2",IF(COLUMN(AP4)-2&lt;=SUM(Assumptions!$C$8:$C$10),"Q3","Q4")))</f>
        <v>Q4</v>
      </c>
      <c r="AQ3" s="25" t="str">
        <f>IF(COLUMN(AQ4)-2&lt;=Assumptions!$C$8,"Q1",IF(COLUMN(AQ4)-2&lt;=SUM(Assumptions!$C$8:$C$9),"Q2",IF(COLUMN(AQ4)-2&lt;=SUM(Assumptions!$C$8:$C$10),"Q3","Q4")))</f>
        <v>Q4</v>
      </c>
      <c r="AR3" s="25" t="str">
        <f>IF(COLUMN(AR4)-2&lt;=Assumptions!$C$8,"Q1",IF(COLUMN(AR4)-2&lt;=SUM(Assumptions!$C$8:$C$9),"Q2",IF(COLUMN(AR4)-2&lt;=SUM(Assumptions!$C$8:$C$10),"Q3","Q4")))</f>
        <v>Q4</v>
      </c>
      <c r="AS3" s="25" t="str">
        <f>IF(COLUMN(AS4)-2&lt;=Assumptions!$C$8,"Q1",IF(COLUMN(AS4)-2&lt;=SUM(Assumptions!$C$8:$C$9),"Q2",IF(COLUMN(AS4)-2&lt;=SUM(Assumptions!$C$8:$C$10),"Q3","Q4")))</f>
        <v>Q4</v>
      </c>
      <c r="AT3" s="25" t="str">
        <f>IF(COLUMN(AT4)-2&lt;=Assumptions!$C$8,"Q1",IF(COLUMN(AT4)-2&lt;=SUM(Assumptions!$C$8:$C$9),"Q2",IF(COLUMN(AT4)-2&lt;=SUM(Assumptions!$C$8:$C$10),"Q3","Q4")))</f>
        <v>Q4</v>
      </c>
      <c r="AU3" s="25" t="str">
        <f>IF(COLUMN(AU4)-2&lt;=Assumptions!$C$8,"Q1",IF(COLUMN(AU4)-2&lt;=SUM(Assumptions!$C$8:$C$9),"Q2",IF(COLUMN(AU4)-2&lt;=SUM(Assumptions!$C$8:$C$10),"Q3","Q4")))</f>
        <v>Q4</v>
      </c>
      <c r="AV3" s="25" t="str">
        <f>IF(COLUMN(AV4)-2&lt;=Assumptions!$C$8,"Q1",IF(COLUMN(AV4)-2&lt;=SUM(Assumptions!$C$8:$C$9),"Q2",IF(COLUMN(AV4)-2&lt;=SUM(Assumptions!$C$8:$C$10),"Q3","Q4")))</f>
        <v>Q4</v>
      </c>
      <c r="AW3" s="25" t="str">
        <f>IF(COLUMN(AW4)-2&lt;=Assumptions!$C$8,"Q1",IF(COLUMN(AW4)-2&lt;=SUM(Assumptions!$C$8:$C$9),"Q2",IF(COLUMN(AW4)-2&lt;=SUM(Assumptions!$C$8:$C$10),"Q3","Q4")))</f>
        <v>Q4</v>
      </c>
      <c r="AX3" s="25" t="str">
        <f>IF(COLUMN(AX4)-2&lt;=Assumptions!$C$8,"Q1",IF(COLUMN(AX4)-2&lt;=SUM(Assumptions!$C$8:$C$9),"Q2",IF(COLUMN(AX4)-2&lt;=SUM(Assumptions!$C$8:$C$10),"Q3","Q4")))</f>
        <v>Q4</v>
      </c>
      <c r="AY3" s="25" t="str">
        <f>IF(COLUMN(AY4)-2&lt;=Assumptions!$C$8,"Q1",IF(COLUMN(AY4)-2&lt;=SUM(Assumptions!$C$8:$C$9),"Q2",IF(COLUMN(AY4)-2&lt;=SUM(Assumptions!$C$8:$C$10),"Q3","Q4")))</f>
        <v>Q4</v>
      </c>
      <c r="AZ3" s="25" t="str">
        <f>IF(COLUMN(AZ4)-2&lt;=Assumptions!$C$8,"Q1",IF(COLUMN(AZ4)-2&lt;=SUM(Assumptions!$C$8:$C$9),"Q2",IF(COLUMN(AZ4)-2&lt;=SUM(Assumptions!$C$8:$C$10),"Q3","Q4")))</f>
        <v>Q4</v>
      </c>
      <c r="BA3" s="25" t="str">
        <f>IF(COLUMN(BA4)-2&lt;=Assumptions!$C$8,"Q1",IF(COLUMN(BA4)-2&lt;=SUM(Assumptions!$C$8:$C$9),"Q2",IF(COLUMN(BA4)-2&lt;=SUM(Assumptions!$C$8:$C$10),"Q3","Q4")))</f>
        <v>Q4</v>
      </c>
      <c r="BB3" s="25" t="str">
        <f>IF(COLUMN(BB4)-2&lt;=Assumptions!$C$8,"Q1",IF(COLUMN(BB4)-2&lt;=SUM(Assumptions!$C$8:$C$9),"Q2",IF(COLUMN(BB4)-2&lt;=SUM(Assumptions!$C$8:$C$10),"Q3","Q4")))</f>
        <v>Q4</v>
      </c>
      <c r="BC3" s="39" t="s">
        <v>93</v>
      </c>
      <c r="BD3" s="39" t="s">
        <v>94</v>
      </c>
      <c r="BE3" s="39" t="s">
        <v>95</v>
      </c>
      <c r="BF3" s="39" t="s">
        <v>96</v>
      </c>
      <c r="BG3" s="74"/>
    </row>
    <row r="4" spans="1:59" s="45" customFormat="1" ht="18" customHeight="1" x14ac:dyDescent="0.25">
      <c r="A4" s="170"/>
      <c r="B4" s="42"/>
      <c r="C4" s="43">
        <f ca="1">IF(ISBLANK(Assumptions!$C$5)=TRUE,DATE(YEAR(TODAY()),MONTH(TODAY()),7),DATE(YEAR(Assumptions!$C$5),MONTH(Assumptions!$C$5),DAY(Assumptions!$C$5)+6))</f>
        <v>44262</v>
      </c>
      <c r="D4" s="43">
        <f t="shared" ref="D4:BB4" ca="1" si="0">DATE(YEAR(OFFSET(D3,1,-1,1,1)),MONTH(OFFSET(D3,1,-1,1,1)),DAY(OFFSET(D3,1,-1,1,1))+7)</f>
        <v>44269</v>
      </c>
      <c r="E4" s="43">
        <f t="shared" ca="1" si="0"/>
        <v>44276</v>
      </c>
      <c r="F4" s="43">
        <f t="shared" ca="1" si="0"/>
        <v>44283</v>
      </c>
      <c r="G4" s="43">
        <f t="shared" ca="1" si="0"/>
        <v>44290</v>
      </c>
      <c r="H4" s="43">
        <f t="shared" ca="1" si="0"/>
        <v>44297</v>
      </c>
      <c r="I4" s="43">
        <f t="shared" ca="1" si="0"/>
        <v>44304</v>
      </c>
      <c r="J4" s="43">
        <f t="shared" ca="1" si="0"/>
        <v>44311</v>
      </c>
      <c r="K4" s="43">
        <f t="shared" ca="1" si="0"/>
        <v>44318</v>
      </c>
      <c r="L4" s="43">
        <f t="shared" ca="1" si="0"/>
        <v>44325</v>
      </c>
      <c r="M4" s="43">
        <f t="shared" ca="1" si="0"/>
        <v>44332</v>
      </c>
      <c r="N4" s="43">
        <f t="shared" ca="1" si="0"/>
        <v>44339</v>
      </c>
      <c r="O4" s="43">
        <f t="shared" ca="1" si="0"/>
        <v>44346</v>
      </c>
      <c r="P4" s="43">
        <f t="shared" ca="1" si="0"/>
        <v>44353</v>
      </c>
      <c r="Q4" s="43">
        <f t="shared" ca="1" si="0"/>
        <v>44360</v>
      </c>
      <c r="R4" s="43">
        <f t="shared" ca="1" si="0"/>
        <v>44367</v>
      </c>
      <c r="S4" s="43">
        <f t="shared" ca="1" si="0"/>
        <v>44374</v>
      </c>
      <c r="T4" s="43">
        <f t="shared" ca="1" si="0"/>
        <v>44381</v>
      </c>
      <c r="U4" s="43">
        <f t="shared" ca="1" si="0"/>
        <v>44388</v>
      </c>
      <c r="V4" s="43">
        <f t="shared" ca="1" si="0"/>
        <v>44395</v>
      </c>
      <c r="W4" s="43">
        <f t="shared" ca="1" si="0"/>
        <v>44402</v>
      </c>
      <c r="X4" s="43">
        <f t="shared" ca="1" si="0"/>
        <v>44409</v>
      </c>
      <c r="Y4" s="43">
        <f t="shared" ca="1" si="0"/>
        <v>44416</v>
      </c>
      <c r="Z4" s="43">
        <f t="shared" ca="1" si="0"/>
        <v>44423</v>
      </c>
      <c r="AA4" s="43">
        <f t="shared" ca="1" si="0"/>
        <v>44430</v>
      </c>
      <c r="AB4" s="43">
        <f t="shared" ca="1" si="0"/>
        <v>44437</v>
      </c>
      <c r="AC4" s="43">
        <f t="shared" ca="1" si="0"/>
        <v>44444</v>
      </c>
      <c r="AD4" s="43">
        <f t="shared" ca="1" si="0"/>
        <v>44451</v>
      </c>
      <c r="AE4" s="43">
        <f t="shared" ca="1" si="0"/>
        <v>44458</v>
      </c>
      <c r="AF4" s="43">
        <f t="shared" ca="1" si="0"/>
        <v>44465</v>
      </c>
      <c r="AG4" s="43">
        <f t="shared" ca="1" si="0"/>
        <v>44472</v>
      </c>
      <c r="AH4" s="43">
        <f t="shared" ca="1" si="0"/>
        <v>44479</v>
      </c>
      <c r="AI4" s="43">
        <f t="shared" ca="1" si="0"/>
        <v>44486</v>
      </c>
      <c r="AJ4" s="43">
        <f t="shared" ca="1" si="0"/>
        <v>44493</v>
      </c>
      <c r="AK4" s="43">
        <f t="shared" ca="1" si="0"/>
        <v>44500</v>
      </c>
      <c r="AL4" s="43">
        <f t="shared" ca="1" si="0"/>
        <v>44507</v>
      </c>
      <c r="AM4" s="43">
        <f t="shared" ca="1" si="0"/>
        <v>44514</v>
      </c>
      <c r="AN4" s="43">
        <f t="shared" ca="1" si="0"/>
        <v>44521</v>
      </c>
      <c r="AO4" s="43">
        <f t="shared" ca="1" si="0"/>
        <v>44528</v>
      </c>
      <c r="AP4" s="43">
        <f t="shared" ca="1" si="0"/>
        <v>44535</v>
      </c>
      <c r="AQ4" s="43">
        <f t="shared" ca="1" si="0"/>
        <v>44542</v>
      </c>
      <c r="AR4" s="43">
        <f t="shared" ca="1" si="0"/>
        <v>44549</v>
      </c>
      <c r="AS4" s="43">
        <f t="shared" ca="1" si="0"/>
        <v>44556</v>
      </c>
      <c r="AT4" s="43">
        <f t="shared" ca="1" si="0"/>
        <v>44563</v>
      </c>
      <c r="AU4" s="43">
        <f t="shared" ca="1" si="0"/>
        <v>44570</v>
      </c>
      <c r="AV4" s="43">
        <f t="shared" ca="1" si="0"/>
        <v>44577</v>
      </c>
      <c r="AW4" s="43">
        <f t="shared" ca="1" si="0"/>
        <v>44584</v>
      </c>
      <c r="AX4" s="43">
        <f t="shared" ca="1" si="0"/>
        <v>44591</v>
      </c>
      <c r="AY4" s="43">
        <f t="shared" ca="1" si="0"/>
        <v>44598</v>
      </c>
      <c r="AZ4" s="43">
        <f t="shared" ca="1" si="0"/>
        <v>44605</v>
      </c>
      <c r="BA4" s="43">
        <f t="shared" ca="1" si="0"/>
        <v>44612</v>
      </c>
      <c r="BB4" s="43">
        <f t="shared" ca="1" si="0"/>
        <v>44619</v>
      </c>
      <c r="BC4" s="44" t="s">
        <v>79</v>
      </c>
      <c r="BD4" s="44" t="s">
        <v>80</v>
      </c>
      <c r="BE4" s="44" t="s">
        <v>81</v>
      </c>
      <c r="BF4" s="44" t="s">
        <v>82</v>
      </c>
      <c r="BG4" s="44" t="str">
        <f ca="1">"Total "&amp;YEAR(OFFSET($BC$4,0,-1,1,1))</f>
        <v>Total 2022</v>
      </c>
    </row>
    <row r="5" spans="1:59" ht="16.149999999999999" customHeight="1" x14ac:dyDescent="0.3">
      <c r="B5" s="10" t="s">
        <v>61</v>
      </c>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6"/>
      <c r="BD5" s="76"/>
      <c r="BE5" s="76"/>
      <c r="BF5" s="76"/>
      <c r="BG5" s="76"/>
    </row>
    <row r="6" spans="1:59" s="16" customFormat="1" ht="16.149999999999999" customHeight="1" x14ac:dyDescent="0.3">
      <c r="A6" s="172"/>
      <c r="B6" s="55" t="s">
        <v>56</v>
      </c>
      <c r="C6" s="51">
        <f ca="1">OFFSET(IncState!$B$59,0,COLUMN(C$4)-COLUMN($B$4),1,1)</f>
        <v>4824.0000000000009</v>
      </c>
      <c r="D6" s="51">
        <f ca="1">OFFSET(IncState!$B$59,0,COLUMN(D$4)-COLUMN($B$4),1,1)</f>
        <v>21348.107999999997</v>
      </c>
      <c r="E6" s="51">
        <f ca="1">OFFSET(IncState!$B$59,0,COLUMN(E$4)-COLUMN($B$4),1,1)</f>
        <v>26544</v>
      </c>
      <c r="F6" s="51">
        <f ca="1">OFFSET(IncState!$B$59,0,COLUMN(F$4)-COLUMN($B$4),1,1)</f>
        <v>-18955.200000000004</v>
      </c>
      <c r="G6" s="51">
        <f ca="1">OFFSET(IncState!$B$59,0,COLUMN(G$4)-COLUMN($B$4),1,1)</f>
        <v>7940.0399999999991</v>
      </c>
      <c r="H6" s="51">
        <f ca="1">OFFSET(IncState!$B$59,0,COLUMN(H$4)-COLUMN($B$4),1,1)</f>
        <v>192.8171770014942</v>
      </c>
      <c r="I6" s="51">
        <f ca="1">OFFSET(IncState!$B$59,0,COLUMN(I$4)-COLUMN($B$4),1,1)</f>
        <v>15641.639999999996</v>
      </c>
      <c r="J6" s="51">
        <f ca="1">OFFSET(IncState!$B$59,0,COLUMN(J$4)-COLUMN($B$4),1,1)</f>
        <v>30725.999999999996</v>
      </c>
      <c r="K6" s="51">
        <f ca="1">OFFSET(IncState!$B$59,0,COLUMN(K$4)-COLUMN($B$4),1,1)</f>
        <v>-43676.575514054814</v>
      </c>
      <c r="L6" s="51">
        <f ca="1">OFFSET(IncState!$B$59,0,COLUMN(L$4)-COLUMN($B$4),1,1)</f>
        <v>4100.9319179407048</v>
      </c>
      <c r="M6" s="51">
        <f ca="1">OFFSET(IncState!$B$59,0,COLUMN(M$4)-COLUMN($B$4),1,1)</f>
        <v>30591.489648296676</v>
      </c>
      <c r="N6" s="51">
        <f ca="1">OFFSET(IncState!$B$59,0,COLUMN(N$4)-COLUMN($B$4),1,1)</f>
        <v>34357.440000000002</v>
      </c>
      <c r="O6" s="51">
        <f ca="1">OFFSET(IncState!$B$59,0,COLUMN(O$4)-COLUMN($B$4),1,1)</f>
        <v>-54349.999756030462</v>
      </c>
      <c r="P6" s="51">
        <f ca="1">OFFSET(IncState!$B$59,0,COLUMN(P$4)-COLUMN($B$4),1,1)</f>
        <v>14459.455494791509</v>
      </c>
      <c r="Q6" s="51">
        <f ca="1">OFFSET(IncState!$B$59,0,COLUMN(Q$4)-COLUMN($B$4),1,1)</f>
        <v>28447.704709375943</v>
      </c>
      <c r="R6" s="51">
        <f ca="1">OFFSET(IncState!$B$59,0,COLUMN(R$4)-COLUMN($B$4),1,1)</f>
        <v>30200.639999999999</v>
      </c>
      <c r="S6" s="51">
        <f ca="1">OFFSET(IncState!$B$59,0,COLUMN(S$4)-COLUMN($B$4),1,1)</f>
        <v>-24341.4</v>
      </c>
      <c r="T6" s="51">
        <f ca="1">OFFSET(IncState!$B$59,0,COLUMN(T$4)-COLUMN($B$4),1,1)</f>
        <v>12088.248440128649</v>
      </c>
      <c r="U6" s="51">
        <f ca="1">OFFSET(IncState!$B$59,0,COLUMN(U$4)-COLUMN($B$4),1,1)</f>
        <v>10785.520191985144</v>
      </c>
      <c r="V6" s="51">
        <f ca="1">OFFSET(IncState!$B$59,0,COLUMN(V$4)-COLUMN($B$4),1,1)</f>
        <v>28593.599999999999</v>
      </c>
      <c r="W6" s="51">
        <f ca="1">OFFSET(IncState!$B$59,0,COLUMN(W$4)-COLUMN($B$4),1,1)</f>
        <v>26614.800000000003</v>
      </c>
      <c r="X6" s="51">
        <f ca="1">OFFSET(IncState!$B$59,0,COLUMN(X$4)-COLUMN($B$4),1,1)</f>
        <v>-34838.789750533506</v>
      </c>
      <c r="Y6" s="51">
        <f ca="1">OFFSET(IncState!$B$59,0,COLUMN(Y$4)-COLUMN($B$4),1,1)</f>
        <v>12776.790950728595</v>
      </c>
      <c r="Z6" s="51">
        <f ca="1">OFFSET(IncState!$B$59,0,COLUMN(Z$4)-COLUMN($B$4),1,1)</f>
        <v>24884.437745486219</v>
      </c>
      <c r="AA6" s="51">
        <f ca="1">OFFSET(IncState!$B$59,0,COLUMN(AA$4)-COLUMN($B$4),1,1)</f>
        <v>35205.840000000011</v>
      </c>
      <c r="AB6" s="51">
        <f ca="1">OFFSET(IncState!$B$59,0,COLUMN(AB$4)-COLUMN($B$4),1,1)</f>
        <v>-41515.919999999998</v>
      </c>
      <c r="AC6" s="51">
        <f ca="1">OFFSET(IncState!$B$59,0,COLUMN(AC$4)-COLUMN($B$4),1,1)</f>
        <v>11440.134979569099</v>
      </c>
      <c r="AD6" s="51">
        <f ca="1">OFFSET(IncState!$B$59,0,COLUMN(AD$4)-COLUMN($B$4),1,1)</f>
        <v>33264.164825830238</v>
      </c>
      <c r="AE6" s="51">
        <f ca="1">OFFSET(IncState!$B$59,0,COLUMN(AE$4)-COLUMN($B$4),1,1)</f>
        <v>37483.199999999997</v>
      </c>
      <c r="AF6" s="51">
        <f ca="1">OFFSET(IncState!$B$59,0,COLUMN(AF$4)-COLUMN($B$4),1,1)</f>
        <v>37010.520000000004</v>
      </c>
      <c r="AG6" s="51">
        <f ca="1">OFFSET(IncState!$B$59,0,COLUMN(AG$4)-COLUMN($B$4),1,1)</f>
        <v>-32613.235649598828</v>
      </c>
      <c r="AH6" s="51">
        <f ca="1">OFFSET(IncState!$B$59,0,COLUMN(AH$4)-COLUMN($B$4),1,1)</f>
        <v>7777.6802502851551</v>
      </c>
      <c r="AI6" s="51">
        <f ca="1">OFFSET(IncState!$B$59,0,COLUMN(AI$4)-COLUMN($B$4),1,1)</f>
        <v>37735.919999999998</v>
      </c>
      <c r="AJ6" s="51">
        <f ca="1">OFFSET(IncState!$B$59,0,COLUMN(AJ$4)-COLUMN($B$4),1,1)</f>
        <v>26376.000000000007</v>
      </c>
      <c r="AK6" s="51">
        <f ca="1">OFFSET(IncState!$B$59,0,COLUMN(AK$4)-COLUMN($B$4),1,1)</f>
        <v>-35621.130707930264</v>
      </c>
      <c r="AL6" s="51">
        <f ca="1">OFFSET(IncState!$B$59,0,COLUMN(AL$4)-COLUMN($B$4),1,1)</f>
        <v>13576.75476274197</v>
      </c>
      <c r="AM6" s="51">
        <f ca="1">OFFSET(IncState!$B$59,0,COLUMN(AM$4)-COLUMN($B$4),1,1)</f>
        <v>38057.963202540872</v>
      </c>
      <c r="AN6" s="51">
        <f ca="1">OFFSET(IncState!$B$59,0,COLUMN(AN$4)-COLUMN($B$4),1,1)</f>
        <v>35067.600000000035</v>
      </c>
      <c r="AO6" s="51">
        <f ca="1">OFFSET(IncState!$B$59,0,COLUMN(AO$4)-COLUMN($B$4),1,1)</f>
        <v>-37501.200000000012</v>
      </c>
      <c r="AP6" s="51">
        <f ca="1">OFFSET(IncState!$B$59,0,COLUMN(AP$4)-COLUMN($B$4),1,1)</f>
        <v>24914.092785722445</v>
      </c>
      <c r="AQ6" s="51">
        <f ca="1">OFFSET(IncState!$B$59,0,COLUMN(AQ$4)-COLUMN($B$4),1,1)</f>
        <v>13831.803868514995</v>
      </c>
      <c r="AR6" s="51">
        <f ca="1">OFFSET(IncState!$B$59,0,COLUMN(AR$4)-COLUMN($B$4),1,1)</f>
        <v>16596</v>
      </c>
      <c r="AS6" s="51">
        <f ca="1">OFFSET(IncState!$B$59,0,COLUMN(AS$4)-COLUMN($B$4),1,1)</f>
        <v>-36300.479999999996</v>
      </c>
      <c r="AT6" s="51">
        <f ca="1">OFFSET(IncState!$B$59,0,COLUMN(AT$4)-COLUMN($B$4),1,1)</f>
        <v>-4739.3766917725325</v>
      </c>
      <c r="AU6" s="51">
        <f ca="1">OFFSET(IncState!$B$59,0,COLUMN(AU$4)-COLUMN($B$4),1,1)</f>
        <v>-2919.2747327126599</v>
      </c>
      <c r="AV6" s="51">
        <f ca="1">OFFSET(IncState!$B$59,0,COLUMN(AV$4)-COLUMN($B$4),1,1)</f>
        <v>25244.345174204696</v>
      </c>
      <c r="AW6" s="51">
        <f ca="1">OFFSET(IncState!$B$59,0,COLUMN(AW$4)-COLUMN($B$4),1,1)</f>
        <v>38697.599999999991</v>
      </c>
      <c r="AX6" s="51">
        <f ca="1">OFFSET(IncState!$B$59,0,COLUMN(AX$4)-COLUMN($B$4),1,1)</f>
        <v>-39336.076693970725</v>
      </c>
      <c r="AY6" s="51">
        <f ca="1">OFFSET(IncState!$B$59,0,COLUMN(AY$4)-COLUMN($B$4),1,1)</f>
        <v>17517.376358997157</v>
      </c>
      <c r="AZ6" s="51">
        <f ca="1">OFFSET(IncState!$B$59,0,COLUMN(AZ$4)-COLUMN($B$4),1,1)</f>
        <v>35435.791917407245</v>
      </c>
      <c r="BA6" s="51">
        <f ca="1">OFFSET(IncState!$B$59,0,COLUMN(BA$4)-COLUMN($B$4),1,1)</f>
        <v>27568.800000000017</v>
      </c>
      <c r="BB6" s="51">
        <f ca="1">OFFSET(IncState!$B$59,0,COLUMN(BB$4)-COLUMN($B$4),1,1)</f>
        <v>-43538.400000000023</v>
      </c>
      <c r="BC6" s="52">
        <f ca="1">SUM(OFFSET($B6,0,1,1,Assumptions!$C$8))</f>
        <v>59284.69147315358</v>
      </c>
      <c r="BD6" s="52">
        <f ca="1">SUM(OFFSET($B6,0,1+Assumptions!$C$8,1,SUM(Assumptions!$C$9)))</f>
        <v>123360.92778196254</v>
      </c>
      <c r="BE6" s="52">
        <f ca="1">SUM(OFFSET($B6,0,1+SUM(Assumptions!$C$8:$C$9),1,SUM(Assumptions!$C$10)))</f>
        <v>172054.37166343827</v>
      </c>
      <c r="BF6" s="52">
        <f ca="1">SUM(OFFSET($B6,0,1+SUM(Assumptions!$C$8:$C$10),1,SUM(Assumptions!$C$11)))</f>
        <v>72972.201986390603</v>
      </c>
      <c r="BG6" s="52">
        <f ca="1">SUM(BC6:BF6)</f>
        <v>427672.192904945</v>
      </c>
    </row>
    <row r="7" spans="1:59" s="16" customFormat="1" ht="16.149999999999999" customHeight="1" x14ac:dyDescent="0.3">
      <c r="A7" s="172" t="s">
        <v>125</v>
      </c>
      <c r="B7" s="55" t="s">
        <v>41</v>
      </c>
      <c r="C7" s="51">
        <f ca="1">OFFSET(IncState!$B$56,0,COLUMN(C$4)-COLUMN($B$4),1,1)</f>
        <v>10249.999999999998</v>
      </c>
      <c r="D7" s="51">
        <f ca="1">OFFSET(IncState!$B$56,0,COLUMN(D$4)-COLUMN($B$4),1,1)</f>
        <v>4072.9166666666665</v>
      </c>
      <c r="E7" s="51">
        <f ca="1">OFFSET(IncState!$B$56,0,COLUMN(E$4)-COLUMN($B$4),1,1)</f>
        <v>0</v>
      </c>
      <c r="F7" s="51">
        <f ca="1">OFFSET(IncState!$B$56,0,COLUMN(F$4)-COLUMN($B$4),1,1)</f>
        <v>0</v>
      </c>
      <c r="G7" s="51">
        <f ca="1">OFFSET(IncState!$B$56,0,COLUMN(G$4)-COLUMN($B$4),1,1)</f>
        <v>3854.1666666666665</v>
      </c>
      <c r="H7" s="51">
        <f ca="1">OFFSET(IncState!$B$56,0,COLUMN(H$4)-COLUMN($B$4),1,1)</f>
        <v>14206.365031942376</v>
      </c>
      <c r="I7" s="51">
        <f ca="1">OFFSET(IncState!$B$56,0,COLUMN(I$4)-COLUMN($B$4),1,1)</f>
        <v>0</v>
      </c>
      <c r="J7" s="51">
        <f ca="1">OFFSET(IncState!$B$56,0,COLUMN(J$4)-COLUMN($B$4),1,1)</f>
        <v>0</v>
      </c>
      <c r="K7" s="51">
        <f ca="1">OFFSET(IncState!$B$56,0,COLUMN(K$4)-COLUMN($B$4),1,1)</f>
        <v>3826.9104361872446</v>
      </c>
      <c r="L7" s="51">
        <f ca="1">OFFSET(IncState!$B$56,0,COLUMN(L$4)-COLUMN($B$4),1,1)</f>
        <v>10150.927891749021</v>
      </c>
      <c r="M7" s="51">
        <f ca="1">OFFSET(IncState!$B$56,0,COLUMN(M$4)-COLUMN($B$4),1,1)</f>
        <v>3937.8199329212807</v>
      </c>
      <c r="N7" s="51">
        <f ca="1">OFFSET(IncState!$B$56,0,COLUMN(N$4)-COLUMN($B$4),1,1)</f>
        <v>0</v>
      </c>
      <c r="O7" s="51">
        <f ca="1">OFFSET(IncState!$B$56,0,COLUMN(O$4)-COLUMN($B$4),1,1)</f>
        <v>3799.4441055978764</v>
      </c>
      <c r="P7" s="51">
        <f ca="1">OFFSET(IncState!$B$56,0,COLUMN(P$4)-COLUMN($B$4),1,1)</f>
        <v>10100.756257234016</v>
      </c>
      <c r="Q7" s="51">
        <f ca="1">OFFSET(IncState!$B$56,0,COLUMN(Q$4)-COLUMN($B$4),1,1)</f>
        <v>3869.2990147556284</v>
      </c>
      <c r="R7" s="51">
        <f ca="1">OFFSET(IncState!$B$56,0,COLUMN(R$4)-COLUMN($B$4),1,1)</f>
        <v>0</v>
      </c>
      <c r="S7" s="51">
        <f ca="1">OFFSET(IncState!$B$56,0,COLUMN(S$4)-COLUMN($B$4),1,1)</f>
        <v>0</v>
      </c>
      <c r="T7" s="51">
        <f ca="1">OFFSET(IncState!$B$56,0,COLUMN(T$4)-COLUMN($B$4),1,1)</f>
        <v>3771.7660553768819</v>
      </c>
      <c r="U7" s="51">
        <f ca="1">OFFSET(IncState!$B$56,0,COLUMN(U$4)-COLUMN($B$4),1,1)</f>
        <v>13850.277511131748</v>
      </c>
      <c r="V7" s="51">
        <f ca="1">OFFSET(IncState!$B$56,0,COLUMN(V$4)-COLUMN($B$4),1,1)</f>
        <v>0</v>
      </c>
      <c r="W7" s="51">
        <f ca="1">OFFSET(IncState!$B$56,0,COLUMN(W$4)-COLUMN($B$4),1,1)</f>
        <v>0</v>
      </c>
      <c r="X7" s="51">
        <f ca="1">OFFSET(IncState!$B$56,0,COLUMN(X$4)-COLUMN($B$4),1,1)</f>
        <v>3743.8746535187674</v>
      </c>
      <c r="Y7" s="51">
        <f ca="1">OFFSET(IncState!$B$56,0,COLUMN(Y$4)-COLUMN($B$4),1,1)</f>
        <v>9999.123679543618</v>
      </c>
      <c r="Z7" s="51">
        <f ca="1">OFFSET(IncState!$B$56,0,COLUMN(Z$4)-COLUMN($B$4),1,1)</f>
        <v>3730.2809090469018</v>
      </c>
      <c r="AA7" s="51">
        <f ca="1">OFFSET(IncState!$B$56,0,COLUMN(AA$4)-COLUMN($B$4),1,1)</f>
        <v>0</v>
      </c>
      <c r="AB7" s="51">
        <f ca="1">OFFSET(IncState!$B$56,0,COLUMN(AB$4)-COLUMN($B$4),1,1)</f>
        <v>0</v>
      </c>
      <c r="AC7" s="51">
        <f ca="1">OFFSET(IncState!$B$56,0,COLUMN(AC$4)-COLUMN($B$4),1,1)</f>
        <v>14434.256972820687</v>
      </c>
      <c r="AD7" s="51">
        <f ca="1">OFFSET(IncState!$B$56,0,COLUMN(AD$4)-COLUMN($B$4),1,1)</f>
        <v>3659.7710752357866</v>
      </c>
      <c r="AE7" s="51">
        <f ca="1">OFFSET(IncState!$B$56,0,COLUMN(AE$4)-COLUMN($B$4),1,1)</f>
        <v>0</v>
      </c>
      <c r="AF7" s="51">
        <f ca="1">OFFSET(IncState!$B$56,0,COLUMN(AF$4)-COLUMN($B$4),1,1)</f>
        <v>0</v>
      </c>
      <c r="AG7" s="51">
        <f ca="1">OFFSET(IncState!$B$56,0,COLUMN(AG$4)-COLUMN($B$4),1,1)</f>
        <v>4452.8272911094691</v>
      </c>
      <c r="AH7" s="51">
        <f ca="1">OFFSET(IncState!$B$56,0,COLUMN(AH$4)-COLUMN($B$4),1,1)</f>
        <v>13484.332985715062</v>
      </c>
      <c r="AI7" s="51">
        <f ca="1">OFFSET(IncState!$B$56,0,COLUMN(AI$4)-COLUMN($B$4),1,1)</f>
        <v>0</v>
      </c>
      <c r="AJ7" s="51">
        <f ca="1">OFFSET(IncState!$B$56,0,COLUMN(AJ$4)-COLUMN($B$4),1,1)</f>
        <v>0</v>
      </c>
      <c r="AK7" s="51">
        <f ca="1">OFFSET(IncState!$B$56,0,COLUMN(AK$4)-COLUMN($B$4),1,1)</f>
        <v>4418.7926499031319</v>
      </c>
      <c r="AL7" s="51">
        <f ca="1">OFFSET(IncState!$B$56,0,COLUMN(AL$4)-COLUMN($B$4),1,1)</f>
        <v>9843.3961628583802</v>
      </c>
      <c r="AM7" s="51">
        <f ca="1">OFFSET(IncState!$B$56,0,COLUMN(AM$4)-COLUMN($B$4),1,1)</f>
        <v>3516.7177742487625</v>
      </c>
      <c r="AN7" s="51">
        <f ca="1">OFFSET(IncState!$B$56,0,COLUMN(AN$4)-COLUMN($B$4),1,1)</f>
        <v>0</v>
      </c>
      <c r="AO7" s="51">
        <f ca="1">OFFSET(IncState!$B$56,0,COLUMN(AO$4)-COLUMN($B$4),1,1)</f>
        <v>0</v>
      </c>
      <c r="AP7" s="51">
        <f ca="1">OFFSET(IncState!$B$56,0,COLUMN(AP$4)-COLUMN($B$4),1,1)</f>
        <v>14175.093353163258</v>
      </c>
      <c r="AQ7" s="51">
        <f ca="1">OFFSET(IncState!$B$56,0,COLUMN(AQ$4)-COLUMN($B$4),1,1)</f>
        <v>3444.1612937291648</v>
      </c>
      <c r="AR7" s="51">
        <f ca="1">OFFSET(IncState!$B$56,0,COLUMN(AR$4)-COLUMN($B$4),1,1)</f>
        <v>0</v>
      </c>
      <c r="AS7" s="51">
        <f ca="1">OFFSET(IncState!$B$56,0,COLUMN(AS$4)-COLUMN($B$4),1,1)</f>
        <v>0</v>
      </c>
      <c r="AT7" s="51">
        <f ca="1">OFFSET(IncState!$B$56,0,COLUMN(AT$4)-COLUMN($B$4),1,1)</f>
        <v>4349.9342941285386</v>
      </c>
      <c r="AU7" s="51">
        <f ca="1">OFFSET(IncState!$B$56,0,COLUMN(AU$4)-COLUMN($B$4),1,1)</f>
        <v>9737.3482398787055</v>
      </c>
      <c r="AV7" s="51">
        <f ca="1">OFFSET(IncState!$B$56,0,COLUMN(AV$4)-COLUMN($B$4),1,1)</f>
        <v>3370.9094802712548</v>
      </c>
      <c r="AW7" s="51">
        <f ca="1">OFFSET(IncState!$B$56,0,COLUMN(AW$4)-COLUMN($B$4),1,1)</f>
        <v>0</v>
      </c>
      <c r="AX7" s="51">
        <f ca="1">OFFSET(IncState!$B$56,0,COLUMN(AX$4)-COLUMN($B$4),1,1)</f>
        <v>4315.1065194038065</v>
      </c>
      <c r="AY7" s="51">
        <f ca="1">OFFSET(IncState!$B$56,0,COLUMN(AY$4)-COLUMN($B$4),1,1)</f>
        <v>12183.643945837308</v>
      </c>
      <c r="AZ7" s="51">
        <f ca="1">OFFSET(IncState!$B$56,0,COLUMN(AZ$4)-COLUMN($B$4),1,1)</f>
        <v>3296.9556702677055</v>
      </c>
      <c r="BA7" s="51">
        <f ca="1">OFFSET(IncState!$B$56,0,COLUMN(BA$4)-COLUMN($B$4),1,1)</f>
        <v>0</v>
      </c>
      <c r="BB7" s="51">
        <f ca="1">OFFSET(IncState!$B$56,0,COLUMN(BB$4)-COLUMN($B$4),1,1)</f>
        <v>0</v>
      </c>
      <c r="BC7" s="52">
        <f ca="1">SUM(OFFSET($B7,0,1,1,Assumptions!$C$8))</f>
        <v>54098.550731731128</v>
      </c>
      <c r="BD7" s="52">
        <f ca="1">SUM(OFFSET($B7,0,1+Assumptions!$C$8,1,SUM(Assumptions!$C$9)))</f>
        <v>49065.378080607559</v>
      </c>
      <c r="BE7" s="52">
        <f ca="1">SUM(OFFSET($B7,0,1+SUM(Assumptions!$C$8:$C$9),1,SUM(Assumptions!$C$10)))</f>
        <v>53810.094911891276</v>
      </c>
      <c r="BF7" s="52">
        <f ca="1">SUM(OFFSET($B7,0,1+SUM(Assumptions!$C$8:$C$10),1,SUM(Assumptions!$C$11)))</f>
        <v>54873.152796679744</v>
      </c>
      <c r="BG7" s="52">
        <f ca="1">SUM(BC7:BF7)</f>
        <v>211847.17652090971</v>
      </c>
    </row>
    <row r="8" spans="1:59" s="16" customFormat="1" ht="16.149999999999999" customHeight="1" x14ac:dyDescent="0.3">
      <c r="A8" s="172" t="s">
        <v>132</v>
      </c>
      <c r="B8" s="55" t="s">
        <v>37</v>
      </c>
      <c r="C8" s="51">
        <f ca="1">OFFSET(IncState!$B$58,0,COLUMN(C$4)-COLUMN($B$4),1,1)</f>
        <v>1876.0000000000007</v>
      </c>
      <c r="D8" s="51">
        <f ca="1">OFFSET(IncState!$B$58,0,COLUMN(D$4)-COLUMN($B$4),1,1)</f>
        <v>8302.0420000000013</v>
      </c>
      <c r="E8" s="51">
        <f ca="1">OFFSET(IncState!$B$58,0,COLUMN(E$4)-COLUMN($B$4),1,1)</f>
        <v>10322.666666666672</v>
      </c>
      <c r="F8" s="51">
        <f ca="1">OFFSET(IncState!$B$58,0,COLUMN(F$4)-COLUMN($B$4),1,1)</f>
        <v>-7371.466666666669</v>
      </c>
      <c r="G8" s="51">
        <f ca="1">OFFSET(IncState!$B$58,0,COLUMN(G$4)-COLUMN($B$4),1,1)</f>
        <v>3087.7933333333349</v>
      </c>
      <c r="H8" s="51">
        <f ca="1">OFFSET(IncState!$B$58,0,COLUMN(H$4)-COLUMN($B$4),1,1)</f>
        <v>74.98445772280138</v>
      </c>
      <c r="I8" s="51">
        <f ca="1">OFFSET(IncState!$B$58,0,COLUMN(I$4)-COLUMN($B$4),1,1)</f>
        <v>6082.8600000000042</v>
      </c>
      <c r="J8" s="51">
        <f ca="1">OFFSET(IncState!$B$58,0,COLUMN(J$4)-COLUMN($B$4),1,1)</f>
        <v>11949.000000000004</v>
      </c>
      <c r="K8" s="51">
        <f ca="1">OFFSET(IncState!$B$58,0,COLUMN(K$4)-COLUMN($B$4),1,1)</f>
        <v>-16985.334922132435</v>
      </c>
      <c r="L8" s="51">
        <f ca="1">OFFSET(IncState!$B$58,0,COLUMN(L$4)-COLUMN($B$4),1,1)</f>
        <v>1594.8068569769457</v>
      </c>
      <c r="M8" s="51">
        <f ca="1">OFFSET(IncState!$B$58,0,COLUMN(M$4)-COLUMN($B$4),1,1)</f>
        <v>11896.690418782044</v>
      </c>
      <c r="N8" s="51">
        <f ca="1">OFFSET(IncState!$B$58,0,COLUMN(N$4)-COLUMN($B$4),1,1)</f>
        <v>13361.226666666669</v>
      </c>
      <c r="O8" s="51">
        <f ca="1">OFFSET(IncState!$B$58,0,COLUMN(O$4)-COLUMN($B$4),1,1)</f>
        <v>-21136.111016234074</v>
      </c>
      <c r="P8" s="51">
        <f ca="1">OFFSET(IncState!$B$58,0,COLUMN(P$4)-COLUMN($B$4),1,1)</f>
        <v>5623.1215813078088</v>
      </c>
      <c r="Q8" s="51">
        <f ca="1">OFFSET(IncState!$B$58,0,COLUMN(Q$4)-COLUMN($B$4),1,1)</f>
        <v>11062.996275868431</v>
      </c>
      <c r="R8" s="51">
        <f ca="1">OFFSET(IncState!$B$58,0,COLUMN(R$4)-COLUMN($B$4),1,1)</f>
        <v>11744.693333333336</v>
      </c>
      <c r="S8" s="51">
        <f ca="1">OFFSET(IncState!$B$58,0,COLUMN(S$4)-COLUMN($B$4),1,1)</f>
        <v>-9466.0999999999985</v>
      </c>
      <c r="T8" s="51">
        <f ca="1">OFFSET(IncState!$B$58,0,COLUMN(T$4)-COLUMN($B$4),1,1)</f>
        <v>4700.9855044944707</v>
      </c>
      <c r="U8" s="51">
        <f ca="1">OFFSET(IncState!$B$58,0,COLUMN(U$4)-COLUMN($B$4),1,1)</f>
        <v>4194.3689635497794</v>
      </c>
      <c r="V8" s="51">
        <f ca="1">OFFSET(IncState!$B$58,0,COLUMN(V$4)-COLUMN($B$4),1,1)</f>
        <v>11119.733333333337</v>
      </c>
      <c r="W8" s="51">
        <f ca="1">OFFSET(IncState!$B$58,0,COLUMN(W$4)-COLUMN($B$4),1,1)</f>
        <v>10350.199999999997</v>
      </c>
      <c r="X8" s="51">
        <f ca="1">OFFSET(IncState!$B$58,0,COLUMN(X$4)-COLUMN($B$4),1,1)</f>
        <v>-13548.41823631859</v>
      </c>
      <c r="Y8" s="51">
        <f ca="1">OFFSET(IncState!$B$58,0,COLUMN(Y$4)-COLUMN($B$4),1,1)</f>
        <v>4968.7520363944568</v>
      </c>
      <c r="Z8" s="51">
        <f ca="1">OFFSET(IncState!$B$58,0,COLUMN(Z$4)-COLUMN($B$4),1,1)</f>
        <v>9677.2813454668794</v>
      </c>
      <c r="AA8" s="51">
        <f ca="1">OFFSET(IncState!$B$58,0,COLUMN(AA$4)-COLUMN($B$4),1,1)</f>
        <v>13691.159999999989</v>
      </c>
      <c r="AB8" s="51">
        <f ca="1">OFFSET(IncState!$B$58,0,COLUMN(AB$4)-COLUMN($B$4),1,1)</f>
        <v>-16145.080000000002</v>
      </c>
      <c r="AC8" s="51">
        <f ca="1">OFFSET(IncState!$B$58,0,COLUMN(AC$4)-COLUMN($B$4),1,1)</f>
        <v>4448.94138094355</v>
      </c>
      <c r="AD8" s="51">
        <f ca="1">OFFSET(IncState!$B$58,0,COLUMN(AD$4)-COLUMN($B$4),1,1)</f>
        <v>12936.064098933974</v>
      </c>
      <c r="AE8" s="51">
        <f ca="1">OFFSET(IncState!$B$58,0,COLUMN(AE$4)-COLUMN($B$4),1,1)</f>
        <v>14576.800000000003</v>
      </c>
      <c r="AF8" s="51">
        <f ca="1">OFFSET(IncState!$B$58,0,COLUMN(AF$4)-COLUMN($B$4),1,1)</f>
        <v>14392.979999999996</v>
      </c>
      <c r="AG8" s="51">
        <f ca="1">OFFSET(IncState!$B$58,0,COLUMN(AG$4)-COLUMN($B$4),1,1)</f>
        <v>-12682.924974843976</v>
      </c>
      <c r="AH8" s="51">
        <f ca="1">OFFSET(IncState!$B$58,0,COLUMN(AH$4)-COLUMN($B$4),1,1)</f>
        <v>3024.6534306664544</v>
      </c>
      <c r="AI8" s="51">
        <f ca="1">OFFSET(IncState!$B$58,0,COLUMN(AI$4)-COLUMN($B$4),1,1)</f>
        <v>14675.080000000002</v>
      </c>
      <c r="AJ8" s="51">
        <f ca="1">OFFSET(IncState!$B$58,0,COLUMN(AJ$4)-COLUMN($B$4),1,1)</f>
        <v>10257.333333333328</v>
      </c>
      <c r="AK8" s="51">
        <f ca="1">OFFSET(IncState!$B$58,0,COLUMN(AK$4)-COLUMN($B$4),1,1)</f>
        <v>-13852.661941972867</v>
      </c>
      <c r="AL8" s="51">
        <f ca="1">OFFSET(IncState!$B$58,0,COLUMN(AL$4)-COLUMN($B$4),1,1)</f>
        <v>5279.8490743996517</v>
      </c>
      <c r="AM8" s="51">
        <f ca="1">OFFSET(IncState!$B$58,0,COLUMN(AM$4)-COLUMN($B$4),1,1)</f>
        <v>14800.319023210366</v>
      </c>
      <c r="AN8" s="51">
        <f ca="1">OFFSET(IncState!$B$58,0,COLUMN(AN$4)-COLUMN($B$4),1,1)</f>
        <v>13637.399999999965</v>
      </c>
      <c r="AO8" s="51">
        <f ca="1">OFFSET(IncState!$B$58,0,COLUMN(AO$4)-COLUMN($B$4),1,1)</f>
        <v>-14583.799999999988</v>
      </c>
      <c r="AP8" s="51">
        <f ca="1">OFFSET(IncState!$B$58,0,COLUMN(AP$4)-COLUMN($B$4),1,1)</f>
        <v>9688.8138611142931</v>
      </c>
      <c r="AQ8" s="51">
        <f ca="1">OFFSET(IncState!$B$58,0,COLUMN(AQ$4)-COLUMN($B$4),1,1)</f>
        <v>5379.0348377558403</v>
      </c>
      <c r="AR8" s="51">
        <f ca="1">OFFSET(IncState!$B$58,0,COLUMN(AR$4)-COLUMN($B$4),1,1)</f>
        <v>6454</v>
      </c>
      <c r="AS8" s="51">
        <f ca="1">OFFSET(IncState!$B$58,0,COLUMN(AS$4)-COLUMN($B$4),1,1)</f>
        <v>-14116.853333333333</v>
      </c>
      <c r="AT8" s="51">
        <f ca="1">OFFSET(IncState!$B$58,0,COLUMN(AT$4)-COLUMN($B$4),1,1)</f>
        <v>-1843.0909356893389</v>
      </c>
      <c r="AU8" s="51">
        <f ca="1">OFFSET(IncState!$B$58,0,COLUMN(AU$4)-COLUMN($B$4),1,1)</f>
        <v>-1135.2735071660427</v>
      </c>
      <c r="AV8" s="51">
        <f ca="1">OFFSET(IncState!$B$58,0,COLUMN(AV$4)-COLUMN($B$4),1,1)</f>
        <v>9817.2453455240466</v>
      </c>
      <c r="AW8" s="51">
        <f ca="1">OFFSET(IncState!$B$58,0,COLUMN(AW$4)-COLUMN($B$4),1,1)</f>
        <v>15049.06666666668</v>
      </c>
      <c r="AX8" s="51">
        <f ca="1">OFFSET(IncState!$B$58,0,COLUMN(AX$4)-COLUMN($B$4),1,1)</f>
        <v>-15297.363158766413</v>
      </c>
      <c r="AY8" s="51">
        <f ca="1">OFFSET(IncState!$B$58,0,COLUMN(AY$4)-COLUMN($B$4),1,1)</f>
        <v>6812.3130284988729</v>
      </c>
      <c r="AZ8" s="51">
        <f ca="1">OFFSET(IncState!$B$58,0,COLUMN(AZ$4)-COLUMN($B$4),1,1)</f>
        <v>13780.585745658376</v>
      </c>
      <c r="BA8" s="51">
        <f ca="1">OFFSET(IncState!$B$58,0,COLUMN(BA$4)-COLUMN($B$4),1,1)</f>
        <v>10721.199999999983</v>
      </c>
      <c r="BB8" s="51">
        <f ca="1">OFFSET(IncState!$B$58,0,COLUMN(BB$4)-COLUMN($B$4),1,1)</f>
        <v>-16931.599999999977</v>
      </c>
      <c r="BC8" s="52">
        <f ca="1">SUM(OFFSET($B8,0,1,1,Assumptions!$C$8))</f>
        <v>23055.157795115298</v>
      </c>
      <c r="BD8" s="52">
        <f ca="1">SUM(OFFSET($B8,0,1+Assumptions!$C$8,1,SUM(Assumptions!$C$9)))</f>
        <v>47973.694137429891</v>
      </c>
      <c r="BE8" s="52">
        <f ca="1">SUM(OFFSET($B8,0,1+SUM(Assumptions!$C$8:$C$9),1,SUM(Assumptions!$C$10)))</f>
        <v>66910.033424670459</v>
      </c>
      <c r="BF8" s="52">
        <f ca="1">SUM(OFFSET($B8,0,1+SUM(Assumptions!$C$8:$C$10),1,SUM(Assumptions!$C$11)))</f>
        <v>28378.078550262988</v>
      </c>
      <c r="BG8" s="52">
        <f ca="1">SUM(BC8:BF8)</f>
        <v>166316.96390747864</v>
      </c>
    </row>
    <row r="9" spans="1:59" s="19" customFormat="1" ht="16.149999999999999" customHeight="1" x14ac:dyDescent="0.25">
      <c r="A9" s="169"/>
      <c r="B9" s="19" t="s">
        <v>62</v>
      </c>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8"/>
      <c r="BD9" s="78"/>
      <c r="BE9" s="78"/>
      <c r="BF9" s="78"/>
      <c r="BG9" s="78"/>
    </row>
    <row r="10" spans="1:59" ht="16.149999999999999" customHeight="1" x14ac:dyDescent="0.3">
      <c r="A10" s="168" t="s">
        <v>119</v>
      </c>
      <c r="B10" s="5" t="s">
        <v>58</v>
      </c>
      <c r="C10" s="79">
        <f ca="1">SUMIF(IncState!$A$4:$AO$63,$A10,IncState!C$4:C$63)</f>
        <v>0</v>
      </c>
      <c r="D10" s="79">
        <f ca="1">SUMIF(IncState!$A$4:$AO$63,$A10,IncState!D$4:D$63)</f>
        <v>0</v>
      </c>
      <c r="E10" s="79">
        <f ca="1">SUMIF(IncState!$A$4:$AO$63,$A10,IncState!E$4:E$63)</f>
        <v>0</v>
      </c>
      <c r="F10" s="79">
        <f ca="1">SUMIF(IncState!$A$4:$AO$63,$A10,IncState!F$4:F$63)</f>
        <v>0</v>
      </c>
      <c r="G10" s="79">
        <f ca="1">SUMIF(IncState!$A$4:$AO$63,$A10,IncState!G$4:G$63)</f>
        <v>15000</v>
      </c>
      <c r="H10" s="79">
        <f ca="1">SUMIF(IncState!$A$4:$AO$63,$A10,IncState!H$4:H$63)</f>
        <v>0</v>
      </c>
      <c r="I10" s="79">
        <f ca="1">SUMIF(IncState!$A$4:$AO$63,$A10,IncState!I$4:I$63)</f>
        <v>0</v>
      </c>
      <c r="J10" s="79">
        <f ca="1">SUMIF(IncState!$A$4:$AO$63,$A10,IncState!J$4:J$63)</f>
        <v>0</v>
      </c>
      <c r="K10" s="79">
        <f ca="1">SUMIF(IncState!$A$4:$AO$63,$A10,IncState!K$4:K$63)</f>
        <v>15000</v>
      </c>
      <c r="L10" s="79">
        <f ca="1">SUMIF(IncState!$A$4:$AO$63,$A10,IncState!L$4:L$63)</f>
        <v>0</v>
      </c>
      <c r="M10" s="79">
        <f ca="1">SUMIF(IncState!$A$4:$AO$63,$A10,IncState!M$4:M$63)</f>
        <v>0</v>
      </c>
      <c r="N10" s="79">
        <f ca="1">SUMIF(IncState!$A$4:$AO$63,$A10,IncState!N$4:N$63)</f>
        <v>0</v>
      </c>
      <c r="O10" s="79">
        <f ca="1">SUMIF(IncState!$A$4:$AO$63,$A10,IncState!O$4:O$63)</f>
        <v>15000</v>
      </c>
      <c r="P10" s="79">
        <f ca="1">SUMIF(IncState!$A$4:$AO$63,$A10,IncState!P$4:P$63)</f>
        <v>0</v>
      </c>
      <c r="Q10" s="79">
        <f ca="1">SUMIF(IncState!$A$4:$AO$63,$A10,IncState!Q$4:Q$63)</f>
        <v>0</v>
      </c>
      <c r="R10" s="79">
        <f ca="1">SUMIF(IncState!$A$4:$AO$63,$A10,IncState!R$4:R$63)</f>
        <v>0</v>
      </c>
      <c r="S10" s="79">
        <f ca="1">SUMIF(IncState!$A$4:$AO$63,$A10,IncState!S$4:S$63)</f>
        <v>0</v>
      </c>
      <c r="T10" s="79">
        <f ca="1">SUMIF(IncState!$A$4:$AO$63,$A10,IncState!T$4:T$63)</f>
        <v>15000</v>
      </c>
      <c r="U10" s="79">
        <f ca="1">SUMIF(IncState!$A$4:$AO$63,$A10,IncState!U$4:U$63)</f>
        <v>0</v>
      </c>
      <c r="V10" s="79">
        <f ca="1">SUMIF(IncState!$A$4:$AO$63,$A10,IncState!V$4:V$63)</f>
        <v>0</v>
      </c>
      <c r="W10" s="79">
        <f ca="1">SUMIF(IncState!$A$4:$AO$63,$A10,IncState!W$4:W$63)</f>
        <v>0</v>
      </c>
      <c r="X10" s="79">
        <f ca="1">SUMIF(IncState!$A$4:$AO$63,$A10,IncState!X$4:X$63)</f>
        <v>15000</v>
      </c>
      <c r="Y10" s="79">
        <f ca="1">SUMIF(IncState!$A$4:$AO$63,$A10,IncState!Y$4:Y$63)</f>
        <v>0</v>
      </c>
      <c r="Z10" s="79">
        <f ca="1">SUMIF(IncState!$A$4:$AO$63,$A10,IncState!Z$4:Z$63)</f>
        <v>0</v>
      </c>
      <c r="AA10" s="79">
        <f ca="1">SUMIF(IncState!$A$4:$AO$63,$A10,IncState!AA$4:AA$63)</f>
        <v>0</v>
      </c>
      <c r="AB10" s="79">
        <f ca="1">SUMIF(IncState!$A$4:$AO$63,$A10,IncState!AB$4:AB$63)</f>
        <v>15000</v>
      </c>
      <c r="AC10" s="79">
        <f ca="1">SUMIF(IncState!$A$4:$AO$63,$A10,IncState!AC$4:AC$63)</f>
        <v>0</v>
      </c>
      <c r="AD10" s="79">
        <f ca="1">SUMIF(IncState!$A$4:$AO$63,$A10,IncState!AD$4:AD$63)</f>
        <v>0</v>
      </c>
      <c r="AE10" s="79">
        <f ca="1">SUMIF(IncState!$A$4:$AO$63,$A10,IncState!AE$4:AE$63)</f>
        <v>0</v>
      </c>
      <c r="AF10" s="79">
        <f ca="1">SUMIF(IncState!$A$4:$AO$63,$A10,IncState!AF$4:AF$63)</f>
        <v>0</v>
      </c>
      <c r="AG10" s="79">
        <f ca="1">SUMIF(IncState!$A$4:$AO$63,$A10,IncState!AG$4:AG$63)</f>
        <v>15000</v>
      </c>
      <c r="AH10" s="79">
        <f ca="1">SUMIF(IncState!$A$4:$AO$63,$A10,IncState!AH$4:AH$63)</f>
        <v>0</v>
      </c>
      <c r="AI10" s="79">
        <f ca="1">SUMIF(IncState!$A$4:$AO$63,$A10,IncState!AI$4:AI$63)</f>
        <v>0</v>
      </c>
      <c r="AJ10" s="79">
        <f ca="1">SUMIF(IncState!$A$4:$AO$63,$A10,IncState!AJ$4:AJ$63)</f>
        <v>0</v>
      </c>
      <c r="AK10" s="79">
        <f ca="1">SUMIF(IncState!$A$4:$AO$63,$A10,IncState!AK$4:AK$63)</f>
        <v>15000</v>
      </c>
      <c r="AL10" s="79">
        <f ca="1">SUMIF(IncState!$A$4:$AO$63,$A10,IncState!AL$4:AL$63)</f>
        <v>0</v>
      </c>
      <c r="AM10" s="79">
        <f ca="1">SUMIF(IncState!$A$4:$AO$63,$A10,IncState!AM$4:AM$63)</f>
        <v>0</v>
      </c>
      <c r="AN10" s="79">
        <f ca="1">SUMIF(IncState!$A$4:$AO$63,$A10,IncState!AN$4:AN$63)</f>
        <v>0</v>
      </c>
      <c r="AO10" s="79">
        <f ca="1">SUMIF(IncState!$A$4:$AO$63,$A10,IncState!AO$4:AO$63)</f>
        <v>15000</v>
      </c>
      <c r="AP10" s="79">
        <f ca="1">SUMIF(IncState!$A$4:$AO$63,$A10,IncState!AP$4:AP$63)</f>
        <v>0</v>
      </c>
      <c r="AQ10" s="79">
        <f ca="1">SUMIF(IncState!$A$4:$AO$63,$A10,IncState!AQ$4:AQ$63)</f>
        <v>0</v>
      </c>
      <c r="AR10" s="79">
        <f ca="1">SUMIF(IncState!$A$4:$AO$63,$A10,IncState!AR$4:AR$63)</f>
        <v>0</v>
      </c>
      <c r="AS10" s="79">
        <f ca="1">SUMIF(IncState!$A$4:$AO$63,$A10,IncState!AS$4:AS$63)</f>
        <v>0</v>
      </c>
      <c r="AT10" s="79">
        <f ca="1">SUMIF(IncState!$A$4:$AO$63,$A10,IncState!AT$4:AT$63)</f>
        <v>15000</v>
      </c>
      <c r="AU10" s="79">
        <f ca="1">SUMIF(IncState!$A$4:$AO$63,$A10,IncState!AU$4:AU$63)</f>
        <v>0</v>
      </c>
      <c r="AV10" s="79">
        <f ca="1">SUMIF(IncState!$A$4:$AO$63,$A10,IncState!AV$4:AV$63)</f>
        <v>0</v>
      </c>
      <c r="AW10" s="79">
        <f ca="1">SUMIF(IncState!$A$4:$AO$63,$A10,IncState!AW$4:AW$63)</f>
        <v>0</v>
      </c>
      <c r="AX10" s="79">
        <f ca="1">SUMIF(IncState!$A$4:$AO$63,$A10,IncState!AX$4:AX$63)</f>
        <v>19000</v>
      </c>
      <c r="AY10" s="79">
        <f ca="1">SUMIF(IncState!$A$4:$AO$63,$A10,IncState!AY$4:AY$63)</f>
        <v>0</v>
      </c>
      <c r="AZ10" s="79">
        <f ca="1">SUMIF(IncState!$A$4:$AO$63,$A10,IncState!AZ$4:AZ$63)</f>
        <v>0</v>
      </c>
      <c r="BA10" s="79">
        <f ca="1">SUMIF(IncState!$A$4:$AO$63,$A10,IncState!BA$4:BA$63)</f>
        <v>0</v>
      </c>
      <c r="BB10" s="79">
        <f ca="1">SUMIF(IncState!$A$4:$AO$63,$A10,IncState!BB$4:BB$63)</f>
        <v>19000</v>
      </c>
      <c r="BC10" s="52">
        <f ca="1">SUM(OFFSET($B10,0,1,1,Assumptions!$C$8))</f>
        <v>45000</v>
      </c>
      <c r="BD10" s="52">
        <f ca="1">SUM(OFFSET($B10,0,1+Assumptions!$C$8,1,SUM(Assumptions!$C$9)))</f>
        <v>45000</v>
      </c>
      <c r="BE10" s="52">
        <f ca="1">SUM(OFFSET($B10,0,1+SUM(Assumptions!$C$8:$C$9),1,SUM(Assumptions!$C$10)))</f>
        <v>45000</v>
      </c>
      <c r="BF10" s="52">
        <f ca="1">SUM(OFFSET($B10,0,1+SUM(Assumptions!$C$8:$C$10),1,SUM(Assumptions!$C$11)))</f>
        <v>53000</v>
      </c>
      <c r="BG10" s="52">
        <f ca="1">SUM(BC10:BF10)</f>
        <v>188000</v>
      </c>
    </row>
    <row r="11" spans="1:59" ht="16.149999999999999" customHeight="1" x14ac:dyDescent="0.3">
      <c r="A11" s="168" t="s">
        <v>120</v>
      </c>
      <c r="B11" s="5" t="s">
        <v>121</v>
      </c>
      <c r="C11" s="79">
        <f ca="1">SUMIF(IncState!$A$4:$AO$63,$A11,IncState!C$4:C$63)</f>
        <v>0</v>
      </c>
      <c r="D11" s="79">
        <f ca="1">SUMIF(IncState!$A$4:$AO$63,$A11,IncState!D$4:D$63)</f>
        <v>0</v>
      </c>
      <c r="E11" s="79">
        <f ca="1">SUMIF(IncState!$A$4:$AO$63,$A11,IncState!E$4:E$63)</f>
        <v>0</v>
      </c>
      <c r="F11" s="79">
        <f ca="1">SUMIF(IncState!$A$4:$AO$63,$A11,IncState!F$4:F$63)</f>
        <v>0</v>
      </c>
      <c r="G11" s="79">
        <f ca="1">SUMIF(IncState!$A$4:$AO$63,$A11,IncState!G$4:G$63)</f>
        <v>1000</v>
      </c>
      <c r="H11" s="79">
        <f ca="1">SUMIF(IncState!$A$4:$AO$63,$A11,IncState!H$4:H$63)</f>
        <v>0</v>
      </c>
      <c r="I11" s="79">
        <f ca="1">SUMIF(IncState!$A$4:$AO$63,$A11,IncState!I$4:I$63)</f>
        <v>0</v>
      </c>
      <c r="J11" s="79">
        <f ca="1">SUMIF(IncState!$A$4:$AO$63,$A11,IncState!J$4:J$63)</f>
        <v>0</v>
      </c>
      <c r="K11" s="79">
        <f ca="1">SUMIF(IncState!$A$4:$AO$63,$A11,IncState!K$4:K$63)</f>
        <v>1000</v>
      </c>
      <c r="L11" s="79">
        <f ca="1">SUMIF(IncState!$A$4:$AO$63,$A11,IncState!L$4:L$63)</f>
        <v>0</v>
      </c>
      <c r="M11" s="79">
        <f ca="1">SUMIF(IncState!$A$4:$AO$63,$A11,IncState!M$4:M$63)</f>
        <v>0</v>
      </c>
      <c r="N11" s="79">
        <f ca="1">SUMIF(IncState!$A$4:$AO$63,$A11,IncState!N$4:N$63)</f>
        <v>0</v>
      </c>
      <c r="O11" s="79">
        <f ca="1">SUMIF(IncState!$A$4:$AO$63,$A11,IncState!O$4:O$63)</f>
        <v>1000</v>
      </c>
      <c r="P11" s="79">
        <f ca="1">SUMIF(IncState!$A$4:$AO$63,$A11,IncState!P$4:P$63)</f>
        <v>0</v>
      </c>
      <c r="Q11" s="79">
        <f ca="1">SUMIF(IncState!$A$4:$AO$63,$A11,IncState!Q$4:Q$63)</f>
        <v>0</v>
      </c>
      <c r="R11" s="79">
        <f ca="1">SUMIF(IncState!$A$4:$AO$63,$A11,IncState!R$4:R$63)</f>
        <v>0</v>
      </c>
      <c r="S11" s="79">
        <f ca="1">SUMIF(IncState!$A$4:$AO$63,$A11,IncState!S$4:S$63)</f>
        <v>0</v>
      </c>
      <c r="T11" s="79">
        <f ca="1">SUMIF(IncState!$A$4:$AO$63,$A11,IncState!T$4:T$63)</f>
        <v>1000</v>
      </c>
      <c r="U11" s="79">
        <f ca="1">SUMIF(IncState!$A$4:$AO$63,$A11,IncState!U$4:U$63)</f>
        <v>0</v>
      </c>
      <c r="V11" s="79">
        <f ca="1">SUMIF(IncState!$A$4:$AO$63,$A11,IncState!V$4:V$63)</f>
        <v>0</v>
      </c>
      <c r="W11" s="79">
        <f ca="1">SUMIF(IncState!$A$4:$AO$63,$A11,IncState!W$4:W$63)</f>
        <v>0</v>
      </c>
      <c r="X11" s="79">
        <f ca="1">SUMIF(IncState!$A$4:$AO$63,$A11,IncState!X$4:X$63)</f>
        <v>1000</v>
      </c>
      <c r="Y11" s="79">
        <f ca="1">SUMIF(IncState!$A$4:$AO$63,$A11,IncState!Y$4:Y$63)</f>
        <v>0</v>
      </c>
      <c r="Z11" s="79">
        <f ca="1">SUMIF(IncState!$A$4:$AO$63,$A11,IncState!Z$4:Z$63)</f>
        <v>0</v>
      </c>
      <c r="AA11" s="79">
        <f ca="1">SUMIF(IncState!$A$4:$AO$63,$A11,IncState!AA$4:AA$63)</f>
        <v>0</v>
      </c>
      <c r="AB11" s="79">
        <f ca="1">SUMIF(IncState!$A$4:$AO$63,$A11,IncState!AB$4:AB$63)</f>
        <v>1000</v>
      </c>
      <c r="AC11" s="79">
        <f ca="1">SUMIF(IncState!$A$4:$AO$63,$A11,IncState!AC$4:AC$63)</f>
        <v>0</v>
      </c>
      <c r="AD11" s="79">
        <f ca="1">SUMIF(IncState!$A$4:$AO$63,$A11,IncState!AD$4:AD$63)</f>
        <v>0</v>
      </c>
      <c r="AE11" s="79">
        <f ca="1">SUMIF(IncState!$A$4:$AO$63,$A11,IncState!AE$4:AE$63)</f>
        <v>0</v>
      </c>
      <c r="AF11" s="79">
        <f ca="1">SUMIF(IncState!$A$4:$AO$63,$A11,IncState!AF$4:AF$63)</f>
        <v>0</v>
      </c>
      <c r="AG11" s="79">
        <f ca="1">SUMIF(IncState!$A$4:$AO$63,$A11,IncState!AG$4:AG$63)</f>
        <v>1000</v>
      </c>
      <c r="AH11" s="79">
        <f ca="1">SUMIF(IncState!$A$4:$AO$63,$A11,IncState!AH$4:AH$63)</f>
        <v>0</v>
      </c>
      <c r="AI11" s="79">
        <f ca="1">SUMIF(IncState!$A$4:$AO$63,$A11,IncState!AI$4:AI$63)</f>
        <v>0</v>
      </c>
      <c r="AJ11" s="79">
        <f ca="1">SUMIF(IncState!$A$4:$AO$63,$A11,IncState!AJ$4:AJ$63)</f>
        <v>0</v>
      </c>
      <c r="AK11" s="79">
        <f ca="1">SUMIF(IncState!$A$4:$AO$63,$A11,IncState!AK$4:AK$63)</f>
        <v>1000</v>
      </c>
      <c r="AL11" s="79">
        <f ca="1">SUMIF(IncState!$A$4:$AO$63,$A11,IncState!AL$4:AL$63)</f>
        <v>0</v>
      </c>
      <c r="AM11" s="79">
        <f ca="1">SUMIF(IncState!$A$4:$AO$63,$A11,IncState!AM$4:AM$63)</f>
        <v>0</v>
      </c>
      <c r="AN11" s="79">
        <f ca="1">SUMIF(IncState!$A$4:$AO$63,$A11,IncState!AN$4:AN$63)</f>
        <v>0</v>
      </c>
      <c r="AO11" s="79">
        <f ca="1">SUMIF(IncState!$A$4:$AO$63,$A11,IncState!AO$4:AO$63)</f>
        <v>1000</v>
      </c>
      <c r="AP11" s="79">
        <f ca="1">SUMIF(IncState!$A$4:$AO$63,$A11,IncState!AP$4:AP$63)</f>
        <v>0</v>
      </c>
      <c r="AQ11" s="79">
        <f ca="1">SUMIF(IncState!$A$4:$AO$63,$A11,IncState!AQ$4:AQ$63)</f>
        <v>0</v>
      </c>
      <c r="AR11" s="79">
        <f ca="1">SUMIF(IncState!$A$4:$AO$63,$A11,IncState!AR$4:AR$63)</f>
        <v>0</v>
      </c>
      <c r="AS11" s="79">
        <f ca="1">SUMIF(IncState!$A$4:$AO$63,$A11,IncState!AS$4:AS$63)</f>
        <v>0</v>
      </c>
      <c r="AT11" s="79">
        <f ca="1">SUMIF(IncState!$A$4:$AO$63,$A11,IncState!AT$4:AT$63)</f>
        <v>1000</v>
      </c>
      <c r="AU11" s="79">
        <f ca="1">SUMIF(IncState!$A$4:$AO$63,$A11,IncState!AU$4:AU$63)</f>
        <v>0</v>
      </c>
      <c r="AV11" s="79">
        <f ca="1">SUMIF(IncState!$A$4:$AO$63,$A11,IncState!AV$4:AV$63)</f>
        <v>0</v>
      </c>
      <c r="AW11" s="79">
        <f ca="1">SUMIF(IncState!$A$4:$AO$63,$A11,IncState!AW$4:AW$63)</f>
        <v>0</v>
      </c>
      <c r="AX11" s="79">
        <f ca="1">SUMIF(IncState!$A$4:$AO$63,$A11,IncState!AX$4:AX$63)</f>
        <v>1000</v>
      </c>
      <c r="AY11" s="79">
        <f ca="1">SUMIF(IncState!$A$4:$AO$63,$A11,IncState!AY$4:AY$63)</f>
        <v>0</v>
      </c>
      <c r="AZ11" s="79">
        <f ca="1">SUMIF(IncState!$A$4:$AO$63,$A11,IncState!AZ$4:AZ$63)</f>
        <v>0</v>
      </c>
      <c r="BA11" s="79">
        <f ca="1">SUMIF(IncState!$A$4:$AO$63,$A11,IncState!BA$4:BA$63)</f>
        <v>0</v>
      </c>
      <c r="BB11" s="79">
        <f ca="1">SUMIF(IncState!$A$4:$AO$63,$A11,IncState!BB$4:BB$63)</f>
        <v>1000</v>
      </c>
      <c r="BC11" s="52">
        <f ca="1">SUM(OFFSET($B11,0,1,1,Assumptions!$C$8))</f>
        <v>3000</v>
      </c>
      <c r="BD11" s="52">
        <f ca="1">SUM(OFFSET($B11,0,1+Assumptions!$C$8,1,SUM(Assumptions!$C$9)))</f>
        <v>3000</v>
      </c>
      <c r="BE11" s="52">
        <f ca="1">SUM(OFFSET($B11,0,1+SUM(Assumptions!$C$8:$C$9),1,SUM(Assumptions!$C$10)))</f>
        <v>3000</v>
      </c>
      <c r="BF11" s="52">
        <f ca="1">SUM(OFFSET($B11,0,1+SUM(Assumptions!$C$8:$C$10),1,SUM(Assumptions!$C$11)))</f>
        <v>3000</v>
      </c>
      <c r="BG11" s="52">
        <f t="shared" ref="BG11:BG13" ca="1" si="1">SUM(BC11:BF11)</f>
        <v>12000</v>
      </c>
    </row>
    <row r="12" spans="1:59" ht="16.149999999999999" customHeight="1" x14ac:dyDescent="0.3">
      <c r="A12" s="171" t="s">
        <v>153</v>
      </c>
      <c r="B12" s="5" t="s">
        <v>154</v>
      </c>
      <c r="C12" s="79">
        <v>0</v>
      </c>
      <c r="D12" s="79">
        <v>0</v>
      </c>
      <c r="E12" s="79">
        <v>0</v>
      </c>
      <c r="F12" s="79">
        <v>0</v>
      </c>
      <c r="G12" s="79">
        <v>0</v>
      </c>
      <c r="H12" s="79">
        <v>0</v>
      </c>
      <c r="I12" s="79">
        <v>0</v>
      </c>
      <c r="J12" s="79">
        <v>0</v>
      </c>
      <c r="K12" s="79">
        <v>0</v>
      </c>
      <c r="L12" s="79">
        <v>0</v>
      </c>
      <c r="M12" s="79">
        <v>0</v>
      </c>
      <c r="N12" s="79">
        <v>0</v>
      </c>
      <c r="O12" s="79">
        <v>0</v>
      </c>
      <c r="P12" s="79">
        <v>0</v>
      </c>
      <c r="Q12" s="79">
        <v>0</v>
      </c>
      <c r="R12" s="79">
        <v>0</v>
      </c>
      <c r="S12" s="79">
        <v>0</v>
      </c>
      <c r="T12" s="79">
        <v>0</v>
      </c>
      <c r="U12" s="79">
        <v>0</v>
      </c>
      <c r="V12" s="79">
        <v>0</v>
      </c>
      <c r="W12" s="79">
        <v>0</v>
      </c>
      <c r="X12" s="79">
        <v>0</v>
      </c>
      <c r="Y12" s="79">
        <v>0</v>
      </c>
      <c r="Z12" s="79">
        <v>0</v>
      </c>
      <c r="AA12" s="79">
        <v>0</v>
      </c>
      <c r="AB12" s="79">
        <v>0</v>
      </c>
      <c r="AC12" s="79">
        <v>0</v>
      </c>
      <c r="AD12" s="79">
        <v>0</v>
      </c>
      <c r="AE12" s="79">
        <v>0</v>
      </c>
      <c r="AF12" s="79">
        <v>0</v>
      </c>
      <c r="AG12" s="79">
        <v>0</v>
      </c>
      <c r="AH12" s="79">
        <v>0</v>
      </c>
      <c r="AI12" s="79">
        <v>0</v>
      </c>
      <c r="AJ12" s="79">
        <v>0</v>
      </c>
      <c r="AK12" s="79">
        <v>0</v>
      </c>
      <c r="AL12" s="79">
        <v>0</v>
      </c>
      <c r="AM12" s="79">
        <v>0</v>
      </c>
      <c r="AN12" s="79">
        <v>0</v>
      </c>
      <c r="AO12" s="79">
        <v>0</v>
      </c>
      <c r="AP12" s="79">
        <v>0</v>
      </c>
      <c r="AQ12" s="79">
        <v>0</v>
      </c>
      <c r="AR12" s="79">
        <v>0</v>
      </c>
      <c r="AS12" s="79">
        <v>0</v>
      </c>
      <c r="AT12" s="79">
        <v>0</v>
      </c>
      <c r="AU12" s="79">
        <v>0</v>
      </c>
      <c r="AV12" s="79">
        <v>0</v>
      </c>
      <c r="AW12" s="79">
        <v>0</v>
      </c>
      <c r="AX12" s="79">
        <v>0</v>
      </c>
      <c r="AY12" s="79">
        <v>0</v>
      </c>
      <c r="AZ12" s="79">
        <v>0</v>
      </c>
      <c r="BA12" s="79">
        <v>0</v>
      </c>
      <c r="BB12" s="79">
        <v>0</v>
      </c>
      <c r="BC12" s="52">
        <f ca="1">SUM(OFFSET($B12,0,1,1,Assumptions!$C$8))</f>
        <v>0</v>
      </c>
      <c r="BD12" s="52">
        <f ca="1">SUM(OFFSET($B12,0,1+Assumptions!$C$8,1,SUM(Assumptions!$C$9)))</f>
        <v>0</v>
      </c>
      <c r="BE12" s="52">
        <f ca="1">SUM(OFFSET($B12,0,1+SUM(Assumptions!$C$8:$C$9),1,SUM(Assumptions!$C$10)))</f>
        <v>0</v>
      </c>
      <c r="BF12" s="52">
        <f ca="1">SUM(OFFSET($B12,0,1+SUM(Assumptions!$C$8:$C$10),1,SUM(Assumptions!$C$11)))</f>
        <v>0</v>
      </c>
      <c r="BG12" s="52">
        <f t="shared" ca="1" si="1"/>
        <v>0</v>
      </c>
    </row>
    <row r="13" spans="1:59" s="10" customFormat="1" ht="16.149999999999999" customHeight="1" x14ac:dyDescent="0.3">
      <c r="A13" s="168"/>
      <c r="B13" s="6" t="s">
        <v>63</v>
      </c>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f ca="1">SUM(OFFSET($B13,0,1,1,Assumptions!$C$8))</f>
        <v>0</v>
      </c>
      <c r="BD13" s="52">
        <f ca="1">SUM(OFFSET($B13,0,1+Assumptions!$C$8,1,SUM(Assumptions!$C$9)))</f>
        <v>0</v>
      </c>
      <c r="BE13" s="52">
        <f ca="1">SUM(OFFSET($B13,0,1+SUM(Assumptions!$C$8:$C$9),1,SUM(Assumptions!$C$10)))</f>
        <v>0</v>
      </c>
      <c r="BF13" s="52">
        <f ca="1">SUM(OFFSET($B13,0,1+SUM(Assumptions!$C$8:$C$10),1,SUM(Assumptions!$C$11)))</f>
        <v>0</v>
      </c>
      <c r="BG13" s="52">
        <f t="shared" ca="1" si="1"/>
        <v>0</v>
      </c>
    </row>
    <row r="14" spans="1:59" s="16" customFormat="1" ht="16.149999999999999" customHeight="1" x14ac:dyDescent="0.3">
      <c r="A14" s="172" t="s">
        <v>145</v>
      </c>
      <c r="B14" s="55" t="s">
        <v>25</v>
      </c>
      <c r="C14" s="51">
        <f ca="1">OFFSET(BalanceSheet!$B12,0,COLUMN(C$4)-COLUMN($B$4),1,1)-OFFSET(BalanceSheet!$B12,0,COLUMN(C$4)-COLUMN($B$4)+1,1,1)</f>
        <v>666.66666666665697</v>
      </c>
      <c r="D14" s="51">
        <f ca="1">OFFSET(BalanceSheet!$B12,0,COLUMN(D$4)-COLUMN($B$4),1,1)-OFFSET(BalanceSheet!$B12,0,COLUMN(D$4)-COLUMN($B$4)+1,1,1)</f>
        <v>6745.0666666666802</v>
      </c>
      <c r="E14" s="51">
        <f ca="1">OFFSET(BalanceSheet!$B12,0,COLUMN(E$4)-COLUMN($B$4),1,1)-OFFSET(BalanceSheet!$B12,0,COLUMN(E$4)-COLUMN($B$4)+1,1,1)</f>
        <v>-1933.333333333343</v>
      </c>
      <c r="F14" s="51">
        <f ca="1">OFFSET(BalanceSheet!$B12,0,COLUMN(F$4)-COLUMN($B$4),1,1)-OFFSET(BalanceSheet!$B12,0,COLUMN(F$4)-COLUMN($B$4)+1,1,1)</f>
        <v>-2973.333333333343</v>
      </c>
      <c r="G14" s="51">
        <f ca="1">OFFSET(BalanceSheet!$B12,0,COLUMN(G$4)-COLUMN($B$4),1,1)-OFFSET(BalanceSheet!$B12,0,COLUMN(G$4)-COLUMN($B$4)+1,1,1)</f>
        <v>-1897.5238095237873</v>
      </c>
      <c r="H14" s="51">
        <f ca="1">OFFSET(BalanceSheet!$B12,0,COLUMN(H$4)-COLUMN($B$4),1,1)-OFFSET(BalanceSheet!$B12,0,COLUMN(H$4)-COLUMN($B$4)+1,1,1)</f>
        <v>-3771.7142857142899</v>
      </c>
      <c r="I14" s="51">
        <f ca="1">OFFSET(BalanceSheet!$B12,0,COLUMN(I$4)-COLUMN($B$4),1,1)-OFFSET(BalanceSheet!$B12,0,COLUMN(I$4)-COLUMN($B$4)+1,1,1)</f>
        <v>4722.4571428571362</v>
      </c>
      <c r="J14" s="51">
        <f ca="1">OFFSET(BalanceSheet!$B12,0,COLUMN(J$4)-COLUMN($B$4),1,1)-OFFSET(BalanceSheet!$B12,0,COLUMN(J$4)-COLUMN($B$4)+1,1,1)</f>
        <v>2652.8571428571595</v>
      </c>
      <c r="K14" s="51">
        <f ca="1">OFFSET(BalanceSheet!$B12,0,COLUMN(K$4)-COLUMN($B$4),1,1)-OFFSET(BalanceSheet!$B12,0,COLUMN(K$4)-COLUMN($B$4)+1,1,1)</f>
        <v>3731.4285714285506</v>
      </c>
      <c r="L14" s="51">
        <f ca="1">OFFSET(BalanceSheet!$B12,0,COLUMN(L$4)-COLUMN($B$4),1,1)-OFFSET(BalanceSheet!$B12,0,COLUMN(L$4)-COLUMN($B$4)+1,1,1)</f>
        <v>-1130.5714285714203</v>
      </c>
      <c r="M14" s="51">
        <f ca="1">OFFSET(BalanceSheet!$B12,0,COLUMN(M$4)-COLUMN($B$4),1,1)-OFFSET(BalanceSheet!$B12,0,COLUMN(M$4)-COLUMN($B$4)+1,1,1)</f>
        <v>-6030</v>
      </c>
      <c r="N14" s="51">
        <f ca="1">OFFSET(BalanceSheet!$B12,0,COLUMN(N$4)-COLUMN($B$4),1,1)-OFFSET(BalanceSheet!$B12,0,COLUMN(N$4)-COLUMN($B$4)+1,1,1)</f>
        <v>-3150</v>
      </c>
      <c r="O14" s="51">
        <f ca="1">OFFSET(BalanceSheet!$B12,0,COLUMN(O$4)-COLUMN($B$4),1,1)-OFFSET(BalanceSheet!$B12,0,COLUMN(O$4)-COLUMN($B$4)+1,1,1)</f>
        <v>-720</v>
      </c>
      <c r="P14" s="51">
        <f ca="1">OFFSET(BalanceSheet!$B12,0,COLUMN(P$4)-COLUMN($B$4),1,1)-OFFSET(BalanceSheet!$B12,0,COLUMN(P$4)-COLUMN($B$4)+1,1,1)</f>
        <v>-4500</v>
      </c>
      <c r="Q14" s="51">
        <f ca="1">OFFSET(BalanceSheet!$B12,0,COLUMN(Q$4)-COLUMN($B$4),1,1)-OFFSET(BalanceSheet!$B12,0,COLUMN(Q$4)-COLUMN($B$4)+1,1,1)</f>
        <v>900</v>
      </c>
      <c r="R14" s="51">
        <f ca="1">OFFSET(BalanceSheet!$B12,0,COLUMN(R$4)-COLUMN($B$4),1,1)-OFFSET(BalanceSheet!$B12,0,COLUMN(R$4)-COLUMN($B$4)+1,1,1)</f>
        <v>702</v>
      </c>
      <c r="S14" s="51">
        <f ca="1">OFFSET(BalanceSheet!$B12,0,COLUMN(S$4)-COLUMN($B$4),1,1)-OFFSET(BalanceSheet!$B12,0,COLUMN(S$4)-COLUMN($B$4)+1,1,1)</f>
        <v>-3762</v>
      </c>
      <c r="T14" s="51">
        <f ca="1">OFFSET(BalanceSheet!$B12,0,COLUMN(T$4)-COLUMN($B$4),1,1)-OFFSET(BalanceSheet!$B12,0,COLUMN(T$4)-COLUMN($B$4)+1,1,1)</f>
        <v>-1944</v>
      </c>
      <c r="U14" s="51">
        <f ca="1">OFFSET(BalanceSheet!$B12,0,COLUMN(U$4)-COLUMN($B$4),1,1)-OFFSET(BalanceSheet!$B12,0,COLUMN(U$4)-COLUMN($B$4)+1,1,1)</f>
        <v>-2322</v>
      </c>
      <c r="V14" s="51">
        <f ca="1">OFFSET(BalanceSheet!$B12,0,COLUMN(V$4)-COLUMN($B$4),1,1)-OFFSET(BalanceSheet!$B12,0,COLUMN(V$4)-COLUMN($B$4)+1,1,1)</f>
        <v>2150</v>
      </c>
      <c r="W14" s="51">
        <f ca="1">OFFSET(BalanceSheet!$B12,0,COLUMN(W$4)-COLUMN($B$4),1,1)-OFFSET(BalanceSheet!$B12,0,COLUMN(W$4)-COLUMN($B$4)+1,1,1)</f>
        <v>3618</v>
      </c>
      <c r="X14" s="51">
        <f ca="1">OFFSET(BalanceSheet!$B12,0,COLUMN(X$4)-COLUMN($B$4),1,1)-OFFSET(BalanceSheet!$B12,0,COLUMN(X$4)-COLUMN($B$4)+1,1,1)</f>
        <v>880</v>
      </c>
      <c r="Y14" s="51">
        <f ca="1">OFFSET(BalanceSheet!$B12,0,COLUMN(Y$4)-COLUMN($B$4),1,1)-OFFSET(BalanceSheet!$B12,0,COLUMN(Y$4)-COLUMN($B$4)+1,1,1)</f>
        <v>2062</v>
      </c>
      <c r="Z14" s="51">
        <f ca="1">OFFSET(BalanceSheet!$B12,0,COLUMN(Z$4)-COLUMN($B$4),1,1)-OFFSET(BalanceSheet!$B12,0,COLUMN(Z$4)-COLUMN($B$4)+1,1,1)</f>
        <v>-4938.8571428571304</v>
      </c>
      <c r="AA14" s="51">
        <f ca="1">OFFSET(BalanceSheet!$B12,0,COLUMN(AA$4)-COLUMN($B$4),1,1)-OFFSET(BalanceSheet!$B12,0,COLUMN(AA$4)-COLUMN($B$4)+1,1,1)</f>
        <v>-5385.1428571428696</v>
      </c>
      <c r="AB14" s="51">
        <f ca="1">OFFSET(BalanceSheet!$B12,0,COLUMN(AB$4)-COLUMN($B$4),1,1)-OFFSET(BalanceSheet!$B12,0,COLUMN(AB$4)-COLUMN($B$4)+1,1,1)</f>
        <v>-906</v>
      </c>
      <c r="AC14" s="51">
        <f ca="1">OFFSET(BalanceSheet!$B12,0,COLUMN(AC$4)-COLUMN($B$4),1,1)-OFFSET(BalanceSheet!$B12,0,COLUMN(AC$4)-COLUMN($B$4)+1,1,1)</f>
        <v>-1102.8571428571304</v>
      </c>
      <c r="AD14" s="51">
        <f ca="1">OFFSET(BalanceSheet!$B12,0,COLUMN(AD$4)-COLUMN($B$4),1,1)-OFFSET(BalanceSheet!$B12,0,COLUMN(AD$4)-COLUMN($B$4)+1,1,1)</f>
        <v>-122.28571428573923</v>
      </c>
      <c r="AE14" s="51">
        <f ca="1">OFFSET(BalanceSheet!$B12,0,COLUMN(AE$4)-COLUMN($B$4),1,1)-OFFSET(BalanceSheet!$B12,0,COLUMN(AE$4)-COLUMN($B$4)+1,1,1)</f>
        <v>-194.85714285713038</v>
      </c>
      <c r="AF14" s="51">
        <f ca="1">OFFSET(BalanceSheet!$B12,0,COLUMN(AF$4)-COLUMN($B$4),1,1)-OFFSET(BalanceSheet!$B12,0,COLUMN(AF$4)-COLUMN($B$4)+1,1,1)</f>
        <v>1529.4285714285797</v>
      </c>
      <c r="AG14" s="51">
        <f ca="1">OFFSET(BalanceSheet!$B12,0,COLUMN(AG$4)-COLUMN($B$4),1,1)-OFFSET(BalanceSheet!$B12,0,COLUMN(AG$4)-COLUMN($B$4)+1,1,1)</f>
        <v>-1066.8571428571595</v>
      </c>
      <c r="AH14" s="51">
        <f ca="1">OFFSET(BalanceSheet!$B12,0,COLUMN(AH$4)-COLUMN($B$4),1,1)-OFFSET(BalanceSheet!$B12,0,COLUMN(AH$4)-COLUMN($B$4)+1,1,1)</f>
        <v>274.28571428571013</v>
      </c>
      <c r="AI14" s="51">
        <f ca="1">OFFSET(BalanceSheet!$B12,0,COLUMN(AI$4)-COLUMN($B$4),1,1)-OFFSET(BalanceSheet!$B12,0,COLUMN(AI$4)-COLUMN($B$4)+1,1,1)</f>
        <v>-1217.1428571428405</v>
      </c>
      <c r="AJ14" s="51">
        <f ca="1">OFFSET(BalanceSheet!$B12,0,COLUMN(AJ$4)-COLUMN($B$4),1,1)-OFFSET(BalanceSheet!$B12,0,COLUMN(AJ$4)-COLUMN($B$4)+1,1,1)</f>
        <v>-4011.4285714285797</v>
      </c>
      <c r="AK14" s="51">
        <f ca="1">OFFSET(BalanceSheet!$B12,0,COLUMN(AK$4)-COLUMN($B$4),1,1)-OFFSET(BalanceSheet!$B12,0,COLUMN(AK$4)-COLUMN($B$4)+1,1,1)</f>
        <v>-960</v>
      </c>
      <c r="AL14" s="51">
        <f ca="1">OFFSET(BalanceSheet!$B12,0,COLUMN(AL$4)-COLUMN($B$4),1,1)-OFFSET(BalanceSheet!$B12,0,COLUMN(AL$4)-COLUMN($B$4)+1,1,1)</f>
        <v>-1714.2857142857101</v>
      </c>
      <c r="AM14" s="51">
        <f ca="1">OFFSET(BalanceSheet!$B12,0,COLUMN(AM$4)-COLUMN($B$4),1,1)-OFFSET(BalanceSheet!$B12,0,COLUMN(AM$4)-COLUMN($B$4)+1,1,1)</f>
        <v>-1062.8571428571304</v>
      </c>
      <c r="AN14" s="51">
        <f ca="1">OFFSET(BalanceSheet!$B12,0,COLUMN(AN$4)-COLUMN($B$4),1,1)-OFFSET(BalanceSheet!$B12,0,COLUMN(AN$4)-COLUMN($B$4)+1,1,1)</f>
        <v>1525.7142857142608</v>
      </c>
      <c r="AO14" s="51">
        <f ca="1">OFFSET(BalanceSheet!$B12,0,COLUMN(AO$4)-COLUMN($B$4),1,1)-OFFSET(BalanceSheet!$B12,0,COLUMN(AO$4)-COLUMN($B$4)+1,1,1)</f>
        <v>-1577.1428571428405</v>
      </c>
      <c r="AP14" s="51">
        <f ca="1">OFFSET(BalanceSheet!$B12,0,COLUMN(AP$4)-COLUMN($B$4),1,1)-OFFSET(BalanceSheet!$B12,0,COLUMN(AP$4)-COLUMN($B$4)+1,1,1)</f>
        <v>2989.7142857142899</v>
      </c>
      <c r="AQ14" s="51">
        <f ca="1">OFFSET(BalanceSheet!$B12,0,COLUMN(AQ$4)-COLUMN($B$4),1,1)-OFFSET(BalanceSheet!$B12,0,COLUMN(AQ$4)-COLUMN($B$4)+1,1,1)</f>
        <v>9884.5714285714203</v>
      </c>
      <c r="AR14" s="51">
        <f ca="1">OFFSET(BalanceSheet!$B12,0,COLUMN(AR$4)-COLUMN($B$4),1,1)-OFFSET(BalanceSheet!$B12,0,COLUMN(AR$4)-COLUMN($B$4)+1,1,1)</f>
        <v>7241.1428571428696</v>
      </c>
      <c r="AS14" s="51">
        <f ca="1">OFFSET(BalanceSheet!$B12,0,COLUMN(AS$4)-COLUMN($B$4),1,1)-OFFSET(BalanceSheet!$B12,0,COLUMN(AS$4)-COLUMN($B$4)+1,1,1)</f>
        <v>17115.428571428551</v>
      </c>
      <c r="AT14" s="51">
        <f ca="1">OFFSET(BalanceSheet!$B12,0,COLUMN(AT$4)-COLUMN($B$4),1,1)-OFFSET(BalanceSheet!$B12,0,COLUMN(AT$4)-COLUMN($B$4)+1,1,1)</f>
        <v>19121.828571428574</v>
      </c>
      <c r="AU14" s="51">
        <f ca="1">OFFSET(BalanceSheet!$B12,0,COLUMN(AU$4)-COLUMN($B$4),1,1)-OFFSET(BalanceSheet!$B12,0,COLUMN(AU$4)-COLUMN($B$4)+1,1,1)</f>
        <v>11359.542857142849</v>
      </c>
      <c r="AV14" s="51">
        <f ca="1">OFFSET(BalanceSheet!$B12,0,COLUMN(AV$4)-COLUMN($B$4),1,1)-OFFSET(BalanceSheet!$B12,0,COLUMN(AV$4)-COLUMN($B$4)+1,1,1)</f>
        <v>4721.1428571428696</v>
      </c>
      <c r="AW14" s="51">
        <f ca="1">OFFSET(BalanceSheet!$B12,0,COLUMN(AW$4)-COLUMN($B$4),1,1)-OFFSET(BalanceSheet!$B12,0,COLUMN(AW$4)-COLUMN($B$4)+1,1,1)</f>
        <v>-14224.457142857122</v>
      </c>
      <c r="AX14" s="51">
        <f ca="1">OFFSET(BalanceSheet!$B12,0,COLUMN(AX$4)-COLUMN($B$4),1,1)-OFFSET(BalanceSheet!$B12,0,COLUMN(AX$4)-COLUMN($B$4)+1,1,1)</f>
        <v>-19782.857142857159</v>
      </c>
      <c r="AY14" s="51">
        <f ca="1">OFFSET(BalanceSheet!$B12,0,COLUMN(AY$4)-COLUMN($B$4),1,1)-OFFSET(BalanceSheet!$B12,0,COLUMN(AY$4)-COLUMN($B$4)+1,1,1)</f>
        <v>-20596.114285714284</v>
      </c>
      <c r="AZ14" s="51">
        <f ca="1">OFFSET(BalanceSheet!$B12,0,COLUMN(AZ$4)-COLUMN($B$4),1,1)-OFFSET(BalanceSheet!$B12,0,COLUMN(AZ$4)-COLUMN($B$4)+1,1,1)</f>
        <v>-17733.257142857154</v>
      </c>
      <c r="BA14" s="51">
        <f ca="1">OFFSET(BalanceSheet!$B12,0,COLUMN(BA$4)-COLUMN($B$4),1,1)-OFFSET(BalanceSheet!$B12,0,COLUMN(BA$4)-COLUMN($B$4)+1,1,1)</f>
        <v>-5184</v>
      </c>
      <c r="BB14" s="51">
        <f ca="1">OFFSET(BalanceSheet!$B12,0,COLUMN(BB$4)-COLUMN($B$4),1,1)-OFFSET(BalanceSheet!$B12,0,COLUMN(BB$4)-COLUMN($B$4)+1,1,1)</f>
        <v>-586.97142857141444</v>
      </c>
      <c r="BC14" s="52">
        <f ca="1">SUM(OFFSET($B14,0,1,1,Assumptions!$C$8))</f>
        <v>-3088</v>
      </c>
      <c r="BD14" s="52">
        <f ca="1">SUM(OFFSET($B14,0,1+Assumptions!$C$8,1,SUM(Assumptions!$C$9)))</f>
        <v>-13446</v>
      </c>
      <c r="BE14" s="52">
        <f ca="1">SUM(OFFSET($B14,0,1+SUM(Assumptions!$C$8:$C$9),1,SUM(Assumptions!$C$10)))</f>
        <v>-9700.2857142857101</v>
      </c>
      <c r="BF14" s="52">
        <f ca="1">SUM(OFFSET($B14,0,1+SUM(Assumptions!$C$8:$C$10),1,SUM(Assumptions!$C$11)))</f>
        <v>-5674.2857142857101</v>
      </c>
      <c r="BG14" s="52">
        <f ca="1">SUM(BC14:BF14)</f>
        <v>-31908.57142857142</v>
      </c>
    </row>
    <row r="15" spans="1:59" s="16" customFormat="1" ht="16.149999999999999" customHeight="1" x14ac:dyDescent="0.3">
      <c r="A15" s="172" t="s">
        <v>146</v>
      </c>
      <c r="B15" s="55" t="s">
        <v>147</v>
      </c>
      <c r="C15" s="51">
        <f ca="1">OFFSET(BalanceSheet!$B13,0,COLUMN(C$4)-COLUMN($B$4),1,1)-OFFSET(BalanceSheet!$B13,0,COLUMN(C$4)-COLUMN($B$4)+1,1,1)</f>
        <v>5850</v>
      </c>
      <c r="D15" s="51">
        <f ca="1">OFFSET(BalanceSheet!$B13,0,COLUMN(D$4)-COLUMN($B$4),1,1)-OFFSET(BalanceSheet!$B13,0,COLUMN(D$4)-COLUMN($B$4)+1,1,1)</f>
        <v>20288.63333333336</v>
      </c>
      <c r="E15" s="51">
        <f ca="1">OFFSET(BalanceSheet!$B13,0,COLUMN(E$4)-COLUMN($B$4),1,1)-OFFSET(BalanceSheet!$B13,0,COLUMN(E$4)-COLUMN($B$4)+1,1,1)</f>
        <v>1173.3333333333139</v>
      </c>
      <c r="F15" s="51">
        <f ca="1">OFFSET(BalanceSheet!$B13,0,COLUMN(F$4)-COLUMN($B$4),1,1)-OFFSET(BalanceSheet!$B13,0,COLUMN(F$4)-COLUMN($B$4)+1,1,1)</f>
        <v>-4837.4761904761544</v>
      </c>
      <c r="G15" s="51">
        <f ca="1">OFFSET(BalanceSheet!$B13,0,COLUMN(G$4)-COLUMN($B$4),1,1)-OFFSET(BalanceSheet!$B13,0,COLUMN(G$4)-COLUMN($B$4)+1,1,1)</f>
        <v>-14876.235714285751</v>
      </c>
      <c r="H15" s="51">
        <f ca="1">OFFSET(BalanceSheet!$B13,0,COLUMN(H$4)-COLUMN($B$4),1,1)-OFFSET(BalanceSheet!$B13,0,COLUMN(H$4)-COLUMN($B$4)+1,1,1)</f>
        <v>-10506.153571428556</v>
      </c>
      <c r="I15" s="51">
        <f ca="1">OFFSET(BalanceSheet!$B13,0,COLUMN(I$4)-COLUMN($B$4),1,1)-OFFSET(BalanceSheet!$B13,0,COLUMN(I$4)-COLUMN($B$4)+1,1,1)</f>
        <v>15237.363095238106</v>
      </c>
      <c r="J15" s="51">
        <f ca="1">OFFSET(BalanceSheet!$B13,0,COLUMN(J$4)-COLUMN($B$4),1,1)-OFFSET(BalanceSheet!$B13,0,COLUMN(J$4)-COLUMN($B$4)+1,1,1)</f>
        <v>1699.2619047618355</v>
      </c>
      <c r="K15" s="51">
        <f ca="1">OFFSET(BalanceSheet!$B13,0,COLUMN(K$4)-COLUMN($B$4),1,1)-OFFSET(BalanceSheet!$B13,0,COLUMN(K$4)-COLUMN($B$4)+1,1,1)</f>
        <v>8227.839285714319</v>
      </c>
      <c r="L15" s="51">
        <f ca="1">OFFSET(BalanceSheet!$B13,0,COLUMN(L$4)-COLUMN($B$4),1,1)-OFFSET(BalanceSheet!$B13,0,COLUMN(L$4)-COLUMN($B$4)+1,1,1)</f>
        <v>-5204.9821428571013</v>
      </c>
      <c r="M15" s="51">
        <f ca="1">OFFSET(BalanceSheet!$B13,0,COLUMN(M$4)-COLUMN($B$4),1,1)-OFFSET(BalanceSheet!$B13,0,COLUMN(M$4)-COLUMN($B$4)+1,1,1)</f>
        <v>-14294.5</v>
      </c>
      <c r="N15" s="51">
        <f ca="1">OFFSET(BalanceSheet!$B13,0,COLUMN(N$4)-COLUMN($B$4),1,1)-OFFSET(BalanceSheet!$B13,0,COLUMN(N$4)-COLUMN($B$4)+1,1,1)</f>
        <v>-8111.8809523809468</v>
      </c>
      <c r="O15" s="51">
        <f ca="1">OFFSET(BalanceSheet!$B13,0,COLUMN(O$4)-COLUMN($B$4),1,1)-OFFSET(BalanceSheet!$B13,0,COLUMN(O$4)-COLUMN($B$4)+1,1,1)</f>
        <v>-5143.5119047619519</v>
      </c>
      <c r="P15" s="51">
        <f ca="1">OFFSET(BalanceSheet!$B13,0,COLUMN(P$4)-COLUMN($B$4),1,1)-OFFSET(BalanceSheet!$B13,0,COLUMN(P$4)-COLUMN($B$4)+1,1,1)</f>
        <v>-12361.130952380947</v>
      </c>
      <c r="Q15" s="51">
        <f ca="1">OFFSET(BalanceSheet!$B13,0,COLUMN(Q$4)-COLUMN($B$4),1,1)-OFFSET(BalanceSheet!$B13,0,COLUMN(Q$4)-COLUMN($B$4)+1,1,1)</f>
        <v>3653.7142857142608</v>
      </c>
      <c r="R15" s="51">
        <f ca="1">OFFSET(BalanceSheet!$B13,0,COLUMN(R$4)-COLUMN($B$4),1,1)-OFFSET(BalanceSheet!$B13,0,COLUMN(R$4)-COLUMN($B$4)+1,1,1)</f>
        <v>3995.1547619047924</v>
      </c>
      <c r="S15" s="51">
        <f ca="1">OFFSET(BalanceSheet!$B13,0,COLUMN(S$4)-COLUMN($B$4),1,1)-OFFSET(BalanceSheet!$B13,0,COLUMN(S$4)-COLUMN($B$4)+1,1,1)</f>
        <v>-2522.4702380952076</v>
      </c>
      <c r="T15" s="51">
        <f ca="1">OFFSET(BalanceSheet!$B13,0,COLUMN(T$4)-COLUMN($B$4),1,1)-OFFSET(BalanceSheet!$B13,0,COLUMN(T$4)-COLUMN($B$4)+1,1,1)</f>
        <v>-2918.8095238095266</v>
      </c>
      <c r="U15" s="51">
        <f ca="1">OFFSET(BalanceSheet!$B13,0,COLUMN(U$4)-COLUMN($B$4),1,1)-OFFSET(BalanceSheet!$B13,0,COLUMN(U$4)-COLUMN($B$4)+1,1,1)</f>
        <v>-11556.541666666686</v>
      </c>
      <c r="V15" s="51">
        <f ca="1">OFFSET(BalanceSheet!$B13,0,COLUMN(V$4)-COLUMN($B$4),1,1)-OFFSET(BalanceSheet!$B13,0,COLUMN(V$4)-COLUMN($B$4)+1,1,1)</f>
        <v>3077.4821428571595</v>
      </c>
      <c r="W15" s="51">
        <f ca="1">OFFSET(BalanceSheet!$B13,0,COLUMN(W$4)-COLUMN($B$4),1,1)-OFFSET(BalanceSheet!$B13,0,COLUMN(W$4)-COLUMN($B$4)+1,1,1)</f>
        <v>9031.6071428571013</v>
      </c>
      <c r="X15" s="51">
        <f ca="1">OFFSET(BalanceSheet!$B13,0,COLUMN(X$4)-COLUMN($B$4),1,1)-OFFSET(BalanceSheet!$B13,0,COLUMN(X$4)-COLUMN($B$4)+1,1,1)</f>
        <v>-1410.2559523809468</v>
      </c>
      <c r="Y15" s="51">
        <f ca="1">OFFSET(BalanceSheet!$B13,0,COLUMN(Y$4)-COLUMN($B$4),1,1)-OFFSET(BalanceSheet!$B13,0,COLUMN(Y$4)-COLUMN($B$4)+1,1,1)</f>
        <v>-1321.6785714285215</v>
      </c>
      <c r="Z15" s="51">
        <f ca="1">OFFSET(BalanceSheet!$B13,0,COLUMN(Z$4)-COLUMN($B$4),1,1)-OFFSET(BalanceSheet!$B13,0,COLUMN(Z$4)-COLUMN($B$4)+1,1,1)</f>
        <v>-13594.095238095266</v>
      </c>
      <c r="AA15" s="51">
        <f ca="1">OFFSET(BalanceSheet!$B13,0,COLUMN(AA$4)-COLUMN($B$4),1,1)-OFFSET(BalanceSheet!$B13,0,COLUMN(AA$4)-COLUMN($B$4)+1,1,1)</f>
        <v>-4415.9999999999418</v>
      </c>
      <c r="AB15" s="51">
        <f ca="1">OFFSET(BalanceSheet!$B13,0,COLUMN(AB$4)-COLUMN($B$4),1,1)-OFFSET(BalanceSheet!$B13,0,COLUMN(AB$4)-COLUMN($B$4)+1,1,1)</f>
        <v>1257.8809523809468</v>
      </c>
      <c r="AC15" s="51">
        <f ca="1">OFFSET(BalanceSheet!$B13,0,COLUMN(AC$4)-COLUMN($B$4),1,1)-OFFSET(BalanceSheet!$B13,0,COLUMN(AC$4)-COLUMN($B$4)+1,1,1)</f>
        <v>-2812.8452380952658</v>
      </c>
      <c r="AD15" s="51">
        <f ca="1">OFFSET(BalanceSheet!$B13,0,COLUMN(AD$4)-COLUMN($B$4),1,1)-OFFSET(BalanceSheet!$B13,0,COLUMN(AD$4)-COLUMN($B$4)+1,1,1)</f>
        <v>-1262.5357142857392</v>
      </c>
      <c r="AE15" s="51">
        <f ca="1">OFFSET(BalanceSheet!$B13,0,COLUMN(AE$4)-COLUMN($B$4),1,1)-OFFSET(BalanceSheet!$B13,0,COLUMN(AE$4)-COLUMN($B$4)+1,1,1)</f>
        <v>-5416.5</v>
      </c>
      <c r="AF15" s="51">
        <f ca="1">OFFSET(BalanceSheet!$B13,0,COLUMN(AF$4)-COLUMN($B$4),1,1)-OFFSET(BalanceSheet!$B13,0,COLUMN(AF$4)-COLUMN($B$4)+1,1,1)</f>
        <v>-182.7678571427823</v>
      </c>
      <c r="AG15" s="51">
        <f ca="1">OFFSET(BalanceSheet!$B13,0,COLUMN(AG$4)-COLUMN($B$4),1,1)-OFFSET(BalanceSheet!$B13,0,COLUMN(AG$4)-COLUMN($B$4)+1,1,1)</f>
        <v>-5705.3690476191114</v>
      </c>
      <c r="AH15" s="51">
        <f ca="1">OFFSET(BalanceSheet!$B13,0,COLUMN(AH$4)-COLUMN($B$4),1,1)-OFFSET(BalanceSheet!$B13,0,COLUMN(AH$4)-COLUMN($B$4)+1,1,1)</f>
        <v>-3801.0238095237291</v>
      </c>
      <c r="AI15" s="51">
        <f ca="1">OFFSET(BalanceSheet!$B13,0,COLUMN(AI$4)-COLUMN($B$4),1,1)-OFFSET(BalanceSheet!$B13,0,COLUMN(AI$4)-COLUMN($B$4)+1,1,1)</f>
        <v>-4255.4107142857974</v>
      </c>
      <c r="AJ15" s="51">
        <f ca="1">OFFSET(BalanceSheet!$B13,0,COLUMN(AJ$4)-COLUMN($B$4),1,1)-OFFSET(BalanceSheet!$B13,0,COLUMN(AJ$4)-COLUMN($B$4)+1,1,1)</f>
        <v>-9572.6547619047342</v>
      </c>
      <c r="AK15" s="51">
        <f ca="1">OFFSET(BalanceSheet!$B13,0,COLUMN(AK$4)-COLUMN($B$4),1,1)-OFFSET(BalanceSheet!$B13,0,COLUMN(AK$4)-COLUMN($B$4)+1,1,1)</f>
        <v>710.80952380946837</v>
      </c>
      <c r="AL15" s="51">
        <f ca="1">OFFSET(BalanceSheet!$B13,0,COLUMN(AL$4)-COLUMN($B$4),1,1)-OFFSET(BalanceSheet!$B13,0,COLUMN(AL$4)-COLUMN($B$4)+1,1,1)</f>
        <v>-328.2976190475747</v>
      </c>
      <c r="AM15" s="51">
        <f ca="1">OFFSET(BalanceSheet!$B13,0,COLUMN(AM$4)-COLUMN($B$4),1,1)-OFFSET(BalanceSheet!$B13,0,COLUMN(AM$4)-COLUMN($B$4)+1,1,1)</f>
        <v>-1536.8928571428405</v>
      </c>
      <c r="AN15" s="51">
        <f ca="1">OFFSET(BalanceSheet!$B13,0,COLUMN(AN$4)-COLUMN($B$4),1,1)-OFFSET(BalanceSheet!$B13,0,COLUMN(AN$4)-COLUMN($B$4)+1,1,1)</f>
        <v>6180.1547619047342</v>
      </c>
      <c r="AO15" s="51">
        <f ca="1">OFFSET(BalanceSheet!$B13,0,COLUMN(AO$4)-COLUMN($B$4),1,1)-OFFSET(BalanceSheet!$B13,0,COLUMN(AO$4)-COLUMN($B$4)+1,1,1)</f>
        <v>-5712.2142857142608</v>
      </c>
      <c r="AP15" s="51">
        <f ca="1">OFFSET(BalanceSheet!$B13,0,COLUMN(AP$4)-COLUMN($B$4),1,1)-OFFSET(BalanceSheet!$B13,0,COLUMN(AP$4)-COLUMN($B$4)+1,1,1)</f>
        <v>12087.649999999965</v>
      </c>
      <c r="AQ15" s="51">
        <f ca="1">OFFSET(BalanceSheet!$B13,0,COLUMN(AQ$4)-COLUMN($B$4),1,1)-OFFSET(BalanceSheet!$B13,0,COLUMN(AQ$4)-COLUMN($B$4)+1,1,1)</f>
        <v>22517.328571428603</v>
      </c>
      <c r="AR15" s="51">
        <f ca="1">OFFSET(BalanceSheet!$B13,0,COLUMN(AR$4)-COLUMN($B$4),1,1)-OFFSET(BalanceSheet!$B13,0,COLUMN(AR$4)-COLUMN($B$4)+1,1,1)</f>
        <v>18544.242857142817</v>
      </c>
      <c r="AS15" s="51">
        <f ca="1">OFFSET(BalanceSheet!$B13,0,COLUMN(AS$4)-COLUMN($B$4),1,1)-OFFSET(BalanceSheet!$B13,0,COLUMN(AS$4)-COLUMN($B$4)+1,1,1)</f>
        <v>43752.461904761847</v>
      </c>
      <c r="AT15" s="51">
        <f ca="1">OFFSET(BalanceSheet!$B13,0,COLUMN(AT$4)-COLUMN($B$4),1,1)-OFFSET(BalanceSheet!$B13,0,COLUMN(AT$4)-COLUMN($B$4)+1,1,1)</f>
        <v>42387.116190476285</v>
      </c>
      <c r="AU15" s="51">
        <f ca="1">OFFSET(BalanceSheet!$B13,0,COLUMN(AU$4)-COLUMN($B$4),1,1)-OFFSET(BalanceSheet!$B13,0,COLUMN(AU$4)-COLUMN($B$4)+1,1,1)</f>
        <v>32132.511428571364</v>
      </c>
      <c r="AV15" s="51">
        <f ca="1">OFFSET(BalanceSheet!$B13,0,COLUMN(AV$4)-COLUMN($B$4),1,1)-OFFSET(BalanceSheet!$B13,0,COLUMN(AV$4)-COLUMN($B$4)+1,1,1)</f>
        <v>2002.7250000000349</v>
      </c>
      <c r="AW15" s="51">
        <f ca="1">OFFSET(BalanceSheet!$B13,0,COLUMN(AW$4)-COLUMN($B$4),1,1)-OFFSET(BalanceSheet!$B13,0,COLUMN(AW$4)-COLUMN($B$4)+1,1,1)</f>
        <v>-54203.607142857101</v>
      </c>
      <c r="AX15" s="51">
        <f ca="1">OFFSET(BalanceSheet!$B13,0,COLUMN(AX$4)-COLUMN($B$4),1,1)-OFFSET(BalanceSheet!$B13,0,COLUMN(AX$4)-COLUMN($B$4)+1,1,1)</f>
        <v>-60020.011428571481</v>
      </c>
      <c r="AY15" s="51">
        <f ca="1">OFFSET(BalanceSheet!$B13,0,COLUMN(AY$4)-COLUMN($B$4),1,1)-OFFSET(BalanceSheet!$B13,0,COLUMN(AY$4)-COLUMN($B$4)+1,1,1)</f>
        <v>-49637.324047619011</v>
      </c>
      <c r="AZ15" s="51">
        <f ca="1">OFFSET(BalanceSheet!$B13,0,COLUMN(AZ$4)-COLUMN($B$4),1,1)-OFFSET(BalanceSheet!$B13,0,COLUMN(AZ$4)-COLUMN($B$4)+1,1,1)</f>
        <v>-24038.373333333351</v>
      </c>
      <c r="BA15" s="51">
        <f ca="1">OFFSET(BalanceSheet!$B13,0,COLUMN(BA$4)-COLUMN($B$4),1,1)-OFFSET(BalanceSheet!$B13,0,COLUMN(BA$4)-COLUMN($B$4)+1,1,1)</f>
        <v>-1609.8247619047761</v>
      </c>
      <c r="BB15" s="51">
        <f ca="1">OFFSET(BalanceSheet!$B13,0,COLUMN(BB$4)-COLUMN($B$4),1,1)-OFFSET(BalanceSheet!$B13,0,COLUMN(BB$4)-COLUMN($B$4)+1,1,1)</f>
        <v>-834.79047619045014</v>
      </c>
      <c r="BC15" s="52">
        <f ca="1">SUM(OFFSET($B15,0,1,1,Assumptions!$C$8))</f>
        <v>-10498.309523809527</v>
      </c>
      <c r="BD15" s="52">
        <f ca="1">SUM(OFFSET($B15,0,1+Assumptions!$C$8,1,SUM(Assumptions!$C$9)))</f>
        <v>-29085.142857142782</v>
      </c>
      <c r="BE15" s="52">
        <f ca="1">SUM(OFFSET($B15,0,1+SUM(Assumptions!$C$8:$C$9),1,SUM(Assumptions!$C$10)))</f>
        <v>-33695.547619047633</v>
      </c>
      <c r="BF15" s="52">
        <f ca="1">SUM(OFFSET($B15,0,1+SUM(Assumptions!$C$8:$C$10),1,SUM(Assumptions!$C$11)))</f>
        <v>-16919.895238095254</v>
      </c>
      <c r="BG15" s="52">
        <f ca="1">SUM(BC15:BF15)</f>
        <v>-90198.895238095196</v>
      </c>
    </row>
    <row r="16" spans="1:59" s="16" customFormat="1" ht="16.149999999999999" customHeight="1" x14ac:dyDescent="0.3">
      <c r="A16" s="178" t="s">
        <v>143</v>
      </c>
      <c r="B16" s="55" t="s">
        <v>144</v>
      </c>
      <c r="C16" s="51">
        <v>0</v>
      </c>
      <c r="D16" s="51">
        <v>0</v>
      </c>
      <c r="E16" s="51">
        <v>0</v>
      </c>
      <c r="F16" s="51">
        <v>0</v>
      </c>
      <c r="G16" s="51">
        <v>0</v>
      </c>
      <c r="H16" s="51">
        <v>0</v>
      </c>
      <c r="I16" s="51">
        <v>0</v>
      </c>
      <c r="J16" s="51">
        <v>0</v>
      </c>
      <c r="K16" s="51">
        <v>0</v>
      </c>
      <c r="L16" s="51">
        <v>0</v>
      </c>
      <c r="M16" s="51">
        <v>0</v>
      </c>
      <c r="N16" s="51">
        <v>0</v>
      </c>
      <c r="O16" s="51">
        <v>0</v>
      </c>
      <c r="P16" s="51">
        <v>0</v>
      </c>
      <c r="Q16" s="51">
        <v>0</v>
      </c>
      <c r="R16" s="51">
        <v>0</v>
      </c>
      <c r="S16" s="51">
        <v>0</v>
      </c>
      <c r="T16" s="51">
        <v>0</v>
      </c>
      <c r="U16" s="51">
        <v>0</v>
      </c>
      <c r="V16" s="51">
        <v>0</v>
      </c>
      <c r="W16" s="51">
        <v>0</v>
      </c>
      <c r="X16" s="51">
        <v>0</v>
      </c>
      <c r="Y16" s="51">
        <v>0</v>
      </c>
      <c r="Z16" s="51">
        <v>0</v>
      </c>
      <c r="AA16" s="51">
        <v>0</v>
      </c>
      <c r="AB16" s="51">
        <v>0</v>
      </c>
      <c r="AC16" s="51">
        <v>0</v>
      </c>
      <c r="AD16" s="51">
        <v>0</v>
      </c>
      <c r="AE16" s="51">
        <v>0</v>
      </c>
      <c r="AF16" s="51">
        <v>0</v>
      </c>
      <c r="AG16" s="51">
        <v>-10000</v>
      </c>
      <c r="AH16" s="51">
        <v>0</v>
      </c>
      <c r="AI16" s="51">
        <v>0</v>
      </c>
      <c r="AJ16" s="51">
        <v>0</v>
      </c>
      <c r="AK16" s="51">
        <v>0</v>
      </c>
      <c r="AL16" s="51">
        <v>0</v>
      </c>
      <c r="AM16" s="51">
        <v>0</v>
      </c>
      <c r="AN16" s="51">
        <v>0</v>
      </c>
      <c r="AO16" s="51">
        <v>0</v>
      </c>
      <c r="AP16" s="51">
        <v>10000</v>
      </c>
      <c r="AQ16" s="51">
        <v>0</v>
      </c>
      <c r="AR16" s="51">
        <v>0</v>
      </c>
      <c r="AS16" s="51">
        <v>0</v>
      </c>
      <c r="AT16" s="51">
        <v>0</v>
      </c>
      <c r="AU16" s="51">
        <v>0</v>
      </c>
      <c r="AV16" s="51">
        <v>0</v>
      </c>
      <c r="AW16" s="51">
        <v>0</v>
      </c>
      <c r="AX16" s="51">
        <v>0</v>
      </c>
      <c r="AY16" s="51">
        <v>0</v>
      </c>
      <c r="AZ16" s="51">
        <v>0</v>
      </c>
      <c r="BA16" s="51">
        <v>0</v>
      </c>
      <c r="BB16" s="51">
        <v>0</v>
      </c>
      <c r="BC16" s="52">
        <f ca="1">SUM(OFFSET($B16,0,1,1,Assumptions!$C$8))</f>
        <v>0</v>
      </c>
      <c r="BD16" s="52">
        <f ca="1">SUM(OFFSET($B16,0,1+Assumptions!$C$8,1,SUM(Assumptions!$C$9)))</f>
        <v>0</v>
      </c>
      <c r="BE16" s="52">
        <f ca="1">SUM(OFFSET($B16,0,1+SUM(Assumptions!$C$8:$C$9),1,SUM(Assumptions!$C$10)))</f>
        <v>-10000</v>
      </c>
      <c r="BF16" s="52">
        <f ca="1">SUM(OFFSET($B16,0,1+SUM(Assumptions!$C$8:$C$10),1,SUM(Assumptions!$C$11)))</f>
        <v>10000</v>
      </c>
      <c r="BG16" s="52">
        <f t="shared" ref="BG16:BG21" ca="1" si="2">SUM(BC16:BF16)</f>
        <v>0</v>
      </c>
    </row>
    <row r="17" spans="1:59" s="16" customFormat="1" ht="16.149999999999999" customHeight="1" x14ac:dyDescent="0.3">
      <c r="A17" s="178" t="s">
        <v>148</v>
      </c>
      <c r="B17" s="55" t="s">
        <v>149</v>
      </c>
      <c r="C17" s="51">
        <v>0</v>
      </c>
      <c r="D17" s="51">
        <v>0</v>
      </c>
      <c r="E17" s="51">
        <v>0</v>
      </c>
      <c r="F17" s="51">
        <v>0</v>
      </c>
      <c r="G17" s="51">
        <v>0</v>
      </c>
      <c r="H17" s="51">
        <v>0</v>
      </c>
      <c r="I17" s="51">
        <v>0</v>
      </c>
      <c r="J17" s="51">
        <v>0</v>
      </c>
      <c r="K17" s="51">
        <v>0</v>
      </c>
      <c r="L17" s="51">
        <v>0</v>
      </c>
      <c r="M17" s="51">
        <v>0</v>
      </c>
      <c r="N17" s="51">
        <v>0</v>
      </c>
      <c r="O17" s="51">
        <v>0</v>
      </c>
      <c r="P17" s="51">
        <v>0</v>
      </c>
      <c r="Q17" s="51">
        <v>0</v>
      </c>
      <c r="R17" s="51">
        <v>0</v>
      </c>
      <c r="S17" s="51">
        <v>0</v>
      </c>
      <c r="T17" s="51">
        <v>0</v>
      </c>
      <c r="U17" s="51">
        <v>0</v>
      </c>
      <c r="V17" s="51">
        <v>0</v>
      </c>
      <c r="W17" s="51">
        <v>0</v>
      </c>
      <c r="X17" s="51">
        <v>0</v>
      </c>
      <c r="Y17" s="51">
        <v>0</v>
      </c>
      <c r="Z17" s="51">
        <v>0</v>
      </c>
      <c r="AA17" s="51">
        <v>0</v>
      </c>
      <c r="AB17" s="51">
        <v>0</v>
      </c>
      <c r="AC17" s="51">
        <v>0</v>
      </c>
      <c r="AD17" s="51">
        <v>0</v>
      </c>
      <c r="AE17" s="51">
        <v>0</v>
      </c>
      <c r="AF17" s="51">
        <v>0</v>
      </c>
      <c r="AG17" s="51">
        <v>0</v>
      </c>
      <c r="AH17" s="51">
        <v>0</v>
      </c>
      <c r="AI17" s="51">
        <v>0</v>
      </c>
      <c r="AJ17" s="51">
        <v>0</v>
      </c>
      <c r="AK17" s="51">
        <v>0</v>
      </c>
      <c r="AL17" s="51">
        <v>0</v>
      </c>
      <c r="AM17" s="51">
        <v>0</v>
      </c>
      <c r="AN17" s="51">
        <v>0</v>
      </c>
      <c r="AO17" s="51">
        <v>0</v>
      </c>
      <c r="AP17" s="51">
        <v>0</v>
      </c>
      <c r="AQ17" s="51">
        <v>0</v>
      </c>
      <c r="AR17" s="51">
        <v>0</v>
      </c>
      <c r="AS17" s="51">
        <v>0</v>
      </c>
      <c r="AT17" s="51">
        <v>0</v>
      </c>
      <c r="AU17" s="51">
        <v>0</v>
      </c>
      <c r="AV17" s="51">
        <v>0</v>
      </c>
      <c r="AW17" s="51">
        <v>0</v>
      </c>
      <c r="AX17" s="51">
        <v>0</v>
      </c>
      <c r="AY17" s="51">
        <v>0</v>
      </c>
      <c r="AZ17" s="51">
        <v>0</v>
      </c>
      <c r="BA17" s="51">
        <v>0</v>
      </c>
      <c r="BB17" s="51">
        <v>0</v>
      </c>
      <c r="BC17" s="52">
        <f ca="1">SUM(OFFSET($B17,0,1,1,Assumptions!$C$8))</f>
        <v>0</v>
      </c>
      <c r="BD17" s="52">
        <f ca="1">SUM(OFFSET($B17,0,1+Assumptions!$C$8,1,SUM(Assumptions!$C$9)))</f>
        <v>0</v>
      </c>
      <c r="BE17" s="52">
        <f ca="1">SUM(OFFSET($B17,0,1+SUM(Assumptions!$C$8:$C$9),1,SUM(Assumptions!$C$10)))</f>
        <v>0</v>
      </c>
      <c r="BF17" s="52">
        <f ca="1">SUM(OFFSET($B17,0,1+SUM(Assumptions!$C$8:$C$10),1,SUM(Assumptions!$C$11)))</f>
        <v>0</v>
      </c>
      <c r="BG17" s="52">
        <f t="shared" ca="1" si="2"/>
        <v>0</v>
      </c>
    </row>
    <row r="18" spans="1:59" s="16" customFormat="1" ht="16.149999999999999" customHeight="1" x14ac:dyDescent="0.3">
      <c r="A18" s="172" t="s">
        <v>166</v>
      </c>
      <c r="B18" s="55" t="s">
        <v>167</v>
      </c>
      <c r="C18" s="51">
        <f ca="1">OFFSET(BalanceSheet!$B33,0,COLUMN(C$4)-COLUMN($B$4)+1,1,1)-OFFSET(BalanceSheet!$B33,0,COLUMN(C$4)-COLUMN($B$4),1,1)</f>
        <v>-650</v>
      </c>
      <c r="D18" s="51">
        <f ca="1">OFFSET(BalanceSheet!$B33,0,COLUMN(D$4)-COLUMN($B$4)+1,1,1)-OFFSET(BalanceSheet!$B33,0,COLUMN(D$4)-COLUMN($B$4),1,1)</f>
        <v>-7640.1600000000035</v>
      </c>
      <c r="E18" s="51">
        <f ca="1">OFFSET(BalanceSheet!$B33,0,COLUMN(E$4)-COLUMN($B$4)+1,1,1)-OFFSET(BalanceSheet!$B33,0,COLUMN(E$4)-COLUMN($B$4),1,1)</f>
        <v>7032.8571428571449</v>
      </c>
      <c r="F18" s="51">
        <f ca="1">OFFSET(BalanceSheet!$B33,0,COLUMN(F$4)-COLUMN($B$4)+1,1,1)-OFFSET(BalanceSheet!$B33,0,COLUMN(F$4)-COLUMN($B$4),1,1)</f>
        <v>5184.59428571428</v>
      </c>
      <c r="G18" s="51">
        <f ca="1">OFFSET(BalanceSheet!$B33,0,COLUMN(G$4)-COLUMN($B$4)+1,1,1)-OFFSET(BalanceSheet!$B33,0,COLUMN(G$4)-COLUMN($B$4),1,1)</f>
        <v>18963.729999999981</v>
      </c>
      <c r="H18" s="51">
        <f ca="1">OFFSET(BalanceSheet!$B33,0,COLUMN(H$4)-COLUMN($B$4)+1,1,1)-OFFSET(BalanceSheet!$B33,0,COLUMN(H$4)-COLUMN($B$4),1,1)</f>
        <v>1440.7857142857101</v>
      </c>
      <c r="I18" s="51">
        <f ca="1">OFFSET(BalanceSheet!$B33,0,COLUMN(I$4)-COLUMN($B$4)+1,1,1)-OFFSET(BalanceSheet!$B33,0,COLUMN(I$4)-COLUMN($B$4),1,1)</f>
        <v>2911.6357142857159</v>
      </c>
      <c r="J18" s="51">
        <f ca="1">OFFSET(BalanceSheet!$B33,0,COLUMN(J$4)-COLUMN($B$4)+1,1,1)-OFFSET(BalanceSheet!$B33,0,COLUMN(J$4)-COLUMN($B$4),1,1)</f>
        <v>-12475.528571428556</v>
      </c>
      <c r="K18" s="51">
        <f ca="1">OFFSET(BalanceSheet!$B33,0,COLUMN(K$4)-COLUMN($B$4)+1,1,1)-OFFSET(BalanceSheet!$B33,0,COLUMN(K$4)-COLUMN($B$4),1,1)</f>
        <v>1736.0071428571537</v>
      </c>
      <c r="L18" s="51">
        <f ca="1">OFFSET(BalanceSheet!$B33,0,COLUMN(L$4)-COLUMN($B$4)+1,1,1)-OFFSET(BalanceSheet!$B33,0,COLUMN(L$4)-COLUMN($B$4),1,1)</f>
        <v>-5887.6714285714261</v>
      </c>
      <c r="M18" s="51">
        <f ca="1">OFFSET(BalanceSheet!$B33,0,COLUMN(M$4)-COLUMN($B$4)+1,1,1)-OFFSET(BalanceSheet!$B33,0,COLUMN(M$4)-COLUMN($B$4),1,1)</f>
        <v>818.96428571426077</v>
      </c>
      <c r="N18" s="51">
        <f ca="1">OFFSET(BalanceSheet!$B33,0,COLUMN(N$4)-COLUMN($B$4)+1,1,1)-OFFSET(BalanceSheet!$B33,0,COLUMN(N$4)-COLUMN($B$4),1,1)</f>
        <v>-6347.0142857142782</v>
      </c>
      <c r="O18" s="51">
        <f ca="1">OFFSET(BalanceSheet!$B33,0,COLUMN(O$4)-COLUMN($B$4)+1,1,1)-OFFSET(BalanceSheet!$B33,0,COLUMN(O$4)-COLUMN($B$4),1,1)</f>
        <v>32999.25</v>
      </c>
      <c r="P18" s="51">
        <f ca="1">OFFSET(BalanceSheet!$B33,0,COLUMN(P$4)-COLUMN($B$4)+1,1,1)-OFFSET(BalanceSheet!$B33,0,COLUMN(P$4)-COLUMN($B$4),1,1)</f>
        <v>2939.4000000000233</v>
      </c>
      <c r="Q18" s="51">
        <f ca="1">OFFSET(BalanceSheet!$B33,0,COLUMN(Q$4)-COLUMN($B$4)+1,1,1)-OFFSET(BalanceSheet!$B33,0,COLUMN(Q$4)-COLUMN($B$4),1,1)</f>
        <v>-2862.3500000000058</v>
      </c>
      <c r="R18" s="51">
        <f ca="1">OFFSET(BalanceSheet!$B33,0,COLUMN(R$4)-COLUMN($B$4)+1,1,1)-OFFSET(BalanceSheet!$B33,0,COLUMN(R$4)-COLUMN($B$4),1,1)</f>
        <v>-28648.800000000017</v>
      </c>
      <c r="S18" s="51">
        <f ca="1">OFFSET(BalanceSheet!$B33,0,COLUMN(S$4)-COLUMN($B$4)+1,1,1)-OFFSET(BalanceSheet!$B33,0,COLUMN(S$4)-COLUMN($B$4),1,1)</f>
        <v>-514.21428571428987</v>
      </c>
      <c r="T18" s="51">
        <f ca="1">OFFSET(BalanceSheet!$B33,0,COLUMN(T$4)-COLUMN($B$4)+1,1,1)-OFFSET(BalanceSheet!$B33,0,COLUMN(T$4)-COLUMN($B$4),1,1)</f>
        <v>14055.46428571429</v>
      </c>
      <c r="U18" s="51">
        <f ca="1">OFFSET(BalanceSheet!$B33,0,COLUMN(U$4)-COLUMN($B$4)+1,1,1)-OFFSET(BalanceSheet!$B33,0,COLUMN(U$4)-COLUMN($B$4),1,1)</f>
        <v>3022.2000000000116</v>
      </c>
      <c r="V18" s="51">
        <f ca="1">OFFSET(BalanceSheet!$B33,0,COLUMN(V$4)-COLUMN($B$4)+1,1,1)-OFFSET(BalanceSheet!$B33,0,COLUMN(V$4)-COLUMN($B$4),1,1)</f>
        <v>-3035.8357142856985</v>
      </c>
      <c r="W18" s="51">
        <f ca="1">OFFSET(BalanceSheet!$B33,0,COLUMN(W$4)-COLUMN($B$4)+1,1,1)-OFFSET(BalanceSheet!$B33,0,COLUMN(W$4)-COLUMN($B$4),1,1)</f>
        <v>-16220.914285714302</v>
      </c>
      <c r="X18" s="51">
        <f ca="1">OFFSET(BalanceSheet!$B33,0,COLUMN(X$4)-COLUMN($B$4)+1,1,1)-OFFSET(BalanceSheet!$B33,0,COLUMN(X$4)-COLUMN($B$4),1,1)</f>
        <v>11495.564285714267</v>
      </c>
      <c r="Y18" s="51">
        <f ca="1">OFFSET(BalanceSheet!$B33,0,COLUMN(Y$4)-COLUMN($B$4)+1,1,1)-OFFSET(BalanceSheet!$B33,0,COLUMN(Y$4)-COLUMN($B$4),1,1)</f>
        <v>-51.91428571427241</v>
      </c>
      <c r="Z18" s="51">
        <f ca="1">OFFSET(BalanceSheet!$B33,0,COLUMN(Z$4)-COLUMN($B$4)+1,1,1)-OFFSET(BalanceSheet!$B33,0,COLUMN(Z$4)-COLUMN($B$4),1,1)</f>
        <v>18515.164285714302</v>
      </c>
      <c r="AA18" s="51">
        <f ca="1">OFFSET(BalanceSheet!$B33,0,COLUMN(AA$4)-COLUMN($B$4)+1,1,1)-OFFSET(BalanceSheet!$B33,0,COLUMN(AA$4)-COLUMN($B$4),1,1)</f>
        <v>-8747.557142857142</v>
      </c>
      <c r="AB18" s="51">
        <f ca="1">OFFSET(BalanceSheet!$B33,0,COLUMN(AB$4)-COLUMN($B$4)+1,1,1)-OFFSET(BalanceSheet!$B33,0,COLUMN(AB$4)-COLUMN($B$4),1,1)</f>
        <v>21966.149999999994</v>
      </c>
      <c r="AC18" s="51">
        <f ca="1">OFFSET(BalanceSheet!$B33,0,COLUMN(AC$4)-COLUMN($B$4)+1,1,1)-OFFSET(BalanceSheet!$B33,0,COLUMN(AC$4)-COLUMN($B$4),1,1)</f>
        <v>-13727.057142857142</v>
      </c>
      <c r="AD18" s="51">
        <f ca="1">OFFSET(BalanceSheet!$B33,0,COLUMN(AD$4)-COLUMN($B$4)+1,1,1)-OFFSET(BalanceSheet!$B33,0,COLUMN(AD$4)-COLUMN($B$4),1,1)</f>
        <v>-3234.6214285714377</v>
      </c>
      <c r="AE18" s="51">
        <f ca="1">OFFSET(BalanceSheet!$B33,0,COLUMN(AE$4)-COLUMN($B$4)+1,1,1)-OFFSET(BalanceSheet!$B33,0,COLUMN(AE$4)-COLUMN($B$4),1,1)</f>
        <v>-18098.700000000012</v>
      </c>
      <c r="AF18" s="51">
        <f ca="1">OFFSET(BalanceSheet!$B33,0,COLUMN(AF$4)-COLUMN($B$4)+1,1,1)-OFFSET(BalanceSheet!$B33,0,COLUMN(AF$4)-COLUMN($B$4),1,1)</f>
        <v>-1912.2857142857101</v>
      </c>
      <c r="AG18" s="51">
        <f ca="1">OFFSET(BalanceSheet!$B33,0,COLUMN(AG$4)-COLUMN($B$4)+1,1,1)-OFFSET(BalanceSheet!$B33,0,COLUMN(AG$4)-COLUMN($B$4),1,1)</f>
        <v>11852.392857142841</v>
      </c>
      <c r="AH18" s="51">
        <f ca="1">OFFSET(BalanceSheet!$B33,0,COLUMN(AH$4)-COLUMN($B$4)+1,1,1)-OFFSET(BalanceSheet!$B33,0,COLUMN(AH$4)-COLUMN($B$4),1,1)</f>
        <v>10849.42857142858</v>
      </c>
      <c r="AI18" s="51">
        <f ca="1">OFFSET(BalanceSheet!$B33,0,COLUMN(AI$4)-COLUMN($B$4)+1,1,1)-OFFSET(BalanceSheet!$B33,0,COLUMN(AI$4)-COLUMN($B$4),1,1)</f>
        <v>2336.9642857142899</v>
      </c>
      <c r="AJ18" s="51">
        <f ca="1">OFFSET(BalanceSheet!$B33,0,COLUMN(AJ$4)-COLUMN($B$4)+1,1,1)-OFFSET(BalanceSheet!$B33,0,COLUMN(AJ$4)-COLUMN($B$4),1,1)</f>
        <v>16407.21428571429</v>
      </c>
      <c r="AK18" s="51">
        <f ca="1">OFFSET(BalanceSheet!$B33,0,COLUMN(AK$4)-COLUMN($B$4)+1,1,1)-OFFSET(BalanceSheet!$B33,0,COLUMN(AK$4)-COLUMN($B$4),1,1)</f>
        <v>6016.9642857142899</v>
      </c>
      <c r="AL18" s="51">
        <f ca="1">OFFSET(BalanceSheet!$B33,0,COLUMN(AL$4)-COLUMN($B$4)+1,1,1)-OFFSET(BalanceSheet!$B33,0,COLUMN(AL$4)-COLUMN($B$4),1,1)</f>
        <v>575.0000000000291</v>
      </c>
      <c r="AM18" s="51">
        <f ca="1">OFFSET(BalanceSheet!$B33,0,COLUMN(AM$4)-COLUMN($B$4)+1,1,1)-OFFSET(BalanceSheet!$B33,0,COLUMN(AM$4)-COLUMN($B$4),1,1)</f>
        <v>-24060.464285714319</v>
      </c>
      <c r="AN18" s="51">
        <f ca="1">OFFSET(BalanceSheet!$B33,0,COLUMN(AN$4)-COLUMN($B$4)+1,1,1)-OFFSET(BalanceSheet!$B33,0,COLUMN(AN$4)-COLUMN($B$4),1,1)</f>
        <v>-8869.7857142857101</v>
      </c>
      <c r="AO18" s="51">
        <f ca="1">OFFSET(BalanceSheet!$B33,0,COLUMN(AO$4)-COLUMN($B$4)+1,1,1)-OFFSET(BalanceSheet!$B33,0,COLUMN(AO$4)-COLUMN($B$4),1,1)</f>
        <v>24042.39285714287</v>
      </c>
      <c r="AP18" s="51">
        <f ca="1">OFFSET(BalanceSheet!$B33,0,COLUMN(AP$4)-COLUMN($B$4)+1,1,1)-OFFSET(BalanceSheet!$B33,0,COLUMN(AP$4)-COLUMN($B$4),1,1)</f>
        <v>-4883.8857142857159</v>
      </c>
      <c r="AQ18" s="51">
        <f ca="1">OFFSET(BalanceSheet!$B33,0,COLUMN(AQ$4)-COLUMN($B$4)+1,1,1)-OFFSET(BalanceSheet!$B33,0,COLUMN(AQ$4)-COLUMN($B$4),1,1)</f>
        <v>-18105.435714285704</v>
      </c>
      <c r="AR18" s="51">
        <f ca="1">OFFSET(BalanceSheet!$B33,0,COLUMN(AR$4)-COLUMN($B$4)+1,1,1)-OFFSET(BalanceSheet!$B33,0,COLUMN(AR$4)-COLUMN($B$4),1,1)</f>
        <v>-32172.728571428583</v>
      </c>
      <c r="AS18" s="51">
        <f ca="1">OFFSET(BalanceSheet!$B33,0,COLUMN(AS$4)-COLUMN($B$4)+1,1,1)-OFFSET(BalanceSheet!$B33,0,COLUMN(AS$4)-COLUMN($B$4),1,1)</f>
        <v>-14162.742857142861</v>
      </c>
      <c r="AT18" s="51">
        <f ca="1">OFFSET(BalanceSheet!$B33,0,COLUMN(AT$4)-COLUMN($B$4)+1,1,1)-OFFSET(BalanceSheet!$B33,0,COLUMN(AT$4)-COLUMN($B$4),1,1)</f>
        <v>-2054.8528571428615</v>
      </c>
      <c r="AU18" s="51">
        <f ca="1">OFFSET(BalanceSheet!$B33,0,COLUMN(AU$4)-COLUMN($B$4)+1,1,1)-OFFSET(BalanceSheet!$B33,0,COLUMN(AU$4)-COLUMN($B$4),1,1)</f>
        <v>-11722.90285714285</v>
      </c>
      <c r="AV18" s="51">
        <f ca="1">OFFSET(BalanceSheet!$B33,0,COLUMN(AV$4)-COLUMN($B$4)+1,1,1)-OFFSET(BalanceSheet!$B33,0,COLUMN(AV$4)-COLUMN($B$4),1,1)</f>
        <v>3265.901428571422</v>
      </c>
      <c r="AW18" s="51">
        <f ca="1">OFFSET(BalanceSheet!$B33,0,COLUMN(AW$4)-COLUMN($B$4)+1,1,1)-OFFSET(BalanceSheet!$B33,0,COLUMN(AW$4)-COLUMN($B$4),1,1)</f>
        <v>14289.900000000009</v>
      </c>
      <c r="AX18" s="51">
        <f ca="1">OFFSET(BalanceSheet!$B33,0,COLUMN(AX$4)-COLUMN($B$4)+1,1,1)-OFFSET(BalanceSheet!$B33,0,COLUMN(AX$4)-COLUMN($B$4),1,1)</f>
        <v>35988.987142857135</v>
      </c>
      <c r="AY18" s="51">
        <f ca="1">OFFSET(BalanceSheet!$B33,0,COLUMN(AY$4)-COLUMN($B$4)+1,1,1)-OFFSET(BalanceSheet!$B33,0,COLUMN(AY$4)-COLUMN($B$4),1,1)</f>
        <v>13711.679999999993</v>
      </c>
      <c r="AZ18" s="51">
        <f ca="1">OFFSET(BalanceSheet!$B33,0,COLUMN(AZ$4)-COLUMN($B$4)+1,1,1)-OFFSET(BalanceSheet!$B33,0,COLUMN(AZ$4)-COLUMN($B$4),1,1)</f>
        <v>5736.758571428596</v>
      </c>
      <c r="BA18" s="51">
        <f ca="1">OFFSET(BalanceSheet!$B33,0,COLUMN(BA$4)-COLUMN($B$4)+1,1,1)-OFFSET(BalanceSheet!$B33,0,COLUMN(BA$4)-COLUMN($B$4),1,1)</f>
        <v>10732.128571428533</v>
      </c>
      <c r="BB18" s="51">
        <f ca="1">OFFSET(BalanceSheet!$B33,0,COLUMN(BB$4)-COLUMN($B$4)+1,1,1)-OFFSET(BalanceSheet!$B33,0,COLUMN(BB$4)-COLUMN($B$4),1,1)</f>
        <v>29862.050000000047</v>
      </c>
      <c r="BC18" s="52">
        <f ca="1">SUM(OFFSET($B18,0,1,1,Assumptions!$C$8))</f>
        <v>38087.449999999983</v>
      </c>
      <c r="BD18" s="52">
        <f ca="1">SUM(OFFSET($B18,0,1+Assumptions!$C$8,1,SUM(Assumptions!$C$9)))</f>
        <v>11912.357142857159</v>
      </c>
      <c r="BE18" s="52">
        <f ca="1">SUM(OFFSET($B18,0,1+SUM(Assumptions!$C$8:$C$9),1,SUM(Assumptions!$C$10)))</f>
        <v>2177.442857142858</v>
      </c>
      <c r="BF18" s="52">
        <f ca="1">SUM(OFFSET($B18,0,1+SUM(Assumptions!$C$8:$C$10),1,SUM(Assumptions!$C$11)))</f>
        <v>30484.857142857159</v>
      </c>
      <c r="BG18" s="52">
        <f t="shared" ca="1" si="2"/>
        <v>82662.107142857159</v>
      </c>
    </row>
    <row r="19" spans="1:59" s="16" customFormat="1" ht="16.149999999999999" customHeight="1" x14ac:dyDescent="0.3">
      <c r="A19" s="172" t="s">
        <v>168</v>
      </c>
      <c r="B19" s="55" t="s">
        <v>169</v>
      </c>
      <c r="C19" s="51">
        <f ca="1">OFFSET(BalanceSheet!$B34,0,COLUMN(C$4)-COLUMN($B$4)+1,1,1)-OFFSET(BalanceSheet!$B34,0,COLUMN(C$4)-COLUMN($B$4),1,1)</f>
        <v>3412.5</v>
      </c>
      <c r="D19" s="51">
        <f ca="1">OFFSET(BalanceSheet!$B34,0,COLUMN(D$4)-COLUMN($B$4)+1,1,1)-OFFSET(BalanceSheet!$B34,0,COLUMN(D$4)-COLUMN($B$4),1,1)</f>
        <v>5928.4599999999955</v>
      </c>
      <c r="E19" s="51">
        <f ca="1">OFFSET(BalanceSheet!$B34,0,COLUMN(E$4)-COLUMN($B$4)+1,1,1)-OFFSET(BalanceSheet!$B34,0,COLUMN(E$4)-COLUMN($B$4),1,1)</f>
        <v>6400</v>
      </c>
      <c r="F19" s="51">
        <f ca="1">OFFSET(BalanceSheet!$B34,0,COLUMN(F$4)-COLUMN($B$4)+1,1,1)-OFFSET(BalanceSheet!$B34,0,COLUMN(F$4)-COLUMN($B$4),1,1)</f>
        <v>-8579</v>
      </c>
      <c r="G19" s="51">
        <f ca="1">OFFSET(BalanceSheet!$B34,0,COLUMN(G$4)-COLUMN($B$4)+1,1,1)-OFFSET(BalanceSheet!$B34,0,COLUMN(G$4)-COLUMN($B$4),1,1)</f>
        <v>5427.2999999999993</v>
      </c>
      <c r="H19" s="51">
        <f ca="1">OFFSET(BalanceSheet!$B34,0,COLUMN(H$4)-COLUMN($B$4)+1,1,1)-OFFSET(BalanceSheet!$B34,0,COLUMN(H$4)-COLUMN($B$4),1,1)</f>
        <v>3041.125</v>
      </c>
      <c r="I19" s="51">
        <f ca="1">OFFSET(BalanceSheet!$B34,0,COLUMN(I$4)-COLUMN($B$4)+1,1,1)-OFFSET(BalanceSheet!$B34,0,COLUMN(I$4)-COLUMN($B$4),1,1)</f>
        <v>4128.6750000000029</v>
      </c>
      <c r="J19" s="51">
        <f ca="1">OFFSET(BalanceSheet!$B34,0,COLUMN(J$4)-COLUMN($B$4)+1,1,1)-OFFSET(BalanceSheet!$B34,0,COLUMN(J$4)-COLUMN($B$4),1,1)</f>
        <v>7271.25</v>
      </c>
      <c r="K19" s="51">
        <f ca="1">OFFSET(BalanceSheet!$B34,0,COLUMN(K$4)-COLUMN($B$4)+1,1,1)-OFFSET(BalanceSheet!$B34,0,COLUMN(K$4)-COLUMN($B$4),1,1)</f>
        <v>5169.75</v>
      </c>
      <c r="L19" s="51">
        <f ca="1">OFFSET(BalanceSheet!$B34,0,COLUMN(L$4)-COLUMN($B$4)+1,1,1)-OFFSET(BalanceSheet!$B34,0,COLUMN(L$4)-COLUMN($B$4),1,1)</f>
        <v>3247</v>
      </c>
      <c r="M19" s="51">
        <f ca="1">OFFSET(BalanceSheet!$B34,0,COLUMN(M$4)-COLUMN($B$4)+1,1,1)-OFFSET(BalanceSheet!$B34,0,COLUMN(M$4)-COLUMN($B$4),1,1)</f>
        <v>7833.9000000000087</v>
      </c>
      <c r="N19" s="51">
        <f ca="1">OFFSET(BalanceSheet!$B34,0,COLUMN(N$4)-COLUMN($B$4)+1,1,1)-OFFSET(BalanceSheet!$B34,0,COLUMN(N$4)-COLUMN($B$4),1,1)</f>
        <v>8027.8000000000029</v>
      </c>
      <c r="O19" s="51">
        <f ca="1">OFFSET(BalanceSheet!$B34,0,COLUMN(O$4)-COLUMN($B$4)+1,1,1)-OFFSET(BalanceSheet!$B34,0,COLUMN(O$4)-COLUMN($B$4),1,1)</f>
        <v>-45258.060000000012</v>
      </c>
      <c r="P19" s="51">
        <f ca="1">OFFSET(BalanceSheet!$B34,0,COLUMN(P$4)-COLUMN($B$4)+1,1,1)-OFFSET(BalanceSheet!$B34,0,COLUMN(P$4)-COLUMN($B$4),1,1)</f>
        <v>5397.5</v>
      </c>
      <c r="Q19" s="51">
        <f ca="1">OFFSET(BalanceSheet!$B34,0,COLUMN(Q$4)-COLUMN($B$4)+1,1,1)-OFFSET(BalanceSheet!$B34,0,COLUMN(Q$4)-COLUMN($B$4),1,1)</f>
        <v>7377</v>
      </c>
      <c r="R19" s="51">
        <f ca="1">OFFSET(BalanceSheet!$B34,0,COLUMN(R$4)-COLUMN($B$4)+1,1,1)-OFFSET(BalanceSheet!$B34,0,COLUMN(R$4)-COLUMN($B$4),1,1)</f>
        <v>7161.8000000000029</v>
      </c>
      <c r="S19" s="51">
        <f ca="1">OFFSET(BalanceSheet!$B34,0,COLUMN(S$4)-COLUMN($B$4)+1,1,1)-OFFSET(BalanceSheet!$B34,0,COLUMN(S$4)-COLUMN($B$4),1,1)</f>
        <v>6298.875</v>
      </c>
      <c r="T19" s="51">
        <f ca="1">OFFSET(BalanceSheet!$B34,0,COLUMN(T$4)-COLUMN($B$4)+1,1,1)-OFFSET(BalanceSheet!$B34,0,COLUMN(T$4)-COLUMN($B$4),1,1)</f>
        <v>6279.1499999999942</v>
      </c>
      <c r="U19" s="51">
        <f ca="1">OFFSET(BalanceSheet!$B34,0,COLUMN(U$4)-COLUMN($B$4)+1,1,1)-OFFSET(BalanceSheet!$B34,0,COLUMN(U$4)-COLUMN($B$4),1,1)</f>
        <v>5194.5249999999942</v>
      </c>
      <c r="V19" s="51">
        <f ca="1">OFFSET(BalanceSheet!$B34,0,COLUMN(V$4)-COLUMN($B$4)+1,1,1)-OFFSET(BalanceSheet!$B34,0,COLUMN(V$4)-COLUMN($B$4),1,1)</f>
        <v>6827</v>
      </c>
      <c r="W19" s="51">
        <f ca="1">OFFSET(BalanceSheet!$B34,0,COLUMN(W$4)-COLUMN($B$4)+1,1,1)-OFFSET(BalanceSheet!$B34,0,COLUMN(W$4)-COLUMN($B$4),1,1)</f>
        <v>-41871.124999999985</v>
      </c>
      <c r="X19" s="51">
        <f ca="1">OFFSET(BalanceSheet!$B34,0,COLUMN(X$4)-COLUMN($B$4)+1,1,1)-OFFSET(BalanceSheet!$B34,0,COLUMN(X$4)-COLUMN($B$4),1,1)</f>
        <v>6998.5000000000036</v>
      </c>
      <c r="Y19" s="51">
        <f ca="1">OFFSET(BalanceSheet!$B34,0,COLUMN(Y$4)-COLUMN($B$4)+1,1,1)-OFFSET(BalanceSheet!$B34,0,COLUMN(Y$4)-COLUMN($B$4),1,1)</f>
        <v>5031.6999999999971</v>
      </c>
      <c r="Z19" s="51">
        <f ca="1">OFFSET(BalanceSheet!$B34,0,COLUMN(Z$4)-COLUMN($B$4)+1,1,1)-OFFSET(BalanceSheet!$B34,0,COLUMN(Z$4)-COLUMN($B$4),1,1)</f>
        <v>6613.8000000000029</v>
      </c>
      <c r="AA19" s="51">
        <f ca="1">OFFSET(BalanceSheet!$B34,0,COLUMN(AA$4)-COLUMN($B$4)+1,1,1)-OFFSET(BalanceSheet!$B34,0,COLUMN(AA$4)-COLUMN($B$4),1,1)</f>
        <v>8264.5500000000029</v>
      </c>
      <c r="AB19" s="51">
        <f ca="1">OFFSET(BalanceSheet!$B34,0,COLUMN(AB$4)-COLUMN($B$4)+1,1,1)-OFFSET(BalanceSheet!$B34,0,COLUMN(AB$4)-COLUMN($B$4),1,1)</f>
        <v>5105.8500000000058</v>
      </c>
      <c r="AC19" s="51">
        <f ca="1">OFFSET(BalanceSheet!$B34,0,COLUMN(AC$4)-COLUMN($B$4)+1,1,1)-OFFSET(BalanceSheet!$B34,0,COLUMN(AC$4)-COLUMN($B$4),1,1)</f>
        <v>5478.5</v>
      </c>
      <c r="AD19" s="51">
        <f ca="1">OFFSET(BalanceSheet!$B34,0,COLUMN(AD$4)-COLUMN($B$4)+1,1,1)-OFFSET(BalanceSheet!$B34,0,COLUMN(AD$4)-COLUMN($B$4),1,1)</f>
        <v>8409</v>
      </c>
      <c r="AE19" s="51">
        <f ca="1">OFFSET(BalanceSheet!$B34,0,COLUMN(AE$4)-COLUMN($B$4)+1,1,1)-OFFSET(BalanceSheet!$B34,0,COLUMN(AE$4)-COLUMN($B$4),1,1)</f>
        <v>8739</v>
      </c>
      <c r="AF19" s="51">
        <f ca="1">OFFSET(BalanceSheet!$B34,0,COLUMN(AF$4)-COLUMN($B$4)+1,1,1)-OFFSET(BalanceSheet!$B34,0,COLUMN(AF$4)-COLUMN($B$4),1,1)</f>
        <v>-48089.30000000001</v>
      </c>
      <c r="AG19" s="51">
        <f ca="1">OFFSET(BalanceSheet!$B34,0,COLUMN(AG$4)-COLUMN($B$4)+1,1,1)-OFFSET(BalanceSheet!$B34,0,COLUMN(AG$4)-COLUMN($B$4),1,1)</f>
        <v>7628.5</v>
      </c>
      <c r="AH19" s="51">
        <f ca="1">OFFSET(BalanceSheet!$B34,0,COLUMN(AH$4)-COLUMN($B$4)+1,1,1)-OFFSET(BalanceSheet!$B34,0,COLUMN(AH$4)-COLUMN($B$4),1,1)</f>
        <v>4573</v>
      </c>
      <c r="AI19" s="51">
        <f ca="1">OFFSET(BalanceSheet!$B34,0,COLUMN(AI$4)-COLUMN($B$4)+1,1,1)-OFFSET(BalanceSheet!$B34,0,COLUMN(AI$4)-COLUMN($B$4),1,1)</f>
        <v>8791.6500000000015</v>
      </c>
      <c r="AJ19" s="51">
        <f ca="1">OFFSET(BalanceSheet!$B34,0,COLUMN(AJ$4)-COLUMN($B$4)+1,1,1)-OFFSET(BalanceSheet!$B34,0,COLUMN(AJ$4)-COLUMN($B$4),1,1)</f>
        <v>6425</v>
      </c>
      <c r="AK19" s="51">
        <f ca="1">OFFSET(BalanceSheet!$B34,0,COLUMN(AK$4)-COLUMN($B$4)+1,1,1)-OFFSET(BalanceSheet!$B34,0,COLUMN(AK$4)-COLUMN($B$4),1,1)</f>
        <v>6996.75</v>
      </c>
      <c r="AL19" s="51">
        <f ca="1">OFFSET(BalanceSheet!$B34,0,COLUMN(AL$4)-COLUMN($B$4)+1,1,1)-OFFSET(BalanceSheet!$B34,0,COLUMN(AL$4)-COLUMN($B$4),1,1)</f>
        <v>5235</v>
      </c>
      <c r="AM19" s="51">
        <f ca="1">OFFSET(BalanceSheet!$B34,0,COLUMN(AM$4)-COLUMN($B$4)+1,1,1)-OFFSET(BalanceSheet!$B34,0,COLUMN(AM$4)-COLUMN($B$4),1,1)</f>
        <v>9386.25</v>
      </c>
      <c r="AN19" s="51">
        <f ca="1">OFFSET(BalanceSheet!$B34,0,COLUMN(AN$4)-COLUMN($B$4)+1,1,1)-OFFSET(BalanceSheet!$B34,0,COLUMN(AN$4)-COLUMN($B$4),1,1)</f>
        <v>8235.75</v>
      </c>
      <c r="AO19" s="51">
        <f ca="1">OFFSET(BalanceSheet!$B34,0,COLUMN(AO$4)-COLUMN($B$4)+1,1,1)-OFFSET(BalanceSheet!$B34,0,COLUMN(AO$4)-COLUMN($B$4),1,1)</f>
        <v>-59739.675000000003</v>
      </c>
      <c r="AP19" s="51">
        <f ca="1">OFFSET(BalanceSheet!$B34,0,COLUMN(AP$4)-COLUMN($B$4)+1,1,1)-OFFSET(BalanceSheet!$B34,0,COLUMN(AP$4)-COLUMN($B$4),1,1)</f>
        <v>8246.7000000000044</v>
      </c>
      <c r="AQ19" s="51">
        <f ca="1">OFFSET(BalanceSheet!$B34,0,COLUMN(AQ$4)-COLUMN($B$4)+1,1,1)-OFFSET(BalanceSheet!$B34,0,COLUMN(AQ$4)-COLUMN($B$4),1,1)</f>
        <v>4418.2500000000073</v>
      </c>
      <c r="AR19" s="51">
        <f ca="1">OFFSET(BalanceSheet!$B34,0,COLUMN(AR$4)-COLUMN($B$4)+1,1,1)-OFFSET(BalanceSheet!$B34,0,COLUMN(AR$4)-COLUMN($B$4),1,1)</f>
        <v>4477.4999999999927</v>
      </c>
      <c r="AS19" s="51">
        <f ca="1">OFFSET(BalanceSheet!$B34,0,COLUMN(AS$4)-COLUMN($B$4)+1,1,1)-OFFSET(BalanceSheet!$B34,0,COLUMN(AS$4)-COLUMN($B$4),1,1)</f>
        <v>4707.3999999999942</v>
      </c>
      <c r="AT19" s="51">
        <f ca="1">OFFSET(BalanceSheet!$B34,0,COLUMN(AT$4)-COLUMN($B$4)+1,1,1)-OFFSET(BalanceSheet!$B34,0,COLUMN(AT$4)-COLUMN($B$4),1,1)</f>
        <v>3010.1200000000026</v>
      </c>
      <c r="AU19" s="51">
        <f ca="1">OFFSET(BalanceSheet!$B34,0,COLUMN(AU$4)-COLUMN($B$4)+1,1,1)-OFFSET(BalanceSheet!$B34,0,COLUMN(AU$4)-COLUMN($B$4),1,1)</f>
        <v>1872.4200000000128</v>
      </c>
      <c r="AV19" s="51">
        <f ca="1">OFFSET(BalanceSheet!$B34,0,COLUMN(AV$4)-COLUMN($B$4)+1,1,1)-OFFSET(BalanceSheet!$B34,0,COLUMN(AV$4)-COLUMN($B$4),1,1)</f>
        <v>6784.875</v>
      </c>
      <c r="AW19" s="51">
        <f ca="1">OFFSET(BalanceSheet!$B34,0,COLUMN(AW$4)-COLUMN($B$4)+1,1,1)-OFFSET(BalanceSheet!$B34,0,COLUMN(AW$4)-COLUMN($B$4),1,1)</f>
        <v>9082.0000000000146</v>
      </c>
      <c r="AX19" s="51">
        <f ca="1">OFFSET(BalanceSheet!$B34,0,COLUMN(AX$4)-COLUMN($B$4)+1,1,1)-OFFSET(BalanceSheet!$B34,0,COLUMN(AX$4)-COLUMN($B$4),1,1)</f>
        <v>-46761.97000000003</v>
      </c>
      <c r="AY19" s="51">
        <f ca="1">OFFSET(BalanceSheet!$B34,0,COLUMN(AY$4)-COLUMN($B$4)+1,1,1)-OFFSET(BalanceSheet!$B34,0,COLUMN(AY$4)-COLUMN($B$4),1,1)</f>
        <v>6497.0000000000073</v>
      </c>
      <c r="AZ19" s="51">
        <f ca="1">OFFSET(BalanceSheet!$B34,0,COLUMN(AZ$4)-COLUMN($B$4)+1,1,1)-OFFSET(BalanceSheet!$B34,0,COLUMN(AZ$4)-COLUMN($B$4),1,1)</f>
        <v>8897</v>
      </c>
      <c r="BA19" s="51">
        <f ca="1">OFFSET(BalanceSheet!$B34,0,COLUMN(BA$4)-COLUMN($B$4)+1,1,1)-OFFSET(BalanceSheet!$B34,0,COLUMN(BA$4)-COLUMN($B$4),1,1)</f>
        <v>6763.5</v>
      </c>
      <c r="BB19" s="51">
        <f ca="1">OFFSET(BalanceSheet!$B34,0,COLUMN(BB$4)-COLUMN($B$4)+1,1,1)-OFFSET(BalanceSheet!$B34,0,COLUMN(BB$4)-COLUMN($B$4),1,1)</f>
        <v>5374.4999999999927</v>
      </c>
      <c r="BC19" s="52">
        <f ca="1">SUM(OFFSET($B19,0,1,1,Assumptions!$C$8))</f>
        <v>6050.6999999999971</v>
      </c>
      <c r="BD19" s="52">
        <f ca="1">SUM(OFFSET($B19,0,1+Assumptions!$C$8,1,SUM(Assumptions!$C$9)))</f>
        <v>34679.125000000015</v>
      </c>
      <c r="BE19" s="52">
        <f ca="1">SUM(OFFSET($B19,0,1+SUM(Assumptions!$C$8:$C$9),1,SUM(Assumptions!$C$10)))</f>
        <v>-27930.575000000012</v>
      </c>
      <c r="BF19" s="52">
        <f ca="1">SUM(OFFSET($B19,0,1+SUM(Assumptions!$C$8:$C$10),1,SUM(Assumptions!$C$11)))</f>
        <v>23369.294999999998</v>
      </c>
      <c r="BG19" s="52">
        <f t="shared" ca="1" si="2"/>
        <v>36168.544999999998</v>
      </c>
    </row>
    <row r="20" spans="1:59" s="16" customFormat="1" ht="16.149999999999999" customHeight="1" x14ac:dyDescent="0.3">
      <c r="A20" s="172" t="s">
        <v>118</v>
      </c>
      <c r="B20" s="55" t="s">
        <v>170</v>
      </c>
      <c r="C20" s="51">
        <f ca="1">OFFSET(BalanceSheet!$B35,0,COLUMN(C$4)-COLUMN($B$4)+1,1,1)-OFFSET(BalanceSheet!$B35,0,COLUMN(C$4)-COLUMN($B$4),1,1)</f>
        <v>-18840</v>
      </c>
      <c r="D20" s="51">
        <f ca="1">OFFSET(BalanceSheet!$B35,0,COLUMN(D$4)-COLUMN($B$4)+1,1,1)-OFFSET(BalanceSheet!$B35,0,COLUMN(D$4)-COLUMN($B$4),1,1)</f>
        <v>1160</v>
      </c>
      <c r="E20" s="51">
        <f ca="1">OFFSET(BalanceSheet!$B35,0,COLUMN(E$4)-COLUMN($B$4)+1,1,1)-OFFSET(BalanceSheet!$B35,0,COLUMN(E$4)-COLUMN($B$4),1,1)</f>
        <v>1160</v>
      </c>
      <c r="F20" s="51">
        <f ca="1">OFFSET(BalanceSheet!$B35,0,COLUMN(F$4)-COLUMN($B$4)+1,1,1)-OFFSET(BalanceSheet!$B35,0,COLUMN(F$4)-COLUMN($B$4),1,1)</f>
        <v>15160</v>
      </c>
      <c r="G20" s="51">
        <f ca="1">OFFSET(BalanceSheet!$B35,0,COLUMN(G$4)-COLUMN($B$4)+1,1,1)-OFFSET(BalanceSheet!$B35,0,COLUMN(G$4)-COLUMN($B$4),1,1)</f>
        <v>1160</v>
      </c>
      <c r="H20" s="51">
        <f ca="1">OFFSET(BalanceSheet!$B35,0,COLUMN(H$4)-COLUMN($B$4)+1,1,1)-OFFSET(BalanceSheet!$B35,0,COLUMN(H$4)-COLUMN($B$4),1,1)</f>
        <v>-18640</v>
      </c>
      <c r="I20" s="51">
        <f ca="1">OFFSET(BalanceSheet!$B35,0,COLUMN(I$4)-COLUMN($B$4)+1,1,1)-OFFSET(BalanceSheet!$B35,0,COLUMN(I$4)-COLUMN($B$4),1,1)</f>
        <v>1160</v>
      </c>
      <c r="J20" s="51">
        <f ca="1">OFFSET(BalanceSheet!$B35,0,COLUMN(J$4)-COLUMN($B$4)+1,1,1)-OFFSET(BalanceSheet!$B35,0,COLUMN(J$4)-COLUMN($B$4),1,1)</f>
        <v>1160</v>
      </c>
      <c r="K20" s="51">
        <f ca="1">OFFSET(BalanceSheet!$B35,0,COLUMN(K$4)-COLUMN($B$4)+1,1,1)-OFFSET(BalanceSheet!$B35,0,COLUMN(K$4)-COLUMN($B$4),1,1)</f>
        <v>15160</v>
      </c>
      <c r="L20" s="51">
        <f ca="1">OFFSET(BalanceSheet!$B35,0,COLUMN(L$4)-COLUMN($B$4)+1,1,1)-OFFSET(BalanceSheet!$B35,0,COLUMN(L$4)-COLUMN($B$4),1,1)</f>
        <v>-17480</v>
      </c>
      <c r="M20" s="51">
        <f ca="1">OFFSET(BalanceSheet!$B35,0,COLUMN(M$4)-COLUMN($B$4)+1,1,1)-OFFSET(BalanceSheet!$B35,0,COLUMN(M$4)-COLUMN($B$4),1,1)</f>
        <v>1160</v>
      </c>
      <c r="N20" s="51">
        <f ca="1">OFFSET(BalanceSheet!$B35,0,COLUMN(N$4)-COLUMN($B$4)+1,1,1)-OFFSET(BalanceSheet!$B35,0,COLUMN(N$4)-COLUMN($B$4),1,1)</f>
        <v>1160</v>
      </c>
      <c r="O20" s="51">
        <f ca="1">OFFSET(BalanceSheet!$B35,0,COLUMN(O$4)-COLUMN($B$4)+1,1,1)-OFFSET(BalanceSheet!$B35,0,COLUMN(O$4)-COLUMN($B$4),1,1)</f>
        <v>15160</v>
      </c>
      <c r="P20" s="51">
        <f ca="1">OFFSET(BalanceSheet!$B35,0,COLUMN(P$4)-COLUMN($B$4)+1,1,1)-OFFSET(BalanceSheet!$B35,0,COLUMN(P$4)-COLUMN($B$4),1,1)</f>
        <v>-17480</v>
      </c>
      <c r="Q20" s="51">
        <f ca="1">OFFSET(BalanceSheet!$B35,0,COLUMN(Q$4)-COLUMN($B$4)+1,1,1)-OFFSET(BalanceSheet!$B35,0,COLUMN(Q$4)-COLUMN($B$4),1,1)</f>
        <v>1160</v>
      </c>
      <c r="R20" s="51">
        <f ca="1">OFFSET(BalanceSheet!$B35,0,COLUMN(R$4)-COLUMN($B$4)+1,1,1)-OFFSET(BalanceSheet!$B35,0,COLUMN(R$4)-COLUMN($B$4),1,1)</f>
        <v>1160</v>
      </c>
      <c r="S20" s="51">
        <f ca="1">OFFSET(BalanceSheet!$B35,0,COLUMN(S$4)-COLUMN($B$4)+1,1,1)-OFFSET(BalanceSheet!$B35,0,COLUMN(S$4)-COLUMN($B$4),1,1)</f>
        <v>15160</v>
      </c>
      <c r="T20" s="51">
        <f ca="1">OFFSET(BalanceSheet!$B35,0,COLUMN(T$4)-COLUMN($B$4)+1,1,1)-OFFSET(BalanceSheet!$B35,0,COLUMN(T$4)-COLUMN($B$4),1,1)</f>
        <v>1160</v>
      </c>
      <c r="U20" s="51">
        <f ca="1">OFFSET(BalanceSheet!$B35,0,COLUMN(U$4)-COLUMN($B$4)+1,1,1)-OFFSET(BalanceSheet!$B35,0,COLUMN(U$4)-COLUMN($B$4),1,1)</f>
        <v>-18640</v>
      </c>
      <c r="V20" s="51">
        <f ca="1">OFFSET(BalanceSheet!$B35,0,COLUMN(V$4)-COLUMN($B$4)+1,1,1)-OFFSET(BalanceSheet!$B35,0,COLUMN(V$4)-COLUMN($B$4),1,1)</f>
        <v>1160</v>
      </c>
      <c r="W20" s="51">
        <f ca="1">OFFSET(BalanceSheet!$B35,0,COLUMN(W$4)-COLUMN($B$4)+1,1,1)-OFFSET(BalanceSheet!$B35,0,COLUMN(W$4)-COLUMN($B$4),1,1)</f>
        <v>1160</v>
      </c>
      <c r="X20" s="51">
        <f ca="1">OFFSET(BalanceSheet!$B35,0,COLUMN(X$4)-COLUMN($B$4)+1,1,1)-OFFSET(BalanceSheet!$B35,0,COLUMN(X$4)-COLUMN($B$4),1,1)</f>
        <v>15160</v>
      </c>
      <c r="Y20" s="51">
        <f ca="1">OFFSET(BalanceSheet!$B35,0,COLUMN(Y$4)-COLUMN($B$4)+1,1,1)-OFFSET(BalanceSheet!$B35,0,COLUMN(Y$4)-COLUMN($B$4),1,1)</f>
        <v>-17480</v>
      </c>
      <c r="Z20" s="51">
        <f ca="1">OFFSET(BalanceSheet!$B35,0,COLUMN(Z$4)-COLUMN($B$4)+1,1,1)-OFFSET(BalanceSheet!$B35,0,COLUMN(Z$4)-COLUMN($B$4),1,1)</f>
        <v>1160</v>
      </c>
      <c r="AA20" s="51">
        <f ca="1">OFFSET(BalanceSheet!$B35,0,COLUMN(AA$4)-COLUMN($B$4)+1,1,1)-OFFSET(BalanceSheet!$B35,0,COLUMN(AA$4)-COLUMN($B$4),1,1)</f>
        <v>1240</v>
      </c>
      <c r="AB20" s="51">
        <f ca="1">OFFSET(BalanceSheet!$B35,0,COLUMN(AB$4)-COLUMN($B$4)+1,1,1)-OFFSET(BalanceSheet!$B35,0,COLUMN(AB$4)-COLUMN($B$4),1,1)</f>
        <v>15240</v>
      </c>
      <c r="AC20" s="51">
        <f ca="1">OFFSET(BalanceSheet!$B35,0,COLUMN(AC$4)-COLUMN($B$4)+1,1,1)-OFFSET(BalanceSheet!$B35,0,COLUMN(AC$4)-COLUMN($B$4),1,1)</f>
        <v>1240</v>
      </c>
      <c r="AD20" s="51">
        <f ca="1">OFFSET(BalanceSheet!$B35,0,COLUMN(AD$4)-COLUMN($B$4)+1,1,1)-OFFSET(BalanceSheet!$B35,0,COLUMN(AD$4)-COLUMN($B$4),1,1)</f>
        <v>-18800</v>
      </c>
      <c r="AE20" s="51">
        <f ca="1">OFFSET(BalanceSheet!$B35,0,COLUMN(AE$4)-COLUMN($B$4)+1,1,1)-OFFSET(BalanceSheet!$B35,0,COLUMN(AE$4)-COLUMN($B$4),1,1)</f>
        <v>1240</v>
      </c>
      <c r="AF20" s="51">
        <f ca="1">OFFSET(BalanceSheet!$B35,0,COLUMN(AF$4)-COLUMN($B$4)+1,1,1)-OFFSET(BalanceSheet!$B35,0,COLUMN(AF$4)-COLUMN($B$4),1,1)</f>
        <v>1240</v>
      </c>
      <c r="AG20" s="51">
        <f ca="1">OFFSET(BalanceSheet!$B35,0,COLUMN(AG$4)-COLUMN($B$4)+1,1,1)-OFFSET(BalanceSheet!$B35,0,COLUMN(AG$4)-COLUMN($B$4),1,1)</f>
        <v>15240</v>
      </c>
      <c r="AH20" s="51">
        <f ca="1">OFFSET(BalanceSheet!$B35,0,COLUMN(AH$4)-COLUMN($B$4)+1,1,1)-OFFSET(BalanceSheet!$B35,0,COLUMN(AH$4)-COLUMN($B$4),1,1)</f>
        <v>-17720</v>
      </c>
      <c r="AI20" s="51">
        <f ca="1">OFFSET(BalanceSheet!$B35,0,COLUMN(AI$4)-COLUMN($B$4)+1,1,1)-OFFSET(BalanceSheet!$B35,0,COLUMN(AI$4)-COLUMN($B$4),1,1)</f>
        <v>1240</v>
      </c>
      <c r="AJ20" s="51">
        <f ca="1">OFFSET(BalanceSheet!$B35,0,COLUMN(AJ$4)-COLUMN($B$4)+1,1,1)-OFFSET(BalanceSheet!$B35,0,COLUMN(AJ$4)-COLUMN($B$4),1,1)</f>
        <v>1240</v>
      </c>
      <c r="AK20" s="51">
        <f ca="1">OFFSET(BalanceSheet!$B35,0,COLUMN(AK$4)-COLUMN($B$4)+1,1,1)-OFFSET(BalanceSheet!$B35,0,COLUMN(AK$4)-COLUMN($B$4),1,1)</f>
        <v>15240</v>
      </c>
      <c r="AL20" s="51">
        <f ca="1">OFFSET(BalanceSheet!$B35,0,COLUMN(AL$4)-COLUMN($B$4)+1,1,1)-OFFSET(BalanceSheet!$B35,0,COLUMN(AL$4)-COLUMN($B$4),1,1)</f>
        <v>-17720</v>
      </c>
      <c r="AM20" s="51">
        <f ca="1">OFFSET(BalanceSheet!$B35,0,COLUMN(AM$4)-COLUMN($B$4)+1,1,1)-OFFSET(BalanceSheet!$B35,0,COLUMN(AM$4)-COLUMN($B$4),1,1)</f>
        <v>1240</v>
      </c>
      <c r="AN20" s="51">
        <f ca="1">OFFSET(BalanceSheet!$B35,0,COLUMN(AN$4)-COLUMN($B$4)+1,1,1)-OFFSET(BalanceSheet!$B35,0,COLUMN(AN$4)-COLUMN($B$4),1,1)</f>
        <v>1240</v>
      </c>
      <c r="AO20" s="51">
        <f ca="1">OFFSET(BalanceSheet!$B35,0,COLUMN(AO$4)-COLUMN($B$4)+1,1,1)-OFFSET(BalanceSheet!$B35,0,COLUMN(AO$4)-COLUMN($B$4),1,1)</f>
        <v>15240</v>
      </c>
      <c r="AP20" s="51">
        <f ca="1">OFFSET(BalanceSheet!$B35,0,COLUMN(AP$4)-COLUMN($B$4)+1,1,1)-OFFSET(BalanceSheet!$B35,0,COLUMN(AP$4)-COLUMN($B$4),1,1)</f>
        <v>1240</v>
      </c>
      <c r="AQ20" s="51">
        <f ca="1">OFFSET(BalanceSheet!$B35,0,COLUMN(AQ$4)-COLUMN($B$4)+1,1,1)-OFFSET(BalanceSheet!$B35,0,COLUMN(AQ$4)-COLUMN($B$4),1,1)</f>
        <v>-18840</v>
      </c>
      <c r="AR20" s="51">
        <f ca="1">OFFSET(BalanceSheet!$B35,0,COLUMN(AR$4)-COLUMN($B$4)+1,1,1)-OFFSET(BalanceSheet!$B35,0,COLUMN(AR$4)-COLUMN($B$4),1,1)</f>
        <v>1360</v>
      </c>
      <c r="AS20" s="51">
        <f ca="1">OFFSET(BalanceSheet!$B35,0,COLUMN(AS$4)-COLUMN($B$4)+1,1,1)-OFFSET(BalanceSheet!$B35,0,COLUMN(AS$4)-COLUMN($B$4),1,1)</f>
        <v>16360</v>
      </c>
      <c r="AT20" s="51">
        <f ca="1">OFFSET(BalanceSheet!$B35,0,COLUMN(AT$4)-COLUMN($B$4)+1,1,1)-OFFSET(BalanceSheet!$B35,0,COLUMN(AT$4)-COLUMN($B$4),1,1)</f>
        <v>1360</v>
      </c>
      <c r="AU20" s="51">
        <f ca="1">OFFSET(BalanceSheet!$B35,0,COLUMN(AU$4)-COLUMN($B$4)+1,1,1)-OFFSET(BalanceSheet!$B35,0,COLUMN(AU$4)-COLUMN($B$4),1,1)</f>
        <v>-19080</v>
      </c>
      <c r="AV20" s="51">
        <f ca="1">OFFSET(BalanceSheet!$B35,0,COLUMN(AV$4)-COLUMN($B$4)+1,1,1)-OFFSET(BalanceSheet!$B35,0,COLUMN(AV$4)-COLUMN($B$4),1,1)</f>
        <v>1360</v>
      </c>
      <c r="AW20" s="51">
        <f ca="1">OFFSET(BalanceSheet!$B35,0,COLUMN(AW$4)-COLUMN($B$4)+1,1,1)-OFFSET(BalanceSheet!$B35,0,COLUMN(AW$4)-COLUMN($B$4),1,1)</f>
        <v>1360</v>
      </c>
      <c r="AX20" s="51">
        <f ca="1">OFFSET(BalanceSheet!$B35,0,COLUMN(AX$4)-COLUMN($B$4)+1,1,1)-OFFSET(BalanceSheet!$B35,0,COLUMN(AX$4)-COLUMN($B$4),1,1)</f>
        <v>15360</v>
      </c>
      <c r="AY20" s="51">
        <f ca="1">OFFSET(BalanceSheet!$B35,0,COLUMN(AY$4)-COLUMN($B$4)+1,1,1)-OFFSET(BalanceSheet!$B35,0,COLUMN(AY$4)-COLUMN($B$4),1,1)</f>
        <v>-18080</v>
      </c>
      <c r="AZ20" s="51">
        <f ca="1">OFFSET(BalanceSheet!$B35,0,COLUMN(AZ$4)-COLUMN($B$4)+1,1,1)-OFFSET(BalanceSheet!$B35,0,COLUMN(AZ$4)-COLUMN($B$4),1,1)</f>
        <v>1360</v>
      </c>
      <c r="BA20" s="51">
        <f ca="1">OFFSET(BalanceSheet!$B35,0,COLUMN(BA$4)-COLUMN($B$4)+1,1,1)-OFFSET(BalanceSheet!$B35,0,COLUMN(BA$4)-COLUMN($B$4),1,1)</f>
        <v>1360</v>
      </c>
      <c r="BB20" s="51">
        <f ca="1">OFFSET(BalanceSheet!$B35,0,COLUMN(BB$4)-COLUMN($B$4)+1,1,1)-OFFSET(BalanceSheet!$B35,0,COLUMN(BB$4)-COLUMN($B$4),1,1)</f>
        <v>15360</v>
      </c>
      <c r="BC20" s="52">
        <f ca="1">SUM(OFFSET($B20,0,1,1,Assumptions!$C$8))</f>
        <v>-1360</v>
      </c>
      <c r="BD20" s="52">
        <f ca="1">SUM(OFFSET($B20,0,1+Assumptions!$C$8,1,SUM(Assumptions!$C$9)))</f>
        <v>160</v>
      </c>
      <c r="BE20" s="52">
        <f ca="1">SUM(OFFSET($B20,0,1+SUM(Assumptions!$C$8:$C$9),1,SUM(Assumptions!$C$10)))</f>
        <v>160</v>
      </c>
      <c r="BF20" s="52">
        <f ca="1">SUM(OFFSET($B20,0,1+SUM(Assumptions!$C$8:$C$10),1,SUM(Assumptions!$C$11)))</f>
        <v>480</v>
      </c>
      <c r="BG20" s="52">
        <f t="shared" ca="1" si="2"/>
        <v>-560</v>
      </c>
    </row>
    <row r="21" spans="1:59" s="16" customFormat="1" ht="16.149999999999999" customHeight="1" x14ac:dyDescent="0.3">
      <c r="A21" s="171" t="s">
        <v>171</v>
      </c>
      <c r="B21" s="55" t="s">
        <v>192</v>
      </c>
      <c r="C21" s="51">
        <v>-55000</v>
      </c>
      <c r="D21" s="51">
        <v>0</v>
      </c>
      <c r="E21" s="51">
        <v>0</v>
      </c>
      <c r="F21" s="51">
        <v>0</v>
      </c>
      <c r="G21" s="51">
        <v>0</v>
      </c>
      <c r="H21" s="51">
        <v>0</v>
      </c>
      <c r="I21" s="51">
        <v>0</v>
      </c>
      <c r="J21" s="51">
        <v>0</v>
      </c>
      <c r="K21" s="51">
        <v>0</v>
      </c>
      <c r="L21" s="51">
        <v>0</v>
      </c>
      <c r="M21" s="51">
        <v>0</v>
      </c>
      <c r="N21" s="51">
        <v>0</v>
      </c>
      <c r="O21" s="51">
        <v>0</v>
      </c>
      <c r="P21" s="51">
        <v>0</v>
      </c>
      <c r="Q21" s="51">
        <v>0</v>
      </c>
      <c r="R21" s="51">
        <v>0</v>
      </c>
      <c r="S21" s="51">
        <v>0</v>
      </c>
      <c r="T21" s="51">
        <v>0</v>
      </c>
      <c r="U21" s="51">
        <v>0</v>
      </c>
      <c r="V21" s="51">
        <v>0</v>
      </c>
      <c r="W21" s="51">
        <v>0</v>
      </c>
      <c r="X21" s="51">
        <v>0</v>
      </c>
      <c r="Y21" s="51">
        <v>0</v>
      </c>
      <c r="Z21" s="51">
        <v>0</v>
      </c>
      <c r="AA21" s="51">
        <v>0</v>
      </c>
      <c r="AB21" s="51">
        <v>0</v>
      </c>
      <c r="AC21" s="51">
        <v>0</v>
      </c>
      <c r="AD21" s="51">
        <v>0</v>
      </c>
      <c r="AE21" s="51">
        <v>0</v>
      </c>
      <c r="AF21" s="51">
        <v>0</v>
      </c>
      <c r="AG21" s="51">
        <v>0</v>
      </c>
      <c r="AH21" s="51">
        <v>0</v>
      </c>
      <c r="AI21" s="51">
        <v>0</v>
      </c>
      <c r="AJ21" s="51">
        <v>0</v>
      </c>
      <c r="AK21" s="51">
        <v>0</v>
      </c>
      <c r="AL21" s="51">
        <v>0</v>
      </c>
      <c r="AM21" s="51">
        <v>0</v>
      </c>
      <c r="AN21" s="51">
        <v>0</v>
      </c>
      <c r="AO21" s="51">
        <v>0</v>
      </c>
      <c r="AP21" s="51">
        <v>0</v>
      </c>
      <c r="AQ21" s="51">
        <v>0</v>
      </c>
      <c r="AR21" s="51">
        <v>0</v>
      </c>
      <c r="AS21" s="51">
        <v>0</v>
      </c>
      <c r="AT21" s="51">
        <v>0</v>
      </c>
      <c r="AU21" s="51">
        <v>0</v>
      </c>
      <c r="AV21" s="51">
        <v>0</v>
      </c>
      <c r="AW21" s="51">
        <v>0</v>
      </c>
      <c r="AX21" s="51">
        <v>0</v>
      </c>
      <c r="AY21" s="51">
        <v>0</v>
      </c>
      <c r="AZ21" s="51">
        <v>0</v>
      </c>
      <c r="BA21" s="51">
        <v>0</v>
      </c>
      <c r="BB21" s="51">
        <v>60000</v>
      </c>
      <c r="BC21" s="52">
        <f ca="1">SUM(OFFSET($B21,0,1,1,Assumptions!$C$8))</f>
        <v>-55000</v>
      </c>
      <c r="BD21" s="52">
        <f ca="1">SUM(OFFSET($B21,0,1+Assumptions!$C$8,1,SUM(Assumptions!$C$9)))</f>
        <v>0</v>
      </c>
      <c r="BE21" s="52">
        <f ca="1">SUM(OFFSET($B21,0,1+SUM(Assumptions!$C$8:$C$9),1,SUM(Assumptions!$C$10)))</f>
        <v>0</v>
      </c>
      <c r="BF21" s="52">
        <f ca="1">SUM(OFFSET($B21,0,1+SUM(Assumptions!$C$8:$C$10),1,SUM(Assumptions!$C$11)))</f>
        <v>60000</v>
      </c>
      <c r="BG21" s="52">
        <f t="shared" ca="1" si="2"/>
        <v>5000</v>
      </c>
    </row>
    <row r="22" spans="1:59" s="16" customFormat="1" ht="16.149999999999999" customHeight="1" x14ac:dyDescent="0.3">
      <c r="A22" s="171" t="s">
        <v>174</v>
      </c>
      <c r="B22" s="55" t="s">
        <v>175</v>
      </c>
      <c r="C22" s="80">
        <v>-42000</v>
      </c>
      <c r="D22" s="80">
        <v>0</v>
      </c>
      <c r="E22" s="80">
        <v>0</v>
      </c>
      <c r="F22" s="80">
        <v>0</v>
      </c>
      <c r="G22" s="80">
        <v>0</v>
      </c>
      <c r="H22" s="80">
        <v>0</v>
      </c>
      <c r="I22" s="80">
        <v>0</v>
      </c>
      <c r="J22" s="80">
        <v>0</v>
      </c>
      <c r="K22" s="80">
        <v>0</v>
      </c>
      <c r="L22" s="80">
        <v>0</v>
      </c>
      <c r="M22" s="80">
        <v>0</v>
      </c>
      <c r="N22" s="80">
        <v>0</v>
      </c>
      <c r="O22" s="80">
        <v>0</v>
      </c>
      <c r="P22" s="80">
        <v>0</v>
      </c>
      <c r="Q22" s="80">
        <v>0</v>
      </c>
      <c r="R22" s="80">
        <v>0</v>
      </c>
      <c r="S22" s="80">
        <v>0</v>
      </c>
      <c r="T22" s="80">
        <v>0</v>
      </c>
      <c r="U22" s="80">
        <v>0</v>
      </c>
      <c r="V22" s="80">
        <v>0</v>
      </c>
      <c r="W22" s="80">
        <v>0</v>
      </c>
      <c r="X22" s="80">
        <v>0</v>
      </c>
      <c r="Y22" s="80">
        <v>0</v>
      </c>
      <c r="Z22" s="80">
        <v>0</v>
      </c>
      <c r="AA22" s="80">
        <v>0</v>
      </c>
      <c r="AB22" s="80">
        <v>0</v>
      </c>
      <c r="AC22" s="80">
        <v>0</v>
      </c>
      <c r="AD22" s="80">
        <v>0</v>
      </c>
      <c r="AE22" s="80">
        <v>0</v>
      </c>
      <c r="AF22" s="80">
        <v>0</v>
      </c>
      <c r="AG22" s="80">
        <v>0</v>
      </c>
      <c r="AH22" s="80">
        <v>0</v>
      </c>
      <c r="AI22" s="80">
        <v>0</v>
      </c>
      <c r="AJ22" s="80">
        <v>0</v>
      </c>
      <c r="AK22" s="80">
        <v>0</v>
      </c>
      <c r="AL22" s="80">
        <v>0</v>
      </c>
      <c r="AM22" s="80">
        <v>0</v>
      </c>
      <c r="AN22" s="80">
        <v>0</v>
      </c>
      <c r="AO22" s="80">
        <v>0</v>
      </c>
      <c r="AP22" s="80">
        <v>0</v>
      </c>
      <c r="AQ22" s="80">
        <v>0</v>
      </c>
      <c r="AR22" s="80">
        <v>0</v>
      </c>
      <c r="AS22" s="80">
        <v>0</v>
      </c>
      <c r="AT22" s="80">
        <v>0</v>
      </c>
      <c r="AU22" s="80">
        <v>0</v>
      </c>
      <c r="AV22" s="80">
        <v>0</v>
      </c>
      <c r="AW22" s="80">
        <v>0</v>
      </c>
      <c r="AX22" s="80">
        <v>0</v>
      </c>
      <c r="AY22" s="80">
        <v>0</v>
      </c>
      <c r="AZ22" s="80">
        <v>0</v>
      </c>
      <c r="BA22" s="80">
        <v>0</v>
      </c>
      <c r="BB22" s="80">
        <v>30000</v>
      </c>
      <c r="BC22" s="81">
        <f ca="1">SUM(OFFSET($B22,0,1,1,Assumptions!$C$8))</f>
        <v>-42000</v>
      </c>
      <c r="BD22" s="81">
        <f ca="1">SUM(OFFSET($B22,0,1+Assumptions!$C$8,1,SUM(Assumptions!$C$9)))</f>
        <v>0</v>
      </c>
      <c r="BE22" s="81">
        <f ca="1">SUM(OFFSET($B22,0,1+SUM(Assumptions!$C$8:$C$9),1,SUM(Assumptions!$C$10)))</f>
        <v>0</v>
      </c>
      <c r="BF22" s="81">
        <f ca="1">SUM(OFFSET($B22,0,1+SUM(Assumptions!$C$8:$C$10),1,SUM(Assumptions!$C$11)))</f>
        <v>30000</v>
      </c>
      <c r="BG22" s="81">
        <f ca="1">SUM(BC22:BF22)</f>
        <v>-12000</v>
      </c>
    </row>
    <row r="23" spans="1:59" s="84" customFormat="1" ht="16.149999999999999" customHeight="1" x14ac:dyDescent="0.25">
      <c r="A23" s="179"/>
      <c r="B23" s="6" t="s">
        <v>64</v>
      </c>
      <c r="C23" s="82">
        <f ca="1">SUM(C6:C22)</f>
        <v>-89610.833333333343</v>
      </c>
      <c r="D23" s="82">
        <f t="shared" ref="D23:BB23" ca="1" si="3">SUM(D6:D22)</f>
        <v>60205.066666666695</v>
      </c>
      <c r="E23" s="82">
        <f t="shared" ca="1" si="3"/>
        <v>50699.523809523787</v>
      </c>
      <c r="F23" s="82">
        <f t="shared" ca="1" si="3"/>
        <v>-22371.881904761889</v>
      </c>
      <c r="G23" s="82">
        <f t="shared" ca="1" si="3"/>
        <v>39659.270476190446</v>
      </c>
      <c r="H23" s="82">
        <f t="shared" ca="1" si="3"/>
        <v>-13961.790476190465</v>
      </c>
      <c r="I23" s="82">
        <f t="shared" ca="1" si="3"/>
        <v>49884.630952380961</v>
      </c>
      <c r="J23" s="82">
        <f t="shared" ca="1" si="3"/>
        <v>42982.840476190438</v>
      </c>
      <c r="K23" s="82">
        <f t="shared" ca="1" si="3"/>
        <v>-6809.9749999999767</v>
      </c>
      <c r="L23" s="82">
        <f t="shared" ca="1" si="3"/>
        <v>-10609.558333333276</v>
      </c>
      <c r="M23" s="82">
        <f t="shared" ca="1" si="3"/>
        <v>35914.364285714269</v>
      </c>
      <c r="N23" s="82">
        <f t="shared" ca="1" si="3"/>
        <v>39297.571428571449</v>
      </c>
      <c r="O23" s="82">
        <f t="shared" ca="1" si="3"/>
        <v>-58648.988571428621</v>
      </c>
      <c r="P23" s="82">
        <f t="shared" ca="1" si="3"/>
        <v>4179.1023809524122</v>
      </c>
      <c r="Q23" s="82">
        <f t="shared" ca="1" si="3"/>
        <v>53608.364285714255</v>
      </c>
      <c r="R23" s="82">
        <f t="shared" ca="1" si="3"/>
        <v>26315.488095238114</v>
      </c>
      <c r="S23" s="82">
        <f t="shared" ca="1" si="3"/>
        <v>-19147.309523809497</v>
      </c>
      <c r="T23" s="82">
        <f t="shared" ca="1" si="3"/>
        <v>53192.804761904757</v>
      </c>
      <c r="U23" s="82">
        <f t="shared" ca="1" si="3"/>
        <v>4528.3499999999913</v>
      </c>
      <c r="V23" s="82">
        <f t="shared" ca="1" si="3"/>
        <v>49891.979761904797</v>
      </c>
      <c r="W23" s="82">
        <f t="shared" ca="1" si="3"/>
        <v>-7317.4321428571857</v>
      </c>
      <c r="X23" s="82">
        <f t="shared" ca="1" si="3"/>
        <v>4480.4749999999949</v>
      </c>
      <c r="Y23" s="82">
        <f t="shared" ca="1" si="3"/>
        <v>15984.773809523875</v>
      </c>
      <c r="Z23" s="82">
        <f t="shared" ca="1" si="3"/>
        <v>46048.011904761908</v>
      </c>
      <c r="AA23" s="82">
        <f t="shared" ca="1" si="3"/>
        <v>39852.850000000049</v>
      </c>
      <c r="AB23" s="82">
        <f t="shared" ca="1" si="3"/>
        <v>1002.8809523809468</v>
      </c>
      <c r="AC23" s="82">
        <f t="shared" ca="1" si="3"/>
        <v>19399.073809523798</v>
      </c>
      <c r="AD23" s="82">
        <f t="shared" ca="1" si="3"/>
        <v>34849.557142857084</v>
      </c>
      <c r="AE23" s="82">
        <f t="shared" ca="1" si="3"/>
        <v>38328.942857142858</v>
      </c>
      <c r="AF23" s="82">
        <f t="shared" ca="1" si="3"/>
        <v>3988.5750000000771</v>
      </c>
      <c r="AG23" s="82">
        <f t="shared" ca="1" si="3"/>
        <v>-6894.6666666667661</v>
      </c>
      <c r="AH23" s="82">
        <f t="shared" ca="1" si="3"/>
        <v>18462.357142857232</v>
      </c>
      <c r="AI23" s="82">
        <f t="shared" ca="1" si="3"/>
        <v>59307.060714285653</v>
      </c>
      <c r="AJ23" s="82">
        <f t="shared" ca="1" si="3"/>
        <v>47121.464285714312</v>
      </c>
      <c r="AK23" s="82">
        <f t="shared" ca="1" si="3"/>
        <v>-1050.4761904762418</v>
      </c>
      <c r="AL23" s="82">
        <f t="shared" ca="1" si="3"/>
        <v>14747.416666666744</v>
      </c>
      <c r="AM23" s="82">
        <f t="shared" ca="1" si="3"/>
        <v>40341.03571428571</v>
      </c>
      <c r="AN23" s="82">
        <f t="shared" ca="1" si="3"/>
        <v>57016.833333333285</v>
      </c>
      <c r="AO23" s="82">
        <f t="shared" ca="1" si="3"/>
        <v>-63831.639285714235</v>
      </c>
      <c r="AP23" s="82">
        <f t="shared" ca="1" si="3"/>
        <v>78458.178571428551</v>
      </c>
      <c r="AQ23" s="82">
        <f t="shared" ca="1" si="3"/>
        <v>22529.714285714326</v>
      </c>
      <c r="AR23" s="82">
        <f t="shared" ca="1" si="3"/>
        <v>22500.157142857097</v>
      </c>
      <c r="AS23" s="82">
        <f t="shared" ca="1" si="3"/>
        <v>17355.214285714203</v>
      </c>
      <c r="AT23" s="82">
        <f t="shared" ca="1" si="3"/>
        <v>77591.678571428667</v>
      </c>
      <c r="AU23" s="82">
        <f t="shared" ca="1" si="3"/>
        <v>20244.37142857138</v>
      </c>
      <c r="AV23" s="82">
        <f t="shared" ca="1" si="3"/>
        <v>56567.144285714327</v>
      </c>
      <c r="AW23" s="82">
        <f t="shared" ca="1" si="3"/>
        <v>10050.502380952472</v>
      </c>
      <c r="AX23" s="82">
        <f t="shared" ca="1" si="3"/>
        <v>-105534.18476190486</v>
      </c>
      <c r="AY23" s="82">
        <f t="shared" ca="1" si="3"/>
        <v>-31591.424999999959</v>
      </c>
      <c r="AZ23" s="82">
        <f t="shared" ca="1" si="3"/>
        <v>26735.46142857142</v>
      </c>
      <c r="BA23" s="82">
        <f t="shared" ca="1" si="3"/>
        <v>50351.803809523757</v>
      </c>
      <c r="BB23" s="82">
        <f t="shared" ca="1" si="3"/>
        <v>98704.788095238182</v>
      </c>
      <c r="BC23" s="83">
        <f ca="1">SUM(BC6:BC22)</f>
        <v>116630.24047619046</v>
      </c>
      <c r="BD23" s="83">
        <f ca="1">SUM(BD6:BD22)</f>
        <v>272620.33928571438</v>
      </c>
      <c r="BE23" s="83">
        <f ca="1">SUM(BE6:BE22)</f>
        <v>261785.5345238095</v>
      </c>
      <c r="BF23" s="83">
        <f ca="1">SUM(BF6:BF22)</f>
        <v>343963.40452380956</v>
      </c>
      <c r="BG23" s="83">
        <f ca="1">SUM(BG6:BG22)</f>
        <v>994999.5188095239</v>
      </c>
    </row>
    <row r="24" spans="1:59" s="16" customFormat="1" ht="16.149999999999999" customHeight="1" x14ac:dyDescent="0.3">
      <c r="A24" s="172" t="s">
        <v>125</v>
      </c>
      <c r="B24" s="12" t="s">
        <v>65</v>
      </c>
      <c r="C24" s="51">
        <f ca="1">-C7</f>
        <v>-10249.999999999998</v>
      </c>
      <c r="D24" s="51">
        <f t="shared" ref="D24:BB24" ca="1" si="4">-D7</f>
        <v>-4072.9166666666665</v>
      </c>
      <c r="E24" s="51">
        <f t="shared" ca="1" si="4"/>
        <v>0</v>
      </c>
      <c r="F24" s="51">
        <f t="shared" ca="1" si="4"/>
        <v>0</v>
      </c>
      <c r="G24" s="51">
        <f t="shared" ca="1" si="4"/>
        <v>-3854.1666666666665</v>
      </c>
      <c r="H24" s="51">
        <f t="shared" ca="1" si="4"/>
        <v>-14206.365031942376</v>
      </c>
      <c r="I24" s="51">
        <f t="shared" ca="1" si="4"/>
        <v>0</v>
      </c>
      <c r="J24" s="51">
        <f t="shared" ca="1" si="4"/>
        <v>0</v>
      </c>
      <c r="K24" s="51">
        <f t="shared" ca="1" si="4"/>
        <v>-3826.9104361872446</v>
      </c>
      <c r="L24" s="51">
        <f t="shared" ca="1" si="4"/>
        <v>-10150.927891749021</v>
      </c>
      <c r="M24" s="51">
        <f t="shared" ca="1" si="4"/>
        <v>-3937.8199329212807</v>
      </c>
      <c r="N24" s="51">
        <f t="shared" ca="1" si="4"/>
        <v>0</v>
      </c>
      <c r="O24" s="51">
        <f t="shared" ca="1" si="4"/>
        <v>-3799.4441055978764</v>
      </c>
      <c r="P24" s="51">
        <f t="shared" ca="1" si="4"/>
        <v>-10100.756257234016</v>
      </c>
      <c r="Q24" s="51">
        <f t="shared" ca="1" si="4"/>
        <v>-3869.2990147556284</v>
      </c>
      <c r="R24" s="51">
        <f t="shared" ca="1" si="4"/>
        <v>0</v>
      </c>
      <c r="S24" s="51">
        <f t="shared" ca="1" si="4"/>
        <v>0</v>
      </c>
      <c r="T24" s="51">
        <f t="shared" ca="1" si="4"/>
        <v>-3771.7660553768819</v>
      </c>
      <c r="U24" s="51">
        <f t="shared" ca="1" si="4"/>
        <v>-13850.277511131748</v>
      </c>
      <c r="V24" s="51">
        <f t="shared" ca="1" si="4"/>
        <v>0</v>
      </c>
      <c r="W24" s="51">
        <f t="shared" ca="1" si="4"/>
        <v>0</v>
      </c>
      <c r="X24" s="51">
        <f t="shared" ca="1" si="4"/>
        <v>-3743.8746535187674</v>
      </c>
      <c r="Y24" s="51">
        <f t="shared" ca="1" si="4"/>
        <v>-9999.123679543618</v>
      </c>
      <c r="Z24" s="51">
        <f t="shared" ca="1" si="4"/>
        <v>-3730.2809090469018</v>
      </c>
      <c r="AA24" s="51">
        <f t="shared" ca="1" si="4"/>
        <v>0</v>
      </c>
      <c r="AB24" s="51">
        <f t="shared" ca="1" si="4"/>
        <v>0</v>
      </c>
      <c r="AC24" s="51">
        <f t="shared" ca="1" si="4"/>
        <v>-14434.256972820687</v>
      </c>
      <c r="AD24" s="51">
        <f t="shared" ca="1" si="4"/>
        <v>-3659.7710752357866</v>
      </c>
      <c r="AE24" s="51">
        <f t="shared" ca="1" si="4"/>
        <v>0</v>
      </c>
      <c r="AF24" s="51">
        <f t="shared" ca="1" si="4"/>
        <v>0</v>
      </c>
      <c r="AG24" s="51">
        <f t="shared" ca="1" si="4"/>
        <v>-4452.8272911094691</v>
      </c>
      <c r="AH24" s="51">
        <f t="shared" ca="1" si="4"/>
        <v>-13484.332985715062</v>
      </c>
      <c r="AI24" s="51">
        <f t="shared" ca="1" si="4"/>
        <v>0</v>
      </c>
      <c r="AJ24" s="51">
        <f t="shared" ca="1" si="4"/>
        <v>0</v>
      </c>
      <c r="AK24" s="51">
        <f t="shared" ca="1" si="4"/>
        <v>-4418.7926499031319</v>
      </c>
      <c r="AL24" s="51">
        <f t="shared" ca="1" si="4"/>
        <v>-9843.3961628583802</v>
      </c>
      <c r="AM24" s="51">
        <f t="shared" ca="1" si="4"/>
        <v>-3516.7177742487625</v>
      </c>
      <c r="AN24" s="51">
        <f t="shared" ca="1" si="4"/>
        <v>0</v>
      </c>
      <c r="AO24" s="51">
        <f t="shared" ca="1" si="4"/>
        <v>0</v>
      </c>
      <c r="AP24" s="51">
        <f t="shared" ca="1" si="4"/>
        <v>-14175.093353163258</v>
      </c>
      <c r="AQ24" s="51">
        <f t="shared" ca="1" si="4"/>
        <v>-3444.1612937291648</v>
      </c>
      <c r="AR24" s="51">
        <f t="shared" ca="1" si="4"/>
        <v>0</v>
      </c>
      <c r="AS24" s="51">
        <f t="shared" ca="1" si="4"/>
        <v>0</v>
      </c>
      <c r="AT24" s="51">
        <f t="shared" ca="1" si="4"/>
        <v>-4349.9342941285386</v>
      </c>
      <c r="AU24" s="51">
        <f t="shared" ca="1" si="4"/>
        <v>-9737.3482398787055</v>
      </c>
      <c r="AV24" s="51">
        <f t="shared" ca="1" si="4"/>
        <v>-3370.9094802712548</v>
      </c>
      <c r="AW24" s="51">
        <f t="shared" ca="1" si="4"/>
        <v>0</v>
      </c>
      <c r="AX24" s="51">
        <f t="shared" ca="1" si="4"/>
        <v>-4315.1065194038065</v>
      </c>
      <c r="AY24" s="51">
        <f t="shared" ca="1" si="4"/>
        <v>-12183.643945837308</v>
      </c>
      <c r="AZ24" s="51">
        <f t="shared" ca="1" si="4"/>
        <v>-3296.9556702677055</v>
      </c>
      <c r="BA24" s="51">
        <f t="shared" ca="1" si="4"/>
        <v>0</v>
      </c>
      <c r="BB24" s="51">
        <f t="shared" ca="1" si="4"/>
        <v>0</v>
      </c>
      <c r="BC24" s="52">
        <f ca="1">SUM(OFFSET($B24,0,1,1,Assumptions!$C$8))</f>
        <v>-54098.550731731128</v>
      </c>
      <c r="BD24" s="52">
        <f ca="1">SUM(OFFSET($B24,0,1+Assumptions!$C$8,1,SUM(Assumptions!$C$9)))</f>
        <v>-49065.378080607559</v>
      </c>
      <c r="BE24" s="52">
        <f ca="1">SUM(OFFSET($B24,0,1+SUM(Assumptions!$C$8:$C$9),1,SUM(Assumptions!$C$10)))</f>
        <v>-53810.094911891276</v>
      </c>
      <c r="BF24" s="52">
        <f ca="1">SUM(OFFSET($B24,0,1+SUM(Assumptions!$C$8:$C$10),1,SUM(Assumptions!$C$11)))</f>
        <v>-54873.152796679744</v>
      </c>
      <c r="BG24" s="52">
        <f ca="1">SUM(BC24:BF24)</f>
        <v>-211847.17652090971</v>
      </c>
    </row>
    <row r="25" spans="1:59" s="16" customFormat="1" ht="16.149999999999999" customHeight="1" x14ac:dyDescent="0.3">
      <c r="A25" s="172" t="s">
        <v>132</v>
      </c>
      <c r="B25" s="12" t="s">
        <v>66</v>
      </c>
      <c r="C25" s="51">
        <f ca="1">OFFSET(BalanceSheet!$B37,0,COLUMN(C$4)-COLUMN($B$4)+1,1,1)-OFFSET(BalanceSheet!$B37,0,COLUMN(C$4)-COLUMN($B$4),1,1)-C8</f>
        <v>0</v>
      </c>
      <c r="D25" s="51">
        <f ca="1">OFFSET(BalanceSheet!$B37,0,COLUMN(D$4)-COLUMN($B$4)+1,1,1)-OFFSET(BalanceSheet!$B37,0,COLUMN(D$4)-COLUMN($B$4),1,1)-D8</f>
        <v>0</v>
      </c>
      <c r="E25" s="51">
        <f ca="1">OFFSET(BalanceSheet!$B37,0,COLUMN(E$4)-COLUMN($B$4)+1,1,1)-OFFSET(BalanceSheet!$B37,0,COLUMN(E$4)-COLUMN($B$4),1,1)-E8</f>
        <v>0</v>
      </c>
      <c r="F25" s="51">
        <f ca="1">OFFSET(BalanceSheet!$B37,0,COLUMN(F$4)-COLUMN($B$4)+1,1,1)-OFFSET(BalanceSheet!$B37,0,COLUMN(F$4)-COLUMN($B$4),1,1)-F8</f>
        <v>0</v>
      </c>
      <c r="G25" s="51">
        <f ca="1">OFFSET(BalanceSheet!$B37,0,COLUMN(G$4)-COLUMN($B$4)+1,1,1)-OFFSET(BalanceSheet!$B37,0,COLUMN(G$4)-COLUMN($B$4),1,1)-G8</f>
        <v>0</v>
      </c>
      <c r="H25" s="51">
        <f ca="1">OFFSET(BalanceSheet!$B37,0,COLUMN(H$4)-COLUMN($B$4)+1,1,1)-OFFSET(BalanceSheet!$B37,0,COLUMN(H$4)-COLUMN($B$4),1,1)-H8</f>
        <v>0</v>
      </c>
      <c r="I25" s="51">
        <f ca="1">OFFSET(BalanceSheet!$B37,0,COLUMN(I$4)-COLUMN($B$4)+1,1,1)-OFFSET(BalanceSheet!$B37,0,COLUMN(I$4)-COLUMN($B$4),1,1)-I8</f>
        <v>0</v>
      </c>
      <c r="J25" s="51">
        <f ca="1">OFFSET(BalanceSheet!$B37,0,COLUMN(J$4)-COLUMN($B$4)+1,1,1)-OFFSET(BalanceSheet!$B37,0,COLUMN(J$4)-COLUMN($B$4),1,1)-J8</f>
        <v>0</v>
      </c>
      <c r="K25" s="51">
        <f ca="1">OFFSET(BalanceSheet!$B37,0,COLUMN(K$4)-COLUMN($B$4)+1,1,1)-OFFSET(BalanceSheet!$B37,0,COLUMN(K$4)-COLUMN($B$4),1,1)-K8</f>
        <v>0</v>
      </c>
      <c r="L25" s="51">
        <f ca="1">OFFSET(BalanceSheet!$B37,0,COLUMN(L$4)-COLUMN($B$4)+1,1,1)-OFFSET(BalanceSheet!$B37,0,COLUMN(L$4)-COLUMN($B$4),1,1)-L8</f>
        <v>0</v>
      </c>
      <c r="M25" s="51">
        <f ca="1">OFFSET(BalanceSheet!$B37,0,COLUMN(M$4)-COLUMN($B$4)+1,1,1)-OFFSET(BalanceSheet!$B37,0,COLUMN(M$4)-COLUMN($B$4),1,1)-M8</f>
        <v>0</v>
      </c>
      <c r="N25" s="51">
        <f ca="1">OFFSET(BalanceSheet!$B37,0,COLUMN(N$4)-COLUMN($B$4)+1,1,1)-OFFSET(BalanceSheet!$B37,0,COLUMN(N$4)-COLUMN($B$4),1,1)-N8</f>
        <v>0</v>
      </c>
      <c r="O25" s="51">
        <f ca="1">OFFSET(BalanceSheet!$B37,0,COLUMN(O$4)-COLUMN($B$4)+1,1,1)-OFFSET(BalanceSheet!$B37,0,COLUMN(O$4)-COLUMN($B$4),1,1)-O8</f>
        <v>0</v>
      </c>
      <c r="P25" s="51">
        <f ca="1">OFFSET(BalanceSheet!$B37,0,COLUMN(P$4)-COLUMN($B$4)+1,1,1)-OFFSET(BalanceSheet!$B37,0,COLUMN(P$4)-COLUMN($B$4),1,1)-P8</f>
        <v>0</v>
      </c>
      <c r="Q25" s="51">
        <f ca="1">OFFSET(BalanceSheet!$B37,0,COLUMN(Q$4)-COLUMN($B$4)+1,1,1)-OFFSET(BalanceSheet!$B37,0,COLUMN(Q$4)-COLUMN($B$4),1,1)-Q8</f>
        <v>0</v>
      </c>
      <c r="R25" s="51">
        <f ca="1">OFFSET(BalanceSheet!$B37,0,COLUMN(R$4)-COLUMN($B$4)+1,1,1)-OFFSET(BalanceSheet!$B37,0,COLUMN(R$4)-COLUMN($B$4),1,1)-R8</f>
        <v>0</v>
      </c>
      <c r="S25" s="51">
        <f ca="1">OFFSET(BalanceSheet!$B37,0,COLUMN(S$4)-COLUMN($B$4)+1,1,1)-OFFSET(BalanceSheet!$B37,0,COLUMN(S$4)-COLUMN($B$4),1,1)-S8</f>
        <v>0</v>
      </c>
      <c r="T25" s="51">
        <f ca="1">OFFSET(BalanceSheet!$B37,0,COLUMN(T$4)-COLUMN($B$4)+1,1,1)-OFFSET(BalanceSheet!$B37,0,COLUMN(T$4)-COLUMN($B$4),1,1)-T8</f>
        <v>0</v>
      </c>
      <c r="U25" s="51">
        <f ca="1">OFFSET(BalanceSheet!$B37,0,COLUMN(U$4)-COLUMN($B$4)+1,1,1)-OFFSET(BalanceSheet!$B37,0,COLUMN(U$4)-COLUMN($B$4),1,1)-U8</f>
        <v>0</v>
      </c>
      <c r="V25" s="51">
        <f ca="1">OFFSET(BalanceSheet!$B37,0,COLUMN(V$4)-COLUMN($B$4)+1,1,1)-OFFSET(BalanceSheet!$B37,0,COLUMN(V$4)-COLUMN($B$4),1,1)-V8</f>
        <v>0</v>
      </c>
      <c r="W25" s="51">
        <f ca="1">OFFSET(BalanceSheet!$B37,0,COLUMN(W$4)-COLUMN($B$4)+1,1,1)-OFFSET(BalanceSheet!$B37,0,COLUMN(W$4)-COLUMN($B$4),1,1)-W8</f>
        <v>0</v>
      </c>
      <c r="X25" s="51">
        <f ca="1">OFFSET(BalanceSheet!$B37,0,COLUMN(X$4)-COLUMN($B$4)+1,1,1)-OFFSET(BalanceSheet!$B37,0,COLUMN(X$4)-COLUMN($B$4),1,1)-X8</f>
        <v>0</v>
      </c>
      <c r="Y25" s="51">
        <f ca="1">OFFSET(BalanceSheet!$B37,0,COLUMN(Y$4)-COLUMN($B$4)+1,1,1)-OFFSET(BalanceSheet!$B37,0,COLUMN(Y$4)-COLUMN($B$4),1,1)-Y8</f>
        <v>0</v>
      </c>
      <c r="Z25" s="51">
        <f ca="1">OFFSET(BalanceSheet!$B37,0,COLUMN(Z$4)-COLUMN($B$4)+1,1,1)-OFFSET(BalanceSheet!$B37,0,COLUMN(Z$4)-COLUMN($B$4),1,1)-Z8</f>
        <v>0</v>
      </c>
      <c r="AA25" s="51">
        <f ca="1">OFFSET(BalanceSheet!$B37,0,COLUMN(AA$4)-COLUMN($B$4)+1,1,1)-OFFSET(BalanceSheet!$B37,0,COLUMN(AA$4)-COLUMN($B$4),1,1)-AA8</f>
        <v>0</v>
      </c>
      <c r="AB25" s="51">
        <f ca="1">OFFSET(BalanceSheet!$B37,0,COLUMN(AB$4)-COLUMN($B$4)+1,1,1)-OFFSET(BalanceSheet!$B37,0,COLUMN(AB$4)-COLUMN($B$4),1,1)-AB8</f>
        <v>-71028.851932545193</v>
      </c>
      <c r="AC25" s="51">
        <f ca="1">OFFSET(BalanceSheet!$B37,0,COLUMN(AC$4)-COLUMN($B$4)+1,1,1)-OFFSET(BalanceSheet!$B37,0,COLUMN(AC$4)-COLUMN($B$4),1,1)-AC8</f>
        <v>-16145.080000000002</v>
      </c>
      <c r="AD25" s="51">
        <f ca="1">OFFSET(BalanceSheet!$B37,0,COLUMN(AD$4)-COLUMN($B$4)+1,1,1)-OFFSET(BalanceSheet!$B37,0,COLUMN(AD$4)-COLUMN($B$4),1,1)-AD8</f>
        <v>0</v>
      </c>
      <c r="AE25" s="51">
        <f ca="1">OFFSET(BalanceSheet!$B37,0,COLUMN(AE$4)-COLUMN($B$4)+1,1,1)-OFFSET(BalanceSheet!$B37,0,COLUMN(AE$4)-COLUMN($B$4),1,1)-AE8</f>
        <v>0</v>
      </c>
      <c r="AF25" s="51">
        <f ca="1">OFFSET(BalanceSheet!$B37,0,COLUMN(AF$4)-COLUMN($B$4)+1,1,1)-OFFSET(BalanceSheet!$B37,0,COLUMN(AF$4)-COLUMN($B$4),1,1)-AF8</f>
        <v>0</v>
      </c>
      <c r="AG25" s="51">
        <f ca="1">OFFSET(BalanceSheet!$B37,0,COLUMN(AG$4)-COLUMN($B$4)+1,1,1)-OFFSET(BalanceSheet!$B37,0,COLUMN(AG$4)-COLUMN($B$4),1,1)-AG8</f>
        <v>0</v>
      </c>
      <c r="AH25" s="51">
        <f ca="1">OFFSET(BalanceSheet!$B37,0,COLUMN(AH$4)-COLUMN($B$4)+1,1,1)-OFFSET(BalanceSheet!$B37,0,COLUMN(AH$4)-COLUMN($B$4),1,1)-AH8</f>
        <v>0</v>
      </c>
      <c r="AI25" s="51">
        <f ca="1">OFFSET(BalanceSheet!$B37,0,COLUMN(AI$4)-COLUMN($B$4)+1,1,1)-OFFSET(BalanceSheet!$B37,0,COLUMN(AI$4)-COLUMN($B$4),1,1)-AI8</f>
        <v>0</v>
      </c>
      <c r="AJ25" s="51">
        <f ca="1">OFFSET(BalanceSheet!$B37,0,COLUMN(AJ$4)-COLUMN($B$4)+1,1,1)-OFFSET(BalanceSheet!$B37,0,COLUMN(AJ$4)-COLUMN($B$4),1,1)-AJ8</f>
        <v>0</v>
      </c>
      <c r="AK25" s="51">
        <f ca="1">OFFSET(BalanceSheet!$B37,0,COLUMN(AK$4)-COLUMN($B$4)+1,1,1)-OFFSET(BalanceSheet!$B37,0,COLUMN(AK$4)-COLUMN($B$4),1,1)-AK8</f>
        <v>0</v>
      </c>
      <c r="AL25" s="51">
        <f ca="1">OFFSET(BalanceSheet!$B37,0,COLUMN(AL$4)-COLUMN($B$4)+1,1,1)-OFFSET(BalanceSheet!$B37,0,COLUMN(AL$4)-COLUMN($B$4),1,1)-AL8</f>
        <v>0</v>
      </c>
      <c r="AM25" s="51">
        <f ca="1">OFFSET(BalanceSheet!$B37,0,COLUMN(AM$4)-COLUMN($B$4)+1,1,1)-OFFSET(BalanceSheet!$B37,0,COLUMN(AM$4)-COLUMN($B$4),1,1)-AM8</f>
        <v>0</v>
      </c>
      <c r="AN25" s="51">
        <f ca="1">OFFSET(BalanceSheet!$B37,0,COLUMN(AN$4)-COLUMN($B$4)+1,1,1)-OFFSET(BalanceSheet!$B37,0,COLUMN(AN$4)-COLUMN($B$4),1,1)-AN8</f>
        <v>0</v>
      </c>
      <c r="AO25" s="51">
        <f ca="1">OFFSET(BalanceSheet!$B37,0,COLUMN(AO$4)-COLUMN($B$4)+1,1,1)-OFFSET(BalanceSheet!$B37,0,COLUMN(AO$4)-COLUMN($B$4),1,1)-AO8</f>
        <v>0</v>
      </c>
      <c r="AP25" s="51">
        <f ca="1">OFFSET(BalanceSheet!$B37,0,COLUMN(AP$4)-COLUMN($B$4)+1,1,1)-OFFSET(BalanceSheet!$B37,0,COLUMN(AP$4)-COLUMN($B$4),1,1)-AP8</f>
        <v>0</v>
      </c>
      <c r="AQ25" s="51">
        <f ca="1">OFFSET(BalanceSheet!$B37,0,COLUMN(AQ$4)-COLUMN($B$4)+1,1,1)-OFFSET(BalanceSheet!$B37,0,COLUMN(AQ$4)-COLUMN($B$4),1,1)-AQ8</f>
        <v>0</v>
      </c>
      <c r="AR25" s="51">
        <f ca="1">OFFSET(BalanceSheet!$B37,0,COLUMN(AR$4)-COLUMN($B$4)+1,1,1)-OFFSET(BalanceSheet!$B37,0,COLUMN(AR$4)-COLUMN($B$4),1,1)-AR8</f>
        <v>0</v>
      </c>
      <c r="AS25" s="51">
        <f ca="1">OFFSET(BalanceSheet!$B37,0,COLUMN(AS$4)-COLUMN($B$4)+1,1,1)-OFFSET(BalanceSheet!$B37,0,COLUMN(AS$4)-COLUMN($B$4),1,1)-AS8</f>
        <v>0</v>
      </c>
      <c r="AT25" s="51">
        <f ca="1">OFFSET(BalanceSheet!$B37,0,COLUMN(AT$4)-COLUMN($B$4)+1,1,1)-OFFSET(BalanceSheet!$B37,0,COLUMN(AT$4)-COLUMN($B$4),1,1)-AT8</f>
        <v>0</v>
      </c>
      <c r="AU25" s="51">
        <f ca="1">OFFSET(BalanceSheet!$B37,0,COLUMN(AU$4)-COLUMN($B$4)+1,1,1)-OFFSET(BalanceSheet!$B37,0,COLUMN(AU$4)-COLUMN($B$4),1,1)-AU8</f>
        <v>0</v>
      </c>
      <c r="AV25" s="51">
        <f ca="1">OFFSET(BalanceSheet!$B37,0,COLUMN(AV$4)-COLUMN($B$4)+1,1,1)-OFFSET(BalanceSheet!$B37,0,COLUMN(AV$4)-COLUMN($B$4),1,1)-AV8</f>
        <v>0</v>
      </c>
      <c r="AW25" s="51">
        <f ca="1">OFFSET(BalanceSheet!$B37,0,COLUMN(AW$4)-COLUMN($B$4)+1,1,1)-OFFSET(BalanceSheet!$B37,0,COLUMN(AW$4)-COLUMN($B$4),1,1)-AW8</f>
        <v>0</v>
      </c>
      <c r="AX25" s="51">
        <f ca="1">OFFSET(BalanceSheet!$B37,0,COLUMN(AX$4)-COLUMN($B$4)+1,1,1)-OFFSET(BalanceSheet!$B37,0,COLUMN(AX$4)-COLUMN($B$4),1,1)-AX8</f>
        <v>0</v>
      </c>
      <c r="AY25" s="51">
        <f ca="1">OFFSET(BalanceSheet!$B37,0,COLUMN(AY$4)-COLUMN($B$4)+1,1,1)-OFFSET(BalanceSheet!$B37,0,COLUMN(AY$4)-COLUMN($B$4),1,1)-AY8</f>
        <v>0</v>
      </c>
      <c r="AZ25" s="51">
        <f ca="1">OFFSET(BalanceSheet!$B37,0,COLUMN(AZ$4)-COLUMN($B$4)+1,1,1)-OFFSET(BalanceSheet!$B37,0,COLUMN(AZ$4)-COLUMN($B$4),1,1)-AZ8</f>
        <v>0</v>
      </c>
      <c r="BA25" s="51">
        <f ca="1">OFFSET(BalanceSheet!$B37,0,COLUMN(BA$4)-COLUMN($B$4)+1,1,1)-OFFSET(BalanceSheet!$B37,0,COLUMN(BA$4)-COLUMN($B$4),1,1)-BA8</f>
        <v>0</v>
      </c>
      <c r="BB25" s="51">
        <f ca="1">OFFSET(BalanceSheet!$B37,0,COLUMN(BB$4)-COLUMN($B$4)+1,1,1)-OFFSET(BalanceSheet!$B37,0,COLUMN(BB$4)-COLUMN($B$4),1,1)-BB8</f>
        <v>-79143.031974933445</v>
      </c>
      <c r="BC25" s="52">
        <f ca="1">SUM(OFFSET($B25,0,1,1,Assumptions!$C$8))</f>
        <v>0</v>
      </c>
      <c r="BD25" s="52">
        <f ca="1">SUM(OFFSET($B25,0,1+Assumptions!$C$8,1,SUM(Assumptions!$C$9)))</f>
        <v>-71028.851932545193</v>
      </c>
      <c r="BE25" s="52">
        <f ca="1">SUM(OFFSET($B25,0,1+SUM(Assumptions!$C$8:$C$9),1,SUM(Assumptions!$C$10)))</f>
        <v>-16145.080000000002</v>
      </c>
      <c r="BF25" s="52">
        <f ca="1">SUM(OFFSET($B25,0,1+SUM(Assumptions!$C$8:$C$10),1,SUM(Assumptions!$C$11)))</f>
        <v>-79143.031974933445</v>
      </c>
      <c r="BG25" s="52">
        <f ca="1">SUM(BC25:BF25)</f>
        <v>-166316.96390747864</v>
      </c>
    </row>
    <row r="26" spans="1:59" s="84" customFormat="1" ht="16.149999999999999" customHeight="1" thickBot="1" x14ac:dyDescent="0.3">
      <c r="A26" s="179"/>
      <c r="B26" s="6" t="s">
        <v>67</v>
      </c>
      <c r="C26" s="85">
        <f ca="1">SUM(C23:C25)</f>
        <v>-99860.833333333343</v>
      </c>
      <c r="D26" s="85">
        <f t="shared" ref="D26:BG26" ca="1" si="5">SUM(D23:D25)</f>
        <v>56132.150000000031</v>
      </c>
      <c r="E26" s="85">
        <f t="shared" ca="1" si="5"/>
        <v>50699.523809523787</v>
      </c>
      <c r="F26" s="85">
        <f t="shared" ca="1" si="5"/>
        <v>-22371.881904761889</v>
      </c>
      <c r="G26" s="85">
        <f t="shared" ca="1" si="5"/>
        <v>35805.103809523782</v>
      </c>
      <c r="H26" s="85">
        <f t="shared" ca="1" si="5"/>
        <v>-28168.155508132841</v>
      </c>
      <c r="I26" s="85">
        <f t="shared" ca="1" si="5"/>
        <v>49884.630952380961</v>
      </c>
      <c r="J26" s="85">
        <f t="shared" ca="1" si="5"/>
        <v>42982.840476190438</v>
      </c>
      <c r="K26" s="85">
        <f t="shared" ca="1" si="5"/>
        <v>-10636.885436187222</v>
      </c>
      <c r="L26" s="85">
        <f t="shared" ca="1" si="5"/>
        <v>-20760.486225082299</v>
      </c>
      <c r="M26" s="85">
        <f t="shared" ca="1" si="5"/>
        <v>31976.544352792989</v>
      </c>
      <c r="N26" s="85">
        <f t="shared" ca="1" si="5"/>
        <v>39297.571428571449</v>
      </c>
      <c r="O26" s="85">
        <f t="shared" ca="1" si="5"/>
        <v>-62448.432677026496</v>
      </c>
      <c r="P26" s="85">
        <f t="shared" ca="1" si="5"/>
        <v>-5921.6538762816035</v>
      </c>
      <c r="Q26" s="85">
        <f t="shared" ca="1" si="5"/>
        <v>49739.065270958628</v>
      </c>
      <c r="R26" s="85">
        <f t="shared" ca="1" si="5"/>
        <v>26315.488095238114</v>
      </c>
      <c r="S26" s="85">
        <f t="shared" ca="1" si="5"/>
        <v>-19147.309523809497</v>
      </c>
      <c r="T26" s="85">
        <f t="shared" ca="1" si="5"/>
        <v>49421.038706527877</v>
      </c>
      <c r="U26" s="85">
        <f t="shared" ca="1" si="5"/>
        <v>-9321.9275111317565</v>
      </c>
      <c r="V26" s="85">
        <f t="shared" ca="1" si="5"/>
        <v>49891.979761904797</v>
      </c>
      <c r="W26" s="85">
        <f t="shared" ca="1" si="5"/>
        <v>-7317.4321428571857</v>
      </c>
      <c r="X26" s="85">
        <f t="shared" ca="1" si="5"/>
        <v>736.60034648122746</v>
      </c>
      <c r="Y26" s="85">
        <f t="shared" ca="1" si="5"/>
        <v>5985.6501299802567</v>
      </c>
      <c r="Z26" s="85">
        <f t="shared" ca="1" si="5"/>
        <v>42317.730995715006</v>
      </c>
      <c r="AA26" s="85">
        <f t="shared" ca="1" si="5"/>
        <v>39852.850000000049</v>
      </c>
      <c r="AB26" s="85">
        <f t="shared" ca="1" si="5"/>
        <v>-70025.970980164246</v>
      </c>
      <c r="AC26" s="85">
        <f t="shared" ca="1" si="5"/>
        <v>-11180.263163296891</v>
      </c>
      <c r="AD26" s="85">
        <f t="shared" ca="1" si="5"/>
        <v>31189.786067621299</v>
      </c>
      <c r="AE26" s="85">
        <f t="shared" ca="1" si="5"/>
        <v>38328.942857142858</v>
      </c>
      <c r="AF26" s="85">
        <f t="shared" ca="1" si="5"/>
        <v>3988.5750000000771</v>
      </c>
      <c r="AG26" s="85">
        <f t="shared" ca="1" si="5"/>
        <v>-11347.493957776234</v>
      </c>
      <c r="AH26" s="85">
        <f t="shared" ca="1" si="5"/>
        <v>4978.0241571421702</v>
      </c>
      <c r="AI26" s="85">
        <f t="shared" ca="1" si="5"/>
        <v>59307.060714285653</v>
      </c>
      <c r="AJ26" s="85">
        <f t="shared" ca="1" si="5"/>
        <v>47121.464285714312</v>
      </c>
      <c r="AK26" s="85">
        <f t="shared" ca="1" si="5"/>
        <v>-5469.2688403793736</v>
      </c>
      <c r="AL26" s="85">
        <f t="shared" ca="1" si="5"/>
        <v>4904.0205038083641</v>
      </c>
      <c r="AM26" s="85">
        <f t="shared" ca="1" si="5"/>
        <v>36824.317940036948</v>
      </c>
      <c r="AN26" s="85">
        <f t="shared" ca="1" si="5"/>
        <v>57016.833333333285</v>
      </c>
      <c r="AO26" s="85">
        <f t="shared" ca="1" si="5"/>
        <v>-63831.639285714235</v>
      </c>
      <c r="AP26" s="85">
        <f t="shared" ca="1" si="5"/>
        <v>64283.085218265289</v>
      </c>
      <c r="AQ26" s="85">
        <f t="shared" ca="1" si="5"/>
        <v>19085.552991985161</v>
      </c>
      <c r="AR26" s="85">
        <f t="shared" ca="1" si="5"/>
        <v>22500.157142857097</v>
      </c>
      <c r="AS26" s="85">
        <f t="shared" ca="1" si="5"/>
        <v>17355.214285714203</v>
      </c>
      <c r="AT26" s="85">
        <f t="shared" ca="1" si="5"/>
        <v>73241.744277300124</v>
      </c>
      <c r="AU26" s="85">
        <f t="shared" ca="1" si="5"/>
        <v>10507.023188692674</v>
      </c>
      <c r="AV26" s="85">
        <f t="shared" ca="1" si="5"/>
        <v>53196.234805443069</v>
      </c>
      <c r="AW26" s="85">
        <f t="shared" ca="1" si="5"/>
        <v>10050.502380952472</v>
      </c>
      <c r="AX26" s="85">
        <f t="shared" ca="1" si="5"/>
        <v>-109849.29128130867</v>
      </c>
      <c r="AY26" s="85">
        <f t="shared" ca="1" si="5"/>
        <v>-43775.068945837265</v>
      </c>
      <c r="AZ26" s="85">
        <f t="shared" ca="1" si="5"/>
        <v>23438.505758303712</v>
      </c>
      <c r="BA26" s="85">
        <f t="shared" ca="1" si="5"/>
        <v>50351.803809523757</v>
      </c>
      <c r="BB26" s="85">
        <f t="shared" ca="1" si="5"/>
        <v>19561.756120304737</v>
      </c>
      <c r="BC26" s="86">
        <f t="shared" ca="1" si="5"/>
        <v>62531.689744459334</v>
      </c>
      <c r="BD26" s="86">
        <f t="shared" ca="1" si="5"/>
        <v>152526.10927256162</v>
      </c>
      <c r="BE26" s="86">
        <f t="shared" ca="1" si="5"/>
        <v>191830.35961191822</v>
      </c>
      <c r="BF26" s="86">
        <f t="shared" ca="1" si="5"/>
        <v>209947.21975219634</v>
      </c>
      <c r="BG26" s="86">
        <f t="shared" ca="1" si="5"/>
        <v>616835.37838113564</v>
      </c>
    </row>
    <row r="27" spans="1:59" s="16" customFormat="1" ht="16.149999999999999" customHeight="1" x14ac:dyDescent="0.3">
      <c r="A27" s="172"/>
      <c r="B27" s="2" t="s">
        <v>68</v>
      </c>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2"/>
      <c r="BD27" s="52"/>
      <c r="BE27" s="52"/>
      <c r="BF27" s="52"/>
      <c r="BG27" s="52"/>
    </row>
    <row r="28" spans="1:59" s="16" customFormat="1" ht="16.149999999999999" customHeight="1" x14ac:dyDescent="0.3">
      <c r="A28" s="178" t="s">
        <v>138</v>
      </c>
      <c r="B28" s="55" t="s">
        <v>69</v>
      </c>
      <c r="C28" s="51">
        <v>0</v>
      </c>
      <c r="D28" s="51">
        <v>0</v>
      </c>
      <c r="E28" s="51">
        <v>0</v>
      </c>
      <c r="F28" s="51">
        <v>0</v>
      </c>
      <c r="G28" s="51">
        <v>0</v>
      </c>
      <c r="H28" s="51">
        <v>0</v>
      </c>
      <c r="I28" s="51">
        <v>0</v>
      </c>
      <c r="J28" s="51">
        <v>0</v>
      </c>
      <c r="K28" s="51">
        <v>0</v>
      </c>
      <c r="L28" s="51">
        <v>0</v>
      </c>
      <c r="M28" s="51">
        <v>0</v>
      </c>
      <c r="N28" s="51">
        <v>0</v>
      </c>
      <c r="O28" s="51">
        <v>0</v>
      </c>
      <c r="P28" s="51">
        <v>0</v>
      </c>
      <c r="Q28" s="51">
        <v>0</v>
      </c>
      <c r="R28" s="51">
        <v>0</v>
      </c>
      <c r="S28" s="51">
        <v>0</v>
      </c>
      <c r="T28" s="51">
        <v>0</v>
      </c>
      <c r="U28" s="51">
        <v>0</v>
      </c>
      <c r="V28" s="51">
        <v>0</v>
      </c>
      <c r="W28" s="51">
        <v>0</v>
      </c>
      <c r="X28" s="51">
        <v>0</v>
      </c>
      <c r="Y28" s="51">
        <v>0</v>
      </c>
      <c r="Z28" s="51">
        <v>0</v>
      </c>
      <c r="AA28" s="51">
        <v>0</v>
      </c>
      <c r="AB28" s="51">
        <v>0</v>
      </c>
      <c r="AC28" s="51">
        <v>0</v>
      </c>
      <c r="AD28" s="51">
        <v>0</v>
      </c>
      <c r="AE28" s="51">
        <v>0</v>
      </c>
      <c r="AF28" s="51">
        <v>0</v>
      </c>
      <c r="AG28" s="51">
        <v>0</v>
      </c>
      <c r="AH28" s="51">
        <v>0</v>
      </c>
      <c r="AI28" s="51">
        <v>0</v>
      </c>
      <c r="AJ28" s="51">
        <v>0</v>
      </c>
      <c r="AK28" s="51">
        <v>0</v>
      </c>
      <c r="AL28" s="51">
        <v>0</v>
      </c>
      <c r="AM28" s="51">
        <v>0</v>
      </c>
      <c r="AN28" s="51">
        <v>0</v>
      </c>
      <c r="AO28" s="51">
        <v>0</v>
      </c>
      <c r="AP28" s="51">
        <v>0</v>
      </c>
      <c r="AQ28" s="51">
        <v>0</v>
      </c>
      <c r="AR28" s="51">
        <v>0</v>
      </c>
      <c r="AS28" s="51">
        <v>0</v>
      </c>
      <c r="AT28" s="51">
        <v>0</v>
      </c>
      <c r="AU28" s="51">
        <v>-240000</v>
      </c>
      <c r="AV28" s="51">
        <v>0</v>
      </c>
      <c r="AW28" s="51">
        <v>0</v>
      </c>
      <c r="AX28" s="51">
        <v>0</v>
      </c>
      <c r="AY28" s="51">
        <v>0</v>
      </c>
      <c r="AZ28" s="51">
        <v>0</v>
      </c>
      <c r="BA28" s="51">
        <v>0</v>
      </c>
      <c r="BB28" s="51">
        <v>0</v>
      </c>
      <c r="BC28" s="52">
        <f ca="1">SUM(OFFSET($B28,0,1,1,Assumptions!$C$8))</f>
        <v>0</v>
      </c>
      <c r="BD28" s="52">
        <f ca="1">SUM(OFFSET($B28,0,1+Assumptions!$C$8,1,SUM(Assumptions!$C$9)))</f>
        <v>0</v>
      </c>
      <c r="BE28" s="52">
        <f ca="1">SUM(OFFSET($B28,0,1+SUM(Assumptions!$C$8:$C$9),1,SUM(Assumptions!$C$10)))</f>
        <v>0</v>
      </c>
      <c r="BF28" s="52">
        <f ca="1">SUM(OFFSET($B28,0,1+SUM(Assumptions!$C$8:$C$10),1,SUM(Assumptions!$C$11)))</f>
        <v>-240000</v>
      </c>
      <c r="BG28" s="52">
        <f ca="1">SUM(BC28:BF28)</f>
        <v>-240000</v>
      </c>
    </row>
    <row r="29" spans="1:59" s="16" customFormat="1" ht="16.149999999999999" customHeight="1" x14ac:dyDescent="0.3">
      <c r="A29" s="178" t="s">
        <v>139</v>
      </c>
      <c r="B29" s="55" t="s">
        <v>194</v>
      </c>
      <c r="C29" s="51">
        <v>0</v>
      </c>
      <c r="D29" s="51">
        <v>0</v>
      </c>
      <c r="E29" s="51">
        <v>0</v>
      </c>
      <c r="F29" s="51">
        <v>0</v>
      </c>
      <c r="G29" s="51">
        <v>0</v>
      </c>
      <c r="H29" s="51">
        <v>0</v>
      </c>
      <c r="I29" s="51">
        <v>0</v>
      </c>
      <c r="J29" s="51">
        <v>0</v>
      </c>
      <c r="K29" s="51">
        <v>0</v>
      </c>
      <c r="L29" s="51">
        <v>0</v>
      </c>
      <c r="M29" s="51">
        <v>0</v>
      </c>
      <c r="N29" s="51">
        <v>0</v>
      </c>
      <c r="O29" s="51">
        <v>0</v>
      </c>
      <c r="P29" s="51">
        <v>0</v>
      </c>
      <c r="Q29" s="51">
        <v>0</v>
      </c>
      <c r="R29" s="51">
        <v>0</v>
      </c>
      <c r="S29" s="51">
        <v>0</v>
      </c>
      <c r="T29" s="51">
        <v>0</v>
      </c>
      <c r="U29" s="51">
        <v>0</v>
      </c>
      <c r="V29" s="51">
        <v>0</v>
      </c>
      <c r="W29" s="51">
        <v>0</v>
      </c>
      <c r="X29" s="51">
        <v>0</v>
      </c>
      <c r="Y29" s="51">
        <v>0</v>
      </c>
      <c r="Z29" s="51">
        <v>0</v>
      </c>
      <c r="AA29" s="51">
        <v>0</v>
      </c>
      <c r="AB29" s="51">
        <v>0</v>
      </c>
      <c r="AC29" s="51">
        <v>0</v>
      </c>
      <c r="AD29" s="51">
        <v>0</v>
      </c>
      <c r="AE29" s="51">
        <v>0</v>
      </c>
      <c r="AF29" s="51">
        <v>0</v>
      </c>
      <c r="AG29" s="51">
        <v>0</v>
      </c>
      <c r="AH29" s="51">
        <v>0</v>
      </c>
      <c r="AI29" s="51">
        <v>0</v>
      </c>
      <c r="AJ29" s="51">
        <v>0</v>
      </c>
      <c r="AK29" s="51">
        <v>0</v>
      </c>
      <c r="AL29" s="51">
        <v>0</v>
      </c>
      <c r="AM29" s="51">
        <v>0</v>
      </c>
      <c r="AN29" s="51">
        <v>0</v>
      </c>
      <c r="AO29" s="51">
        <v>0</v>
      </c>
      <c r="AP29" s="51">
        <v>0</v>
      </c>
      <c r="AQ29" s="51">
        <v>0</v>
      </c>
      <c r="AR29" s="51">
        <v>0</v>
      </c>
      <c r="AS29" s="51">
        <v>0</v>
      </c>
      <c r="AT29" s="51">
        <v>0</v>
      </c>
      <c r="AU29" s="51">
        <v>0</v>
      </c>
      <c r="AV29" s="51">
        <v>0</v>
      </c>
      <c r="AW29" s="51">
        <v>0</v>
      </c>
      <c r="AX29" s="51">
        <v>0</v>
      </c>
      <c r="AY29" s="51">
        <v>0</v>
      </c>
      <c r="AZ29" s="51">
        <v>0</v>
      </c>
      <c r="BA29" s="51">
        <v>0</v>
      </c>
      <c r="BB29" s="51">
        <v>0</v>
      </c>
      <c r="BC29" s="52">
        <f ca="1">SUM(OFFSET($B29,0,1,1,Assumptions!$C$8))</f>
        <v>0</v>
      </c>
      <c r="BD29" s="52">
        <f ca="1">SUM(OFFSET($B29,0,1+Assumptions!$C$8,1,SUM(Assumptions!$C$9)))</f>
        <v>0</v>
      </c>
      <c r="BE29" s="52">
        <f ca="1">SUM(OFFSET($B29,0,1+SUM(Assumptions!$C$8:$C$9),1,SUM(Assumptions!$C$10)))</f>
        <v>0</v>
      </c>
      <c r="BF29" s="52">
        <f ca="1">SUM(OFFSET($B29,0,1+SUM(Assumptions!$C$8:$C$10),1,SUM(Assumptions!$C$11)))</f>
        <v>0</v>
      </c>
      <c r="BG29" s="52">
        <f t="shared" ref="BG29:BG30" ca="1" si="6">SUM(BC29:BF29)</f>
        <v>0</v>
      </c>
    </row>
    <row r="30" spans="1:59" s="16" customFormat="1" ht="16.149999999999999" customHeight="1" x14ac:dyDescent="0.3">
      <c r="A30" s="178" t="s">
        <v>141</v>
      </c>
      <c r="B30" s="55" t="s">
        <v>195</v>
      </c>
      <c r="C30" s="51">
        <v>0</v>
      </c>
      <c r="D30" s="51">
        <v>0</v>
      </c>
      <c r="E30" s="51">
        <v>0</v>
      </c>
      <c r="F30" s="51">
        <v>0</v>
      </c>
      <c r="G30" s="51">
        <v>0</v>
      </c>
      <c r="H30" s="51">
        <v>0</v>
      </c>
      <c r="I30" s="51">
        <v>0</v>
      </c>
      <c r="J30" s="51">
        <v>0</v>
      </c>
      <c r="K30" s="51">
        <v>0</v>
      </c>
      <c r="L30" s="51">
        <v>0</v>
      </c>
      <c r="M30" s="51">
        <v>0</v>
      </c>
      <c r="N30" s="51">
        <v>0</v>
      </c>
      <c r="O30" s="51">
        <v>0</v>
      </c>
      <c r="P30" s="51">
        <v>0</v>
      </c>
      <c r="Q30" s="51">
        <v>0</v>
      </c>
      <c r="R30" s="51">
        <v>0</v>
      </c>
      <c r="S30" s="51">
        <v>0</v>
      </c>
      <c r="T30" s="51">
        <v>0</v>
      </c>
      <c r="U30" s="51">
        <v>0</v>
      </c>
      <c r="V30" s="51">
        <v>0</v>
      </c>
      <c r="W30" s="51">
        <v>0</v>
      </c>
      <c r="X30" s="51">
        <v>0</v>
      </c>
      <c r="Y30" s="51">
        <v>0</v>
      </c>
      <c r="Z30" s="51">
        <v>0</v>
      </c>
      <c r="AA30" s="51">
        <v>0</v>
      </c>
      <c r="AB30" s="51">
        <v>0</v>
      </c>
      <c r="AC30" s="51">
        <v>0</v>
      </c>
      <c r="AD30" s="51">
        <v>0</v>
      </c>
      <c r="AE30" s="51">
        <v>0</v>
      </c>
      <c r="AF30" s="51">
        <v>0</v>
      </c>
      <c r="AG30" s="51">
        <v>0</v>
      </c>
      <c r="AH30" s="51">
        <v>0</v>
      </c>
      <c r="AI30" s="51">
        <v>0</v>
      </c>
      <c r="AJ30" s="51">
        <v>0</v>
      </c>
      <c r="AK30" s="51">
        <v>0</v>
      </c>
      <c r="AL30" s="51">
        <v>0</v>
      </c>
      <c r="AM30" s="51">
        <v>0</v>
      </c>
      <c r="AN30" s="51">
        <v>0</v>
      </c>
      <c r="AO30" s="51">
        <v>0</v>
      </c>
      <c r="AP30" s="51">
        <v>0</v>
      </c>
      <c r="AQ30" s="51">
        <v>0</v>
      </c>
      <c r="AR30" s="51">
        <v>0</v>
      </c>
      <c r="AS30" s="51">
        <v>0</v>
      </c>
      <c r="AT30" s="51">
        <v>0</v>
      </c>
      <c r="AU30" s="51">
        <v>0</v>
      </c>
      <c r="AV30" s="51">
        <v>0</v>
      </c>
      <c r="AW30" s="51">
        <v>0</v>
      </c>
      <c r="AX30" s="51">
        <v>0</v>
      </c>
      <c r="AY30" s="51">
        <v>0</v>
      </c>
      <c r="AZ30" s="51">
        <v>0</v>
      </c>
      <c r="BA30" s="51">
        <v>0</v>
      </c>
      <c r="BB30" s="51">
        <v>0</v>
      </c>
      <c r="BC30" s="52">
        <f ca="1">SUM(OFFSET($B30,0,1,1,Assumptions!$C$8))</f>
        <v>0</v>
      </c>
      <c r="BD30" s="52">
        <f ca="1">SUM(OFFSET($B30,0,1+Assumptions!$C$8,1,SUM(Assumptions!$C$9)))</f>
        <v>0</v>
      </c>
      <c r="BE30" s="52">
        <f ca="1">SUM(OFFSET($B30,0,1+SUM(Assumptions!$C$8:$C$9),1,SUM(Assumptions!$C$10)))</f>
        <v>0</v>
      </c>
      <c r="BF30" s="52">
        <f ca="1">SUM(OFFSET($B30,0,1+SUM(Assumptions!$C$8:$C$10),1,SUM(Assumptions!$C$11)))</f>
        <v>0</v>
      </c>
      <c r="BG30" s="52">
        <f t="shared" ca="1" si="6"/>
        <v>0</v>
      </c>
    </row>
    <row r="31" spans="1:59" s="84" customFormat="1" ht="16.149999999999999" customHeight="1" thickBot="1" x14ac:dyDescent="0.3">
      <c r="A31" s="179"/>
      <c r="B31" s="6" t="s">
        <v>70</v>
      </c>
      <c r="C31" s="85">
        <f>SUM(C28:C30)</f>
        <v>0</v>
      </c>
      <c r="D31" s="85">
        <f t="shared" ref="D31:BG31" si="7">SUM(D28:D30)</f>
        <v>0</v>
      </c>
      <c r="E31" s="85">
        <f t="shared" si="7"/>
        <v>0</v>
      </c>
      <c r="F31" s="85">
        <f t="shared" si="7"/>
        <v>0</v>
      </c>
      <c r="G31" s="85">
        <f t="shared" si="7"/>
        <v>0</v>
      </c>
      <c r="H31" s="85">
        <f t="shared" si="7"/>
        <v>0</v>
      </c>
      <c r="I31" s="85">
        <f t="shared" si="7"/>
        <v>0</v>
      </c>
      <c r="J31" s="85">
        <f t="shared" si="7"/>
        <v>0</v>
      </c>
      <c r="K31" s="85">
        <f t="shared" si="7"/>
        <v>0</v>
      </c>
      <c r="L31" s="85">
        <f t="shared" si="7"/>
        <v>0</v>
      </c>
      <c r="M31" s="85">
        <f t="shared" si="7"/>
        <v>0</v>
      </c>
      <c r="N31" s="85">
        <f t="shared" si="7"/>
        <v>0</v>
      </c>
      <c r="O31" s="85">
        <f t="shared" si="7"/>
        <v>0</v>
      </c>
      <c r="P31" s="85">
        <f t="shared" si="7"/>
        <v>0</v>
      </c>
      <c r="Q31" s="85">
        <f t="shared" si="7"/>
        <v>0</v>
      </c>
      <c r="R31" s="85">
        <f t="shared" si="7"/>
        <v>0</v>
      </c>
      <c r="S31" s="85">
        <f t="shared" si="7"/>
        <v>0</v>
      </c>
      <c r="T31" s="85">
        <f t="shared" si="7"/>
        <v>0</v>
      </c>
      <c r="U31" s="85">
        <f t="shared" si="7"/>
        <v>0</v>
      </c>
      <c r="V31" s="85">
        <f t="shared" si="7"/>
        <v>0</v>
      </c>
      <c r="W31" s="85">
        <f t="shared" si="7"/>
        <v>0</v>
      </c>
      <c r="X31" s="85">
        <f t="shared" si="7"/>
        <v>0</v>
      </c>
      <c r="Y31" s="85">
        <f t="shared" si="7"/>
        <v>0</v>
      </c>
      <c r="Z31" s="85">
        <f t="shared" si="7"/>
        <v>0</v>
      </c>
      <c r="AA31" s="85">
        <f t="shared" si="7"/>
        <v>0</v>
      </c>
      <c r="AB31" s="85">
        <f t="shared" si="7"/>
        <v>0</v>
      </c>
      <c r="AC31" s="85">
        <f t="shared" si="7"/>
        <v>0</v>
      </c>
      <c r="AD31" s="85">
        <f t="shared" si="7"/>
        <v>0</v>
      </c>
      <c r="AE31" s="85">
        <f t="shared" si="7"/>
        <v>0</v>
      </c>
      <c r="AF31" s="85">
        <f t="shared" si="7"/>
        <v>0</v>
      </c>
      <c r="AG31" s="85">
        <f t="shared" si="7"/>
        <v>0</v>
      </c>
      <c r="AH31" s="85">
        <f t="shared" si="7"/>
        <v>0</v>
      </c>
      <c r="AI31" s="85">
        <f t="shared" si="7"/>
        <v>0</v>
      </c>
      <c r="AJ31" s="85">
        <f t="shared" si="7"/>
        <v>0</v>
      </c>
      <c r="AK31" s="85">
        <f t="shared" si="7"/>
        <v>0</v>
      </c>
      <c r="AL31" s="85">
        <f t="shared" si="7"/>
        <v>0</v>
      </c>
      <c r="AM31" s="85">
        <f t="shared" si="7"/>
        <v>0</v>
      </c>
      <c r="AN31" s="85">
        <f t="shared" si="7"/>
        <v>0</v>
      </c>
      <c r="AO31" s="85">
        <f t="shared" si="7"/>
        <v>0</v>
      </c>
      <c r="AP31" s="85">
        <f t="shared" si="7"/>
        <v>0</v>
      </c>
      <c r="AQ31" s="85">
        <f t="shared" si="7"/>
        <v>0</v>
      </c>
      <c r="AR31" s="85">
        <f t="shared" si="7"/>
        <v>0</v>
      </c>
      <c r="AS31" s="85">
        <f t="shared" si="7"/>
        <v>0</v>
      </c>
      <c r="AT31" s="85">
        <f t="shared" si="7"/>
        <v>0</v>
      </c>
      <c r="AU31" s="85">
        <f t="shared" si="7"/>
        <v>-240000</v>
      </c>
      <c r="AV31" s="85">
        <f t="shared" si="7"/>
        <v>0</v>
      </c>
      <c r="AW31" s="85">
        <f t="shared" si="7"/>
        <v>0</v>
      </c>
      <c r="AX31" s="85">
        <f t="shared" si="7"/>
        <v>0</v>
      </c>
      <c r="AY31" s="85">
        <f t="shared" si="7"/>
        <v>0</v>
      </c>
      <c r="AZ31" s="85">
        <f t="shared" si="7"/>
        <v>0</v>
      </c>
      <c r="BA31" s="85">
        <f t="shared" si="7"/>
        <v>0</v>
      </c>
      <c r="BB31" s="85">
        <f t="shared" si="7"/>
        <v>0</v>
      </c>
      <c r="BC31" s="86">
        <f t="shared" ca="1" si="7"/>
        <v>0</v>
      </c>
      <c r="BD31" s="86">
        <f t="shared" ca="1" si="7"/>
        <v>0</v>
      </c>
      <c r="BE31" s="86">
        <f t="shared" ca="1" si="7"/>
        <v>0</v>
      </c>
      <c r="BF31" s="86">
        <f t="shared" ca="1" si="7"/>
        <v>-240000</v>
      </c>
      <c r="BG31" s="86">
        <f t="shared" ca="1" si="7"/>
        <v>-240000</v>
      </c>
    </row>
    <row r="32" spans="1:59" ht="16.149999999999999" customHeight="1" x14ac:dyDescent="0.3">
      <c r="B32" s="2" t="s">
        <v>71</v>
      </c>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row>
    <row r="33" spans="1:59" s="16" customFormat="1" ht="16.149999999999999" customHeight="1" x14ac:dyDescent="0.3">
      <c r="A33" s="171" t="s">
        <v>152</v>
      </c>
      <c r="B33" s="55" t="s">
        <v>72</v>
      </c>
      <c r="C33" s="51">
        <v>0</v>
      </c>
      <c r="D33" s="51">
        <v>0</v>
      </c>
      <c r="E33" s="51">
        <v>0</v>
      </c>
      <c r="F33" s="51">
        <v>0</v>
      </c>
      <c r="G33" s="51">
        <v>0</v>
      </c>
      <c r="H33" s="51">
        <v>0</v>
      </c>
      <c r="I33" s="51">
        <v>0</v>
      </c>
      <c r="J33" s="51">
        <v>0</v>
      </c>
      <c r="K33" s="51">
        <v>0</v>
      </c>
      <c r="L33" s="51">
        <v>0</v>
      </c>
      <c r="M33" s="51">
        <v>0</v>
      </c>
      <c r="N33" s="51">
        <v>0</v>
      </c>
      <c r="O33" s="51">
        <v>0</v>
      </c>
      <c r="P33" s="51">
        <v>0</v>
      </c>
      <c r="Q33" s="51">
        <v>0</v>
      </c>
      <c r="R33" s="51">
        <v>0</v>
      </c>
      <c r="S33" s="51">
        <v>0</v>
      </c>
      <c r="T33" s="51">
        <v>0</v>
      </c>
      <c r="U33" s="51">
        <v>0</v>
      </c>
      <c r="V33" s="51">
        <v>0</v>
      </c>
      <c r="W33" s="51">
        <v>0</v>
      </c>
      <c r="X33" s="51">
        <v>0</v>
      </c>
      <c r="Y33" s="51">
        <v>0</v>
      </c>
      <c r="Z33" s="51">
        <v>0</v>
      </c>
      <c r="AA33" s="51">
        <v>0</v>
      </c>
      <c r="AB33" s="51">
        <v>0</v>
      </c>
      <c r="AC33" s="51">
        <v>0</v>
      </c>
      <c r="AD33" s="51">
        <v>0</v>
      </c>
      <c r="AE33" s="51">
        <v>0</v>
      </c>
      <c r="AF33" s="51">
        <v>0</v>
      </c>
      <c r="AG33" s="51">
        <v>0</v>
      </c>
      <c r="AH33" s="51">
        <v>0</v>
      </c>
      <c r="AI33" s="51">
        <v>0</v>
      </c>
      <c r="AJ33" s="51">
        <v>0</v>
      </c>
      <c r="AK33" s="51">
        <v>0</v>
      </c>
      <c r="AL33" s="51">
        <v>0</v>
      </c>
      <c r="AM33" s="51">
        <v>0</v>
      </c>
      <c r="AN33" s="51">
        <v>0</v>
      </c>
      <c r="AO33" s="51">
        <v>0</v>
      </c>
      <c r="AP33" s="51">
        <v>0</v>
      </c>
      <c r="AQ33" s="51">
        <v>0</v>
      </c>
      <c r="AR33" s="51">
        <v>0</v>
      </c>
      <c r="AS33" s="51">
        <v>0</v>
      </c>
      <c r="AT33" s="51">
        <v>0</v>
      </c>
      <c r="AU33" s="51">
        <v>0</v>
      </c>
      <c r="AV33" s="51">
        <v>0</v>
      </c>
      <c r="AW33" s="51">
        <v>0</v>
      </c>
      <c r="AX33" s="51">
        <v>0</v>
      </c>
      <c r="AY33" s="51">
        <v>0</v>
      </c>
      <c r="AZ33" s="51">
        <v>0</v>
      </c>
      <c r="BA33" s="51">
        <v>0</v>
      </c>
      <c r="BB33" s="51">
        <v>0</v>
      </c>
      <c r="BC33" s="52">
        <f ca="1">SUM(OFFSET($B33,0,1,1,Assumptions!$C$8))</f>
        <v>0</v>
      </c>
      <c r="BD33" s="52">
        <f ca="1">SUM(OFFSET($B33,0,1+Assumptions!$C$8,1,SUM(Assumptions!$C$9)))</f>
        <v>0</v>
      </c>
      <c r="BE33" s="52">
        <f ca="1">SUM(OFFSET($B33,0,1+SUM(Assumptions!$C$8:$C$9),1,SUM(Assumptions!$C$10)))</f>
        <v>0</v>
      </c>
      <c r="BF33" s="52">
        <f ca="1">SUM(OFFSET($B33,0,1+SUM(Assumptions!$C$8:$C$10),1,SUM(Assumptions!$C$11)))</f>
        <v>0</v>
      </c>
      <c r="BG33" s="52">
        <f ca="1">SUM(BC33:BF33)</f>
        <v>0</v>
      </c>
    </row>
    <row r="34" spans="1:59" s="16" customFormat="1" ht="16.149999999999999" customHeight="1" x14ac:dyDescent="0.3">
      <c r="A34" s="172" t="s">
        <v>261</v>
      </c>
      <c r="B34" s="55" t="s">
        <v>264</v>
      </c>
      <c r="C34" s="51">
        <f ca="1">BalanceSheet!D38-BalanceSheet!C38-IncState!C60</f>
        <v>0</v>
      </c>
      <c r="D34" s="51">
        <f ca="1">BalanceSheet!E38-BalanceSheet!D38-IncState!D60</f>
        <v>0</v>
      </c>
      <c r="E34" s="51">
        <f ca="1">BalanceSheet!F38-BalanceSheet!E38-IncState!E60</f>
        <v>0</v>
      </c>
      <c r="F34" s="51">
        <f ca="1">BalanceSheet!G38-BalanceSheet!F38-IncState!F60</f>
        <v>0</v>
      </c>
      <c r="G34" s="51">
        <f ca="1">BalanceSheet!H38-BalanceSheet!G38-IncState!G60</f>
        <v>0</v>
      </c>
      <c r="H34" s="51">
        <f ca="1">BalanceSheet!I38-BalanceSheet!H38-IncState!H60</f>
        <v>0</v>
      </c>
      <c r="I34" s="51">
        <f ca="1">BalanceSheet!J38-BalanceSheet!I38-IncState!I60</f>
        <v>0</v>
      </c>
      <c r="J34" s="51">
        <f ca="1">BalanceSheet!K38-BalanceSheet!J38-IncState!J60</f>
        <v>0</v>
      </c>
      <c r="K34" s="51">
        <f ca="1">BalanceSheet!L38-BalanceSheet!K38-IncState!K60</f>
        <v>0</v>
      </c>
      <c r="L34" s="51">
        <f ca="1">BalanceSheet!M38-BalanceSheet!L38-IncState!L60</f>
        <v>0</v>
      </c>
      <c r="M34" s="51">
        <f ca="1">BalanceSheet!N38-BalanceSheet!M38-IncState!M60</f>
        <v>0</v>
      </c>
      <c r="N34" s="51">
        <f ca="1">BalanceSheet!O38-BalanceSheet!N38-IncState!N60</f>
        <v>0</v>
      </c>
      <c r="O34" s="51">
        <f ca="1">BalanceSheet!P38-BalanceSheet!O38-IncState!O60</f>
        <v>0</v>
      </c>
      <c r="P34" s="51">
        <f ca="1">BalanceSheet!Q38-BalanceSheet!P38-IncState!P60</f>
        <v>0</v>
      </c>
      <c r="Q34" s="51">
        <f ca="1">BalanceSheet!R38-BalanceSheet!Q38-IncState!Q60</f>
        <v>0</v>
      </c>
      <c r="R34" s="51">
        <f ca="1">BalanceSheet!S38-BalanceSheet!R38-IncState!R60</f>
        <v>0</v>
      </c>
      <c r="S34" s="51">
        <f ca="1">BalanceSheet!T38-BalanceSheet!S38-IncState!S60</f>
        <v>0</v>
      </c>
      <c r="T34" s="51">
        <f ca="1">BalanceSheet!U38-BalanceSheet!T38-IncState!T60</f>
        <v>0</v>
      </c>
      <c r="U34" s="51">
        <f ca="1">BalanceSheet!V38-BalanceSheet!U38-IncState!U60</f>
        <v>0</v>
      </c>
      <c r="V34" s="51">
        <f ca="1">BalanceSheet!W38-BalanceSheet!V38-IncState!V60</f>
        <v>0</v>
      </c>
      <c r="W34" s="51">
        <f ca="1">BalanceSheet!X38-BalanceSheet!W38-IncState!W60</f>
        <v>0</v>
      </c>
      <c r="X34" s="51">
        <f ca="1">BalanceSheet!Y38-BalanceSheet!X38-IncState!X60</f>
        <v>0</v>
      </c>
      <c r="Y34" s="51">
        <f ca="1">BalanceSheet!Z38-BalanceSheet!Y38-IncState!Y60</f>
        <v>0</v>
      </c>
      <c r="Z34" s="51">
        <f ca="1">BalanceSheet!AA38-BalanceSheet!Z38-IncState!Z60</f>
        <v>0</v>
      </c>
      <c r="AA34" s="51">
        <f ca="1">BalanceSheet!AB38-BalanceSheet!AA38-IncState!AA60</f>
        <v>0</v>
      </c>
      <c r="AB34" s="51">
        <f ca="1">BalanceSheet!AC38-BalanceSheet!AB38-IncState!AB60</f>
        <v>0</v>
      </c>
      <c r="AC34" s="51">
        <f ca="1">BalanceSheet!AD38-BalanceSheet!AC38-IncState!AC60</f>
        <v>0</v>
      </c>
      <c r="AD34" s="51">
        <f ca="1">BalanceSheet!AE38-BalanceSheet!AD38-IncState!AD60</f>
        <v>0</v>
      </c>
      <c r="AE34" s="51">
        <f ca="1">BalanceSheet!AF38-BalanceSheet!AE38-IncState!AE60</f>
        <v>0</v>
      </c>
      <c r="AF34" s="51">
        <f ca="1">BalanceSheet!AG38-BalanceSheet!AF38-IncState!AF60</f>
        <v>0</v>
      </c>
      <c r="AG34" s="51">
        <f ca="1">BalanceSheet!AH38-BalanceSheet!AG38-IncState!AG60</f>
        <v>0</v>
      </c>
      <c r="AH34" s="51">
        <f ca="1">BalanceSheet!AI38-BalanceSheet!AH38-IncState!AH60</f>
        <v>0</v>
      </c>
      <c r="AI34" s="51">
        <f ca="1">BalanceSheet!AJ38-BalanceSheet!AI38-IncState!AI60</f>
        <v>0</v>
      </c>
      <c r="AJ34" s="51">
        <f ca="1">BalanceSheet!AK38-BalanceSheet!AJ38-IncState!AJ60</f>
        <v>0</v>
      </c>
      <c r="AK34" s="51">
        <f ca="1">BalanceSheet!AL38-BalanceSheet!AK38-IncState!AK60</f>
        <v>0</v>
      </c>
      <c r="AL34" s="51">
        <f ca="1">BalanceSheet!AM38-BalanceSheet!AL38-IncState!AL60</f>
        <v>0</v>
      </c>
      <c r="AM34" s="51">
        <f ca="1">BalanceSheet!AN38-BalanceSheet!AM38-IncState!AM60</f>
        <v>0</v>
      </c>
      <c r="AN34" s="51">
        <f ca="1">BalanceSheet!AO38-BalanceSheet!AN38-IncState!AN60</f>
        <v>0</v>
      </c>
      <c r="AO34" s="51">
        <f ca="1">BalanceSheet!AP38-BalanceSheet!AO38-IncState!AO60</f>
        <v>0</v>
      </c>
      <c r="AP34" s="51">
        <f ca="1">BalanceSheet!AQ38-BalanceSheet!AP38-IncState!AP60</f>
        <v>0</v>
      </c>
      <c r="AQ34" s="51">
        <f ca="1">BalanceSheet!AR38-BalanceSheet!AQ38-IncState!AQ60</f>
        <v>0</v>
      </c>
      <c r="AR34" s="51">
        <f ca="1">BalanceSheet!AS38-BalanceSheet!AR38-IncState!AR60</f>
        <v>0</v>
      </c>
      <c r="AS34" s="51">
        <f ca="1">BalanceSheet!AT38-BalanceSheet!AS38-IncState!AS60</f>
        <v>0</v>
      </c>
      <c r="AT34" s="51">
        <f ca="1">BalanceSheet!AU38-BalanceSheet!AT38-IncState!AT60</f>
        <v>0</v>
      </c>
      <c r="AU34" s="51">
        <f ca="1">BalanceSheet!AV38-BalanceSheet!AU38-IncState!AU60</f>
        <v>0</v>
      </c>
      <c r="AV34" s="51">
        <f ca="1">BalanceSheet!AW38-BalanceSheet!AV38-IncState!AV60</f>
        <v>0</v>
      </c>
      <c r="AW34" s="51">
        <f ca="1">BalanceSheet!AX38-BalanceSheet!AW38-IncState!AW60</f>
        <v>0</v>
      </c>
      <c r="AX34" s="51">
        <f ca="1">BalanceSheet!AY38-BalanceSheet!AX38-IncState!AX60</f>
        <v>0</v>
      </c>
      <c r="AY34" s="51">
        <f ca="1">BalanceSheet!AZ38-BalanceSheet!AY38-IncState!AY60</f>
        <v>0</v>
      </c>
      <c r="AZ34" s="51">
        <f ca="1">BalanceSheet!BA38-BalanceSheet!AZ38-IncState!AZ60</f>
        <v>0</v>
      </c>
      <c r="BA34" s="51">
        <f ca="1">BalanceSheet!BB38-BalanceSheet!BA38-IncState!BA60</f>
        <v>0</v>
      </c>
      <c r="BB34" s="51">
        <f ca="1">BalanceSheet!BC38-BalanceSheet!BB38-IncState!BB60</f>
        <v>0</v>
      </c>
      <c r="BC34" s="52">
        <f ca="1">SUM(OFFSET($B34,0,1,1,Assumptions!$C$8))</f>
        <v>0</v>
      </c>
      <c r="BD34" s="52">
        <f ca="1">SUM(OFFSET($B34,0,1+Assumptions!$C$8,1,SUM(Assumptions!$C$9)))</f>
        <v>0</v>
      </c>
      <c r="BE34" s="52">
        <f ca="1">SUM(OFFSET($B34,0,1+SUM(Assumptions!$C$8:$C$9),1,SUM(Assumptions!$C$10)))</f>
        <v>0</v>
      </c>
      <c r="BF34" s="52">
        <f ca="1">SUM(OFFSET($B34,0,1+SUM(Assumptions!$C$8:$C$10),1,SUM(Assumptions!$C$11)))</f>
        <v>0</v>
      </c>
      <c r="BG34" s="52">
        <f ca="1">SUM(BC34:BF34)</f>
        <v>0</v>
      </c>
    </row>
    <row r="35" spans="1:59" s="16" customFormat="1" ht="16.149999999999999" customHeight="1" x14ac:dyDescent="0.3">
      <c r="A35" s="171" t="s">
        <v>156</v>
      </c>
      <c r="B35" s="55" t="s">
        <v>196</v>
      </c>
      <c r="C35" s="51">
        <v>0</v>
      </c>
      <c r="D35" s="51">
        <v>0</v>
      </c>
      <c r="E35" s="51">
        <v>0</v>
      </c>
      <c r="F35" s="51">
        <v>0</v>
      </c>
      <c r="G35" s="51">
        <v>0</v>
      </c>
      <c r="H35" s="51">
        <v>0</v>
      </c>
      <c r="I35" s="51">
        <v>0</v>
      </c>
      <c r="J35" s="51">
        <v>0</v>
      </c>
      <c r="K35" s="51">
        <v>0</v>
      </c>
      <c r="L35" s="51">
        <v>0</v>
      </c>
      <c r="M35" s="51">
        <v>0</v>
      </c>
      <c r="N35" s="51">
        <v>0</v>
      </c>
      <c r="O35" s="51">
        <v>0</v>
      </c>
      <c r="P35" s="51">
        <v>0</v>
      </c>
      <c r="Q35" s="51">
        <v>0</v>
      </c>
      <c r="R35" s="51">
        <v>0</v>
      </c>
      <c r="S35" s="51">
        <v>0</v>
      </c>
      <c r="T35" s="51">
        <v>0</v>
      </c>
      <c r="U35" s="51">
        <v>0</v>
      </c>
      <c r="V35" s="51">
        <v>0</v>
      </c>
      <c r="W35" s="51">
        <v>0</v>
      </c>
      <c r="X35" s="51">
        <v>0</v>
      </c>
      <c r="Y35" s="51">
        <v>0</v>
      </c>
      <c r="Z35" s="51">
        <v>0</v>
      </c>
      <c r="AA35" s="51">
        <v>0</v>
      </c>
      <c r="AB35" s="51">
        <v>0</v>
      </c>
      <c r="AC35" s="51">
        <v>0</v>
      </c>
      <c r="AD35" s="51">
        <v>0</v>
      </c>
      <c r="AE35" s="51">
        <v>0</v>
      </c>
      <c r="AF35" s="51">
        <v>0</v>
      </c>
      <c r="AG35" s="51">
        <v>0</v>
      </c>
      <c r="AH35" s="51">
        <v>0</v>
      </c>
      <c r="AI35" s="51">
        <v>0</v>
      </c>
      <c r="AJ35" s="51">
        <v>0</v>
      </c>
      <c r="AK35" s="51">
        <v>0</v>
      </c>
      <c r="AL35" s="51">
        <v>0</v>
      </c>
      <c r="AM35" s="51">
        <v>0</v>
      </c>
      <c r="AN35" s="51">
        <v>0</v>
      </c>
      <c r="AO35" s="51">
        <v>0</v>
      </c>
      <c r="AP35" s="51">
        <v>0</v>
      </c>
      <c r="AQ35" s="51">
        <v>0</v>
      </c>
      <c r="AR35" s="51">
        <v>0</v>
      </c>
      <c r="AS35" s="51">
        <v>0</v>
      </c>
      <c r="AT35" s="51">
        <v>0</v>
      </c>
      <c r="AU35" s="51">
        <v>0</v>
      </c>
      <c r="AV35" s="51">
        <v>0</v>
      </c>
      <c r="AW35" s="51">
        <v>0</v>
      </c>
      <c r="AX35" s="51">
        <v>0</v>
      </c>
      <c r="AY35" s="51">
        <v>0</v>
      </c>
      <c r="AZ35" s="51">
        <v>0</v>
      </c>
      <c r="BA35" s="51">
        <v>0</v>
      </c>
      <c r="BB35" s="51">
        <v>0</v>
      </c>
      <c r="BC35" s="52">
        <f ca="1">SUM(OFFSET($B35,0,1,1,Assumptions!$C$8))</f>
        <v>0</v>
      </c>
      <c r="BD35" s="52">
        <f ca="1">SUM(OFFSET($B35,0,1+Assumptions!$C$8,1,SUM(Assumptions!$C$9)))</f>
        <v>0</v>
      </c>
      <c r="BE35" s="52">
        <f ca="1">SUM(OFFSET($B35,0,1+SUM(Assumptions!$C$8:$C$9),1,SUM(Assumptions!$C$10)))</f>
        <v>0</v>
      </c>
      <c r="BF35" s="52">
        <f ca="1">SUM(OFFSET($B35,0,1+SUM(Assumptions!$C$8:$C$10),1,SUM(Assumptions!$C$11)))</f>
        <v>0</v>
      </c>
      <c r="BG35" s="52">
        <f ca="1">SUM(BC35:BF35)</f>
        <v>0</v>
      </c>
    </row>
    <row r="36" spans="1:59" s="16" customFormat="1" ht="16.149999999999999" customHeight="1" x14ac:dyDescent="0.3">
      <c r="A36" s="171" t="s">
        <v>158</v>
      </c>
      <c r="B36" s="55" t="s">
        <v>197</v>
      </c>
      <c r="C36" s="51">
        <v>0</v>
      </c>
      <c r="D36" s="51">
        <v>0</v>
      </c>
      <c r="E36" s="51">
        <v>0</v>
      </c>
      <c r="F36" s="51">
        <v>0</v>
      </c>
      <c r="G36" s="51">
        <v>0</v>
      </c>
      <c r="H36" s="51">
        <v>0</v>
      </c>
      <c r="I36" s="51">
        <v>0</v>
      </c>
      <c r="J36" s="51">
        <v>0</v>
      </c>
      <c r="K36" s="51">
        <v>0</v>
      </c>
      <c r="L36" s="51">
        <v>0</v>
      </c>
      <c r="M36" s="51">
        <v>0</v>
      </c>
      <c r="N36" s="51">
        <v>0</v>
      </c>
      <c r="O36" s="51">
        <v>0</v>
      </c>
      <c r="P36" s="51">
        <v>0</v>
      </c>
      <c r="Q36" s="51">
        <v>0</v>
      </c>
      <c r="R36" s="51">
        <v>0</v>
      </c>
      <c r="S36" s="51">
        <v>0</v>
      </c>
      <c r="T36" s="51">
        <v>0</v>
      </c>
      <c r="U36" s="51">
        <v>0</v>
      </c>
      <c r="V36" s="51">
        <v>0</v>
      </c>
      <c r="W36" s="51">
        <v>0</v>
      </c>
      <c r="X36" s="51">
        <v>0</v>
      </c>
      <c r="Y36" s="51">
        <v>100000</v>
      </c>
      <c r="Z36" s="51">
        <v>0</v>
      </c>
      <c r="AA36" s="51">
        <v>0</v>
      </c>
      <c r="AB36" s="51">
        <v>0</v>
      </c>
      <c r="AC36" s="51">
        <v>0</v>
      </c>
      <c r="AD36" s="51">
        <v>0</v>
      </c>
      <c r="AE36" s="51">
        <v>0</v>
      </c>
      <c r="AF36" s="51">
        <v>0</v>
      </c>
      <c r="AG36" s="51">
        <v>0</v>
      </c>
      <c r="AH36" s="51">
        <v>0</v>
      </c>
      <c r="AI36" s="51">
        <v>0</v>
      </c>
      <c r="AJ36" s="51">
        <v>0</v>
      </c>
      <c r="AK36" s="51">
        <v>0</v>
      </c>
      <c r="AL36" s="51">
        <v>0</v>
      </c>
      <c r="AM36" s="51">
        <v>0</v>
      </c>
      <c r="AN36" s="51">
        <v>0</v>
      </c>
      <c r="AO36" s="51">
        <v>0</v>
      </c>
      <c r="AP36" s="51">
        <v>0</v>
      </c>
      <c r="AQ36" s="51">
        <v>0</v>
      </c>
      <c r="AR36" s="51">
        <v>0</v>
      </c>
      <c r="AS36" s="51">
        <v>0</v>
      </c>
      <c r="AT36" s="51">
        <v>0</v>
      </c>
      <c r="AU36" s="51">
        <v>0</v>
      </c>
      <c r="AV36" s="51">
        <v>0</v>
      </c>
      <c r="AW36" s="51">
        <v>0</v>
      </c>
      <c r="AX36" s="51">
        <v>0</v>
      </c>
      <c r="AY36" s="51">
        <v>0</v>
      </c>
      <c r="AZ36" s="51">
        <v>0</v>
      </c>
      <c r="BA36" s="51">
        <v>0</v>
      </c>
      <c r="BB36" s="51">
        <v>0</v>
      </c>
      <c r="BC36" s="52">
        <f ca="1">SUM(OFFSET($B36,0,1,1,Assumptions!$C$8))</f>
        <v>0</v>
      </c>
      <c r="BD36" s="52">
        <f ca="1">SUM(OFFSET($B36,0,1+Assumptions!$C$8,1,SUM(Assumptions!$C$9)))</f>
        <v>100000</v>
      </c>
      <c r="BE36" s="52">
        <f ca="1">SUM(OFFSET($B36,0,1+SUM(Assumptions!$C$8:$C$9),1,SUM(Assumptions!$C$10)))</f>
        <v>0</v>
      </c>
      <c r="BF36" s="52">
        <f ca="1">SUM(OFFSET($B36,0,1+SUM(Assumptions!$C$8:$C$10),1,SUM(Assumptions!$C$11)))</f>
        <v>0</v>
      </c>
      <c r="BG36" s="52">
        <f t="shared" ref="BG36:BG42" ca="1" si="8">SUM(BC36:BF36)</f>
        <v>100000</v>
      </c>
    </row>
    <row r="37" spans="1:59" s="16" customFormat="1" ht="16.149999999999999" customHeight="1" x14ac:dyDescent="0.3">
      <c r="A37" s="171" t="s">
        <v>160</v>
      </c>
      <c r="B37" s="55" t="s">
        <v>198</v>
      </c>
      <c r="C37" s="51">
        <v>0</v>
      </c>
      <c r="D37" s="51">
        <v>0</v>
      </c>
      <c r="E37" s="51">
        <v>0</v>
      </c>
      <c r="F37" s="51">
        <v>0</v>
      </c>
      <c r="G37" s="51">
        <v>0</v>
      </c>
      <c r="H37" s="51">
        <v>0</v>
      </c>
      <c r="I37" s="51">
        <v>0</v>
      </c>
      <c r="J37" s="51">
        <v>0</v>
      </c>
      <c r="K37" s="51">
        <v>0</v>
      </c>
      <c r="L37" s="51">
        <v>0</v>
      </c>
      <c r="M37" s="51">
        <v>0</v>
      </c>
      <c r="N37" s="51">
        <v>0</v>
      </c>
      <c r="O37" s="51">
        <v>0</v>
      </c>
      <c r="P37" s="51">
        <v>0</v>
      </c>
      <c r="Q37" s="51">
        <v>0</v>
      </c>
      <c r="R37" s="51">
        <v>0</v>
      </c>
      <c r="S37" s="51">
        <v>0</v>
      </c>
      <c r="T37" s="51">
        <v>0</v>
      </c>
      <c r="U37" s="51">
        <v>0</v>
      </c>
      <c r="V37" s="51">
        <v>0</v>
      </c>
      <c r="W37" s="51">
        <v>0</v>
      </c>
      <c r="X37" s="51">
        <v>0</v>
      </c>
      <c r="Y37" s="51">
        <v>0</v>
      </c>
      <c r="Z37" s="51">
        <v>0</v>
      </c>
      <c r="AA37" s="51">
        <v>0</v>
      </c>
      <c r="AB37" s="51">
        <v>0</v>
      </c>
      <c r="AC37" s="51">
        <v>0</v>
      </c>
      <c r="AD37" s="51">
        <v>0</v>
      </c>
      <c r="AE37" s="51">
        <v>0</v>
      </c>
      <c r="AF37" s="51">
        <v>0</v>
      </c>
      <c r="AG37" s="51">
        <v>0</v>
      </c>
      <c r="AH37" s="51">
        <v>0</v>
      </c>
      <c r="AI37" s="51">
        <v>0</v>
      </c>
      <c r="AJ37" s="51">
        <v>0</v>
      </c>
      <c r="AK37" s="51">
        <v>0</v>
      </c>
      <c r="AL37" s="51">
        <v>0</v>
      </c>
      <c r="AM37" s="51">
        <v>0</v>
      </c>
      <c r="AN37" s="51">
        <v>0</v>
      </c>
      <c r="AO37" s="51">
        <v>0</v>
      </c>
      <c r="AP37" s="51">
        <v>0</v>
      </c>
      <c r="AQ37" s="51">
        <v>0</v>
      </c>
      <c r="AR37" s="51">
        <v>0</v>
      </c>
      <c r="AS37" s="51">
        <v>0</v>
      </c>
      <c r="AT37" s="51">
        <v>0</v>
      </c>
      <c r="AU37" s="51">
        <v>240000</v>
      </c>
      <c r="AV37" s="51">
        <v>0</v>
      </c>
      <c r="AW37" s="51">
        <v>0</v>
      </c>
      <c r="AX37" s="51">
        <v>0</v>
      </c>
      <c r="AY37" s="51">
        <v>0</v>
      </c>
      <c r="AZ37" s="51">
        <v>0</v>
      </c>
      <c r="BA37" s="51">
        <v>0</v>
      </c>
      <c r="BB37" s="51">
        <v>0</v>
      </c>
      <c r="BC37" s="52">
        <f ca="1">SUM(OFFSET($B37,0,1,1,Assumptions!$C$8))</f>
        <v>0</v>
      </c>
      <c r="BD37" s="52">
        <f ca="1">SUM(OFFSET($B37,0,1+Assumptions!$C$8,1,SUM(Assumptions!$C$9)))</f>
        <v>0</v>
      </c>
      <c r="BE37" s="52">
        <f ca="1">SUM(OFFSET($B37,0,1+SUM(Assumptions!$C$8:$C$9),1,SUM(Assumptions!$C$10)))</f>
        <v>0</v>
      </c>
      <c r="BF37" s="52">
        <f ca="1">SUM(OFFSET($B37,0,1+SUM(Assumptions!$C$8:$C$10),1,SUM(Assumptions!$C$11)))</f>
        <v>240000</v>
      </c>
      <c r="BG37" s="52">
        <f t="shared" ca="1" si="8"/>
        <v>240000</v>
      </c>
    </row>
    <row r="38" spans="1:59" s="16" customFormat="1" ht="16.149999999999999" customHeight="1" x14ac:dyDescent="0.3">
      <c r="A38" s="171" t="s">
        <v>162</v>
      </c>
      <c r="B38" s="55" t="s">
        <v>199</v>
      </c>
      <c r="C38" s="51">
        <v>0</v>
      </c>
      <c r="D38" s="51">
        <v>0</v>
      </c>
      <c r="E38" s="51">
        <v>0</v>
      </c>
      <c r="F38" s="51">
        <v>0</v>
      </c>
      <c r="G38" s="51">
        <v>0</v>
      </c>
      <c r="H38" s="51">
        <v>0</v>
      </c>
      <c r="I38" s="51">
        <v>0</v>
      </c>
      <c r="J38" s="51">
        <v>0</v>
      </c>
      <c r="K38" s="51">
        <v>0</v>
      </c>
      <c r="L38" s="51">
        <v>0</v>
      </c>
      <c r="M38" s="51">
        <v>0</v>
      </c>
      <c r="N38" s="51">
        <v>0</v>
      </c>
      <c r="O38" s="51">
        <v>0</v>
      </c>
      <c r="P38" s="51">
        <v>0</v>
      </c>
      <c r="Q38" s="51">
        <v>0</v>
      </c>
      <c r="R38" s="51">
        <v>0</v>
      </c>
      <c r="S38" s="51">
        <v>0</v>
      </c>
      <c r="T38" s="51">
        <v>0</v>
      </c>
      <c r="U38" s="51">
        <v>0</v>
      </c>
      <c r="V38" s="51">
        <v>0</v>
      </c>
      <c r="W38" s="51">
        <v>0</v>
      </c>
      <c r="X38" s="51">
        <v>0</v>
      </c>
      <c r="Y38" s="51">
        <v>0</v>
      </c>
      <c r="Z38" s="51">
        <v>0</v>
      </c>
      <c r="AA38" s="51">
        <v>0</v>
      </c>
      <c r="AB38" s="51">
        <v>0</v>
      </c>
      <c r="AC38" s="51">
        <v>0</v>
      </c>
      <c r="AD38" s="51">
        <v>0</v>
      </c>
      <c r="AE38" s="51">
        <v>0</v>
      </c>
      <c r="AF38" s="51">
        <v>0</v>
      </c>
      <c r="AG38" s="51">
        <v>0</v>
      </c>
      <c r="AH38" s="51">
        <v>0</v>
      </c>
      <c r="AI38" s="51">
        <v>0</v>
      </c>
      <c r="AJ38" s="51">
        <v>0</v>
      </c>
      <c r="AK38" s="51">
        <v>0</v>
      </c>
      <c r="AL38" s="51">
        <v>0</v>
      </c>
      <c r="AM38" s="51">
        <v>0</v>
      </c>
      <c r="AN38" s="51">
        <v>0</v>
      </c>
      <c r="AO38" s="51">
        <v>0</v>
      </c>
      <c r="AP38" s="51">
        <v>0</v>
      </c>
      <c r="AQ38" s="51">
        <v>0</v>
      </c>
      <c r="AR38" s="51">
        <v>0</v>
      </c>
      <c r="AS38" s="51">
        <v>0</v>
      </c>
      <c r="AT38" s="51">
        <v>0</v>
      </c>
      <c r="AU38" s="51">
        <v>0</v>
      </c>
      <c r="AV38" s="51">
        <v>0</v>
      </c>
      <c r="AW38" s="51">
        <v>0</v>
      </c>
      <c r="AX38" s="51">
        <v>0</v>
      </c>
      <c r="AY38" s="51">
        <v>0</v>
      </c>
      <c r="AZ38" s="51">
        <v>0</v>
      </c>
      <c r="BA38" s="51">
        <v>0</v>
      </c>
      <c r="BB38" s="51">
        <v>0</v>
      </c>
      <c r="BC38" s="52">
        <f ca="1">SUM(OFFSET($B38,0,1,1,Assumptions!$C$8))</f>
        <v>0</v>
      </c>
      <c r="BD38" s="52">
        <f ca="1">SUM(OFFSET($B38,0,1+Assumptions!$C$8,1,SUM(Assumptions!$C$9)))</f>
        <v>0</v>
      </c>
      <c r="BE38" s="52">
        <f ca="1">SUM(OFFSET($B38,0,1+SUM(Assumptions!$C$8:$C$9),1,SUM(Assumptions!$C$10)))</f>
        <v>0</v>
      </c>
      <c r="BF38" s="52">
        <f ca="1">SUM(OFFSET($B38,0,1+SUM(Assumptions!$C$8:$C$10),1,SUM(Assumptions!$C$11)))</f>
        <v>0</v>
      </c>
      <c r="BG38" s="52">
        <f t="shared" ca="1" si="8"/>
        <v>0</v>
      </c>
    </row>
    <row r="39" spans="1:59" s="16" customFormat="1" ht="16.149999999999999" customHeight="1" x14ac:dyDescent="0.3">
      <c r="A39" s="172" t="s">
        <v>156</v>
      </c>
      <c r="B39" s="55" t="s">
        <v>200</v>
      </c>
      <c r="C39" s="51">
        <f ca="1">-OFFSET(Loans1!$G$9,COLUMN(C$4)-COLUMN($B$4),0,1,1)</f>
        <v>-5774.6802252131929</v>
      </c>
      <c r="D39" s="51">
        <f ca="1">-OFFSET(Loans1!$G$9,COLUMN(D$4)-COLUMN($B$4),0,1,1)</f>
        <v>0</v>
      </c>
      <c r="E39" s="51">
        <f ca="1">-OFFSET(Loans1!$G$9,COLUMN(E$4)-COLUMN($B$4),0,1,1)</f>
        <v>0</v>
      </c>
      <c r="F39" s="51">
        <f ca="1">-OFFSET(Loans1!$G$9,COLUMN(F$4)-COLUMN($B$4),0,1,1)</f>
        <v>0</v>
      </c>
      <c r="G39" s="51">
        <f ca="1">-OFFSET(Loans1!$G$9,COLUMN(G$4)-COLUMN($B$4),0,1,1)</f>
        <v>0</v>
      </c>
      <c r="H39" s="51">
        <f ca="1">-OFFSET(Loans1!$G$9,COLUMN(H$4)-COLUMN($B$4),0,1,1)</f>
        <v>-5824.005618803556</v>
      </c>
      <c r="I39" s="51">
        <f ca="1">-OFFSET(Loans1!$G$9,COLUMN(I$4)-COLUMN($B$4),0,1,1)</f>
        <v>0</v>
      </c>
      <c r="J39" s="51">
        <f ca="1">-OFFSET(Loans1!$G$9,COLUMN(J$4)-COLUMN($B$4),0,1,1)</f>
        <v>0</v>
      </c>
      <c r="K39" s="51">
        <f ca="1">-OFFSET(Loans1!$G$9,COLUMN(K$4)-COLUMN($B$4),0,1,1)</f>
        <v>0</v>
      </c>
      <c r="L39" s="51">
        <f ca="1">-OFFSET(Loans1!$G$9,COLUMN(L$4)-COLUMN($B$4),0,1,1)</f>
        <v>-5873.7523334641701</v>
      </c>
      <c r="M39" s="51">
        <f ca="1">-OFFSET(Loans1!$G$9,COLUMN(M$4)-COLUMN($B$4),0,1,1)</f>
        <v>0</v>
      </c>
      <c r="N39" s="51">
        <f ca="1">-OFFSET(Loans1!$G$9,COLUMN(N$4)-COLUMN($B$4),0,1,1)</f>
        <v>0</v>
      </c>
      <c r="O39" s="51">
        <f ca="1">-OFFSET(Loans1!$G$9,COLUMN(O$4)-COLUMN($B$4),0,1,1)</f>
        <v>0</v>
      </c>
      <c r="P39" s="51">
        <f ca="1">-OFFSET(Loans1!$G$9,COLUMN(P$4)-COLUMN($B$4),0,1,1)</f>
        <v>-5923.9239679791754</v>
      </c>
      <c r="Q39" s="51">
        <f ca="1">-OFFSET(Loans1!$G$9,COLUMN(Q$4)-COLUMN($B$4),0,1,1)</f>
        <v>0</v>
      </c>
      <c r="R39" s="51">
        <f ca="1">-OFFSET(Loans1!$G$9,COLUMN(R$4)-COLUMN($B$4),0,1,1)</f>
        <v>0</v>
      </c>
      <c r="S39" s="51">
        <f ca="1">-OFFSET(Loans1!$G$9,COLUMN(S$4)-COLUMN($B$4),0,1,1)</f>
        <v>0</v>
      </c>
      <c r="T39" s="51">
        <f ca="1">-OFFSET(Loans1!$G$9,COLUMN(T$4)-COLUMN($B$4),0,1,1)</f>
        <v>0</v>
      </c>
      <c r="U39" s="51">
        <f ca="1">-OFFSET(Loans1!$G$9,COLUMN(U$4)-COLUMN($B$4),0,1,1)</f>
        <v>-5974.5241518723305</v>
      </c>
      <c r="V39" s="51">
        <f ca="1">-OFFSET(Loans1!$G$9,COLUMN(V$4)-COLUMN($B$4),0,1,1)</f>
        <v>0</v>
      </c>
      <c r="W39" s="51">
        <f ca="1">-OFFSET(Loans1!$G$9,COLUMN(W$4)-COLUMN($B$4),0,1,1)</f>
        <v>0</v>
      </c>
      <c r="X39" s="51">
        <f ca="1">-OFFSET(Loans1!$G$9,COLUMN(X$4)-COLUMN($B$4),0,1,1)</f>
        <v>0</v>
      </c>
      <c r="Y39" s="51">
        <f ca="1">-OFFSET(Loans1!$G$9,COLUMN(Y$4)-COLUMN($B$4),0,1,1)</f>
        <v>-6025.5565456695731</v>
      </c>
      <c r="Z39" s="51">
        <f ca="1">-OFFSET(Loans1!$G$9,COLUMN(Z$4)-COLUMN($B$4),0,1,1)</f>
        <v>0</v>
      </c>
      <c r="AA39" s="51">
        <f ca="1">-OFFSET(Loans1!$G$9,COLUMN(AA$4)-COLUMN($B$4),0,1,1)</f>
        <v>0</v>
      </c>
      <c r="AB39" s="51">
        <f ca="1">-OFFSET(Loans1!$G$9,COLUMN(AB$4)-COLUMN($B$4),0,1,1)</f>
        <v>0</v>
      </c>
      <c r="AC39" s="51">
        <f ca="1">-OFFSET(Loans1!$G$9,COLUMN(AC$4)-COLUMN($B$4),0,1,1)</f>
        <v>-6077.0248411638349</v>
      </c>
      <c r="AD39" s="51">
        <f ca="1">-OFFSET(Loans1!$G$9,COLUMN(AD$4)-COLUMN($B$4),0,1,1)</f>
        <v>0</v>
      </c>
      <c r="AE39" s="51">
        <f ca="1">-OFFSET(Loans1!$G$9,COLUMN(AE$4)-COLUMN($B$4),0,1,1)</f>
        <v>0</v>
      </c>
      <c r="AF39" s="51">
        <f ca="1">-OFFSET(Loans1!$G$9,COLUMN(AF$4)-COLUMN($B$4),0,1,1)</f>
        <v>0</v>
      </c>
      <c r="AG39" s="51">
        <f ca="1">-OFFSET(Loans1!$G$9,COLUMN(AG$4)-COLUMN($B$4),0,1,1)</f>
        <v>0</v>
      </c>
      <c r="AH39" s="51">
        <f ca="1">-OFFSET(Loans1!$G$9,COLUMN(AH$4)-COLUMN($B$4),0,1,1)</f>
        <v>-6128.9327616821101</v>
      </c>
      <c r="AI39" s="51">
        <f ca="1">-OFFSET(Loans1!$G$9,COLUMN(AI$4)-COLUMN($B$4),0,1,1)</f>
        <v>0</v>
      </c>
      <c r="AJ39" s="51">
        <f ca="1">-OFFSET(Loans1!$G$9,COLUMN(AJ$4)-COLUMN($B$4),0,1,1)</f>
        <v>0</v>
      </c>
      <c r="AK39" s="51">
        <f ca="1">-OFFSET(Loans1!$G$9,COLUMN(AK$4)-COLUMN($B$4),0,1,1)</f>
        <v>0</v>
      </c>
      <c r="AL39" s="51">
        <f ca="1">-OFFSET(Loans1!$G$9,COLUMN(AL$4)-COLUMN($B$4),0,1,1)</f>
        <v>-6181.2840623548109</v>
      </c>
      <c r="AM39" s="51">
        <f ca="1">-OFFSET(Loans1!$G$9,COLUMN(AM$4)-COLUMN($B$4),0,1,1)</f>
        <v>0</v>
      </c>
      <c r="AN39" s="51">
        <f ca="1">-OFFSET(Loans1!$G$9,COLUMN(AN$4)-COLUMN($B$4),0,1,1)</f>
        <v>0</v>
      </c>
      <c r="AO39" s="51">
        <f ca="1">-OFFSET(Loans1!$G$9,COLUMN(AO$4)-COLUMN($B$4),0,1,1)</f>
        <v>0</v>
      </c>
      <c r="AP39" s="51">
        <f ca="1">-OFFSET(Loans1!$G$9,COLUMN(AP$4)-COLUMN($B$4),0,1,1)</f>
        <v>-6234.0825303874262</v>
      </c>
      <c r="AQ39" s="51">
        <f ca="1">-OFFSET(Loans1!$G$9,COLUMN(AQ$4)-COLUMN($B$4),0,1,1)</f>
        <v>0</v>
      </c>
      <c r="AR39" s="51">
        <f ca="1">-OFFSET(Loans1!$G$9,COLUMN(AR$4)-COLUMN($B$4),0,1,1)</f>
        <v>0</v>
      </c>
      <c r="AS39" s="51">
        <f ca="1">-OFFSET(Loans1!$G$9,COLUMN(AS$4)-COLUMN($B$4),0,1,1)</f>
        <v>0</v>
      </c>
      <c r="AT39" s="51">
        <f ca="1">-OFFSET(Loans1!$G$9,COLUMN(AT$4)-COLUMN($B$4),0,1,1)</f>
        <v>0</v>
      </c>
      <c r="AU39" s="51">
        <f ca="1">-OFFSET(Loans1!$G$9,COLUMN(AU$4)-COLUMN($B$4),0,1,1)</f>
        <v>-6287.3319853344856</v>
      </c>
      <c r="AV39" s="51">
        <f ca="1">-OFFSET(Loans1!$G$9,COLUMN(AV$4)-COLUMN($B$4),0,1,1)</f>
        <v>0</v>
      </c>
      <c r="AW39" s="51">
        <f ca="1">-OFFSET(Loans1!$G$9,COLUMN(AW$4)-COLUMN($B$4),0,1,1)</f>
        <v>0</v>
      </c>
      <c r="AX39" s="51">
        <f ca="1">-OFFSET(Loans1!$G$9,COLUMN(AX$4)-COLUMN($B$4),0,1,1)</f>
        <v>0</v>
      </c>
      <c r="AY39" s="51">
        <f ca="1">-OFFSET(Loans1!$G$9,COLUMN(AY$4)-COLUMN($B$4),0,1,1)</f>
        <v>-6341.0362793758832</v>
      </c>
      <c r="AZ39" s="51">
        <f ca="1">-OFFSET(Loans1!$G$9,COLUMN(AZ$4)-COLUMN($B$4),0,1,1)</f>
        <v>0</v>
      </c>
      <c r="BA39" s="51">
        <f ca="1">-OFFSET(Loans1!$G$9,COLUMN(BA$4)-COLUMN($B$4),0,1,1)</f>
        <v>0</v>
      </c>
      <c r="BB39" s="51">
        <f ca="1">-OFFSET(Loans1!$G$9,COLUMN(BB$4)-COLUMN($B$4),0,1,1)</f>
        <v>0</v>
      </c>
      <c r="BC39" s="52">
        <f ca="1">SUM(OFFSET($B39,0,1,1,Assumptions!$C$8))</f>
        <v>-17472.438177480919</v>
      </c>
      <c r="BD39" s="52">
        <f ca="1">SUM(OFFSET($B39,0,1+Assumptions!$C$8,1,SUM(Assumptions!$C$9)))</f>
        <v>-17924.004665521079</v>
      </c>
      <c r="BE39" s="52">
        <f ca="1">SUM(OFFSET($B39,0,1+SUM(Assumptions!$C$8:$C$9),1,SUM(Assumptions!$C$10)))</f>
        <v>-18387.241665200756</v>
      </c>
      <c r="BF39" s="52">
        <f ca="1">SUM(OFFSET($B39,0,1+SUM(Assumptions!$C$8:$C$10),1,SUM(Assumptions!$C$11)))</f>
        <v>-18862.450795097793</v>
      </c>
      <c r="BG39" s="52">
        <f t="shared" ca="1" si="8"/>
        <v>-72646.135303300543</v>
      </c>
    </row>
    <row r="40" spans="1:59" s="16" customFormat="1" ht="16.149999999999999" customHeight="1" x14ac:dyDescent="0.3">
      <c r="A40" s="172" t="s">
        <v>158</v>
      </c>
      <c r="B40" s="55" t="s">
        <v>201</v>
      </c>
      <c r="C40" s="51">
        <f ca="1">-OFFSET(Loans2!$G$9,COLUMN(C$4)-COLUMN($B$4),0,1,1)</f>
        <v>0</v>
      </c>
      <c r="D40" s="51">
        <f ca="1">-OFFSET(Loans2!$G$9,COLUMN(D$4)-COLUMN($B$4),0,1,1)</f>
        <v>0</v>
      </c>
      <c r="E40" s="51">
        <f ca="1">-OFFSET(Loans2!$G$9,COLUMN(E$4)-COLUMN($B$4),0,1,1)</f>
        <v>0</v>
      </c>
      <c r="F40" s="51">
        <f ca="1">-OFFSET(Loans2!$G$9,COLUMN(F$4)-COLUMN($B$4),0,1,1)</f>
        <v>0</v>
      </c>
      <c r="G40" s="51">
        <f ca="1">-OFFSET(Loans2!$G$9,COLUMN(G$4)-COLUMN($B$4),0,1,1)</f>
        <v>-3535.9434135466868</v>
      </c>
      <c r="H40" s="51">
        <f ca="1">-OFFSET(Loans2!$G$9,COLUMN(H$4)-COLUMN($B$4),0,1,1)</f>
        <v>0</v>
      </c>
      <c r="I40" s="51">
        <f ca="1">-OFFSET(Loans2!$G$9,COLUMN(I$4)-COLUMN($B$4),0,1,1)</f>
        <v>0</v>
      </c>
      <c r="J40" s="51">
        <f ca="1">-OFFSET(Loans2!$G$9,COLUMN(J$4)-COLUMN($B$4),0,1,1)</f>
        <v>0</v>
      </c>
      <c r="K40" s="51">
        <f ca="1">-OFFSET(Loans2!$G$9,COLUMN(K$4)-COLUMN($B$4),0,1,1)</f>
        <v>-3563.1996440261087</v>
      </c>
      <c r="L40" s="51">
        <f ca="1">-OFFSET(Loans2!$G$9,COLUMN(L$4)-COLUMN($B$4),0,1,1)</f>
        <v>0</v>
      </c>
      <c r="M40" s="51">
        <f ca="1">-OFFSET(Loans2!$G$9,COLUMN(M$4)-COLUMN($B$4),0,1,1)</f>
        <v>0</v>
      </c>
      <c r="N40" s="51">
        <f ca="1">-OFFSET(Loans2!$G$9,COLUMN(N$4)-COLUMN($B$4),0,1,1)</f>
        <v>0</v>
      </c>
      <c r="O40" s="51">
        <f ca="1">-OFFSET(Loans2!$G$9,COLUMN(O$4)-COLUMN($B$4),0,1,1)</f>
        <v>-3590.6659746154769</v>
      </c>
      <c r="P40" s="51">
        <f ca="1">-OFFSET(Loans2!$G$9,COLUMN(P$4)-COLUMN($B$4),0,1,1)</f>
        <v>0</v>
      </c>
      <c r="Q40" s="51">
        <f ca="1">-OFFSET(Loans2!$G$9,COLUMN(Q$4)-COLUMN($B$4),0,1,1)</f>
        <v>0</v>
      </c>
      <c r="R40" s="51">
        <f ca="1">-OFFSET(Loans2!$G$9,COLUMN(R$4)-COLUMN($B$4),0,1,1)</f>
        <v>0</v>
      </c>
      <c r="S40" s="51">
        <f ca="1">-OFFSET(Loans2!$G$9,COLUMN(S$4)-COLUMN($B$4),0,1,1)</f>
        <v>0</v>
      </c>
      <c r="T40" s="51">
        <f ca="1">-OFFSET(Loans2!$G$9,COLUMN(T$4)-COLUMN($B$4),0,1,1)</f>
        <v>-3618.3440248364714</v>
      </c>
      <c r="U40" s="51">
        <f ca="1">-OFFSET(Loans2!$G$9,COLUMN(U$4)-COLUMN($B$4),0,1,1)</f>
        <v>0</v>
      </c>
      <c r="V40" s="51">
        <f ca="1">-OFFSET(Loans2!$G$9,COLUMN(V$4)-COLUMN($B$4),0,1,1)</f>
        <v>0</v>
      </c>
      <c r="W40" s="51">
        <f ca="1">-OFFSET(Loans2!$G$9,COLUMN(W$4)-COLUMN($B$4),0,1,1)</f>
        <v>0</v>
      </c>
      <c r="X40" s="51">
        <f ca="1">-OFFSET(Loans2!$G$9,COLUMN(X$4)-COLUMN($B$4),0,1,1)</f>
        <v>-3646.2354266945858</v>
      </c>
      <c r="Y40" s="51">
        <f ca="1">-OFFSET(Loans2!$G$9,COLUMN(Y$4)-COLUMN($B$4),0,1,1)</f>
        <v>0</v>
      </c>
      <c r="Z40" s="51">
        <f ca="1">-OFFSET(Loans2!$G$9,COLUMN(Z$4)-COLUMN($B$4),0,1,1)</f>
        <v>0</v>
      </c>
      <c r="AA40" s="51">
        <f ca="1">-OFFSET(Loans2!$G$9,COLUMN(AA$4)-COLUMN($B$4),0,1,1)</f>
        <v>0</v>
      </c>
      <c r="AB40" s="51">
        <f ca="1">-OFFSET(Loans2!$G$9,COLUMN(AB$4)-COLUMN($B$4),0,1,1)</f>
        <v>0</v>
      </c>
      <c r="AC40" s="51">
        <f ca="1">-OFFSET(Loans2!$G$9,COLUMN(AC$4)-COLUMN($B$4),0,1,1)</f>
        <v>-4381.5305074846938</v>
      </c>
      <c r="AD40" s="51">
        <f ca="1">-OFFSET(Loans2!$G$9,COLUMN(AD$4)-COLUMN($B$4),0,1,1)</f>
        <v>0</v>
      </c>
      <c r="AE40" s="51">
        <f ca="1">-OFFSET(Loans2!$G$9,COLUMN(AE$4)-COLUMN($B$4),0,1,1)</f>
        <v>0</v>
      </c>
      <c r="AF40" s="51">
        <f ca="1">-OFFSET(Loans2!$G$9,COLUMN(AF$4)-COLUMN($B$4),0,1,1)</f>
        <v>0</v>
      </c>
      <c r="AG40" s="51">
        <f ca="1">-OFFSET(Loans2!$G$9,COLUMN(AG$4)-COLUMN($B$4),0,1,1)</f>
        <v>-4415.3048051465548</v>
      </c>
      <c r="AH40" s="51">
        <f ca="1">-OFFSET(Loans2!$G$9,COLUMN(AH$4)-COLUMN($B$4),0,1,1)</f>
        <v>0</v>
      </c>
      <c r="AI40" s="51">
        <f ca="1">-OFFSET(Loans2!$G$9,COLUMN(AI$4)-COLUMN($B$4),0,1,1)</f>
        <v>0</v>
      </c>
      <c r="AJ40" s="51">
        <f ca="1">-OFFSET(Loans2!$G$9,COLUMN(AJ$4)-COLUMN($B$4),0,1,1)</f>
        <v>0</v>
      </c>
      <c r="AK40" s="51">
        <f ca="1">-OFFSET(Loans2!$G$9,COLUMN(AK$4)-COLUMN($B$4),0,1,1)</f>
        <v>-4449.3394463528921</v>
      </c>
      <c r="AL40" s="51">
        <f ca="1">-OFFSET(Loans2!$G$9,COLUMN(AL$4)-COLUMN($B$4),0,1,1)</f>
        <v>0</v>
      </c>
      <c r="AM40" s="51">
        <f ca="1">-OFFSET(Loans2!$G$9,COLUMN(AM$4)-COLUMN($B$4),0,1,1)</f>
        <v>0</v>
      </c>
      <c r="AN40" s="51">
        <f ca="1">-OFFSET(Loans2!$G$9,COLUMN(AN$4)-COLUMN($B$4),0,1,1)</f>
        <v>0</v>
      </c>
      <c r="AO40" s="51">
        <f ca="1">-OFFSET(Loans2!$G$9,COLUMN(AO$4)-COLUMN($B$4),0,1,1)</f>
        <v>0</v>
      </c>
      <c r="AP40" s="51">
        <f ca="1">-OFFSET(Loans2!$G$9,COLUMN(AP$4)-COLUMN($B$4),0,1,1)</f>
        <v>-4483.6364379185297</v>
      </c>
      <c r="AQ40" s="51">
        <f ca="1">-OFFSET(Loans2!$G$9,COLUMN(AQ$4)-COLUMN($B$4),0,1,1)</f>
        <v>0</v>
      </c>
      <c r="AR40" s="51">
        <f ca="1">-OFFSET(Loans2!$G$9,COLUMN(AR$4)-COLUMN($B$4),0,1,1)</f>
        <v>0</v>
      </c>
      <c r="AS40" s="51">
        <f ca="1">-OFFSET(Loans2!$G$9,COLUMN(AS$4)-COLUMN($B$4),0,1,1)</f>
        <v>0</v>
      </c>
      <c r="AT40" s="51">
        <f ca="1">-OFFSET(Loans2!$G$9,COLUMN(AT$4)-COLUMN($B$4),0,1,1)</f>
        <v>-4518.1978021274854</v>
      </c>
      <c r="AU40" s="51">
        <f ca="1">-OFFSET(Loans2!$G$9,COLUMN(AU$4)-COLUMN($B$4),0,1,1)</f>
        <v>0</v>
      </c>
      <c r="AV40" s="51">
        <f ca="1">-OFFSET(Loans2!$G$9,COLUMN(AV$4)-COLUMN($B$4),0,1,1)</f>
        <v>0</v>
      </c>
      <c r="AW40" s="51">
        <f ca="1">-OFFSET(Loans2!$G$9,COLUMN(AW$4)-COLUMN($B$4),0,1,1)</f>
        <v>0</v>
      </c>
      <c r="AX40" s="51">
        <f ca="1">-OFFSET(Loans2!$G$9,COLUMN(AX$4)-COLUMN($B$4),0,1,1)</f>
        <v>-4553.0255768522175</v>
      </c>
      <c r="AY40" s="51">
        <f ca="1">-OFFSET(Loans2!$G$9,COLUMN(AY$4)-COLUMN($B$4),0,1,1)</f>
        <v>0</v>
      </c>
      <c r="AZ40" s="51">
        <f ca="1">-OFFSET(Loans2!$G$9,COLUMN(AZ$4)-COLUMN($B$4),0,1,1)</f>
        <v>0</v>
      </c>
      <c r="BA40" s="51">
        <f ca="1">-OFFSET(Loans2!$G$9,COLUMN(BA$4)-COLUMN($B$4),0,1,1)</f>
        <v>0</v>
      </c>
      <c r="BB40" s="51">
        <f ca="1">-OFFSET(Loans2!$G$9,COLUMN(BB$4)-COLUMN($B$4),0,1,1)</f>
        <v>0</v>
      </c>
      <c r="BC40" s="52">
        <f ca="1">SUM(OFFSET($B40,0,1,1,Assumptions!$C$8))</f>
        <v>-10689.809032188272</v>
      </c>
      <c r="BD40" s="52">
        <f ca="1">SUM(OFFSET($B40,0,1+Assumptions!$C$8,1,SUM(Assumptions!$C$9)))</f>
        <v>-7264.5794515310572</v>
      </c>
      <c r="BE40" s="52">
        <f ca="1">SUM(OFFSET($B40,0,1+SUM(Assumptions!$C$8:$C$9),1,SUM(Assumptions!$C$10)))</f>
        <v>-13246.17475898414</v>
      </c>
      <c r="BF40" s="52">
        <f ca="1">SUM(OFFSET($B40,0,1+SUM(Assumptions!$C$8:$C$10),1,SUM(Assumptions!$C$11)))</f>
        <v>-13554.859816898232</v>
      </c>
      <c r="BG40" s="52">
        <f t="shared" ca="1" si="8"/>
        <v>-44755.423059601701</v>
      </c>
    </row>
    <row r="41" spans="1:59" s="16" customFormat="1" ht="16.149999999999999" customHeight="1" x14ac:dyDescent="0.3">
      <c r="A41" s="172" t="s">
        <v>160</v>
      </c>
      <c r="B41" s="55" t="s">
        <v>202</v>
      </c>
      <c r="C41" s="51">
        <f ca="1">-OFFSET(Loans3!$G$9,COLUMN(C$4)-COLUMN($B$4),0,1,1)</f>
        <v>0</v>
      </c>
      <c r="D41" s="51">
        <f ca="1">-OFFSET(Loans3!$G$9,COLUMN(D$4)-COLUMN($B$4),0,1,1)</f>
        <v>0</v>
      </c>
      <c r="E41" s="51">
        <f ca="1">-OFFSET(Loans3!$G$9,COLUMN(E$4)-COLUMN($B$4),0,1,1)</f>
        <v>0</v>
      </c>
      <c r="F41" s="51">
        <f ca="1">-OFFSET(Loans3!$G$9,COLUMN(F$4)-COLUMN($B$4),0,1,1)</f>
        <v>0</v>
      </c>
      <c r="G41" s="51">
        <f ca="1">-OFFSET(Loans3!$G$9,COLUMN(G$4)-COLUMN($B$4),0,1,1)</f>
        <v>0</v>
      </c>
      <c r="H41" s="51">
        <f ca="1">-OFFSET(Loans3!$G$9,COLUMN(H$4)-COLUMN($B$4),0,1,1)</f>
        <v>0</v>
      </c>
      <c r="I41" s="51">
        <f ca="1">-OFFSET(Loans3!$G$9,COLUMN(I$4)-COLUMN($B$4),0,1,1)</f>
        <v>0</v>
      </c>
      <c r="J41" s="51">
        <f ca="1">-OFFSET(Loans3!$G$9,COLUMN(J$4)-COLUMN($B$4),0,1,1)</f>
        <v>0</v>
      </c>
      <c r="K41" s="51">
        <f ca="1">-OFFSET(Loans3!$G$9,COLUMN(K$4)-COLUMN($B$4),0,1,1)</f>
        <v>0</v>
      </c>
      <c r="L41" s="51">
        <f ca="1">-OFFSET(Loans3!$G$9,COLUMN(L$4)-COLUMN($B$4),0,1,1)</f>
        <v>0</v>
      </c>
      <c r="M41" s="51">
        <f ca="1">-OFFSET(Loans3!$G$9,COLUMN(M$4)-COLUMN($B$4),0,1,1)</f>
        <v>0</v>
      </c>
      <c r="N41" s="51">
        <f ca="1">-OFFSET(Loans3!$G$9,COLUMN(N$4)-COLUMN($B$4),0,1,1)</f>
        <v>0</v>
      </c>
      <c r="O41" s="51">
        <f ca="1">-OFFSET(Loans3!$G$9,COLUMN(O$4)-COLUMN($B$4),0,1,1)</f>
        <v>0</v>
      </c>
      <c r="P41" s="51">
        <f ca="1">-OFFSET(Loans3!$G$9,COLUMN(P$4)-COLUMN($B$4),0,1,1)</f>
        <v>0</v>
      </c>
      <c r="Q41" s="51">
        <f ca="1">-OFFSET(Loans3!$G$9,COLUMN(Q$4)-COLUMN($B$4),0,1,1)</f>
        <v>0</v>
      </c>
      <c r="R41" s="51">
        <f ca="1">-OFFSET(Loans3!$G$9,COLUMN(R$4)-COLUMN($B$4),0,1,1)</f>
        <v>0</v>
      </c>
      <c r="S41" s="51">
        <f ca="1">-OFFSET(Loans3!$G$9,COLUMN(S$4)-COLUMN($B$4),0,1,1)</f>
        <v>0</v>
      </c>
      <c r="T41" s="51">
        <f ca="1">-OFFSET(Loans3!$G$9,COLUMN(T$4)-COLUMN($B$4),0,1,1)</f>
        <v>0</v>
      </c>
      <c r="U41" s="51">
        <f ca="1">-OFFSET(Loans3!$G$9,COLUMN(U$4)-COLUMN($B$4),0,1,1)</f>
        <v>0</v>
      </c>
      <c r="V41" s="51">
        <f ca="1">-OFFSET(Loans3!$G$9,COLUMN(V$4)-COLUMN($B$4),0,1,1)</f>
        <v>0</v>
      </c>
      <c r="W41" s="51">
        <f ca="1">-OFFSET(Loans3!$G$9,COLUMN(W$4)-COLUMN($B$4),0,1,1)</f>
        <v>0</v>
      </c>
      <c r="X41" s="51">
        <f ca="1">-OFFSET(Loans3!$G$9,COLUMN(X$4)-COLUMN($B$4),0,1,1)</f>
        <v>0</v>
      </c>
      <c r="Y41" s="51">
        <f ca="1">-OFFSET(Loans3!$G$9,COLUMN(Y$4)-COLUMN($B$4),0,1,1)</f>
        <v>0</v>
      </c>
      <c r="Z41" s="51">
        <f ca="1">-OFFSET(Loans3!$G$9,COLUMN(Z$4)-COLUMN($B$4),0,1,1)</f>
        <v>0</v>
      </c>
      <c r="AA41" s="51">
        <f ca="1">-OFFSET(Loans3!$G$9,COLUMN(AA$4)-COLUMN($B$4),0,1,1)</f>
        <v>0</v>
      </c>
      <c r="AB41" s="51">
        <f ca="1">-OFFSET(Loans3!$G$9,COLUMN(AB$4)-COLUMN($B$4),0,1,1)</f>
        <v>0</v>
      </c>
      <c r="AC41" s="51">
        <f ca="1">-OFFSET(Loans3!$G$9,COLUMN(AC$4)-COLUMN($B$4),0,1,1)</f>
        <v>0</v>
      </c>
      <c r="AD41" s="51">
        <f ca="1">-OFFSET(Loans3!$G$9,COLUMN(AD$4)-COLUMN($B$4),0,1,1)</f>
        <v>0</v>
      </c>
      <c r="AE41" s="51">
        <f ca="1">-OFFSET(Loans3!$G$9,COLUMN(AE$4)-COLUMN($B$4),0,1,1)</f>
        <v>0</v>
      </c>
      <c r="AF41" s="51">
        <f ca="1">-OFFSET(Loans3!$G$9,COLUMN(AF$4)-COLUMN($B$4),0,1,1)</f>
        <v>0</v>
      </c>
      <c r="AG41" s="51">
        <f ca="1">-OFFSET(Loans3!$G$9,COLUMN(AG$4)-COLUMN($B$4),0,1,1)</f>
        <v>0</v>
      </c>
      <c r="AH41" s="51">
        <f ca="1">-OFFSET(Loans3!$G$9,COLUMN(AH$4)-COLUMN($B$4),0,1,1)</f>
        <v>0</v>
      </c>
      <c r="AI41" s="51">
        <f ca="1">-OFFSET(Loans3!$G$9,COLUMN(AI$4)-COLUMN($B$4),0,1,1)</f>
        <v>0</v>
      </c>
      <c r="AJ41" s="51">
        <f ca="1">-OFFSET(Loans3!$G$9,COLUMN(AJ$4)-COLUMN($B$4),0,1,1)</f>
        <v>0</v>
      </c>
      <c r="AK41" s="51">
        <f ca="1">-OFFSET(Loans3!$G$9,COLUMN(AK$4)-COLUMN($B$4),0,1,1)</f>
        <v>0</v>
      </c>
      <c r="AL41" s="51">
        <f ca="1">-OFFSET(Loans3!$G$9,COLUMN(AL$4)-COLUMN($B$4),0,1,1)</f>
        <v>0</v>
      </c>
      <c r="AM41" s="51">
        <f ca="1">-OFFSET(Loans3!$G$9,COLUMN(AM$4)-COLUMN($B$4),0,1,1)</f>
        <v>0</v>
      </c>
      <c r="AN41" s="51">
        <f ca="1">-OFFSET(Loans3!$G$9,COLUMN(AN$4)-COLUMN($B$4),0,1,1)</f>
        <v>0</v>
      </c>
      <c r="AO41" s="51">
        <f ca="1">-OFFSET(Loans3!$G$9,COLUMN(AO$4)-COLUMN($B$4),0,1,1)</f>
        <v>0</v>
      </c>
      <c r="AP41" s="51">
        <f ca="1">-OFFSET(Loans3!$G$9,COLUMN(AP$4)-COLUMN($B$4),0,1,1)</f>
        <v>0</v>
      </c>
      <c r="AQ41" s="51">
        <f ca="1">-OFFSET(Loans3!$G$9,COLUMN(AQ$4)-COLUMN($B$4),0,1,1)</f>
        <v>0</v>
      </c>
      <c r="AR41" s="51">
        <f ca="1">-OFFSET(Loans3!$G$9,COLUMN(AR$4)-COLUMN($B$4),0,1,1)</f>
        <v>0</v>
      </c>
      <c r="AS41" s="51">
        <f ca="1">-OFFSET(Loans3!$G$9,COLUMN(AS$4)-COLUMN($B$4),0,1,1)</f>
        <v>0</v>
      </c>
      <c r="AT41" s="51">
        <f ca="1">-OFFSET(Loans3!$G$9,COLUMN(AT$4)-COLUMN($B$4),0,1,1)</f>
        <v>0</v>
      </c>
      <c r="AU41" s="51">
        <f ca="1">-OFFSET(Loans3!$G$9,COLUMN(AU$4)-COLUMN($B$4),0,1,1)</f>
        <v>0</v>
      </c>
      <c r="AV41" s="51">
        <f ca="1">-OFFSET(Loans3!$G$9,COLUMN(AV$4)-COLUMN($B$4),0,1,1)</f>
        <v>0</v>
      </c>
      <c r="AW41" s="51">
        <f ca="1">-OFFSET(Loans3!$G$9,COLUMN(AW$4)-COLUMN($B$4),0,1,1)</f>
        <v>0</v>
      </c>
      <c r="AX41" s="51">
        <f ca="1">-OFFSET(Loans3!$G$9,COLUMN(AX$4)-COLUMN($B$4),0,1,1)</f>
        <v>0</v>
      </c>
      <c r="AY41" s="51">
        <f ca="1">-OFFSET(Loans3!$G$9,COLUMN(AY$4)-COLUMN($B$4),0,1,1)</f>
        <v>-2899.5051740998015</v>
      </c>
      <c r="AZ41" s="51">
        <f ca="1">-OFFSET(Loans3!$G$9,COLUMN(AZ$4)-COLUMN($B$4),0,1,1)</f>
        <v>0</v>
      </c>
      <c r="BA41" s="51">
        <f ca="1">-OFFSET(Loans3!$G$9,COLUMN(BA$4)-COLUMN($B$4),0,1,1)</f>
        <v>0</v>
      </c>
      <c r="BB41" s="51">
        <f ca="1">-OFFSET(Loans3!$G$9,COLUMN(BB$4)-COLUMN($B$4),0,1,1)</f>
        <v>0</v>
      </c>
      <c r="BC41" s="52">
        <f ca="1">SUM(OFFSET($B41,0,1,1,Assumptions!$C$8))</f>
        <v>0</v>
      </c>
      <c r="BD41" s="52">
        <f ca="1">SUM(OFFSET($B41,0,1+Assumptions!$C$8,1,SUM(Assumptions!$C$9)))</f>
        <v>0</v>
      </c>
      <c r="BE41" s="52">
        <f ca="1">SUM(OFFSET($B41,0,1+SUM(Assumptions!$C$8:$C$9),1,SUM(Assumptions!$C$10)))</f>
        <v>0</v>
      </c>
      <c r="BF41" s="52">
        <f ca="1">SUM(OFFSET($B41,0,1+SUM(Assumptions!$C$8:$C$10),1,SUM(Assumptions!$C$11)))</f>
        <v>-2899.5051740998015</v>
      </c>
      <c r="BG41" s="52">
        <f t="shared" ca="1" si="8"/>
        <v>-2899.5051740998015</v>
      </c>
    </row>
    <row r="42" spans="1:59" s="16" customFormat="1" ht="16.149999999999999" customHeight="1" x14ac:dyDescent="0.3">
      <c r="A42" s="172" t="s">
        <v>162</v>
      </c>
      <c r="B42" s="55" t="s">
        <v>203</v>
      </c>
      <c r="C42" s="51">
        <f ca="1">-OFFSET(Leases!$G$9,COLUMN(C$4)-COLUMN($B$4),0,1,1)</f>
        <v>0</v>
      </c>
      <c r="D42" s="51">
        <f ca="1">-OFFSET(Leases!$G$9,COLUMN(D$4)-COLUMN($B$4),0,1,1)</f>
        <v>-7014.9121183227235</v>
      </c>
      <c r="E42" s="51">
        <f ca="1">-OFFSET(Leases!$G$9,COLUMN(E$4)-COLUMN($B$4),0,1,1)</f>
        <v>0</v>
      </c>
      <c r="F42" s="51">
        <f ca="1">-OFFSET(Leases!$G$9,COLUMN(F$4)-COLUMN($B$4),0,1,1)</f>
        <v>0</v>
      </c>
      <c r="G42" s="51">
        <f ca="1">-OFFSET(Leases!$G$9,COLUMN(G$4)-COLUMN($B$4),0,1,1)</f>
        <v>0</v>
      </c>
      <c r="H42" s="51">
        <f ca="1">-OFFSET(Leases!$G$9,COLUMN(H$4)-COLUMN($B$4),0,1,1)</f>
        <v>-7082.1383594566487</v>
      </c>
      <c r="I42" s="51">
        <f ca="1">-OFFSET(Leases!$G$9,COLUMN(I$4)-COLUMN($B$4),0,1,1)</f>
        <v>0</v>
      </c>
      <c r="J42" s="51">
        <f ca="1">-OFFSET(Leases!$G$9,COLUMN(J$4)-COLUMN($B$4),0,1,1)</f>
        <v>0</v>
      </c>
      <c r="K42" s="51">
        <f ca="1">-OFFSET(Leases!$G$9,COLUMN(K$4)-COLUMN($B$4),0,1,1)</f>
        <v>0</v>
      </c>
      <c r="L42" s="51">
        <f ca="1">-OFFSET(Leases!$G$9,COLUMN(L$4)-COLUMN($B$4),0,1,1)</f>
        <v>0</v>
      </c>
      <c r="M42" s="51">
        <f ca="1">-OFFSET(Leases!$G$9,COLUMN(M$4)-COLUMN($B$4),0,1,1)</f>
        <v>-7150.0088520681093</v>
      </c>
      <c r="N42" s="51">
        <f ca="1">-OFFSET(Leases!$G$9,COLUMN(N$4)-COLUMN($B$4),0,1,1)</f>
        <v>0</v>
      </c>
      <c r="O42" s="51">
        <f ca="1">-OFFSET(Leases!$G$9,COLUMN(O$4)-COLUMN($B$4),0,1,1)</f>
        <v>0</v>
      </c>
      <c r="P42" s="51">
        <f ca="1">-OFFSET(Leases!$G$9,COLUMN(P$4)-COLUMN($B$4),0,1,1)</f>
        <v>0</v>
      </c>
      <c r="Q42" s="51">
        <f ca="1">-OFFSET(Leases!$G$9,COLUMN(Q$4)-COLUMN($B$4),0,1,1)</f>
        <v>-7218.5297702337612</v>
      </c>
      <c r="R42" s="51">
        <f ca="1">-OFFSET(Leases!$G$9,COLUMN(R$4)-COLUMN($B$4),0,1,1)</f>
        <v>0</v>
      </c>
      <c r="S42" s="51">
        <f ca="1">-OFFSET(Leases!$G$9,COLUMN(S$4)-COLUMN($B$4),0,1,1)</f>
        <v>0</v>
      </c>
      <c r="T42" s="51">
        <f ca="1">-OFFSET(Leases!$G$9,COLUMN(T$4)-COLUMN($B$4),0,1,1)</f>
        <v>0</v>
      </c>
      <c r="U42" s="51">
        <f ca="1">-OFFSET(Leases!$G$9,COLUMN(U$4)-COLUMN($B$4),0,1,1)</f>
        <v>-7287.7073471985022</v>
      </c>
      <c r="V42" s="51">
        <f ca="1">-OFFSET(Leases!$G$9,COLUMN(V$4)-COLUMN($B$4),0,1,1)</f>
        <v>0</v>
      </c>
      <c r="W42" s="51">
        <f ca="1">-OFFSET(Leases!$G$9,COLUMN(W$4)-COLUMN($B$4),0,1,1)</f>
        <v>0</v>
      </c>
      <c r="X42" s="51">
        <f ca="1">-OFFSET(Leases!$G$9,COLUMN(X$4)-COLUMN($B$4),0,1,1)</f>
        <v>0</v>
      </c>
      <c r="Y42" s="51">
        <f ca="1">-OFFSET(Leases!$G$9,COLUMN(Y$4)-COLUMN($B$4),0,1,1)</f>
        <v>0</v>
      </c>
      <c r="Z42" s="51">
        <f ca="1">-OFFSET(Leases!$G$9,COLUMN(Z$4)-COLUMN($B$4),0,1,1)</f>
        <v>-7357.5478759424877</v>
      </c>
      <c r="AA42" s="51">
        <f ca="1">-OFFSET(Leases!$G$9,COLUMN(AA$4)-COLUMN($B$4),0,1,1)</f>
        <v>0</v>
      </c>
      <c r="AB42" s="51">
        <f ca="1">-OFFSET(Leases!$G$9,COLUMN(AB$4)-COLUMN($B$4),0,1,1)</f>
        <v>0</v>
      </c>
      <c r="AC42" s="51">
        <f ca="1">-OFFSET(Leases!$G$9,COLUMN(AC$4)-COLUMN($B$4),0,1,1)</f>
        <v>0</v>
      </c>
      <c r="AD42" s="51">
        <f ca="1">-OFFSET(Leases!$G$9,COLUMN(AD$4)-COLUMN($B$4),0,1,1)</f>
        <v>-7428.0577097536025</v>
      </c>
      <c r="AE42" s="51">
        <f ca="1">-OFFSET(Leases!$G$9,COLUMN(AE$4)-COLUMN($B$4),0,1,1)</f>
        <v>0</v>
      </c>
      <c r="AF42" s="51">
        <f ca="1">-OFFSET(Leases!$G$9,COLUMN(AF$4)-COLUMN($B$4),0,1,1)</f>
        <v>0</v>
      </c>
      <c r="AG42" s="51">
        <f ca="1">-OFFSET(Leases!$G$9,COLUMN(AG$4)-COLUMN($B$4),0,1,1)</f>
        <v>0</v>
      </c>
      <c r="AH42" s="51">
        <f ca="1">-OFFSET(Leases!$G$9,COLUMN(AH$4)-COLUMN($B$4),0,1,1)</f>
        <v>-7499.2432628054084</v>
      </c>
      <c r="AI42" s="51">
        <f ca="1">-OFFSET(Leases!$G$9,COLUMN(AI$4)-COLUMN($B$4),0,1,1)</f>
        <v>0</v>
      </c>
      <c r="AJ42" s="51">
        <f ca="1">-OFFSET(Leases!$G$9,COLUMN(AJ$4)-COLUMN($B$4),0,1,1)</f>
        <v>0</v>
      </c>
      <c r="AK42" s="51">
        <f ca="1">-OFFSET(Leases!$G$9,COLUMN(AK$4)-COLUMN($B$4),0,1,1)</f>
        <v>0</v>
      </c>
      <c r="AL42" s="51">
        <f ca="1">-OFFSET(Leases!$G$9,COLUMN(AL$4)-COLUMN($B$4),0,1,1)</f>
        <v>0</v>
      </c>
      <c r="AM42" s="51">
        <f ca="1">-OFFSET(Leases!$G$9,COLUMN(AM$4)-COLUMN($B$4),0,1,1)</f>
        <v>-7571.1110107406275</v>
      </c>
      <c r="AN42" s="51">
        <f ca="1">-OFFSET(Leases!$G$9,COLUMN(AN$4)-COLUMN($B$4),0,1,1)</f>
        <v>0</v>
      </c>
      <c r="AO42" s="51">
        <f ca="1">-OFFSET(Leases!$G$9,COLUMN(AO$4)-COLUMN($B$4),0,1,1)</f>
        <v>0</v>
      </c>
      <c r="AP42" s="51">
        <f ca="1">-OFFSET(Leases!$G$9,COLUMN(AP$4)-COLUMN($B$4),0,1,1)</f>
        <v>0</v>
      </c>
      <c r="AQ42" s="51">
        <f ca="1">-OFFSET(Leases!$G$9,COLUMN(AQ$4)-COLUMN($B$4),0,1,1)</f>
        <v>-7643.6674912602248</v>
      </c>
      <c r="AR42" s="51">
        <f ca="1">-OFFSET(Leases!$G$9,COLUMN(AR$4)-COLUMN($B$4),0,1,1)</f>
        <v>0</v>
      </c>
      <c r="AS42" s="51">
        <f ca="1">-OFFSET(Leases!$G$9,COLUMN(AS$4)-COLUMN($B$4),0,1,1)</f>
        <v>0</v>
      </c>
      <c r="AT42" s="51">
        <f ca="1">-OFFSET(Leases!$G$9,COLUMN(AT$4)-COLUMN($B$4),0,1,1)</f>
        <v>0</v>
      </c>
      <c r="AU42" s="51">
        <f ca="1">-OFFSET(Leases!$G$9,COLUMN(AU$4)-COLUMN($B$4),0,1,1)</f>
        <v>0</v>
      </c>
      <c r="AV42" s="51">
        <f ca="1">-OFFSET(Leases!$G$9,COLUMN(AV$4)-COLUMN($B$4),0,1,1)</f>
        <v>-7716.9193047181343</v>
      </c>
      <c r="AW42" s="51">
        <f ca="1">-OFFSET(Leases!$G$9,COLUMN(AW$4)-COLUMN($B$4),0,1,1)</f>
        <v>0</v>
      </c>
      <c r="AX42" s="51">
        <f ca="1">-OFFSET(Leases!$G$9,COLUMN(AX$4)-COLUMN($B$4),0,1,1)</f>
        <v>0</v>
      </c>
      <c r="AY42" s="51">
        <f ca="1">-OFFSET(Leases!$G$9,COLUMN(AY$4)-COLUMN($B$4),0,1,1)</f>
        <v>0</v>
      </c>
      <c r="AZ42" s="51">
        <f ca="1">-OFFSET(Leases!$G$9,COLUMN(AZ$4)-COLUMN($B$4),0,1,1)</f>
        <v>-7790.873114721684</v>
      </c>
      <c r="BA42" s="51">
        <f ca="1">-OFFSET(Leases!$G$9,COLUMN(BA$4)-COLUMN($B$4),0,1,1)</f>
        <v>0</v>
      </c>
      <c r="BB42" s="51">
        <f ca="1">-OFFSET(Leases!$G$9,COLUMN(BB$4)-COLUMN($B$4),0,1,1)</f>
        <v>0</v>
      </c>
      <c r="BC42" s="52">
        <f ca="1">SUM(OFFSET($B42,0,1,1,Assumptions!$C$8))</f>
        <v>-21247.059329847481</v>
      </c>
      <c r="BD42" s="52">
        <f ca="1">SUM(OFFSET($B42,0,1+Assumptions!$C$8,1,SUM(Assumptions!$C$9)))</f>
        <v>-21863.784993374749</v>
      </c>
      <c r="BE42" s="52">
        <f ca="1">SUM(OFFSET($B42,0,1+SUM(Assumptions!$C$8:$C$9),1,SUM(Assumptions!$C$10)))</f>
        <v>-22498.411983299637</v>
      </c>
      <c r="BF42" s="52">
        <f ca="1">SUM(OFFSET($B42,0,1+SUM(Assumptions!$C$8:$C$10),1,SUM(Assumptions!$C$11)))</f>
        <v>-23151.459910700043</v>
      </c>
      <c r="BG42" s="52">
        <f t="shared" ca="1" si="8"/>
        <v>-88760.71621722191</v>
      </c>
    </row>
    <row r="43" spans="1:59" s="84" customFormat="1" ht="16.149999999999999" customHeight="1" thickBot="1" x14ac:dyDescent="0.3">
      <c r="A43" s="179"/>
      <c r="B43" s="87" t="s">
        <v>73</v>
      </c>
      <c r="C43" s="85">
        <f ca="1">SUM(C33:C42)</f>
        <v>-5774.6802252131929</v>
      </c>
      <c r="D43" s="85">
        <f t="shared" ref="D43:BG43" ca="1" si="9">SUM(D33:D42)</f>
        <v>-7014.9121183227235</v>
      </c>
      <c r="E43" s="85">
        <f t="shared" ca="1" si="9"/>
        <v>0</v>
      </c>
      <c r="F43" s="85">
        <f t="shared" ca="1" si="9"/>
        <v>0</v>
      </c>
      <c r="G43" s="85">
        <f t="shared" ca="1" si="9"/>
        <v>-3535.9434135466868</v>
      </c>
      <c r="H43" s="85">
        <f t="shared" ca="1" si="9"/>
        <v>-12906.143978260205</v>
      </c>
      <c r="I43" s="85">
        <f t="shared" ca="1" si="9"/>
        <v>0</v>
      </c>
      <c r="J43" s="85">
        <f t="shared" ca="1" si="9"/>
        <v>0</v>
      </c>
      <c r="K43" s="85">
        <f t="shared" ca="1" si="9"/>
        <v>-3563.1996440261087</v>
      </c>
      <c r="L43" s="85">
        <f t="shared" ca="1" si="9"/>
        <v>-5873.7523334641701</v>
      </c>
      <c r="M43" s="85">
        <f t="shared" ca="1" si="9"/>
        <v>-7150.0088520681093</v>
      </c>
      <c r="N43" s="85">
        <f t="shared" ca="1" si="9"/>
        <v>0</v>
      </c>
      <c r="O43" s="85">
        <f t="shared" ca="1" si="9"/>
        <v>-3590.6659746154769</v>
      </c>
      <c r="P43" s="85">
        <f t="shared" ca="1" si="9"/>
        <v>-5923.9239679791754</v>
      </c>
      <c r="Q43" s="85">
        <f t="shared" ca="1" si="9"/>
        <v>-7218.5297702337612</v>
      </c>
      <c r="R43" s="85">
        <f t="shared" ca="1" si="9"/>
        <v>0</v>
      </c>
      <c r="S43" s="85">
        <f t="shared" ca="1" si="9"/>
        <v>0</v>
      </c>
      <c r="T43" s="85">
        <f t="shared" ca="1" si="9"/>
        <v>-3618.3440248364714</v>
      </c>
      <c r="U43" s="85">
        <f t="shared" ca="1" si="9"/>
        <v>-13262.231499070833</v>
      </c>
      <c r="V43" s="85">
        <f t="shared" ca="1" si="9"/>
        <v>0</v>
      </c>
      <c r="W43" s="85">
        <f t="shared" ca="1" si="9"/>
        <v>0</v>
      </c>
      <c r="X43" s="85">
        <f t="shared" ca="1" si="9"/>
        <v>-3646.2354266945858</v>
      </c>
      <c r="Y43" s="85">
        <f t="shared" ca="1" si="9"/>
        <v>93974.443454330423</v>
      </c>
      <c r="Z43" s="85">
        <f t="shared" ca="1" si="9"/>
        <v>-7357.5478759424877</v>
      </c>
      <c r="AA43" s="85">
        <f t="shared" ca="1" si="9"/>
        <v>0</v>
      </c>
      <c r="AB43" s="85">
        <f t="shared" ca="1" si="9"/>
        <v>0</v>
      </c>
      <c r="AC43" s="85">
        <f t="shared" ca="1" si="9"/>
        <v>-10458.55534864853</v>
      </c>
      <c r="AD43" s="85">
        <f t="shared" ca="1" si="9"/>
        <v>-7428.0577097536025</v>
      </c>
      <c r="AE43" s="85">
        <f t="shared" ca="1" si="9"/>
        <v>0</v>
      </c>
      <c r="AF43" s="85">
        <f t="shared" ca="1" si="9"/>
        <v>0</v>
      </c>
      <c r="AG43" s="85">
        <f t="shared" ca="1" si="9"/>
        <v>-4415.3048051465548</v>
      </c>
      <c r="AH43" s="85">
        <f t="shared" ca="1" si="9"/>
        <v>-13628.176024487519</v>
      </c>
      <c r="AI43" s="85">
        <f t="shared" ca="1" si="9"/>
        <v>0</v>
      </c>
      <c r="AJ43" s="85">
        <f t="shared" ca="1" si="9"/>
        <v>0</v>
      </c>
      <c r="AK43" s="85">
        <f t="shared" ca="1" si="9"/>
        <v>-4449.3394463528921</v>
      </c>
      <c r="AL43" s="85">
        <f t="shared" ca="1" si="9"/>
        <v>-6181.2840623548109</v>
      </c>
      <c r="AM43" s="85">
        <f t="shared" ca="1" si="9"/>
        <v>-7571.1110107406275</v>
      </c>
      <c r="AN43" s="85">
        <f t="shared" ca="1" si="9"/>
        <v>0</v>
      </c>
      <c r="AO43" s="85">
        <f t="shared" ca="1" si="9"/>
        <v>0</v>
      </c>
      <c r="AP43" s="85">
        <f t="shared" ca="1" si="9"/>
        <v>-10717.718968305955</v>
      </c>
      <c r="AQ43" s="85">
        <f t="shared" ca="1" si="9"/>
        <v>-7643.6674912602248</v>
      </c>
      <c r="AR43" s="85">
        <f t="shared" ca="1" si="9"/>
        <v>0</v>
      </c>
      <c r="AS43" s="85">
        <f t="shared" ca="1" si="9"/>
        <v>0</v>
      </c>
      <c r="AT43" s="85">
        <f t="shared" ca="1" si="9"/>
        <v>-4518.1978021274854</v>
      </c>
      <c r="AU43" s="85">
        <f t="shared" ca="1" si="9"/>
        <v>233712.66801466551</v>
      </c>
      <c r="AV43" s="85">
        <f t="shared" ca="1" si="9"/>
        <v>-7716.9193047181343</v>
      </c>
      <c r="AW43" s="85">
        <f t="shared" ca="1" si="9"/>
        <v>0</v>
      </c>
      <c r="AX43" s="85">
        <f t="shared" ca="1" si="9"/>
        <v>-4553.0255768522175</v>
      </c>
      <c r="AY43" s="85">
        <f t="shared" ca="1" si="9"/>
        <v>-9240.5414534756856</v>
      </c>
      <c r="AZ43" s="85">
        <f t="shared" ca="1" si="9"/>
        <v>-7790.873114721684</v>
      </c>
      <c r="BA43" s="85">
        <f t="shared" ca="1" si="9"/>
        <v>0</v>
      </c>
      <c r="BB43" s="85">
        <f t="shared" ca="1" si="9"/>
        <v>0</v>
      </c>
      <c r="BC43" s="86">
        <f t="shared" ca="1" si="9"/>
        <v>-49409.306539516678</v>
      </c>
      <c r="BD43" s="86">
        <f t="shared" ca="1" si="9"/>
        <v>52947.63088957312</v>
      </c>
      <c r="BE43" s="86">
        <f t="shared" ca="1" si="9"/>
        <v>-54131.828407484529</v>
      </c>
      <c r="BF43" s="86">
        <f t="shared" ca="1" si="9"/>
        <v>181531.72430320413</v>
      </c>
      <c r="BG43" s="86">
        <f t="shared" ca="1" si="9"/>
        <v>130938.22024577604</v>
      </c>
    </row>
    <row r="44" spans="1:59" ht="16.149999999999999" customHeight="1" x14ac:dyDescent="0.3">
      <c r="B44" s="12" t="s">
        <v>74</v>
      </c>
      <c r="C44" s="51">
        <f t="shared" ref="C44:AH44" ca="1" si="10">SUM(C26,C31,C43)</f>
        <v>-105635.51355854653</v>
      </c>
      <c r="D44" s="51">
        <f t="shared" ca="1" si="10"/>
        <v>49117.237881677305</v>
      </c>
      <c r="E44" s="51">
        <f t="shared" ca="1" si="10"/>
        <v>50699.523809523787</v>
      </c>
      <c r="F44" s="51">
        <f t="shared" ca="1" si="10"/>
        <v>-22371.881904761889</v>
      </c>
      <c r="G44" s="51">
        <f t="shared" ca="1" si="10"/>
        <v>32269.160395977095</v>
      </c>
      <c r="H44" s="51">
        <f t="shared" ca="1" si="10"/>
        <v>-41074.299486393043</v>
      </c>
      <c r="I44" s="51">
        <f t="shared" ca="1" si="10"/>
        <v>49884.630952380961</v>
      </c>
      <c r="J44" s="51">
        <f t="shared" ca="1" si="10"/>
        <v>42982.840476190438</v>
      </c>
      <c r="K44" s="51">
        <f t="shared" ca="1" si="10"/>
        <v>-14200.08508021333</v>
      </c>
      <c r="L44" s="51">
        <f t="shared" ca="1" si="10"/>
        <v>-26634.238558546469</v>
      </c>
      <c r="M44" s="51">
        <f t="shared" ca="1" si="10"/>
        <v>24826.53550072488</v>
      </c>
      <c r="N44" s="51">
        <f t="shared" ca="1" si="10"/>
        <v>39297.571428571449</v>
      </c>
      <c r="O44" s="51">
        <f t="shared" ca="1" si="10"/>
        <v>-66039.09865164198</v>
      </c>
      <c r="P44" s="51">
        <f t="shared" ca="1" si="10"/>
        <v>-11845.577844260779</v>
      </c>
      <c r="Q44" s="51">
        <f t="shared" ca="1" si="10"/>
        <v>42520.535500724865</v>
      </c>
      <c r="R44" s="51">
        <f t="shared" ca="1" si="10"/>
        <v>26315.488095238114</v>
      </c>
      <c r="S44" s="51">
        <f t="shared" ca="1" si="10"/>
        <v>-19147.309523809497</v>
      </c>
      <c r="T44" s="51">
        <f t="shared" ca="1" si="10"/>
        <v>45802.694681691406</v>
      </c>
      <c r="U44" s="51">
        <f t="shared" ca="1" si="10"/>
        <v>-22584.159010202588</v>
      </c>
      <c r="V44" s="51">
        <f t="shared" ca="1" si="10"/>
        <v>49891.979761904797</v>
      </c>
      <c r="W44" s="51">
        <f t="shared" ca="1" si="10"/>
        <v>-7317.4321428571857</v>
      </c>
      <c r="X44" s="51">
        <f t="shared" ca="1" si="10"/>
        <v>-2909.6350802133584</v>
      </c>
      <c r="Y44" s="51">
        <f t="shared" ca="1" si="10"/>
        <v>99960.093584310685</v>
      </c>
      <c r="Z44" s="51">
        <f t="shared" ca="1" si="10"/>
        <v>34960.183119772519</v>
      </c>
      <c r="AA44" s="51">
        <f t="shared" ca="1" si="10"/>
        <v>39852.850000000049</v>
      </c>
      <c r="AB44" s="51">
        <f t="shared" ca="1" si="10"/>
        <v>-70025.970980164246</v>
      </c>
      <c r="AC44" s="51">
        <f t="shared" ca="1" si="10"/>
        <v>-21638.818511945421</v>
      </c>
      <c r="AD44" s="51">
        <f t="shared" ca="1" si="10"/>
        <v>23761.728357867694</v>
      </c>
      <c r="AE44" s="51">
        <f t="shared" ca="1" si="10"/>
        <v>38328.942857142858</v>
      </c>
      <c r="AF44" s="51">
        <f t="shared" ca="1" si="10"/>
        <v>3988.5750000000771</v>
      </c>
      <c r="AG44" s="51">
        <f t="shared" ca="1" si="10"/>
        <v>-15762.79876292279</v>
      </c>
      <c r="AH44" s="51">
        <f t="shared" ca="1" si="10"/>
        <v>-8650.1518673453484</v>
      </c>
      <c r="AI44" s="51">
        <f t="shared" ref="AI44:BG44" ca="1" si="11">SUM(AI26,AI31,AI43)</f>
        <v>59307.060714285653</v>
      </c>
      <c r="AJ44" s="51">
        <f t="shared" ca="1" si="11"/>
        <v>47121.464285714312</v>
      </c>
      <c r="AK44" s="51">
        <f t="shared" ca="1" si="11"/>
        <v>-9918.6082867322657</v>
      </c>
      <c r="AL44" s="51">
        <f t="shared" ca="1" si="11"/>
        <v>-1277.2635585464468</v>
      </c>
      <c r="AM44" s="51">
        <f t="shared" ca="1" si="11"/>
        <v>29253.206929296321</v>
      </c>
      <c r="AN44" s="51">
        <f t="shared" ca="1" si="11"/>
        <v>57016.833333333285</v>
      </c>
      <c r="AO44" s="51">
        <f t="shared" ca="1" si="11"/>
        <v>-63831.639285714235</v>
      </c>
      <c r="AP44" s="51">
        <f t="shared" ca="1" si="11"/>
        <v>53565.366249959334</v>
      </c>
      <c r="AQ44" s="51">
        <f t="shared" ca="1" si="11"/>
        <v>11441.885500724937</v>
      </c>
      <c r="AR44" s="51">
        <f t="shared" ca="1" si="11"/>
        <v>22500.157142857097</v>
      </c>
      <c r="AS44" s="51">
        <f t="shared" ca="1" si="11"/>
        <v>17355.214285714203</v>
      </c>
      <c r="AT44" s="51">
        <f t="shared" ca="1" si="11"/>
        <v>68723.546475172639</v>
      </c>
      <c r="AU44" s="51">
        <f t="shared" ca="1" si="11"/>
        <v>4219.6912033581757</v>
      </c>
      <c r="AV44" s="51">
        <f t="shared" ca="1" si="11"/>
        <v>45479.315500724937</v>
      </c>
      <c r="AW44" s="51">
        <f t="shared" ca="1" si="11"/>
        <v>10050.502380952472</v>
      </c>
      <c r="AX44" s="51">
        <f t="shared" ca="1" si="11"/>
        <v>-114402.31685816089</v>
      </c>
      <c r="AY44" s="51">
        <f t="shared" ca="1" si="11"/>
        <v>-53015.610399312951</v>
      </c>
      <c r="AZ44" s="51">
        <f t="shared" ca="1" si="11"/>
        <v>15647.632643582028</v>
      </c>
      <c r="BA44" s="51">
        <f t="shared" ca="1" si="11"/>
        <v>50351.803809523757</v>
      </c>
      <c r="BB44" s="51">
        <f t="shared" ca="1" si="11"/>
        <v>19561.756120304737</v>
      </c>
      <c r="BC44" s="52">
        <f t="shared" ca="1" si="11"/>
        <v>13122.383204942656</v>
      </c>
      <c r="BD44" s="52">
        <f t="shared" ca="1" si="11"/>
        <v>205473.74016213475</v>
      </c>
      <c r="BE44" s="52">
        <f t="shared" ca="1" si="11"/>
        <v>137698.5312044337</v>
      </c>
      <c r="BF44" s="52">
        <f t="shared" ca="1" si="11"/>
        <v>151478.94405540047</v>
      </c>
      <c r="BG44" s="52">
        <f t="shared" ca="1" si="11"/>
        <v>507773.5986269117</v>
      </c>
    </row>
    <row r="45" spans="1:59" ht="16.149999999999999" customHeight="1" x14ac:dyDescent="0.3">
      <c r="B45" s="12" t="s">
        <v>75</v>
      </c>
      <c r="C45" s="51">
        <f ca="1">OFFSET(BalanceSheet!$B$16,0,COLUMN(C$4)-COLUMN($B$4),1,1)-OFFSET(BalanceSheet!$B$32,0,COLUMN(C$4)-COLUMN($B$4),1,1)</f>
        <v>171000</v>
      </c>
      <c r="D45" s="51">
        <f ca="1">OFFSET(BalanceSheet!$B$16,0,COLUMN(D$4)-COLUMN($B$4),1,1)-OFFSET(BalanceSheet!$B$32,0,COLUMN(D$4)-COLUMN($B$4),1,1)</f>
        <v>65364.486441453468</v>
      </c>
      <c r="E45" s="51">
        <f ca="1">OFFSET(BalanceSheet!$B$16,0,COLUMN(E$4)-COLUMN($B$4),1,1)-OFFSET(BalanceSheet!$B$32,0,COLUMN(E$4)-COLUMN($B$4),1,1)</f>
        <v>114481.72432313077</v>
      </c>
      <c r="F45" s="51">
        <f ca="1">OFFSET(BalanceSheet!$B$16,0,COLUMN(F$4)-COLUMN($B$4),1,1)-OFFSET(BalanceSheet!$B$32,0,COLUMN(F$4)-COLUMN($B$4),1,1)</f>
        <v>165181.24813265455</v>
      </c>
      <c r="G45" s="51">
        <f ca="1">OFFSET(BalanceSheet!$B$16,0,COLUMN(G$4)-COLUMN($B$4),1,1)-OFFSET(BalanceSheet!$B$32,0,COLUMN(G$4)-COLUMN($B$4),1,1)</f>
        <v>142809.36622789266</v>
      </c>
      <c r="H45" s="51">
        <f ca="1">OFFSET(BalanceSheet!$B$16,0,COLUMN(H$4)-COLUMN($B$4),1,1)-OFFSET(BalanceSheet!$B$32,0,COLUMN(H$4)-COLUMN($B$4),1,1)</f>
        <v>175078.52662386975</v>
      </c>
      <c r="I45" s="51">
        <f ca="1">OFFSET(BalanceSheet!$B$16,0,COLUMN(I$4)-COLUMN($B$4),1,1)-OFFSET(BalanceSheet!$B$32,0,COLUMN(I$4)-COLUMN($B$4),1,1)</f>
        <v>134004.2271374767</v>
      </c>
      <c r="J45" s="51">
        <f ca="1">OFFSET(BalanceSheet!$B$16,0,COLUMN(J$4)-COLUMN($B$4),1,1)-OFFSET(BalanceSheet!$B$32,0,COLUMN(J$4)-COLUMN($B$4),1,1)</f>
        <v>183888.85808985768</v>
      </c>
      <c r="K45" s="51">
        <f ca="1">OFFSET(BalanceSheet!$B$16,0,COLUMN(K$4)-COLUMN($B$4),1,1)-OFFSET(BalanceSheet!$B$32,0,COLUMN(K$4)-COLUMN($B$4),1,1)</f>
        <v>226871.69856604812</v>
      </c>
      <c r="L45" s="51">
        <f ca="1">OFFSET(BalanceSheet!$B$16,0,COLUMN(L$4)-COLUMN($B$4),1,1)-OFFSET(BalanceSheet!$B$32,0,COLUMN(L$4)-COLUMN($B$4),1,1)</f>
        <v>212671.61348583479</v>
      </c>
      <c r="M45" s="51">
        <f ca="1">OFFSET(BalanceSheet!$B$16,0,COLUMN(M$4)-COLUMN($B$4),1,1)-OFFSET(BalanceSheet!$B$32,0,COLUMN(M$4)-COLUMN($B$4),1,1)</f>
        <v>186037.37492728833</v>
      </c>
      <c r="N45" s="51">
        <f ca="1">OFFSET(BalanceSheet!$B$16,0,COLUMN(N$4)-COLUMN($B$4),1,1)-OFFSET(BalanceSheet!$B$32,0,COLUMN(N$4)-COLUMN($B$4),1,1)</f>
        <v>210863.91042801322</v>
      </c>
      <c r="O45" s="51">
        <f ca="1">OFFSET(BalanceSheet!$B$16,0,COLUMN(O$4)-COLUMN($B$4),1,1)-OFFSET(BalanceSheet!$B$32,0,COLUMN(O$4)-COLUMN($B$4),1,1)</f>
        <v>250161.48185658467</v>
      </c>
      <c r="P45" s="51">
        <f ca="1">OFFSET(BalanceSheet!$B$16,0,COLUMN(P$4)-COLUMN($B$4),1,1)-OFFSET(BalanceSheet!$B$32,0,COLUMN(P$4)-COLUMN($B$4),1,1)</f>
        <v>184122.38320494269</v>
      </c>
      <c r="Q45" s="51">
        <f ca="1">OFFSET(BalanceSheet!$B$16,0,COLUMN(Q$4)-COLUMN($B$4),1,1)-OFFSET(BalanceSheet!$B$32,0,COLUMN(Q$4)-COLUMN($B$4),1,1)</f>
        <v>172276.8053606819</v>
      </c>
      <c r="R45" s="51">
        <f ca="1">OFFSET(BalanceSheet!$B$16,0,COLUMN(R$4)-COLUMN($B$4),1,1)-OFFSET(BalanceSheet!$B$32,0,COLUMN(R$4)-COLUMN($B$4),1,1)</f>
        <v>214797.34086140676</v>
      </c>
      <c r="S45" s="51">
        <f ca="1">OFFSET(BalanceSheet!$B$16,0,COLUMN(S$4)-COLUMN($B$4),1,1)-OFFSET(BalanceSheet!$B$32,0,COLUMN(S$4)-COLUMN($B$4),1,1)</f>
        <v>241112.82895664487</v>
      </c>
      <c r="T45" s="51">
        <f ca="1">OFFSET(BalanceSheet!$B$16,0,COLUMN(T$4)-COLUMN($B$4),1,1)-OFFSET(BalanceSheet!$B$32,0,COLUMN(T$4)-COLUMN($B$4),1,1)</f>
        <v>221965.51943283537</v>
      </c>
      <c r="U45" s="51">
        <f ca="1">OFFSET(BalanceSheet!$B$16,0,COLUMN(U$4)-COLUMN($B$4),1,1)-OFFSET(BalanceSheet!$B$32,0,COLUMN(U$4)-COLUMN($B$4),1,1)</f>
        <v>267768.21411452675</v>
      </c>
      <c r="V45" s="51">
        <f ca="1">OFFSET(BalanceSheet!$B$16,0,COLUMN(V$4)-COLUMN($B$4),1,1)-OFFSET(BalanceSheet!$B$32,0,COLUMN(V$4)-COLUMN($B$4),1,1)</f>
        <v>245184.05510432416</v>
      </c>
      <c r="W45" s="51">
        <f ca="1">OFFSET(BalanceSheet!$B$16,0,COLUMN(W$4)-COLUMN($B$4),1,1)-OFFSET(BalanceSheet!$B$32,0,COLUMN(W$4)-COLUMN($B$4),1,1)</f>
        <v>295076.03486622893</v>
      </c>
      <c r="X45" s="51">
        <f ca="1">OFFSET(BalanceSheet!$B$16,0,COLUMN(X$4)-COLUMN($B$4),1,1)-OFFSET(BalanceSheet!$B$32,0,COLUMN(X$4)-COLUMN($B$4),1,1)</f>
        <v>287758.60272337176</v>
      </c>
      <c r="Y45" s="51">
        <f ca="1">OFFSET(BalanceSheet!$B$16,0,COLUMN(Y$4)-COLUMN($B$4),1,1)-OFFSET(BalanceSheet!$B$32,0,COLUMN(Y$4)-COLUMN($B$4),1,1)</f>
        <v>284848.96764315839</v>
      </c>
      <c r="Z45" s="51">
        <f ca="1">OFFSET(BalanceSheet!$B$16,0,COLUMN(Z$4)-COLUMN($B$4),1,1)-OFFSET(BalanceSheet!$B$32,0,COLUMN(Z$4)-COLUMN($B$4),1,1)</f>
        <v>384809.06122746906</v>
      </c>
      <c r="AA45" s="51">
        <f ca="1">OFFSET(BalanceSheet!$B$16,0,COLUMN(AA$4)-COLUMN($B$4),1,1)-OFFSET(BalanceSheet!$B$32,0,COLUMN(AA$4)-COLUMN($B$4),1,1)</f>
        <v>419769.24434724159</v>
      </c>
      <c r="AB45" s="51">
        <f ca="1">OFFSET(BalanceSheet!$B$16,0,COLUMN(AB$4)-COLUMN($B$4),1,1)-OFFSET(BalanceSheet!$B$32,0,COLUMN(AB$4)-COLUMN($B$4),1,1)</f>
        <v>459622.09434724163</v>
      </c>
      <c r="AC45" s="51">
        <f ca="1">OFFSET(BalanceSheet!$B$16,0,COLUMN(AC$4)-COLUMN($B$4),1,1)-OFFSET(BalanceSheet!$B$32,0,COLUMN(AC$4)-COLUMN($B$4),1,1)</f>
        <v>389596.12336707738</v>
      </c>
      <c r="AD45" s="51">
        <f ca="1">OFFSET(BalanceSheet!$B$16,0,COLUMN(AD$4)-COLUMN($B$4),1,1)-OFFSET(BalanceSheet!$B$32,0,COLUMN(AD$4)-COLUMN($B$4),1,1)</f>
        <v>367957.30485513195</v>
      </c>
      <c r="AE45" s="51">
        <f ca="1">OFFSET(BalanceSheet!$B$16,0,COLUMN(AE$4)-COLUMN($B$4),1,1)-OFFSET(BalanceSheet!$B$32,0,COLUMN(AE$4)-COLUMN($B$4),1,1)</f>
        <v>391719.03321299964</v>
      </c>
      <c r="AF45" s="51">
        <f ca="1">OFFSET(BalanceSheet!$B$16,0,COLUMN(AF$4)-COLUMN($B$4),1,1)-OFFSET(BalanceSheet!$B$32,0,COLUMN(AF$4)-COLUMN($B$4),1,1)</f>
        <v>430047.97607014247</v>
      </c>
      <c r="AG45" s="51">
        <f ca="1">OFFSET(BalanceSheet!$B$16,0,COLUMN(AG$4)-COLUMN($B$4),1,1)-OFFSET(BalanceSheet!$B$32,0,COLUMN(AG$4)-COLUMN($B$4),1,1)</f>
        <v>434036.55107014254</v>
      </c>
      <c r="AH45" s="51">
        <f ca="1">OFFSET(BalanceSheet!$B$16,0,COLUMN(AH$4)-COLUMN($B$4),1,1)-OFFSET(BalanceSheet!$B$32,0,COLUMN(AH$4)-COLUMN($B$4),1,1)</f>
        <v>418273.75230721972</v>
      </c>
      <c r="AI45" s="51">
        <f ca="1">OFFSET(BalanceSheet!$B$16,0,COLUMN(AI$4)-COLUMN($B$4),1,1)-OFFSET(BalanceSheet!$B$32,0,COLUMN(AI$4)-COLUMN($B$4),1,1)</f>
        <v>409623.6004398744</v>
      </c>
      <c r="AJ45" s="51">
        <f ca="1">OFFSET(BalanceSheet!$B$16,0,COLUMN(AJ$4)-COLUMN($B$4),1,1)-OFFSET(BalanceSheet!$B$32,0,COLUMN(AJ$4)-COLUMN($B$4),1,1)</f>
        <v>468930.66115416004</v>
      </c>
      <c r="AK45" s="51">
        <f ca="1">OFFSET(BalanceSheet!$B$16,0,COLUMN(AK$4)-COLUMN($B$4),1,1)-OFFSET(BalanceSheet!$B$32,0,COLUMN(AK$4)-COLUMN($B$4),1,1)</f>
        <v>516052.12543987436</v>
      </c>
      <c r="AL45" s="51">
        <f ca="1">OFFSET(BalanceSheet!$B$16,0,COLUMN(AL$4)-COLUMN($B$4),1,1)-OFFSET(BalanceSheet!$B$32,0,COLUMN(AL$4)-COLUMN($B$4),1,1)</f>
        <v>506133.51715314208</v>
      </c>
      <c r="AM45" s="51">
        <f ca="1">OFFSET(BalanceSheet!$B$16,0,COLUMN(AM$4)-COLUMN($B$4),1,1)-OFFSET(BalanceSheet!$B$32,0,COLUMN(AM$4)-COLUMN($B$4),1,1)</f>
        <v>504856.25359459565</v>
      </c>
      <c r="AN45" s="51">
        <f ca="1">OFFSET(BalanceSheet!$B$16,0,COLUMN(AN$4)-COLUMN($B$4),1,1)-OFFSET(BalanceSheet!$B$32,0,COLUMN(AN$4)-COLUMN($B$4),1,1)</f>
        <v>534109.46052389196</v>
      </c>
      <c r="AO45" s="51">
        <f ca="1">OFFSET(BalanceSheet!$B$16,0,COLUMN(AO$4)-COLUMN($B$4),1,1)-OFFSET(BalanceSheet!$B$32,0,COLUMN(AO$4)-COLUMN($B$4),1,1)</f>
        <v>591126.29385722522</v>
      </c>
      <c r="AP45" s="51">
        <f ca="1">OFFSET(BalanceSheet!$B$16,0,COLUMN(AP$4)-COLUMN($B$4),1,1)-OFFSET(BalanceSheet!$B$32,0,COLUMN(AP$4)-COLUMN($B$4),1,1)</f>
        <v>527294.65457151097</v>
      </c>
      <c r="AQ45" s="51">
        <f ca="1">OFFSET(BalanceSheet!$B$16,0,COLUMN(AQ$4)-COLUMN($B$4),1,1)-OFFSET(BalanceSheet!$B$32,0,COLUMN(AQ$4)-COLUMN($B$4),1,1)</f>
        <v>580860.0208214703</v>
      </c>
      <c r="AR45" s="51">
        <f ca="1">OFFSET(BalanceSheet!$B$16,0,COLUMN(AR$4)-COLUMN($B$4),1,1)-OFFSET(BalanceSheet!$B$32,0,COLUMN(AR$4)-COLUMN($B$4),1,1)</f>
        <v>592301.90632219519</v>
      </c>
      <c r="AS45" s="51">
        <f ca="1">OFFSET(BalanceSheet!$B$16,0,COLUMN(AS$4)-COLUMN($B$4),1,1)-OFFSET(BalanceSheet!$B$32,0,COLUMN(AS$4)-COLUMN($B$4),1,1)</f>
        <v>614802.06346505228</v>
      </c>
      <c r="AT45" s="51">
        <f ca="1">OFFSET(BalanceSheet!$B$16,0,COLUMN(AT$4)-COLUMN($B$4),1,1)-OFFSET(BalanceSheet!$B$32,0,COLUMN(AT$4)-COLUMN($B$4),1,1)</f>
        <v>632157.27775076649</v>
      </c>
      <c r="AU45" s="51">
        <f ca="1">OFFSET(BalanceSheet!$B$16,0,COLUMN(AU$4)-COLUMN($B$4),1,1)-OFFSET(BalanceSheet!$B$32,0,COLUMN(AU$4)-COLUMN($B$4),1,1)</f>
        <v>700880.82422593911</v>
      </c>
      <c r="AV45" s="51">
        <f ca="1">OFFSET(BalanceSheet!$B$16,0,COLUMN(AV$4)-COLUMN($B$4),1,1)-OFFSET(BalanceSheet!$B$32,0,COLUMN(AV$4)-COLUMN($B$4),1,1)</f>
        <v>705100.51542929723</v>
      </c>
      <c r="AW45" s="51">
        <f ca="1">OFFSET(BalanceSheet!$B$16,0,COLUMN(AW$4)-COLUMN($B$4),1,1)-OFFSET(BalanceSheet!$B$32,0,COLUMN(AW$4)-COLUMN($B$4),1,1)</f>
        <v>750579.83093002217</v>
      </c>
      <c r="AX45" s="51">
        <f ca="1">OFFSET(BalanceSheet!$B$16,0,COLUMN(AX$4)-COLUMN($B$4),1,1)-OFFSET(BalanceSheet!$B$32,0,COLUMN(AX$4)-COLUMN($B$4),1,1)</f>
        <v>760630.33331097465</v>
      </c>
      <c r="AY45" s="51">
        <f ca="1">OFFSET(BalanceSheet!$B$16,0,COLUMN(AY$4)-COLUMN($B$4),1,1)-OFFSET(BalanceSheet!$B$32,0,COLUMN(AY$4)-COLUMN($B$4),1,1)</f>
        <v>646228.01645281375</v>
      </c>
      <c r="AZ45" s="51">
        <f ca="1">OFFSET(BalanceSheet!$B$16,0,COLUMN(AZ$4)-COLUMN($B$4),1,1)-OFFSET(BalanceSheet!$B$32,0,COLUMN(AZ$4)-COLUMN($B$4),1,1)</f>
        <v>593212.40605350083</v>
      </c>
      <c r="BA45" s="51">
        <f ca="1">OFFSET(BalanceSheet!$B$16,0,COLUMN(BA$4)-COLUMN($B$4),1,1)-OFFSET(BalanceSheet!$B$32,0,COLUMN(BA$4)-COLUMN($B$4),1,1)</f>
        <v>608860.0386970829</v>
      </c>
      <c r="BB45" s="51">
        <f ca="1">OFFSET(BalanceSheet!$B$16,0,COLUMN(BB$4)-COLUMN($B$4),1,1)-OFFSET(BalanceSheet!$B$32,0,COLUMN(BB$4)-COLUMN($B$4),1,1)</f>
        <v>659211.8425066066</v>
      </c>
      <c r="BC45" s="52">
        <f ca="1">OFFSET($B$45,0,1,1,1)</f>
        <v>171000</v>
      </c>
      <c r="BD45" s="52">
        <f ca="1">BC46</f>
        <v>184122.38320494266</v>
      </c>
      <c r="BE45" s="52">
        <f ca="1">BD46</f>
        <v>389596.12336707744</v>
      </c>
      <c r="BF45" s="52">
        <f ca="1">BE46</f>
        <v>527294.65457151108</v>
      </c>
      <c r="BG45" s="52">
        <f ca="1">OFFSET($B$45,0,1,1,1)</f>
        <v>171000</v>
      </c>
    </row>
    <row r="46" spans="1:59" ht="16.149999999999999" customHeight="1" thickBot="1" x14ac:dyDescent="0.35">
      <c r="B46" s="2" t="s">
        <v>76</v>
      </c>
      <c r="C46" s="88">
        <f t="shared" ref="C46:AH46" ca="1" si="12">SUM(C44,C45)</f>
        <v>65364.486441453468</v>
      </c>
      <c r="D46" s="88">
        <f t="shared" ca="1" si="12"/>
        <v>114481.72432313077</v>
      </c>
      <c r="E46" s="88">
        <f t="shared" ca="1" si="12"/>
        <v>165181.24813265455</v>
      </c>
      <c r="F46" s="88">
        <f t="shared" ca="1" si="12"/>
        <v>142809.36622789266</v>
      </c>
      <c r="G46" s="88">
        <f t="shared" ca="1" si="12"/>
        <v>175078.52662386975</v>
      </c>
      <c r="H46" s="88">
        <f t="shared" ca="1" si="12"/>
        <v>134004.2271374767</v>
      </c>
      <c r="I46" s="88">
        <f t="shared" ca="1" si="12"/>
        <v>183888.85808985768</v>
      </c>
      <c r="J46" s="88">
        <f t="shared" ca="1" si="12"/>
        <v>226871.69856604812</v>
      </c>
      <c r="K46" s="88">
        <f t="shared" ca="1" si="12"/>
        <v>212671.61348583479</v>
      </c>
      <c r="L46" s="88">
        <f t="shared" ca="1" si="12"/>
        <v>186037.37492728833</v>
      </c>
      <c r="M46" s="88">
        <f t="shared" ca="1" si="12"/>
        <v>210863.91042801322</v>
      </c>
      <c r="N46" s="88">
        <f t="shared" ca="1" si="12"/>
        <v>250161.48185658467</v>
      </c>
      <c r="O46" s="88">
        <f t="shared" ca="1" si="12"/>
        <v>184122.38320494269</v>
      </c>
      <c r="P46" s="88">
        <f t="shared" ca="1" si="12"/>
        <v>172276.8053606819</v>
      </c>
      <c r="Q46" s="88">
        <f t="shared" ca="1" si="12"/>
        <v>214797.34086140676</v>
      </c>
      <c r="R46" s="88">
        <f t="shared" ca="1" si="12"/>
        <v>241112.82895664487</v>
      </c>
      <c r="S46" s="88">
        <f t="shared" ca="1" si="12"/>
        <v>221965.51943283537</v>
      </c>
      <c r="T46" s="88">
        <f t="shared" ca="1" si="12"/>
        <v>267768.21411452675</v>
      </c>
      <c r="U46" s="88">
        <f t="shared" ca="1" si="12"/>
        <v>245184.05510432416</v>
      </c>
      <c r="V46" s="88">
        <f t="shared" ca="1" si="12"/>
        <v>295076.03486622893</v>
      </c>
      <c r="W46" s="88">
        <f t="shared" ca="1" si="12"/>
        <v>287758.60272337176</v>
      </c>
      <c r="X46" s="88">
        <f t="shared" ca="1" si="12"/>
        <v>284848.96764315839</v>
      </c>
      <c r="Y46" s="88">
        <f t="shared" ca="1" si="12"/>
        <v>384809.06122746906</v>
      </c>
      <c r="Z46" s="88">
        <f t="shared" ca="1" si="12"/>
        <v>419769.24434724159</v>
      </c>
      <c r="AA46" s="88">
        <f t="shared" ca="1" si="12"/>
        <v>459622.09434724163</v>
      </c>
      <c r="AB46" s="88">
        <f t="shared" ca="1" si="12"/>
        <v>389596.12336707738</v>
      </c>
      <c r="AC46" s="88">
        <f t="shared" ca="1" si="12"/>
        <v>367957.30485513195</v>
      </c>
      <c r="AD46" s="88">
        <f t="shared" ca="1" si="12"/>
        <v>391719.03321299964</v>
      </c>
      <c r="AE46" s="88">
        <f t="shared" ca="1" si="12"/>
        <v>430047.97607014247</v>
      </c>
      <c r="AF46" s="88">
        <f t="shared" ca="1" si="12"/>
        <v>434036.55107014254</v>
      </c>
      <c r="AG46" s="88">
        <f t="shared" ca="1" si="12"/>
        <v>418273.75230721972</v>
      </c>
      <c r="AH46" s="88">
        <f t="shared" ca="1" si="12"/>
        <v>409623.6004398744</v>
      </c>
      <c r="AI46" s="88">
        <f t="shared" ref="AI46:BG46" ca="1" si="13">SUM(AI44,AI45)</f>
        <v>468930.66115416004</v>
      </c>
      <c r="AJ46" s="88">
        <f t="shared" ca="1" si="13"/>
        <v>516052.12543987436</v>
      </c>
      <c r="AK46" s="88">
        <f t="shared" ca="1" si="13"/>
        <v>506133.51715314208</v>
      </c>
      <c r="AL46" s="88">
        <f t="shared" ca="1" si="13"/>
        <v>504856.25359459565</v>
      </c>
      <c r="AM46" s="88">
        <f t="shared" ca="1" si="13"/>
        <v>534109.46052389196</v>
      </c>
      <c r="AN46" s="88">
        <f t="shared" ca="1" si="13"/>
        <v>591126.29385722522</v>
      </c>
      <c r="AO46" s="88">
        <f t="shared" ca="1" si="13"/>
        <v>527294.65457151097</v>
      </c>
      <c r="AP46" s="88">
        <f t="shared" ca="1" si="13"/>
        <v>580860.0208214703</v>
      </c>
      <c r="AQ46" s="88">
        <f t="shared" ca="1" si="13"/>
        <v>592301.90632219519</v>
      </c>
      <c r="AR46" s="88">
        <f t="shared" ca="1" si="13"/>
        <v>614802.06346505228</v>
      </c>
      <c r="AS46" s="88">
        <f t="shared" ca="1" si="13"/>
        <v>632157.27775076649</v>
      </c>
      <c r="AT46" s="88">
        <f t="shared" ca="1" si="13"/>
        <v>700880.82422593911</v>
      </c>
      <c r="AU46" s="88">
        <f t="shared" ca="1" si="13"/>
        <v>705100.51542929723</v>
      </c>
      <c r="AV46" s="88">
        <f t="shared" ca="1" si="13"/>
        <v>750579.83093002217</v>
      </c>
      <c r="AW46" s="88">
        <f t="shared" ca="1" si="13"/>
        <v>760630.33331097465</v>
      </c>
      <c r="AX46" s="88">
        <f t="shared" ca="1" si="13"/>
        <v>646228.01645281375</v>
      </c>
      <c r="AY46" s="88">
        <f t="shared" ca="1" si="13"/>
        <v>593212.40605350083</v>
      </c>
      <c r="AZ46" s="88">
        <f t="shared" ca="1" si="13"/>
        <v>608860.0386970829</v>
      </c>
      <c r="BA46" s="88">
        <f t="shared" ca="1" si="13"/>
        <v>659211.8425066066</v>
      </c>
      <c r="BB46" s="88">
        <f t="shared" ca="1" si="13"/>
        <v>678773.59862691129</v>
      </c>
      <c r="BC46" s="88">
        <f t="shared" ca="1" si="13"/>
        <v>184122.38320494266</v>
      </c>
      <c r="BD46" s="88">
        <f t="shared" ca="1" si="13"/>
        <v>389596.12336707744</v>
      </c>
      <c r="BE46" s="88">
        <f t="shared" ca="1" si="13"/>
        <v>527294.65457151108</v>
      </c>
      <c r="BF46" s="88">
        <f t="shared" ca="1" si="13"/>
        <v>678773.59862691152</v>
      </c>
      <c r="BG46" s="88">
        <f t="shared" ca="1" si="13"/>
        <v>678773.59862691164</v>
      </c>
    </row>
    <row r="47" spans="1:59" ht="16.149999999999999" customHeight="1" thickTop="1" x14ac:dyDescent="0.3"/>
  </sheetData>
  <pageMargins left="0.59055118110236227" right="0.59055118110236227" top="0.59055118110236227" bottom="0.59055118110236227" header="0.39370078740157483" footer="0.39370078740157483"/>
  <pageSetup paperSize="9" scale="69" fitToWidth="0" orientation="landscape"/>
  <headerFooter>
    <oddFooter>&amp;C&amp;9Page &amp;P of &amp;N</oddFooter>
  </headerFooter>
  <colBreaks count="4" manualBreakCount="4">
    <brk id="15" max="33" man="1"/>
    <brk id="28" max="33" man="1"/>
    <brk id="41" max="33" man="1"/>
    <brk id="54" max="33" man="1"/>
  </colBreaks>
  <ignoredErrors>
    <ignoredError sqref="BC23:BG23" formula="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H79"/>
  <sheetViews>
    <sheetView zoomScale="95" zoomScaleNormal="95" workbookViewId="0">
      <pane xSplit="2" ySplit="4" topLeftCell="C5" activePane="bottomRight" state="frozen"/>
      <selection pane="topRight" activeCell="C1" sqref="C1"/>
      <selection pane="bottomLeft" activeCell="A5" sqref="A5"/>
      <selection pane="bottomRight" activeCell="B4" sqref="B4"/>
    </sheetView>
  </sheetViews>
  <sheetFormatPr defaultColWidth="9.140625" defaultRowHeight="16.149999999999999" customHeight="1" x14ac:dyDescent="0.3"/>
  <cols>
    <col min="1" max="1" width="5.7109375" style="164" customWidth="1"/>
    <col min="2" max="2" width="38.140625" style="12" customWidth="1"/>
    <col min="3" max="9" width="12.7109375" style="16" customWidth="1"/>
    <col min="10" max="55" width="12.7109375" style="5" customWidth="1"/>
    <col min="56" max="60" width="14.7109375" style="10" customWidth="1"/>
    <col min="61" max="77" width="9.140625" style="5" customWidth="1"/>
    <col min="78" max="16384" width="9.140625" style="5"/>
  </cols>
  <sheetData>
    <row r="1" spans="1:60" ht="16.149999999999999" customHeight="1" x14ac:dyDescent="0.3">
      <c r="B1" s="163" t="str">
        <f>IF(ISBLANK(Assumptions!$C$4),"Example Limited",Assumptions!$C$4)</f>
        <v>Example (Pty) Limited</v>
      </c>
      <c r="C1" s="3"/>
      <c r="Q1" s="89"/>
      <c r="AD1" s="89"/>
      <c r="AQ1" s="89"/>
    </row>
    <row r="2" spans="1:60" ht="16.149999999999999" customHeight="1" x14ac:dyDescent="0.3">
      <c r="B2" s="6" t="s">
        <v>60</v>
      </c>
      <c r="C2" s="3"/>
    </row>
    <row r="3" spans="1:60" s="19" customFormat="1" ht="16.149999999999999" customHeight="1" x14ac:dyDescent="0.25">
      <c r="A3" s="180"/>
      <c r="B3" s="73" t="s">
        <v>50</v>
      </c>
      <c r="C3" s="25" t="s">
        <v>97</v>
      </c>
      <c r="D3" s="25" t="str">
        <f>IF(COLUMN(D4)-3&lt;=Assumptions!$C$8,"Q1",IF(COLUMN(D4)-3&lt;=SUM(Assumptions!$C$8:$C$9),"Q2",IF(COLUMN(D4)-3&lt;=SUM(Assumptions!$C$8:$C$10),"Q3","Q4")))</f>
        <v>Q1</v>
      </c>
      <c r="E3" s="25" t="str">
        <f>IF(COLUMN(E4)-3&lt;=Assumptions!$C$8,"Q1",IF(COLUMN(E4)-3&lt;=SUM(Assumptions!$C$8:$C$9),"Q2",IF(COLUMN(E4)-3&lt;=SUM(Assumptions!$C$8:$C$10),"Q3","Q4")))</f>
        <v>Q1</v>
      </c>
      <c r="F3" s="25" t="str">
        <f>IF(COLUMN(F4)-3&lt;=Assumptions!$C$8,"Q1",IF(COLUMN(F4)-3&lt;=SUM(Assumptions!$C$8:$C$9),"Q2",IF(COLUMN(F4)-3&lt;=SUM(Assumptions!$C$8:$C$10),"Q3","Q4")))</f>
        <v>Q1</v>
      </c>
      <c r="G3" s="25" t="str">
        <f>IF(COLUMN(G4)-3&lt;=Assumptions!$C$8,"Q1",IF(COLUMN(G4)-3&lt;=SUM(Assumptions!$C$8:$C$9),"Q2",IF(COLUMN(G4)-3&lt;=SUM(Assumptions!$C$8:$C$10),"Q3","Q4")))</f>
        <v>Q1</v>
      </c>
      <c r="H3" s="25" t="str">
        <f>IF(COLUMN(H4)-3&lt;=Assumptions!$C$8,"Q1",IF(COLUMN(H4)-3&lt;=SUM(Assumptions!$C$8:$C$9),"Q2",IF(COLUMN(H4)-3&lt;=SUM(Assumptions!$C$8:$C$10),"Q3","Q4")))</f>
        <v>Q1</v>
      </c>
      <c r="I3" s="25" t="str">
        <f>IF(COLUMN(I4)-3&lt;=Assumptions!$C$8,"Q1",IF(COLUMN(I4)-3&lt;=SUM(Assumptions!$C$8:$C$9),"Q2",IF(COLUMN(I4)-3&lt;=SUM(Assumptions!$C$8:$C$10),"Q3","Q4")))</f>
        <v>Q1</v>
      </c>
      <c r="J3" s="25" t="str">
        <f>IF(COLUMN(J4)-3&lt;=Assumptions!$C$8,"Q1",IF(COLUMN(J4)-3&lt;=SUM(Assumptions!$C$8:$C$9),"Q2",IF(COLUMN(J4)-3&lt;=SUM(Assumptions!$C$8:$C$10),"Q3","Q4")))</f>
        <v>Q1</v>
      </c>
      <c r="K3" s="25" t="str">
        <f>IF(COLUMN(K4)-3&lt;=Assumptions!$C$8,"Q1",IF(COLUMN(K4)-3&lt;=SUM(Assumptions!$C$8:$C$9),"Q2",IF(COLUMN(K4)-3&lt;=SUM(Assumptions!$C$8:$C$10),"Q3","Q4")))</f>
        <v>Q1</v>
      </c>
      <c r="L3" s="25" t="str">
        <f>IF(COLUMN(L4)-3&lt;=Assumptions!$C$8,"Q1",IF(COLUMN(L4)-3&lt;=SUM(Assumptions!$C$8:$C$9),"Q2",IF(COLUMN(L4)-3&lt;=SUM(Assumptions!$C$8:$C$10),"Q3","Q4")))</f>
        <v>Q1</v>
      </c>
      <c r="M3" s="25" t="str">
        <f>IF(COLUMN(M4)-3&lt;=Assumptions!$C$8,"Q1",IF(COLUMN(M4)-3&lt;=SUM(Assumptions!$C$8:$C$9),"Q2",IF(COLUMN(M4)-3&lt;=SUM(Assumptions!$C$8:$C$10),"Q3","Q4")))</f>
        <v>Q1</v>
      </c>
      <c r="N3" s="25" t="str">
        <f>IF(COLUMN(N4)-3&lt;=Assumptions!$C$8,"Q1",IF(COLUMN(N4)-3&lt;=SUM(Assumptions!$C$8:$C$9),"Q2",IF(COLUMN(N4)-3&lt;=SUM(Assumptions!$C$8:$C$10),"Q3","Q4")))</f>
        <v>Q1</v>
      </c>
      <c r="O3" s="25" t="str">
        <f>IF(COLUMN(O4)-3&lt;=Assumptions!$C$8,"Q1",IF(COLUMN(O4)-3&lt;=SUM(Assumptions!$C$8:$C$9),"Q2",IF(COLUMN(O4)-3&lt;=SUM(Assumptions!$C$8:$C$10),"Q3","Q4")))</f>
        <v>Q1</v>
      </c>
      <c r="P3" s="25" t="str">
        <f>IF(COLUMN(P4)-3&lt;=Assumptions!$C$8,"Q1",IF(COLUMN(P4)-3&lt;=SUM(Assumptions!$C$8:$C$9),"Q2",IF(COLUMN(P4)-3&lt;=SUM(Assumptions!$C$8:$C$10),"Q3","Q4")))</f>
        <v>Q1</v>
      </c>
      <c r="Q3" s="25" t="str">
        <f>IF(COLUMN(Q4)-3&lt;=Assumptions!$C$8,"Q1",IF(COLUMN(Q4)-3&lt;=SUM(Assumptions!$C$8:$C$9),"Q2",IF(COLUMN(Q4)-3&lt;=SUM(Assumptions!$C$8:$C$10),"Q3","Q4")))</f>
        <v>Q2</v>
      </c>
      <c r="R3" s="25" t="str">
        <f>IF(COLUMN(R4)-3&lt;=Assumptions!$C$8,"Q1",IF(COLUMN(R4)-3&lt;=SUM(Assumptions!$C$8:$C$9),"Q2",IF(COLUMN(R4)-3&lt;=SUM(Assumptions!$C$8:$C$10),"Q3","Q4")))</f>
        <v>Q2</v>
      </c>
      <c r="S3" s="25" t="str">
        <f>IF(COLUMN(S4)-3&lt;=Assumptions!$C$8,"Q1",IF(COLUMN(S4)-3&lt;=SUM(Assumptions!$C$8:$C$9),"Q2",IF(COLUMN(S4)-3&lt;=SUM(Assumptions!$C$8:$C$10),"Q3","Q4")))</f>
        <v>Q2</v>
      </c>
      <c r="T3" s="25" t="str">
        <f>IF(COLUMN(T4)-3&lt;=Assumptions!$C$8,"Q1",IF(COLUMN(T4)-3&lt;=SUM(Assumptions!$C$8:$C$9),"Q2",IF(COLUMN(T4)-3&lt;=SUM(Assumptions!$C$8:$C$10),"Q3","Q4")))</f>
        <v>Q2</v>
      </c>
      <c r="U3" s="25" t="str">
        <f>IF(COLUMN(U4)-3&lt;=Assumptions!$C$8,"Q1",IF(COLUMN(U4)-3&lt;=SUM(Assumptions!$C$8:$C$9),"Q2",IF(COLUMN(U4)-3&lt;=SUM(Assumptions!$C$8:$C$10),"Q3","Q4")))</f>
        <v>Q2</v>
      </c>
      <c r="V3" s="25" t="str">
        <f>IF(COLUMN(V4)-3&lt;=Assumptions!$C$8,"Q1",IF(COLUMN(V4)-3&lt;=SUM(Assumptions!$C$8:$C$9),"Q2",IF(COLUMN(V4)-3&lt;=SUM(Assumptions!$C$8:$C$10),"Q3","Q4")))</f>
        <v>Q2</v>
      </c>
      <c r="W3" s="25" t="str">
        <f>IF(COLUMN(W4)-3&lt;=Assumptions!$C$8,"Q1",IF(COLUMN(W4)-3&lt;=SUM(Assumptions!$C$8:$C$9),"Q2",IF(COLUMN(W4)-3&lt;=SUM(Assumptions!$C$8:$C$10),"Q3","Q4")))</f>
        <v>Q2</v>
      </c>
      <c r="X3" s="25" t="str">
        <f>IF(COLUMN(X4)-3&lt;=Assumptions!$C$8,"Q1",IF(COLUMN(X4)-3&lt;=SUM(Assumptions!$C$8:$C$9),"Q2",IF(COLUMN(X4)-3&lt;=SUM(Assumptions!$C$8:$C$10),"Q3","Q4")))</f>
        <v>Q2</v>
      </c>
      <c r="Y3" s="25" t="str">
        <f>IF(COLUMN(Y4)-3&lt;=Assumptions!$C$8,"Q1",IF(COLUMN(Y4)-3&lt;=SUM(Assumptions!$C$8:$C$9),"Q2",IF(COLUMN(Y4)-3&lt;=SUM(Assumptions!$C$8:$C$10),"Q3","Q4")))</f>
        <v>Q2</v>
      </c>
      <c r="Z3" s="25" t="str">
        <f>IF(COLUMN(Z4)-3&lt;=Assumptions!$C$8,"Q1",IF(COLUMN(Z4)-3&lt;=SUM(Assumptions!$C$8:$C$9),"Q2",IF(COLUMN(Z4)-3&lt;=SUM(Assumptions!$C$8:$C$10),"Q3","Q4")))</f>
        <v>Q2</v>
      </c>
      <c r="AA3" s="25" t="str">
        <f>IF(COLUMN(AA4)-3&lt;=Assumptions!$C$8,"Q1",IF(COLUMN(AA4)-3&lt;=SUM(Assumptions!$C$8:$C$9),"Q2",IF(COLUMN(AA4)-3&lt;=SUM(Assumptions!$C$8:$C$10),"Q3","Q4")))</f>
        <v>Q2</v>
      </c>
      <c r="AB3" s="25" t="str">
        <f>IF(COLUMN(AB4)-3&lt;=Assumptions!$C$8,"Q1",IF(COLUMN(AB4)-3&lt;=SUM(Assumptions!$C$8:$C$9),"Q2",IF(COLUMN(AB4)-3&lt;=SUM(Assumptions!$C$8:$C$10),"Q3","Q4")))</f>
        <v>Q2</v>
      </c>
      <c r="AC3" s="25" t="str">
        <f>IF(COLUMN(AC4)-3&lt;=Assumptions!$C$8,"Q1",IF(COLUMN(AC4)-3&lt;=SUM(Assumptions!$C$8:$C$9),"Q2",IF(COLUMN(AC4)-3&lt;=SUM(Assumptions!$C$8:$C$10),"Q3","Q4")))</f>
        <v>Q2</v>
      </c>
      <c r="AD3" s="25" t="str">
        <f>IF(COLUMN(AD4)-3&lt;=Assumptions!$C$8,"Q1",IF(COLUMN(AD4)-3&lt;=SUM(Assumptions!$C$8:$C$9),"Q2",IF(COLUMN(AD4)-3&lt;=SUM(Assumptions!$C$8:$C$10),"Q3","Q4")))</f>
        <v>Q3</v>
      </c>
      <c r="AE3" s="25" t="str">
        <f>IF(COLUMN(AE4)-3&lt;=Assumptions!$C$8,"Q1",IF(COLUMN(AE4)-3&lt;=SUM(Assumptions!$C$8:$C$9),"Q2",IF(COLUMN(AE4)-3&lt;=SUM(Assumptions!$C$8:$C$10),"Q3","Q4")))</f>
        <v>Q3</v>
      </c>
      <c r="AF3" s="25" t="str">
        <f>IF(COLUMN(AF4)-3&lt;=Assumptions!$C$8,"Q1",IF(COLUMN(AF4)-3&lt;=SUM(Assumptions!$C$8:$C$9),"Q2",IF(COLUMN(AF4)-3&lt;=SUM(Assumptions!$C$8:$C$10),"Q3","Q4")))</f>
        <v>Q3</v>
      </c>
      <c r="AG3" s="25" t="str">
        <f>IF(COLUMN(AG4)-3&lt;=Assumptions!$C$8,"Q1",IF(COLUMN(AG4)-3&lt;=SUM(Assumptions!$C$8:$C$9),"Q2",IF(COLUMN(AG4)-3&lt;=SUM(Assumptions!$C$8:$C$10),"Q3","Q4")))</f>
        <v>Q3</v>
      </c>
      <c r="AH3" s="25" t="str">
        <f>IF(COLUMN(AH4)-3&lt;=Assumptions!$C$8,"Q1",IF(COLUMN(AH4)-3&lt;=SUM(Assumptions!$C$8:$C$9),"Q2",IF(COLUMN(AH4)-3&lt;=SUM(Assumptions!$C$8:$C$10),"Q3","Q4")))</f>
        <v>Q3</v>
      </c>
      <c r="AI3" s="25" t="str">
        <f>IF(COLUMN(AI4)-3&lt;=Assumptions!$C$8,"Q1",IF(COLUMN(AI4)-3&lt;=SUM(Assumptions!$C$8:$C$9),"Q2",IF(COLUMN(AI4)-3&lt;=SUM(Assumptions!$C$8:$C$10),"Q3","Q4")))</f>
        <v>Q3</v>
      </c>
      <c r="AJ3" s="25" t="str">
        <f>IF(COLUMN(AJ4)-3&lt;=Assumptions!$C$8,"Q1",IF(COLUMN(AJ4)-3&lt;=SUM(Assumptions!$C$8:$C$9),"Q2",IF(COLUMN(AJ4)-3&lt;=SUM(Assumptions!$C$8:$C$10),"Q3","Q4")))</f>
        <v>Q3</v>
      </c>
      <c r="AK3" s="25" t="str">
        <f>IF(COLUMN(AK4)-3&lt;=Assumptions!$C$8,"Q1",IF(COLUMN(AK4)-3&lt;=SUM(Assumptions!$C$8:$C$9),"Q2",IF(COLUMN(AK4)-3&lt;=SUM(Assumptions!$C$8:$C$10),"Q3","Q4")))</f>
        <v>Q3</v>
      </c>
      <c r="AL3" s="25" t="str">
        <f>IF(COLUMN(AL4)-3&lt;=Assumptions!$C$8,"Q1",IF(COLUMN(AL4)-3&lt;=SUM(Assumptions!$C$8:$C$9),"Q2",IF(COLUMN(AL4)-3&lt;=SUM(Assumptions!$C$8:$C$10),"Q3","Q4")))</f>
        <v>Q3</v>
      </c>
      <c r="AM3" s="25" t="str">
        <f>IF(COLUMN(AM4)-3&lt;=Assumptions!$C$8,"Q1",IF(COLUMN(AM4)-3&lt;=SUM(Assumptions!$C$8:$C$9),"Q2",IF(COLUMN(AM4)-3&lt;=SUM(Assumptions!$C$8:$C$10),"Q3","Q4")))</f>
        <v>Q3</v>
      </c>
      <c r="AN3" s="25" t="str">
        <f>IF(COLUMN(AN4)-3&lt;=Assumptions!$C$8,"Q1",IF(COLUMN(AN4)-3&lt;=SUM(Assumptions!$C$8:$C$9),"Q2",IF(COLUMN(AN4)-3&lt;=SUM(Assumptions!$C$8:$C$10),"Q3","Q4")))</f>
        <v>Q3</v>
      </c>
      <c r="AO3" s="25" t="str">
        <f>IF(COLUMN(AO4)-3&lt;=Assumptions!$C$8,"Q1",IF(COLUMN(AO4)-3&lt;=SUM(Assumptions!$C$8:$C$9),"Q2",IF(COLUMN(AO4)-3&lt;=SUM(Assumptions!$C$8:$C$10),"Q3","Q4")))</f>
        <v>Q3</v>
      </c>
      <c r="AP3" s="25" t="str">
        <f>IF(COLUMN(AP4)-3&lt;=Assumptions!$C$8,"Q1",IF(COLUMN(AP4)-3&lt;=SUM(Assumptions!$C$8:$C$9),"Q2",IF(COLUMN(AP4)-3&lt;=SUM(Assumptions!$C$8:$C$10),"Q3","Q4")))</f>
        <v>Q3</v>
      </c>
      <c r="AQ3" s="25" t="str">
        <f>IF(COLUMN(AQ4)-3&lt;=Assumptions!$C$8,"Q1",IF(COLUMN(AQ4)-3&lt;=SUM(Assumptions!$C$8:$C$9),"Q2",IF(COLUMN(AQ4)-3&lt;=SUM(Assumptions!$C$8:$C$10),"Q3","Q4")))</f>
        <v>Q4</v>
      </c>
      <c r="AR3" s="25" t="str">
        <f>IF(COLUMN(AR4)-3&lt;=Assumptions!$C$8,"Q1",IF(COLUMN(AR4)-3&lt;=SUM(Assumptions!$C$8:$C$9),"Q2",IF(COLUMN(AR4)-3&lt;=SUM(Assumptions!$C$8:$C$10),"Q3","Q4")))</f>
        <v>Q4</v>
      </c>
      <c r="AS3" s="25" t="str">
        <f>IF(COLUMN(AS4)-3&lt;=Assumptions!$C$8,"Q1",IF(COLUMN(AS4)-3&lt;=SUM(Assumptions!$C$8:$C$9),"Q2",IF(COLUMN(AS4)-3&lt;=SUM(Assumptions!$C$8:$C$10),"Q3","Q4")))</f>
        <v>Q4</v>
      </c>
      <c r="AT3" s="25" t="str">
        <f>IF(COLUMN(AT4)-3&lt;=Assumptions!$C$8,"Q1",IF(COLUMN(AT4)-3&lt;=SUM(Assumptions!$C$8:$C$9),"Q2",IF(COLUMN(AT4)-3&lt;=SUM(Assumptions!$C$8:$C$10),"Q3","Q4")))</f>
        <v>Q4</v>
      </c>
      <c r="AU3" s="25" t="str">
        <f>IF(COLUMN(AU4)-3&lt;=Assumptions!$C$8,"Q1",IF(COLUMN(AU4)-3&lt;=SUM(Assumptions!$C$8:$C$9),"Q2",IF(COLUMN(AU4)-3&lt;=SUM(Assumptions!$C$8:$C$10),"Q3","Q4")))</f>
        <v>Q4</v>
      </c>
      <c r="AV3" s="25" t="str">
        <f>IF(COLUMN(AV4)-3&lt;=Assumptions!$C$8,"Q1",IF(COLUMN(AV4)-3&lt;=SUM(Assumptions!$C$8:$C$9),"Q2",IF(COLUMN(AV4)-3&lt;=SUM(Assumptions!$C$8:$C$10),"Q3","Q4")))</f>
        <v>Q4</v>
      </c>
      <c r="AW3" s="25" t="str">
        <f>IF(COLUMN(AW4)-3&lt;=Assumptions!$C$8,"Q1",IF(COLUMN(AW4)-3&lt;=SUM(Assumptions!$C$8:$C$9),"Q2",IF(COLUMN(AW4)-3&lt;=SUM(Assumptions!$C$8:$C$10),"Q3","Q4")))</f>
        <v>Q4</v>
      </c>
      <c r="AX3" s="25" t="str">
        <f>IF(COLUMN(AX4)-3&lt;=Assumptions!$C$8,"Q1",IF(COLUMN(AX4)-3&lt;=SUM(Assumptions!$C$8:$C$9),"Q2",IF(COLUMN(AX4)-3&lt;=SUM(Assumptions!$C$8:$C$10),"Q3","Q4")))</f>
        <v>Q4</v>
      </c>
      <c r="AY3" s="25" t="str">
        <f>IF(COLUMN(AY4)-3&lt;=Assumptions!$C$8,"Q1",IF(COLUMN(AY4)-3&lt;=SUM(Assumptions!$C$8:$C$9),"Q2",IF(COLUMN(AY4)-3&lt;=SUM(Assumptions!$C$8:$C$10),"Q3","Q4")))</f>
        <v>Q4</v>
      </c>
      <c r="AZ3" s="25" t="str">
        <f>IF(COLUMN(AZ4)-3&lt;=Assumptions!$C$8,"Q1",IF(COLUMN(AZ4)-3&lt;=SUM(Assumptions!$C$8:$C$9),"Q2",IF(COLUMN(AZ4)-3&lt;=SUM(Assumptions!$C$8:$C$10),"Q3","Q4")))</f>
        <v>Q4</v>
      </c>
      <c r="BA3" s="25" t="str">
        <f>IF(COLUMN(BA4)-3&lt;=Assumptions!$C$8,"Q1",IF(COLUMN(BA4)-3&lt;=SUM(Assumptions!$C$8:$C$9),"Q2",IF(COLUMN(BA4)-3&lt;=SUM(Assumptions!$C$8:$C$10),"Q3","Q4")))</f>
        <v>Q4</v>
      </c>
      <c r="BB3" s="25" t="str">
        <f>IF(COLUMN(BB4)-3&lt;=Assumptions!$C$8,"Q1",IF(COLUMN(BB4)-3&lt;=SUM(Assumptions!$C$8:$C$9),"Q2",IF(COLUMN(BB4)-3&lt;=SUM(Assumptions!$C$8:$C$10),"Q3","Q4")))</f>
        <v>Q4</v>
      </c>
      <c r="BC3" s="25" t="str">
        <f>IF(COLUMN(BC4)-3&lt;=Assumptions!$C$8,"Q1",IF(COLUMN(BC4)-3&lt;=SUM(Assumptions!$C$8:$C$9),"Q2",IF(COLUMN(BC4)-3&lt;=SUM(Assumptions!$C$8:$C$10),"Q3","Q4")))</f>
        <v>Q4</v>
      </c>
      <c r="BD3" s="39" t="s">
        <v>93</v>
      </c>
      <c r="BE3" s="39" t="s">
        <v>94</v>
      </c>
      <c r="BF3" s="39" t="s">
        <v>95</v>
      </c>
      <c r="BG3" s="39" t="s">
        <v>96</v>
      </c>
      <c r="BH3" s="39"/>
    </row>
    <row r="4" spans="1:60" s="45" customFormat="1" ht="18" customHeight="1" x14ac:dyDescent="0.25">
      <c r="A4" s="181"/>
      <c r="B4" s="42"/>
      <c r="C4" s="43">
        <f ca="1">IF(ISBLANK(Assumptions!$C$5)=TRUE,DATE(YEAR(TODAY()),MONTH(TODAY()),0),DATE(YEAR(Assumptions!$C$5),MONTH(Assumptions!$C$5),DAY(Assumptions!$C$5)-1))</f>
        <v>44255</v>
      </c>
      <c r="D4" s="43">
        <f ca="1">IF(ISBLANK(Assumptions!$C$5)=TRUE,DATE(YEAR(TODAY()),MONTH(TODAY()),7),DATE(YEAR(Assumptions!$C$5),MONTH(Assumptions!$C$5),DAY(Assumptions!$C$5)+6))</f>
        <v>44262</v>
      </c>
      <c r="E4" s="43">
        <f t="shared" ref="E4:AJ4" ca="1" si="0">DATE(YEAR(OFFSET(E3,1,-1,1,1)),MONTH(OFFSET(E3,1,-1,1,1)),DAY(OFFSET(E3,1,-1,1,1))+7)</f>
        <v>44269</v>
      </c>
      <c r="F4" s="43">
        <f t="shared" ca="1" si="0"/>
        <v>44276</v>
      </c>
      <c r="G4" s="43">
        <f t="shared" ca="1" si="0"/>
        <v>44283</v>
      </c>
      <c r="H4" s="43">
        <f t="shared" ca="1" si="0"/>
        <v>44290</v>
      </c>
      <c r="I4" s="43">
        <f t="shared" ca="1" si="0"/>
        <v>44297</v>
      </c>
      <c r="J4" s="43">
        <f t="shared" ca="1" si="0"/>
        <v>44304</v>
      </c>
      <c r="K4" s="43">
        <f t="shared" ca="1" si="0"/>
        <v>44311</v>
      </c>
      <c r="L4" s="43">
        <f t="shared" ca="1" si="0"/>
        <v>44318</v>
      </c>
      <c r="M4" s="43">
        <f t="shared" ca="1" si="0"/>
        <v>44325</v>
      </c>
      <c r="N4" s="43">
        <f t="shared" ca="1" si="0"/>
        <v>44332</v>
      </c>
      <c r="O4" s="43">
        <f t="shared" ca="1" si="0"/>
        <v>44339</v>
      </c>
      <c r="P4" s="43">
        <f t="shared" ca="1" si="0"/>
        <v>44346</v>
      </c>
      <c r="Q4" s="43">
        <f t="shared" ca="1" si="0"/>
        <v>44353</v>
      </c>
      <c r="R4" s="43">
        <f t="shared" ca="1" si="0"/>
        <v>44360</v>
      </c>
      <c r="S4" s="43">
        <f t="shared" ca="1" si="0"/>
        <v>44367</v>
      </c>
      <c r="T4" s="43">
        <f t="shared" ca="1" si="0"/>
        <v>44374</v>
      </c>
      <c r="U4" s="43">
        <f t="shared" ca="1" si="0"/>
        <v>44381</v>
      </c>
      <c r="V4" s="43">
        <f t="shared" ca="1" si="0"/>
        <v>44388</v>
      </c>
      <c r="W4" s="43">
        <f t="shared" ca="1" si="0"/>
        <v>44395</v>
      </c>
      <c r="X4" s="43">
        <f t="shared" ca="1" si="0"/>
        <v>44402</v>
      </c>
      <c r="Y4" s="43">
        <f t="shared" ca="1" si="0"/>
        <v>44409</v>
      </c>
      <c r="Z4" s="43">
        <f t="shared" ca="1" si="0"/>
        <v>44416</v>
      </c>
      <c r="AA4" s="43">
        <f t="shared" ca="1" si="0"/>
        <v>44423</v>
      </c>
      <c r="AB4" s="43">
        <f t="shared" ca="1" si="0"/>
        <v>44430</v>
      </c>
      <c r="AC4" s="43">
        <f t="shared" ca="1" si="0"/>
        <v>44437</v>
      </c>
      <c r="AD4" s="43">
        <f t="shared" ca="1" si="0"/>
        <v>44444</v>
      </c>
      <c r="AE4" s="43">
        <f t="shared" ca="1" si="0"/>
        <v>44451</v>
      </c>
      <c r="AF4" s="43">
        <f t="shared" ca="1" si="0"/>
        <v>44458</v>
      </c>
      <c r="AG4" s="43">
        <f t="shared" ca="1" si="0"/>
        <v>44465</v>
      </c>
      <c r="AH4" s="43">
        <f t="shared" ca="1" si="0"/>
        <v>44472</v>
      </c>
      <c r="AI4" s="43">
        <f t="shared" ca="1" si="0"/>
        <v>44479</v>
      </c>
      <c r="AJ4" s="43">
        <f t="shared" ca="1" si="0"/>
        <v>44486</v>
      </c>
      <c r="AK4" s="43">
        <f t="shared" ref="AK4:BC4" ca="1" si="1">DATE(YEAR(OFFSET(AK3,1,-1,1,1)),MONTH(OFFSET(AK3,1,-1,1,1)),DAY(OFFSET(AK3,1,-1,1,1))+7)</f>
        <v>44493</v>
      </c>
      <c r="AL4" s="43">
        <f t="shared" ca="1" si="1"/>
        <v>44500</v>
      </c>
      <c r="AM4" s="43">
        <f t="shared" ca="1" si="1"/>
        <v>44507</v>
      </c>
      <c r="AN4" s="43">
        <f t="shared" ca="1" si="1"/>
        <v>44514</v>
      </c>
      <c r="AO4" s="43">
        <f t="shared" ca="1" si="1"/>
        <v>44521</v>
      </c>
      <c r="AP4" s="43">
        <f t="shared" ca="1" si="1"/>
        <v>44528</v>
      </c>
      <c r="AQ4" s="43">
        <f t="shared" ca="1" si="1"/>
        <v>44535</v>
      </c>
      <c r="AR4" s="43">
        <f t="shared" ca="1" si="1"/>
        <v>44542</v>
      </c>
      <c r="AS4" s="43">
        <f t="shared" ca="1" si="1"/>
        <v>44549</v>
      </c>
      <c r="AT4" s="43">
        <f t="shared" ca="1" si="1"/>
        <v>44556</v>
      </c>
      <c r="AU4" s="43">
        <f t="shared" ca="1" si="1"/>
        <v>44563</v>
      </c>
      <c r="AV4" s="43">
        <f t="shared" ca="1" si="1"/>
        <v>44570</v>
      </c>
      <c r="AW4" s="43">
        <f t="shared" ca="1" si="1"/>
        <v>44577</v>
      </c>
      <c r="AX4" s="43">
        <f t="shared" ca="1" si="1"/>
        <v>44584</v>
      </c>
      <c r="AY4" s="43">
        <f t="shared" ca="1" si="1"/>
        <v>44591</v>
      </c>
      <c r="AZ4" s="43">
        <f t="shared" ca="1" si="1"/>
        <v>44598</v>
      </c>
      <c r="BA4" s="43">
        <f t="shared" ca="1" si="1"/>
        <v>44605</v>
      </c>
      <c r="BB4" s="43">
        <f t="shared" ca="1" si="1"/>
        <v>44612</v>
      </c>
      <c r="BC4" s="43">
        <f t="shared" ca="1" si="1"/>
        <v>44619</v>
      </c>
      <c r="BD4" s="44" t="s">
        <v>79</v>
      </c>
      <c r="BE4" s="44" t="s">
        <v>80</v>
      </c>
      <c r="BF4" s="44" t="s">
        <v>81</v>
      </c>
      <c r="BG4" s="44" t="s">
        <v>82</v>
      </c>
      <c r="BH4" s="44" t="str">
        <f ca="1">"Total "&amp;YEAR(OFFSET($BD$4,0,-1,1,1))</f>
        <v>Total 2022</v>
      </c>
    </row>
    <row r="5" spans="1:60" s="10" customFormat="1" ht="16.149999999999999" customHeight="1" x14ac:dyDescent="0.25">
      <c r="A5" s="165"/>
      <c r="B5" s="2" t="s">
        <v>186</v>
      </c>
      <c r="C5" s="49"/>
      <c r="D5" s="90"/>
      <c r="E5" s="49"/>
      <c r="F5" s="49"/>
      <c r="G5" s="49"/>
      <c r="H5" s="49"/>
      <c r="I5" s="49"/>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row>
    <row r="6" spans="1:60" s="10" customFormat="1" ht="16.149999999999999" customHeight="1" x14ac:dyDescent="0.25">
      <c r="A6" s="165"/>
      <c r="B6" s="2" t="s">
        <v>187</v>
      </c>
      <c r="C6" s="52"/>
      <c r="D6" s="92"/>
      <c r="E6" s="52"/>
      <c r="F6" s="52"/>
      <c r="G6" s="52"/>
      <c r="H6" s="52"/>
      <c r="I6" s="52"/>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row>
    <row r="7" spans="1:60" ht="16.149999999999999" customHeight="1" x14ac:dyDescent="0.3">
      <c r="A7" s="164" t="s">
        <v>138</v>
      </c>
      <c r="B7" s="12" t="s">
        <v>48</v>
      </c>
      <c r="C7" s="51">
        <f ca="1">SUMIF(Assumptions!$A$81:$C$104,$A7,Assumptions!$C$81:$C$104)</f>
        <v>1050000</v>
      </c>
      <c r="D7" s="51">
        <f ca="1">OFFSET(D$4,ROW($B7)-ROW($B$4),-1,1,1)-OFFSET(CashFlow!$B28,0,COLUMN(D$4)-COLUMN($C$4),1,1)-OFFSET(CashFlow!$B10,0,COLUMN(D$4)-COLUMN($C$4),1,1)</f>
        <v>1050000</v>
      </c>
      <c r="E7" s="51">
        <f ca="1">OFFSET(E$4,ROW($B7)-ROW($B$4),-1,1,1)-OFFSET(CashFlow!$B28,0,COLUMN(E$4)-COLUMN($C$4),1,1)-OFFSET(CashFlow!$B10,0,COLUMN(E$4)-COLUMN($C$4),1,1)</f>
        <v>1050000</v>
      </c>
      <c r="F7" s="51">
        <f ca="1">OFFSET(F$4,ROW($B7)-ROW($B$4),-1,1,1)-OFFSET(CashFlow!$B28,0,COLUMN(F$4)-COLUMN($C$4),1,1)-OFFSET(CashFlow!$B10,0,COLUMN(F$4)-COLUMN($C$4),1,1)</f>
        <v>1050000</v>
      </c>
      <c r="G7" s="51">
        <f ca="1">OFFSET(G$4,ROW($B7)-ROW($B$4),-1,1,1)-OFFSET(CashFlow!$B28,0,COLUMN(G$4)-COLUMN($C$4),1,1)-OFFSET(CashFlow!$B10,0,COLUMN(G$4)-COLUMN($C$4),1,1)</f>
        <v>1050000</v>
      </c>
      <c r="H7" s="51">
        <f ca="1">OFFSET(H$4,ROW($B7)-ROW($B$4),-1,1,1)-OFFSET(CashFlow!$B28,0,COLUMN(H$4)-COLUMN($C$4),1,1)-OFFSET(CashFlow!$B10,0,COLUMN(H$4)-COLUMN($C$4),1,1)</f>
        <v>1035000</v>
      </c>
      <c r="I7" s="51">
        <f ca="1">OFFSET(I$4,ROW($B7)-ROW($B$4),-1,1,1)-OFFSET(CashFlow!$B28,0,COLUMN(I$4)-COLUMN($C$4),1,1)-OFFSET(CashFlow!$B10,0,COLUMN(I$4)-COLUMN($C$4),1,1)</f>
        <v>1035000</v>
      </c>
      <c r="J7" s="51">
        <f ca="1">OFFSET(J$4,ROW($B7)-ROW($B$4),-1,1,1)-OFFSET(CashFlow!$B28,0,COLUMN(J$4)-COLUMN($C$4),1,1)-OFFSET(CashFlow!$B10,0,COLUMN(J$4)-COLUMN($C$4),1,1)</f>
        <v>1035000</v>
      </c>
      <c r="K7" s="51">
        <f ca="1">OFFSET(K$4,ROW($B7)-ROW($B$4),-1,1,1)-OFFSET(CashFlow!$B28,0,COLUMN(K$4)-COLUMN($C$4),1,1)-OFFSET(CashFlow!$B10,0,COLUMN(K$4)-COLUMN($C$4),1,1)</f>
        <v>1035000</v>
      </c>
      <c r="L7" s="51">
        <f ca="1">OFFSET(L$4,ROW($B7)-ROW($B$4),-1,1,1)-OFFSET(CashFlow!$B28,0,COLUMN(L$4)-COLUMN($C$4),1,1)-OFFSET(CashFlow!$B10,0,COLUMN(L$4)-COLUMN($C$4),1,1)</f>
        <v>1020000</v>
      </c>
      <c r="M7" s="51">
        <f ca="1">OFFSET(M$4,ROW($B7)-ROW($B$4),-1,1,1)-OFFSET(CashFlow!$B28,0,COLUMN(M$4)-COLUMN($C$4),1,1)-OFFSET(CashFlow!$B10,0,COLUMN(M$4)-COLUMN($C$4),1,1)</f>
        <v>1020000</v>
      </c>
      <c r="N7" s="51">
        <f ca="1">OFFSET(N$4,ROW($B7)-ROW($B$4),-1,1,1)-OFFSET(CashFlow!$B28,0,COLUMN(N$4)-COLUMN($C$4),1,1)-OFFSET(CashFlow!$B10,0,COLUMN(N$4)-COLUMN($C$4),1,1)</f>
        <v>1020000</v>
      </c>
      <c r="O7" s="51">
        <f ca="1">OFFSET(O$4,ROW($B7)-ROW($B$4),-1,1,1)-OFFSET(CashFlow!$B28,0,COLUMN(O$4)-COLUMN($C$4),1,1)-OFFSET(CashFlow!$B10,0,COLUMN(O$4)-COLUMN($C$4),1,1)</f>
        <v>1020000</v>
      </c>
      <c r="P7" s="51">
        <f ca="1">OFFSET(P$4,ROW($B7)-ROW($B$4),-1,1,1)-OFFSET(CashFlow!$B28,0,COLUMN(P$4)-COLUMN($C$4),1,1)-OFFSET(CashFlow!$B10,0,COLUMN(P$4)-COLUMN($C$4),1,1)</f>
        <v>1005000</v>
      </c>
      <c r="Q7" s="51">
        <f ca="1">OFFSET(Q$4,ROW($B7)-ROW($B$4),-1,1,1)-OFFSET(CashFlow!$B28,0,COLUMN(Q$4)-COLUMN($C$4),1,1)-OFFSET(CashFlow!$B10,0,COLUMN(Q$4)-COLUMN($C$4),1,1)</f>
        <v>1005000</v>
      </c>
      <c r="R7" s="51">
        <f ca="1">OFFSET(R$4,ROW($B7)-ROW($B$4),-1,1,1)-OFFSET(CashFlow!$B28,0,COLUMN(R$4)-COLUMN($C$4),1,1)-OFFSET(CashFlow!$B10,0,COLUMN(R$4)-COLUMN($C$4),1,1)</f>
        <v>1005000</v>
      </c>
      <c r="S7" s="51">
        <f ca="1">OFFSET(S$4,ROW($B7)-ROW($B$4),-1,1,1)-OFFSET(CashFlow!$B28,0,COLUMN(S$4)-COLUMN($C$4),1,1)-OFFSET(CashFlow!$B10,0,COLUMN(S$4)-COLUMN($C$4),1,1)</f>
        <v>1005000</v>
      </c>
      <c r="T7" s="51">
        <f ca="1">OFFSET(T$4,ROW($B7)-ROW($B$4),-1,1,1)-OFFSET(CashFlow!$B28,0,COLUMN(T$4)-COLUMN($C$4),1,1)-OFFSET(CashFlow!$B10,0,COLUMN(T$4)-COLUMN($C$4),1,1)</f>
        <v>1005000</v>
      </c>
      <c r="U7" s="51">
        <f ca="1">OFFSET(U$4,ROW($B7)-ROW($B$4),-1,1,1)-OFFSET(CashFlow!$B28,0,COLUMN(U$4)-COLUMN($C$4),1,1)-OFFSET(CashFlow!$B10,0,COLUMN(U$4)-COLUMN($C$4),1,1)</f>
        <v>990000</v>
      </c>
      <c r="V7" s="51">
        <f ca="1">OFFSET(V$4,ROW($B7)-ROW($B$4),-1,1,1)-OFFSET(CashFlow!$B28,0,COLUMN(V$4)-COLUMN($C$4),1,1)-OFFSET(CashFlow!$B10,0,COLUMN(V$4)-COLUMN($C$4),1,1)</f>
        <v>990000</v>
      </c>
      <c r="W7" s="51">
        <f ca="1">OFFSET(W$4,ROW($B7)-ROW($B$4),-1,1,1)-OFFSET(CashFlow!$B28,0,COLUMN(W$4)-COLUMN($C$4),1,1)-OFFSET(CashFlow!$B10,0,COLUMN(W$4)-COLUMN($C$4),1,1)</f>
        <v>990000</v>
      </c>
      <c r="X7" s="51">
        <f ca="1">OFFSET(X$4,ROW($B7)-ROW($B$4),-1,1,1)-OFFSET(CashFlow!$B28,0,COLUMN(X$4)-COLUMN($C$4),1,1)-OFFSET(CashFlow!$B10,0,COLUMN(X$4)-COLUMN($C$4),1,1)</f>
        <v>990000</v>
      </c>
      <c r="Y7" s="51">
        <f ca="1">OFFSET(Y$4,ROW($B7)-ROW($B$4),-1,1,1)-OFFSET(CashFlow!$B28,0,COLUMN(Y$4)-COLUMN($C$4),1,1)-OFFSET(CashFlow!$B10,0,COLUMN(Y$4)-COLUMN($C$4),1,1)</f>
        <v>975000</v>
      </c>
      <c r="Z7" s="51">
        <f ca="1">OFFSET(Z$4,ROW($B7)-ROW($B$4),-1,1,1)-OFFSET(CashFlow!$B28,0,COLUMN(Z$4)-COLUMN($C$4),1,1)-OFFSET(CashFlow!$B10,0,COLUMN(Z$4)-COLUMN($C$4),1,1)</f>
        <v>975000</v>
      </c>
      <c r="AA7" s="51">
        <f ca="1">OFFSET(AA$4,ROW($B7)-ROW($B$4),-1,1,1)-OFFSET(CashFlow!$B28,0,COLUMN(AA$4)-COLUMN($C$4),1,1)-OFFSET(CashFlow!$B10,0,COLUMN(AA$4)-COLUMN($C$4),1,1)</f>
        <v>975000</v>
      </c>
      <c r="AB7" s="51">
        <f ca="1">OFFSET(AB$4,ROW($B7)-ROW($B$4),-1,1,1)-OFFSET(CashFlow!$B28,0,COLUMN(AB$4)-COLUMN($C$4),1,1)-OFFSET(CashFlow!$B10,0,COLUMN(AB$4)-COLUMN($C$4),1,1)</f>
        <v>975000</v>
      </c>
      <c r="AC7" s="51">
        <f ca="1">OFFSET(AC$4,ROW($B7)-ROW($B$4),-1,1,1)-OFFSET(CashFlow!$B28,0,COLUMN(AC$4)-COLUMN($C$4),1,1)-OFFSET(CashFlow!$B10,0,COLUMN(AC$4)-COLUMN($C$4),1,1)</f>
        <v>960000</v>
      </c>
      <c r="AD7" s="51">
        <f ca="1">OFFSET(AD$4,ROW($B7)-ROW($B$4),-1,1,1)-OFFSET(CashFlow!$B28,0,COLUMN(AD$4)-COLUMN($C$4),1,1)-OFFSET(CashFlow!$B10,0,COLUMN(AD$4)-COLUMN($C$4),1,1)</f>
        <v>960000</v>
      </c>
      <c r="AE7" s="51">
        <f ca="1">OFFSET(AE$4,ROW($B7)-ROW($B$4),-1,1,1)-OFFSET(CashFlow!$B28,0,COLUMN(AE$4)-COLUMN($C$4),1,1)-OFFSET(CashFlow!$B10,0,COLUMN(AE$4)-COLUMN($C$4),1,1)</f>
        <v>960000</v>
      </c>
      <c r="AF7" s="51">
        <f ca="1">OFFSET(AF$4,ROW($B7)-ROW($B$4),-1,1,1)-OFFSET(CashFlow!$B28,0,COLUMN(AF$4)-COLUMN($C$4),1,1)-OFFSET(CashFlow!$B10,0,COLUMN(AF$4)-COLUMN($C$4),1,1)</f>
        <v>960000</v>
      </c>
      <c r="AG7" s="51">
        <f ca="1">OFFSET(AG$4,ROW($B7)-ROW($B$4),-1,1,1)-OFFSET(CashFlow!$B28,0,COLUMN(AG$4)-COLUMN($C$4),1,1)-OFFSET(CashFlow!$B10,0,COLUMN(AG$4)-COLUMN($C$4),1,1)</f>
        <v>960000</v>
      </c>
      <c r="AH7" s="51">
        <f ca="1">OFFSET(AH$4,ROW($B7)-ROW($B$4),-1,1,1)-OFFSET(CashFlow!$B28,0,COLUMN(AH$4)-COLUMN($C$4),1,1)-OFFSET(CashFlow!$B10,0,COLUMN(AH$4)-COLUMN($C$4),1,1)</f>
        <v>945000</v>
      </c>
      <c r="AI7" s="51">
        <f ca="1">OFFSET(AI$4,ROW($B7)-ROW($B$4),-1,1,1)-OFFSET(CashFlow!$B28,0,COLUMN(AI$4)-COLUMN($C$4),1,1)-OFFSET(CashFlow!$B10,0,COLUMN(AI$4)-COLUMN($C$4),1,1)</f>
        <v>945000</v>
      </c>
      <c r="AJ7" s="51">
        <f ca="1">OFFSET(AJ$4,ROW($B7)-ROW($B$4),-1,1,1)-OFFSET(CashFlow!$B28,0,COLUMN(AJ$4)-COLUMN($C$4),1,1)-OFFSET(CashFlow!$B10,0,COLUMN(AJ$4)-COLUMN($C$4),1,1)</f>
        <v>945000</v>
      </c>
      <c r="AK7" s="51">
        <f ca="1">OFFSET(AK$4,ROW($B7)-ROW($B$4),-1,1,1)-OFFSET(CashFlow!$B28,0,COLUMN(AK$4)-COLUMN($C$4),1,1)-OFFSET(CashFlow!$B10,0,COLUMN(AK$4)-COLUMN($C$4),1,1)</f>
        <v>945000</v>
      </c>
      <c r="AL7" s="51">
        <f ca="1">OFFSET(AL$4,ROW($B7)-ROW($B$4),-1,1,1)-OFFSET(CashFlow!$B28,0,COLUMN(AL$4)-COLUMN($C$4),1,1)-OFFSET(CashFlow!$B10,0,COLUMN(AL$4)-COLUMN($C$4),1,1)</f>
        <v>930000</v>
      </c>
      <c r="AM7" s="51">
        <f ca="1">OFFSET(AM$4,ROW($B7)-ROW($B$4),-1,1,1)-OFFSET(CashFlow!$B28,0,COLUMN(AM$4)-COLUMN($C$4),1,1)-OFFSET(CashFlow!$B10,0,COLUMN(AM$4)-COLUMN($C$4),1,1)</f>
        <v>930000</v>
      </c>
      <c r="AN7" s="51">
        <f ca="1">OFFSET(AN$4,ROW($B7)-ROW($B$4),-1,1,1)-OFFSET(CashFlow!$B28,0,COLUMN(AN$4)-COLUMN($C$4),1,1)-OFFSET(CashFlow!$B10,0,COLUMN(AN$4)-COLUMN($C$4),1,1)</f>
        <v>930000</v>
      </c>
      <c r="AO7" s="51">
        <f ca="1">OFFSET(AO$4,ROW($B7)-ROW($B$4),-1,1,1)-OFFSET(CashFlow!$B28,0,COLUMN(AO$4)-COLUMN($C$4),1,1)-OFFSET(CashFlow!$B10,0,COLUMN(AO$4)-COLUMN($C$4),1,1)</f>
        <v>930000</v>
      </c>
      <c r="AP7" s="51">
        <f ca="1">OFFSET(AP$4,ROW($B7)-ROW($B$4),-1,1,1)-OFFSET(CashFlow!$B28,0,COLUMN(AP$4)-COLUMN($C$4),1,1)-OFFSET(CashFlow!$B10,0,COLUMN(AP$4)-COLUMN($C$4),1,1)</f>
        <v>915000</v>
      </c>
      <c r="AQ7" s="51">
        <f ca="1">OFFSET(AQ$4,ROW($B7)-ROW($B$4),-1,1,1)-OFFSET(CashFlow!$B28,0,COLUMN(AQ$4)-COLUMN($C$4),1,1)-OFFSET(CashFlow!$B10,0,COLUMN(AQ$4)-COLUMN($C$4),1,1)</f>
        <v>915000</v>
      </c>
      <c r="AR7" s="51">
        <f ca="1">OFFSET(AR$4,ROW($B7)-ROW($B$4),-1,1,1)-OFFSET(CashFlow!$B28,0,COLUMN(AR$4)-COLUMN($C$4),1,1)-OFFSET(CashFlow!$B10,0,COLUMN(AR$4)-COLUMN($C$4),1,1)</f>
        <v>915000</v>
      </c>
      <c r="AS7" s="51">
        <f ca="1">OFFSET(AS$4,ROW($B7)-ROW($B$4),-1,1,1)-OFFSET(CashFlow!$B28,0,COLUMN(AS$4)-COLUMN($C$4),1,1)-OFFSET(CashFlow!$B10,0,COLUMN(AS$4)-COLUMN($C$4),1,1)</f>
        <v>915000</v>
      </c>
      <c r="AT7" s="51">
        <f ca="1">OFFSET(AT$4,ROW($B7)-ROW($B$4),-1,1,1)-OFFSET(CashFlow!$B28,0,COLUMN(AT$4)-COLUMN($C$4),1,1)-OFFSET(CashFlow!$B10,0,COLUMN(AT$4)-COLUMN($C$4),1,1)</f>
        <v>915000</v>
      </c>
      <c r="AU7" s="51">
        <f ca="1">OFFSET(AU$4,ROW($B7)-ROW($B$4),-1,1,1)-OFFSET(CashFlow!$B28,0,COLUMN(AU$4)-COLUMN($C$4),1,1)-OFFSET(CashFlow!$B10,0,COLUMN(AU$4)-COLUMN($C$4),1,1)</f>
        <v>900000</v>
      </c>
      <c r="AV7" s="51">
        <f ca="1">OFFSET(AV$4,ROW($B7)-ROW($B$4),-1,1,1)-OFFSET(CashFlow!$B28,0,COLUMN(AV$4)-COLUMN($C$4),1,1)-OFFSET(CashFlow!$B10,0,COLUMN(AV$4)-COLUMN($C$4),1,1)</f>
        <v>1140000</v>
      </c>
      <c r="AW7" s="51">
        <f ca="1">OFFSET(AW$4,ROW($B7)-ROW($B$4),-1,1,1)-OFFSET(CashFlow!$B28,0,COLUMN(AW$4)-COLUMN($C$4),1,1)-OFFSET(CashFlow!$B10,0,COLUMN(AW$4)-COLUMN($C$4),1,1)</f>
        <v>1140000</v>
      </c>
      <c r="AX7" s="51">
        <f ca="1">OFFSET(AX$4,ROW($B7)-ROW($B$4),-1,1,1)-OFFSET(CashFlow!$B28,0,COLUMN(AX$4)-COLUMN($C$4),1,1)-OFFSET(CashFlow!$B10,0,COLUMN(AX$4)-COLUMN($C$4),1,1)</f>
        <v>1140000</v>
      </c>
      <c r="AY7" s="51">
        <f ca="1">OFFSET(AY$4,ROW($B7)-ROW($B$4),-1,1,1)-OFFSET(CashFlow!$B28,0,COLUMN(AY$4)-COLUMN($C$4),1,1)-OFFSET(CashFlow!$B10,0,COLUMN(AY$4)-COLUMN($C$4),1,1)</f>
        <v>1121000</v>
      </c>
      <c r="AZ7" s="51">
        <f ca="1">OFFSET(AZ$4,ROW($B7)-ROW($B$4),-1,1,1)-OFFSET(CashFlow!$B28,0,COLUMN(AZ$4)-COLUMN($C$4),1,1)-OFFSET(CashFlow!$B10,0,COLUMN(AZ$4)-COLUMN($C$4),1,1)</f>
        <v>1121000</v>
      </c>
      <c r="BA7" s="51">
        <f ca="1">OFFSET(BA$4,ROW($B7)-ROW($B$4),-1,1,1)-OFFSET(CashFlow!$B28,0,COLUMN(BA$4)-COLUMN($C$4),1,1)-OFFSET(CashFlow!$B10,0,COLUMN(BA$4)-COLUMN($C$4),1,1)</f>
        <v>1121000</v>
      </c>
      <c r="BB7" s="51">
        <f ca="1">OFFSET(BB$4,ROW($B7)-ROW($B$4),-1,1,1)-OFFSET(CashFlow!$B28,0,COLUMN(BB$4)-COLUMN($C$4),1,1)-OFFSET(CashFlow!$B10,0,COLUMN(BB$4)-COLUMN($C$4),1,1)</f>
        <v>1121000</v>
      </c>
      <c r="BC7" s="51">
        <f ca="1">OFFSET(BC$4,ROW($B7)-ROW($B$4),-1,1,1)-OFFSET(CashFlow!$B28,0,COLUMN(BC$4)-COLUMN($C$4),1,1)-OFFSET(CashFlow!$B10,0,COLUMN(BC$4)-COLUMN($C$4),1,1)</f>
        <v>1102000</v>
      </c>
      <c r="BD7" s="52">
        <f ca="1">OFFSET($B7,0,Assumptions!$C$8+1,1,1)</f>
        <v>1005000</v>
      </c>
      <c r="BE7" s="52">
        <f ca="1">OFFSET($B7,0,SUM(Assumptions!$C$8:$C$9)+1,1,1)</f>
        <v>960000</v>
      </c>
      <c r="BF7" s="52">
        <f ca="1">OFFSET($B7,0,SUM(Assumptions!$C$8:$C$10)+1,1,1)</f>
        <v>915000</v>
      </c>
      <c r="BG7" s="52">
        <f ca="1">OFFSET($B7,0,SUM(Assumptions!$C$8:$C$11)+1,1,1)</f>
        <v>1102000</v>
      </c>
      <c r="BH7" s="52">
        <f ca="1">BG7</f>
        <v>1102000</v>
      </c>
    </row>
    <row r="8" spans="1:60" ht="16.149999999999999" customHeight="1" x14ac:dyDescent="0.3">
      <c r="A8" s="164" t="s">
        <v>139</v>
      </c>
      <c r="B8" s="12" t="s">
        <v>140</v>
      </c>
      <c r="C8" s="51">
        <f ca="1">SUMIF(Assumptions!$A$81:$C$104,$A8,Assumptions!$C$81:$C$104)</f>
        <v>120000</v>
      </c>
      <c r="D8" s="51">
        <f ca="1">OFFSET(D$4,ROW($B8)-ROW($B$4),-1,1,1)-OFFSET(CashFlow!$B29,0,COLUMN(D$4)-COLUMN($C$4),1,1)-OFFSET(CashFlow!$B11,0,COLUMN(D$4)-COLUMN($C$4),1,1)</f>
        <v>120000</v>
      </c>
      <c r="E8" s="51">
        <f ca="1">OFFSET(E$4,ROW($B8)-ROW($B$4),-1,1,1)-OFFSET(CashFlow!$B29,0,COLUMN(E$4)-COLUMN($C$4),1,1)-OFFSET(CashFlow!$B11,0,COLUMN(E$4)-COLUMN($C$4),1,1)</f>
        <v>120000</v>
      </c>
      <c r="F8" s="51">
        <f ca="1">OFFSET(F$4,ROW($B8)-ROW($B$4),-1,1,1)-OFFSET(CashFlow!$B29,0,COLUMN(F$4)-COLUMN($C$4),1,1)-OFFSET(CashFlow!$B11,0,COLUMN(F$4)-COLUMN($C$4),1,1)</f>
        <v>120000</v>
      </c>
      <c r="G8" s="51">
        <f ca="1">OFFSET(G$4,ROW($B8)-ROW($B$4),-1,1,1)-OFFSET(CashFlow!$B29,0,COLUMN(G$4)-COLUMN($C$4),1,1)-OFFSET(CashFlow!$B11,0,COLUMN(G$4)-COLUMN($C$4),1,1)</f>
        <v>120000</v>
      </c>
      <c r="H8" s="51">
        <f ca="1">OFFSET(H$4,ROW($B8)-ROW($B$4),-1,1,1)-OFFSET(CashFlow!$B29,0,COLUMN(H$4)-COLUMN($C$4),1,1)-OFFSET(CashFlow!$B11,0,COLUMN(H$4)-COLUMN($C$4),1,1)</f>
        <v>119000</v>
      </c>
      <c r="I8" s="51">
        <f ca="1">OFFSET(I$4,ROW($B8)-ROW($B$4),-1,1,1)-OFFSET(CashFlow!$B29,0,COLUMN(I$4)-COLUMN($C$4),1,1)-OFFSET(CashFlow!$B11,0,COLUMN(I$4)-COLUMN($C$4),1,1)</f>
        <v>119000</v>
      </c>
      <c r="J8" s="51">
        <f ca="1">OFFSET(J$4,ROW($B8)-ROW($B$4),-1,1,1)-OFFSET(CashFlow!$B29,0,COLUMN(J$4)-COLUMN($C$4),1,1)-OFFSET(CashFlow!$B11,0,COLUMN(J$4)-COLUMN($C$4),1,1)</f>
        <v>119000</v>
      </c>
      <c r="K8" s="51">
        <f ca="1">OFFSET(K$4,ROW($B8)-ROW($B$4),-1,1,1)-OFFSET(CashFlow!$B29,0,COLUMN(K$4)-COLUMN($C$4),1,1)-OFFSET(CashFlow!$B11,0,COLUMN(K$4)-COLUMN($C$4),1,1)</f>
        <v>119000</v>
      </c>
      <c r="L8" s="51">
        <f ca="1">OFFSET(L$4,ROW($B8)-ROW($B$4),-1,1,1)-OFFSET(CashFlow!$B29,0,COLUMN(L$4)-COLUMN($C$4),1,1)-OFFSET(CashFlow!$B11,0,COLUMN(L$4)-COLUMN($C$4),1,1)</f>
        <v>118000</v>
      </c>
      <c r="M8" s="51">
        <f ca="1">OFFSET(M$4,ROW($B8)-ROW($B$4),-1,1,1)-OFFSET(CashFlow!$B29,0,COLUMN(M$4)-COLUMN($C$4),1,1)-OFFSET(CashFlow!$B11,0,COLUMN(M$4)-COLUMN($C$4),1,1)</f>
        <v>118000</v>
      </c>
      <c r="N8" s="51">
        <f ca="1">OFFSET(N$4,ROW($B8)-ROW($B$4),-1,1,1)-OFFSET(CashFlow!$B29,0,COLUMN(N$4)-COLUMN($C$4),1,1)-OFFSET(CashFlow!$B11,0,COLUMN(N$4)-COLUMN($C$4),1,1)</f>
        <v>118000</v>
      </c>
      <c r="O8" s="51">
        <f ca="1">OFFSET(O$4,ROW($B8)-ROW($B$4),-1,1,1)-OFFSET(CashFlow!$B29,0,COLUMN(O$4)-COLUMN($C$4),1,1)-OFFSET(CashFlow!$B11,0,COLUMN(O$4)-COLUMN($C$4),1,1)</f>
        <v>118000</v>
      </c>
      <c r="P8" s="51">
        <f ca="1">OFFSET(P$4,ROW($B8)-ROW($B$4),-1,1,1)-OFFSET(CashFlow!$B29,0,COLUMN(P$4)-COLUMN($C$4),1,1)-OFFSET(CashFlow!$B11,0,COLUMN(P$4)-COLUMN($C$4),1,1)</f>
        <v>117000</v>
      </c>
      <c r="Q8" s="51">
        <f ca="1">OFFSET(Q$4,ROW($B8)-ROW($B$4),-1,1,1)-OFFSET(CashFlow!$B29,0,COLUMN(Q$4)-COLUMN($C$4),1,1)-OFFSET(CashFlow!$B11,0,COLUMN(Q$4)-COLUMN($C$4),1,1)</f>
        <v>117000</v>
      </c>
      <c r="R8" s="51">
        <f ca="1">OFFSET(R$4,ROW($B8)-ROW($B$4),-1,1,1)-OFFSET(CashFlow!$B29,0,COLUMN(R$4)-COLUMN($C$4),1,1)-OFFSET(CashFlow!$B11,0,COLUMN(R$4)-COLUMN($C$4),1,1)</f>
        <v>117000</v>
      </c>
      <c r="S8" s="51">
        <f ca="1">OFFSET(S$4,ROW($B8)-ROW($B$4),-1,1,1)-OFFSET(CashFlow!$B29,0,COLUMN(S$4)-COLUMN($C$4),1,1)-OFFSET(CashFlow!$B11,0,COLUMN(S$4)-COLUMN($C$4),1,1)</f>
        <v>117000</v>
      </c>
      <c r="T8" s="51">
        <f ca="1">OFFSET(T$4,ROW($B8)-ROW($B$4),-1,1,1)-OFFSET(CashFlow!$B29,0,COLUMN(T$4)-COLUMN($C$4),1,1)-OFFSET(CashFlow!$B11,0,COLUMN(T$4)-COLUMN($C$4),1,1)</f>
        <v>117000</v>
      </c>
      <c r="U8" s="51">
        <f ca="1">OFFSET(U$4,ROW($B8)-ROW($B$4),-1,1,1)-OFFSET(CashFlow!$B29,0,COLUMN(U$4)-COLUMN($C$4),1,1)-OFFSET(CashFlow!$B11,0,COLUMN(U$4)-COLUMN($C$4),1,1)</f>
        <v>116000</v>
      </c>
      <c r="V8" s="51">
        <f ca="1">OFFSET(V$4,ROW($B8)-ROW($B$4),-1,1,1)-OFFSET(CashFlow!$B29,0,COLUMN(V$4)-COLUMN($C$4),1,1)-OFFSET(CashFlow!$B11,0,COLUMN(V$4)-COLUMN($C$4),1,1)</f>
        <v>116000</v>
      </c>
      <c r="W8" s="51">
        <f ca="1">OFFSET(W$4,ROW($B8)-ROW($B$4),-1,1,1)-OFFSET(CashFlow!$B29,0,COLUMN(W$4)-COLUMN($C$4),1,1)-OFFSET(CashFlow!$B11,0,COLUMN(W$4)-COLUMN($C$4),1,1)</f>
        <v>116000</v>
      </c>
      <c r="X8" s="51">
        <f ca="1">OFFSET(X$4,ROW($B8)-ROW($B$4),-1,1,1)-OFFSET(CashFlow!$B29,0,COLUMN(X$4)-COLUMN($C$4),1,1)-OFFSET(CashFlow!$B11,0,COLUMN(X$4)-COLUMN($C$4),1,1)</f>
        <v>116000</v>
      </c>
      <c r="Y8" s="51">
        <f ca="1">OFFSET(Y$4,ROW($B8)-ROW($B$4),-1,1,1)-OFFSET(CashFlow!$B29,0,COLUMN(Y$4)-COLUMN($C$4),1,1)-OFFSET(CashFlow!$B11,0,COLUMN(Y$4)-COLUMN($C$4),1,1)</f>
        <v>115000</v>
      </c>
      <c r="Z8" s="51">
        <f ca="1">OFFSET(Z$4,ROW($B8)-ROW($B$4),-1,1,1)-OFFSET(CashFlow!$B29,0,COLUMN(Z$4)-COLUMN($C$4),1,1)-OFFSET(CashFlow!$B11,0,COLUMN(Z$4)-COLUMN($C$4),1,1)</f>
        <v>115000</v>
      </c>
      <c r="AA8" s="51">
        <f ca="1">OFFSET(AA$4,ROW($B8)-ROW($B$4),-1,1,1)-OFFSET(CashFlow!$B29,0,COLUMN(AA$4)-COLUMN($C$4),1,1)-OFFSET(CashFlow!$B11,0,COLUMN(AA$4)-COLUMN($C$4),1,1)</f>
        <v>115000</v>
      </c>
      <c r="AB8" s="51">
        <f ca="1">OFFSET(AB$4,ROW($B8)-ROW($B$4),-1,1,1)-OFFSET(CashFlow!$B29,0,COLUMN(AB$4)-COLUMN($C$4),1,1)-OFFSET(CashFlow!$B11,0,COLUMN(AB$4)-COLUMN($C$4),1,1)</f>
        <v>115000</v>
      </c>
      <c r="AC8" s="51">
        <f ca="1">OFFSET(AC$4,ROW($B8)-ROW($B$4),-1,1,1)-OFFSET(CashFlow!$B29,0,COLUMN(AC$4)-COLUMN($C$4),1,1)-OFFSET(CashFlow!$B11,0,COLUMN(AC$4)-COLUMN($C$4),1,1)</f>
        <v>114000</v>
      </c>
      <c r="AD8" s="51">
        <f ca="1">OFFSET(AD$4,ROW($B8)-ROW($B$4),-1,1,1)-OFFSET(CashFlow!$B29,0,COLUMN(AD$4)-COLUMN($C$4),1,1)-OFFSET(CashFlow!$B11,0,COLUMN(AD$4)-COLUMN($C$4),1,1)</f>
        <v>114000</v>
      </c>
      <c r="AE8" s="51">
        <f ca="1">OFFSET(AE$4,ROW($B8)-ROW($B$4),-1,1,1)-OFFSET(CashFlow!$B29,0,COLUMN(AE$4)-COLUMN($C$4),1,1)-OFFSET(CashFlow!$B11,0,COLUMN(AE$4)-COLUMN($C$4),1,1)</f>
        <v>114000</v>
      </c>
      <c r="AF8" s="51">
        <f ca="1">OFFSET(AF$4,ROW($B8)-ROW($B$4),-1,1,1)-OFFSET(CashFlow!$B29,0,COLUMN(AF$4)-COLUMN($C$4),1,1)-OFFSET(CashFlow!$B11,0,COLUMN(AF$4)-COLUMN($C$4),1,1)</f>
        <v>114000</v>
      </c>
      <c r="AG8" s="51">
        <f ca="1">OFFSET(AG$4,ROW($B8)-ROW($B$4),-1,1,1)-OFFSET(CashFlow!$B29,0,COLUMN(AG$4)-COLUMN($C$4),1,1)-OFFSET(CashFlow!$B11,0,COLUMN(AG$4)-COLUMN($C$4),1,1)</f>
        <v>114000</v>
      </c>
      <c r="AH8" s="51">
        <f ca="1">OFFSET(AH$4,ROW($B8)-ROW($B$4),-1,1,1)-OFFSET(CashFlow!$B29,0,COLUMN(AH$4)-COLUMN($C$4),1,1)-OFFSET(CashFlow!$B11,0,COLUMN(AH$4)-COLUMN($C$4),1,1)</f>
        <v>113000</v>
      </c>
      <c r="AI8" s="51">
        <f ca="1">OFFSET(AI$4,ROW($B8)-ROW($B$4),-1,1,1)-OFFSET(CashFlow!$B29,0,COLUMN(AI$4)-COLUMN($C$4),1,1)-OFFSET(CashFlow!$B11,0,COLUMN(AI$4)-COLUMN($C$4),1,1)</f>
        <v>113000</v>
      </c>
      <c r="AJ8" s="51">
        <f ca="1">OFFSET(AJ$4,ROW($B8)-ROW($B$4),-1,1,1)-OFFSET(CashFlow!$B29,0,COLUMN(AJ$4)-COLUMN($C$4),1,1)-OFFSET(CashFlow!$B11,0,COLUMN(AJ$4)-COLUMN($C$4),1,1)</f>
        <v>113000</v>
      </c>
      <c r="AK8" s="51">
        <f ca="1">OFFSET(AK$4,ROW($B8)-ROW($B$4),-1,1,1)-OFFSET(CashFlow!$B29,0,COLUMN(AK$4)-COLUMN($C$4),1,1)-OFFSET(CashFlow!$B11,0,COLUMN(AK$4)-COLUMN($C$4),1,1)</f>
        <v>113000</v>
      </c>
      <c r="AL8" s="51">
        <f ca="1">OFFSET(AL$4,ROW($B8)-ROW($B$4),-1,1,1)-OFFSET(CashFlow!$B29,0,COLUMN(AL$4)-COLUMN($C$4),1,1)-OFFSET(CashFlow!$B11,0,COLUMN(AL$4)-COLUMN($C$4),1,1)</f>
        <v>112000</v>
      </c>
      <c r="AM8" s="51">
        <f ca="1">OFFSET(AM$4,ROW($B8)-ROW($B$4),-1,1,1)-OFFSET(CashFlow!$B29,0,COLUMN(AM$4)-COLUMN($C$4),1,1)-OFFSET(CashFlow!$B11,0,COLUMN(AM$4)-COLUMN($C$4),1,1)</f>
        <v>112000</v>
      </c>
      <c r="AN8" s="51">
        <f ca="1">OFFSET(AN$4,ROW($B8)-ROW($B$4),-1,1,1)-OFFSET(CashFlow!$B29,0,COLUMN(AN$4)-COLUMN($C$4),1,1)-OFFSET(CashFlow!$B11,0,COLUMN(AN$4)-COLUMN($C$4),1,1)</f>
        <v>112000</v>
      </c>
      <c r="AO8" s="51">
        <f ca="1">OFFSET(AO$4,ROW($B8)-ROW($B$4),-1,1,1)-OFFSET(CashFlow!$B29,0,COLUMN(AO$4)-COLUMN($C$4),1,1)-OFFSET(CashFlow!$B11,0,COLUMN(AO$4)-COLUMN($C$4),1,1)</f>
        <v>112000</v>
      </c>
      <c r="AP8" s="51">
        <f ca="1">OFFSET(AP$4,ROW($B8)-ROW($B$4),-1,1,1)-OFFSET(CashFlow!$B29,0,COLUMN(AP$4)-COLUMN($C$4),1,1)-OFFSET(CashFlow!$B11,0,COLUMN(AP$4)-COLUMN($C$4),1,1)</f>
        <v>111000</v>
      </c>
      <c r="AQ8" s="51">
        <f ca="1">OFFSET(AQ$4,ROW($B8)-ROW($B$4),-1,1,1)-OFFSET(CashFlow!$B29,0,COLUMN(AQ$4)-COLUMN($C$4),1,1)-OFFSET(CashFlow!$B11,0,COLUMN(AQ$4)-COLUMN($C$4),1,1)</f>
        <v>111000</v>
      </c>
      <c r="AR8" s="51">
        <f ca="1">OFFSET(AR$4,ROW($B8)-ROW($B$4),-1,1,1)-OFFSET(CashFlow!$B29,0,COLUMN(AR$4)-COLUMN($C$4),1,1)-OFFSET(CashFlow!$B11,0,COLUMN(AR$4)-COLUMN($C$4),1,1)</f>
        <v>111000</v>
      </c>
      <c r="AS8" s="51">
        <f ca="1">OFFSET(AS$4,ROW($B8)-ROW($B$4),-1,1,1)-OFFSET(CashFlow!$B29,0,COLUMN(AS$4)-COLUMN($C$4),1,1)-OFFSET(CashFlow!$B11,0,COLUMN(AS$4)-COLUMN($C$4),1,1)</f>
        <v>111000</v>
      </c>
      <c r="AT8" s="51">
        <f ca="1">OFFSET(AT$4,ROW($B8)-ROW($B$4),-1,1,1)-OFFSET(CashFlow!$B29,0,COLUMN(AT$4)-COLUMN($C$4),1,1)-OFFSET(CashFlow!$B11,0,COLUMN(AT$4)-COLUMN($C$4),1,1)</f>
        <v>111000</v>
      </c>
      <c r="AU8" s="51">
        <f ca="1">OFFSET(AU$4,ROW($B8)-ROW($B$4),-1,1,1)-OFFSET(CashFlow!$B29,0,COLUMN(AU$4)-COLUMN($C$4),1,1)-OFFSET(CashFlow!$B11,0,COLUMN(AU$4)-COLUMN($C$4),1,1)</f>
        <v>110000</v>
      </c>
      <c r="AV8" s="51">
        <f ca="1">OFFSET(AV$4,ROW($B8)-ROW($B$4),-1,1,1)-OFFSET(CashFlow!$B29,0,COLUMN(AV$4)-COLUMN($C$4),1,1)-OFFSET(CashFlow!$B11,0,COLUMN(AV$4)-COLUMN($C$4),1,1)</f>
        <v>110000</v>
      </c>
      <c r="AW8" s="51">
        <f ca="1">OFFSET(AW$4,ROW($B8)-ROW($B$4),-1,1,1)-OFFSET(CashFlow!$B29,0,COLUMN(AW$4)-COLUMN($C$4),1,1)-OFFSET(CashFlow!$B11,0,COLUMN(AW$4)-COLUMN($C$4),1,1)</f>
        <v>110000</v>
      </c>
      <c r="AX8" s="51">
        <f ca="1">OFFSET(AX$4,ROW($B8)-ROW($B$4),-1,1,1)-OFFSET(CashFlow!$B29,0,COLUMN(AX$4)-COLUMN($C$4),1,1)-OFFSET(CashFlow!$B11,0,COLUMN(AX$4)-COLUMN($C$4),1,1)</f>
        <v>110000</v>
      </c>
      <c r="AY8" s="51">
        <f ca="1">OFFSET(AY$4,ROW($B8)-ROW($B$4),-1,1,1)-OFFSET(CashFlow!$B29,0,COLUMN(AY$4)-COLUMN($C$4),1,1)-OFFSET(CashFlow!$B11,0,COLUMN(AY$4)-COLUMN($C$4),1,1)</f>
        <v>109000</v>
      </c>
      <c r="AZ8" s="51">
        <f ca="1">OFFSET(AZ$4,ROW($B8)-ROW($B$4),-1,1,1)-OFFSET(CashFlow!$B29,0,COLUMN(AZ$4)-COLUMN($C$4),1,1)-OFFSET(CashFlow!$B11,0,COLUMN(AZ$4)-COLUMN($C$4),1,1)</f>
        <v>109000</v>
      </c>
      <c r="BA8" s="51">
        <f ca="1">OFFSET(BA$4,ROW($B8)-ROW($B$4),-1,1,1)-OFFSET(CashFlow!$B29,0,COLUMN(BA$4)-COLUMN($C$4),1,1)-OFFSET(CashFlow!$B11,0,COLUMN(BA$4)-COLUMN($C$4),1,1)</f>
        <v>109000</v>
      </c>
      <c r="BB8" s="51">
        <f ca="1">OFFSET(BB$4,ROW($B8)-ROW($B$4),-1,1,1)-OFFSET(CashFlow!$B29,0,COLUMN(BB$4)-COLUMN($C$4),1,1)-OFFSET(CashFlow!$B11,0,COLUMN(BB$4)-COLUMN($C$4),1,1)</f>
        <v>109000</v>
      </c>
      <c r="BC8" s="51">
        <f ca="1">OFFSET(BC$4,ROW($B8)-ROW($B$4),-1,1,1)-OFFSET(CashFlow!$B29,0,COLUMN(BC$4)-COLUMN($C$4),1,1)-OFFSET(CashFlow!$B11,0,COLUMN(BC$4)-COLUMN($C$4),1,1)</f>
        <v>108000</v>
      </c>
      <c r="BD8" s="52">
        <f ca="1">OFFSET($B8,0,Assumptions!$C$8+1,1,1)</f>
        <v>117000</v>
      </c>
      <c r="BE8" s="52">
        <f ca="1">OFFSET($B8,0,SUM(Assumptions!$C$8:$C$9)+1,1,1)</f>
        <v>114000</v>
      </c>
      <c r="BF8" s="52">
        <f ca="1">OFFSET($B8,0,SUM(Assumptions!$C$8:$C$10)+1,1,1)</f>
        <v>111000</v>
      </c>
      <c r="BG8" s="52">
        <f ca="1">OFFSET($B8,0,SUM(Assumptions!$C$8:$C$11)+1,1,1)</f>
        <v>108000</v>
      </c>
      <c r="BH8" s="52">
        <f t="shared" ref="BH8:BH9" ca="1" si="2">BG8</f>
        <v>108000</v>
      </c>
    </row>
    <row r="9" spans="1:60" ht="16.149999999999999" customHeight="1" x14ac:dyDescent="0.3">
      <c r="A9" s="164" t="s">
        <v>141</v>
      </c>
      <c r="B9" s="12" t="s">
        <v>142</v>
      </c>
      <c r="C9" s="51">
        <f ca="1">SUMIF(Assumptions!$A$81:$C$104,$A9,Assumptions!$C$81:$C$104)</f>
        <v>800000</v>
      </c>
      <c r="D9" s="51">
        <f ca="1">OFFSET(D$4,ROW($B9)-ROW($B$4),-1,1,1)-OFFSET(CashFlow!$B30,0,COLUMN(D$4)-COLUMN($C$4),1,1)</f>
        <v>800000</v>
      </c>
      <c r="E9" s="51">
        <f ca="1">OFFSET(E$4,ROW($B9)-ROW($B$4),-1,1,1)-OFFSET(CashFlow!$B30,0,COLUMN(E$4)-COLUMN($C$4),1,1)</f>
        <v>800000</v>
      </c>
      <c r="F9" s="51">
        <f ca="1">OFFSET(F$4,ROW($B9)-ROW($B$4),-1,1,1)-OFFSET(CashFlow!$B30,0,COLUMN(F$4)-COLUMN($C$4),1,1)</f>
        <v>800000</v>
      </c>
      <c r="G9" s="51">
        <f ca="1">OFFSET(G$4,ROW($B9)-ROW($B$4),-1,1,1)-OFFSET(CashFlow!$B30,0,COLUMN(G$4)-COLUMN($C$4),1,1)</f>
        <v>800000</v>
      </c>
      <c r="H9" s="51">
        <f ca="1">OFFSET(H$4,ROW($B9)-ROW($B$4),-1,1,1)-OFFSET(CashFlow!$B30,0,COLUMN(H$4)-COLUMN($C$4),1,1)</f>
        <v>800000</v>
      </c>
      <c r="I9" s="51">
        <f ca="1">OFFSET(I$4,ROW($B9)-ROW($B$4),-1,1,1)-OFFSET(CashFlow!$B30,0,COLUMN(I$4)-COLUMN($C$4),1,1)</f>
        <v>800000</v>
      </c>
      <c r="J9" s="51">
        <f ca="1">OFFSET(J$4,ROW($B9)-ROW($B$4),-1,1,1)-OFFSET(CashFlow!$B30,0,COLUMN(J$4)-COLUMN($C$4),1,1)</f>
        <v>800000</v>
      </c>
      <c r="K9" s="51">
        <f ca="1">OFFSET(K$4,ROW($B9)-ROW($B$4),-1,1,1)-OFFSET(CashFlow!$B30,0,COLUMN(K$4)-COLUMN($C$4),1,1)</f>
        <v>800000</v>
      </c>
      <c r="L9" s="51">
        <f ca="1">OFFSET(L$4,ROW($B9)-ROW($B$4),-1,1,1)-OFFSET(CashFlow!$B30,0,COLUMN(L$4)-COLUMN($C$4),1,1)</f>
        <v>800000</v>
      </c>
      <c r="M9" s="51">
        <f ca="1">OFFSET(M$4,ROW($B9)-ROW($B$4),-1,1,1)-OFFSET(CashFlow!$B30,0,COLUMN(M$4)-COLUMN($C$4),1,1)</f>
        <v>800000</v>
      </c>
      <c r="N9" s="51">
        <f ca="1">OFFSET(N$4,ROW($B9)-ROW($B$4),-1,1,1)-OFFSET(CashFlow!$B30,0,COLUMN(N$4)-COLUMN($C$4),1,1)</f>
        <v>800000</v>
      </c>
      <c r="O9" s="51">
        <f ca="1">OFFSET(O$4,ROW($B9)-ROW($B$4),-1,1,1)-OFFSET(CashFlow!$B30,0,COLUMN(O$4)-COLUMN($C$4),1,1)</f>
        <v>800000</v>
      </c>
      <c r="P9" s="51">
        <f ca="1">OFFSET(P$4,ROW($B9)-ROW($B$4),-1,1,1)-OFFSET(CashFlow!$B30,0,COLUMN(P$4)-COLUMN($C$4),1,1)</f>
        <v>800000</v>
      </c>
      <c r="Q9" s="51">
        <f ca="1">OFFSET(Q$4,ROW($B9)-ROW($B$4),-1,1,1)-OFFSET(CashFlow!$B30,0,COLUMN(Q$4)-COLUMN($C$4),1,1)</f>
        <v>800000</v>
      </c>
      <c r="R9" s="51">
        <f ca="1">OFFSET(R$4,ROW($B9)-ROW($B$4),-1,1,1)-OFFSET(CashFlow!$B30,0,COLUMN(R$4)-COLUMN($C$4),1,1)</f>
        <v>800000</v>
      </c>
      <c r="S9" s="51">
        <f ca="1">OFFSET(S$4,ROW($B9)-ROW($B$4),-1,1,1)-OFFSET(CashFlow!$B30,0,COLUMN(S$4)-COLUMN($C$4),1,1)</f>
        <v>800000</v>
      </c>
      <c r="T9" s="51">
        <f ca="1">OFFSET(T$4,ROW($B9)-ROW($B$4),-1,1,1)-OFFSET(CashFlow!$B30,0,COLUMN(T$4)-COLUMN($C$4),1,1)</f>
        <v>800000</v>
      </c>
      <c r="U9" s="51">
        <f ca="1">OFFSET(U$4,ROW($B9)-ROW($B$4),-1,1,1)-OFFSET(CashFlow!$B30,0,COLUMN(U$4)-COLUMN($C$4),1,1)</f>
        <v>800000</v>
      </c>
      <c r="V9" s="51">
        <f ca="1">OFFSET(V$4,ROW($B9)-ROW($B$4),-1,1,1)-OFFSET(CashFlow!$B30,0,COLUMN(V$4)-COLUMN($C$4),1,1)</f>
        <v>800000</v>
      </c>
      <c r="W9" s="51">
        <f ca="1">OFFSET(W$4,ROW($B9)-ROW($B$4),-1,1,1)-OFFSET(CashFlow!$B30,0,COLUMN(W$4)-COLUMN($C$4),1,1)</f>
        <v>800000</v>
      </c>
      <c r="X9" s="51">
        <f ca="1">OFFSET(X$4,ROW($B9)-ROW($B$4),-1,1,1)-OFFSET(CashFlow!$B30,0,COLUMN(X$4)-COLUMN($C$4),1,1)</f>
        <v>800000</v>
      </c>
      <c r="Y9" s="51">
        <f ca="1">OFFSET(Y$4,ROW($B9)-ROW($B$4),-1,1,1)-OFFSET(CashFlow!$B30,0,COLUMN(Y$4)-COLUMN($C$4),1,1)</f>
        <v>800000</v>
      </c>
      <c r="Z9" s="51">
        <f ca="1">OFFSET(Z$4,ROW($B9)-ROW($B$4),-1,1,1)-OFFSET(CashFlow!$B30,0,COLUMN(Z$4)-COLUMN($C$4),1,1)</f>
        <v>800000</v>
      </c>
      <c r="AA9" s="51">
        <f ca="1">OFFSET(AA$4,ROW($B9)-ROW($B$4),-1,1,1)-OFFSET(CashFlow!$B30,0,COLUMN(AA$4)-COLUMN($C$4),1,1)</f>
        <v>800000</v>
      </c>
      <c r="AB9" s="51">
        <f ca="1">OFFSET(AB$4,ROW($B9)-ROW($B$4),-1,1,1)-OFFSET(CashFlow!$B30,0,COLUMN(AB$4)-COLUMN($C$4),1,1)</f>
        <v>800000</v>
      </c>
      <c r="AC9" s="51">
        <f ca="1">OFFSET(AC$4,ROW($B9)-ROW($B$4),-1,1,1)-OFFSET(CashFlow!$B30,0,COLUMN(AC$4)-COLUMN($C$4),1,1)</f>
        <v>800000</v>
      </c>
      <c r="AD9" s="51">
        <f ca="1">OFFSET(AD$4,ROW($B9)-ROW($B$4),-1,1,1)-OFFSET(CashFlow!$B30,0,COLUMN(AD$4)-COLUMN($C$4),1,1)</f>
        <v>800000</v>
      </c>
      <c r="AE9" s="51">
        <f ca="1">OFFSET(AE$4,ROW($B9)-ROW($B$4),-1,1,1)-OFFSET(CashFlow!$B30,0,COLUMN(AE$4)-COLUMN($C$4),1,1)</f>
        <v>800000</v>
      </c>
      <c r="AF9" s="51">
        <f ca="1">OFFSET(AF$4,ROW($B9)-ROW($B$4),-1,1,1)-OFFSET(CashFlow!$B30,0,COLUMN(AF$4)-COLUMN($C$4),1,1)</f>
        <v>800000</v>
      </c>
      <c r="AG9" s="51">
        <f ca="1">OFFSET(AG$4,ROW($B9)-ROW($B$4),-1,1,1)-OFFSET(CashFlow!$B30,0,COLUMN(AG$4)-COLUMN($C$4),1,1)</f>
        <v>800000</v>
      </c>
      <c r="AH9" s="51">
        <f ca="1">OFFSET(AH$4,ROW($B9)-ROW($B$4),-1,1,1)-OFFSET(CashFlow!$B30,0,COLUMN(AH$4)-COLUMN($C$4),1,1)</f>
        <v>800000</v>
      </c>
      <c r="AI9" s="51">
        <f ca="1">OFFSET(AI$4,ROW($B9)-ROW($B$4),-1,1,1)-OFFSET(CashFlow!$B30,0,COLUMN(AI$4)-COLUMN($C$4),1,1)</f>
        <v>800000</v>
      </c>
      <c r="AJ9" s="51">
        <f ca="1">OFFSET(AJ$4,ROW($B9)-ROW($B$4),-1,1,1)-OFFSET(CashFlow!$B30,0,COLUMN(AJ$4)-COLUMN($C$4),1,1)</f>
        <v>800000</v>
      </c>
      <c r="AK9" s="51">
        <f ca="1">OFFSET(AK$4,ROW($B9)-ROW($B$4),-1,1,1)-OFFSET(CashFlow!$B30,0,COLUMN(AK$4)-COLUMN($C$4),1,1)</f>
        <v>800000</v>
      </c>
      <c r="AL9" s="51">
        <f ca="1">OFFSET(AL$4,ROW($B9)-ROW($B$4),-1,1,1)-OFFSET(CashFlow!$B30,0,COLUMN(AL$4)-COLUMN($C$4),1,1)</f>
        <v>800000</v>
      </c>
      <c r="AM9" s="51">
        <f ca="1">OFFSET(AM$4,ROW($B9)-ROW($B$4),-1,1,1)-OFFSET(CashFlow!$B30,0,COLUMN(AM$4)-COLUMN($C$4),1,1)</f>
        <v>800000</v>
      </c>
      <c r="AN9" s="51">
        <f ca="1">OFFSET(AN$4,ROW($B9)-ROW($B$4),-1,1,1)-OFFSET(CashFlow!$B30,0,COLUMN(AN$4)-COLUMN($C$4),1,1)</f>
        <v>800000</v>
      </c>
      <c r="AO9" s="51">
        <f ca="1">OFFSET(AO$4,ROW($B9)-ROW($B$4),-1,1,1)-OFFSET(CashFlow!$B30,0,COLUMN(AO$4)-COLUMN($C$4),1,1)</f>
        <v>800000</v>
      </c>
      <c r="AP9" s="51">
        <f ca="1">OFFSET(AP$4,ROW($B9)-ROW($B$4),-1,1,1)-OFFSET(CashFlow!$B30,0,COLUMN(AP$4)-COLUMN($C$4),1,1)</f>
        <v>800000</v>
      </c>
      <c r="AQ9" s="51">
        <f ca="1">OFFSET(AQ$4,ROW($B9)-ROW($B$4),-1,1,1)-OFFSET(CashFlow!$B30,0,COLUMN(AQ$4)-COLUMN($C$4),1,1)</f>
        <v>800000</v>
      </c>
      <c r="AR9" s="51">
        <f ca="1">OFFSET(AR$4,ROW($B9)-ROW($B$4),-1,1,1)-OFFSET(CashFlow!$B30,0,COLUMN(AR$4)-COLUMN($C$4),1,1)</f>
        <v>800000</v>
      </c>
      <c r="AS9" s="51">
        <f ca="1">OFFSET(AS$4,ROW($B9)-ROW($B$4),-1,1,1)-OFFSET(CashFlow!$B30,0,COLUMN(AS$4)-COLUMN($C$4),1,1)</f>
        <v>800000</v>
      </c>
      <c r="AT9" s="51">
        <f ca="1">OFFSET(AT$4,ROW($B9)-ROW($B$4),-1,1,1)-OFFSET(CashFlow!$B30,0,COLUMN(AT$4)-COLUMN($C$4),1,1)</f>
        <v>800000</v>
      </c>
      <c r="AU9" s="51">
        <f ca="1">OFFSET(AU$4,ROW($B9)-ROW($B$4),-1,1,1)-OFFSET(CashFlow!$B30,0,COLUMN(AU$4)-COLUMN($C$4),1,1)</f>
        <v>800000</v>
      </c>
      <c r="AV9" s="51">
        <f ca="1">OFFSET(AV$4,ROW($B9)-ROW($B$4),-1,1,1)-OFFSET(CashFlow!$B30,0,COLUMN(AV$4)-COLUMN($C$4),1,1)</f>
        <v>800000</v>
      </c>
      <c r="AW9" s="51">
        <f ca="1">OFFSET(AW$4,ROW($B9)-ROW($B$4),-1,1,1)-OFFSET(CashFlow!$B30,0,COLUMN(AW$4)-COLUMN($C$4),1,1)</f>
        <v>800000</v>
      </c>
      <c r="AX9" s="51">
        <f ca="1">OFFSET(AX$4,ROW($B9)-ROW($B$4),-1,1,1)-OFFSET(CashFlow!$B30,0,COLUMN(AX$4)-COLUMN($C$4),1,1)</f>
        <v>800000</v>
      </c>
      <c r="AY9" s="51">
        <f ca="1">OFFSET(AY$4,ROW($B9)-ROW($B$4),-1,1,1)-OFFSET(CashFlow!$B30,0,COLUMN(AY$4)-COLUMN($C$4),1,1)</f>
        <v>800000</v>
      </c>
      <c r="AZ9" s="51">
        <f ca="1">OFFSET(AZ$4,ROW($B9)-ROW($B$4),-1,1,1)-OFFSET(CashFlow!$B30,0,COLUMN(AZ$4)-COLUMN($C$4),1,1)</f>
        <v>800000</v>
      </c>
      <c r="BA9" s="51">
        <f ca="1">OFFSET(BA$4,ROW($B9)-ROW($B$4),-1,1,1)-OFFSET(CashFlow!$B30,0,COLUMN(BA$4)-COLUMN($C$4),1,1)</f>
        <v>800000</v>
      </c>
      <c r="BB9" s="51">
        <f ca="1">OFFSET(BB$4,ROW($B9)-ROW($B$4),-1,1,1)-OFFSET(CashFlow!$B30,0,COLUMN(BB$4)-COLUMN($C$4),1,1)</f>
        <v>800000</v>
      </c>
      <c r="BC9" s="51">
        <f ca="1">OFFSET(BC$4,ROW($B9)-ROW($B$4),-1,1,1)-OFFSET(CashFlow!$B30,0,COLUMN(BC$4)-COLUMN($C$4),1,1)</f>
        <v>800000</v>
      </c>
      <c r="BD9" s="52">
        <f ca="1">OFFSET($B9,0,Assumptions!$C$8+1,1,1)</f>
        <v>800000</v>
      </c>
      <c r="BE9" s="52">
        <f ca="1">OFFSET($B9,0,SUM(Assumptions!$C$8:$C$9)+1,1,1)</f>
        <v>800000</v>
      </c>
      <c r="BF9" s="52">
        <f ca="1">OFFSET($B9,0,SUM(Assumptions!$C$8:$C$10)+1,1,1)</f>
        <v>800000</v>
      </c>
      <c r="BG9" s="52">
        <f ca="1">OFFSET($B9,0,SUM(Assumptions!$C$8:$C$11)+1,1,1)</f>
        <v>800000</v>
      </c>
      <c r="BH9" s="52">
        <f t="shared" ca="1" si="2"/>
        <v>800000</v>
      </c>
    </row>
    <row r="10" spans="1:60" ht="16.149999999999999" customHeight="1" thickBot="1" x14ac:dyDescent="0.35">
      <c r="C10" s="93">
        <f ca="1">SUM(C7:C9)</f>
        <v>1970000</v>
      </c>
      <c r="D10" s="93">
        <f t="shared" ref="D10:BH10" ca="1" si="3">SUM(D7:D9)</f>
        <v>1970000</v>
      </c>
      <c r="E10" s="93">
        <f t="shared" ca="1" si="3"/>
        <v>1970000</v>
      </c>
      <c r="F10" s="93">
        <f t="shared" ca="1" si="3"/>
        <v>1970000</v>
      </c>
      <c r="G10" s="93">
        <f t="shared" ca="1" si="3"/>
        <v>1970000</v>
      </c>
      <c r="H10" s="93">
        <f t="shared" ca="1" si="3"/>
        <v>1954000</v>
      </c>
      <c r="I10" s="93">
        <f t="shared" ca="1" si="3"/>
        <v>1954000</v>
      </c>
      <c r="J10" s="93">
        <f t="shared" ca="1" si="3"/>
        <v>1954000</v>
      </c>
      <c r="K10" s="93">
        <f t="shared" ca="1" si="3"/>
        <v>1954000</v>
      </c>
      <c r="L10" s="93">
        <f t="shared" ca="1" si="3"/>
        <v>1938000</v>
      </c>
      <c r="M10" s="93">
        <f t="shared" ca="1" si="3"/>
        <v>1938000</v>
      </c>
      <c r="N10" s="93">
        <f t="shared" ca="1" si="3"/>
        <v>1938000</v>
      </c>
      <c r="O10" s="93">
        <f t="shared" ca="1" si="3"/>
        <v>1938000</v>
      </c>
      <c r="P10" s="93">
        <f t="shared" ca="1" si="3"/>
        <v>1922000</v>
      </c>
      <c r="Q10" s="93">
        <f t="shared" ca="1" si="3"/>
        <v>1922000</v>
      </c>
      <c r="R10" s="93">
        <f t="shared" ca="1" si="3"/>
        <v>1922000</v>
      </c>
      <c r="S10" s="93">
        <f t="shared" ca="1" si="3"/>
        <v>1922000</v>
      </c>
      <c r="T10" s="93">
        <f t="shared" ca="1" si="3"/>
        <v>1922000</v>
      </c>
      <c r="U10" s="93">
        <f t="shared" ca="1" si="3"/>
        <v>1906000</v>
      </c>
      <c r="V10" s="93">
        <f t="shared" ca="1" si="3"/>
        <v>1906000</v>
      </c>
      <c r="W10" s="93">
        <f t="shared" ca="1" si="3"/>
        <v>1906000</v>
      </c>
      <c r="X10" s="93">
        <f t="shared" ca="1" si="3"/>
        <v>1906000</v>
      </c>
      <c r="Y10" s="93">
        <f t="shared" ca="1" si="3"/>
        <v>1890000</v>
      </c>
      <c r="Z10" s="93">
        <f t="shared" ca="1" si="3"/>
        <v>1890000</v>
      </c>
      <c r="AA10" s="93">
        <f t="shared" ca="1" si="3"/>
        <v>1890000</v>
      </c>
      <c r="AB10" s="93">
        <f t="shared" ca="1" si="3"/>
        <v>1890000</v>
      </c>
      <c r="AC10" s="93">
        <f t="shared" ca="1" si="3"/>
        <v>1874000</v>
      </c>
      <c r="AD10" s="93">
        <f t="shared" ca="1" si="3"/>
        <v>1874000</v>
      </c>
      <c r="AE10" s="93">
        <f t="shared" ca="1" si="3"/>
        <v>1874000</v>
      </c>
      <c r="AF10" s="93">
        <f t="shared" ca="1" si="3"/>
        <v>1874000</v>
      </c>
      <c r="AG10" s="93">
        <f t="shared" ca="1" si="3"/>
        <v>1874000</v>
      </c>
      <c r="AH10" s="93">
        <f t="shared" ca="1" si="3"/>
        <v>1858000</v>
      </c>
      <c r="AI10" s="93">
        <f t="shared" ca="1" si="3"/>
        <v>1858000</v>
      </c>
      <c r="AJ10" s="93">
        <f t="shared" ca="1" si="3"/>
        <v>1858000</v>
      </c>
      <c r="AK10" s="93">
        <f t="shared" ca="1" si="3"/>
        <v>1858000</v>
      </c>
      <c r="AL10" s="93">
        <f t="shared" ca="1" si="3"/>
        <v>1842000</v>
      </c>
      <c r="AM10" s="93">
        <f t="shared" ca="1" si="3"/>
        <v>1842000</v>
      </c>
      <c r="AN10" s="93">
        <f t="shared" ca="1" si="3"/>
        <v>1842000</v>
      </c>
      <c r="AO10" s="93">
        <f t="shared" ca="1" si="3"/>
        <v>1842000</v>
      </c>
      <c r="AP10" s="93">
        <f t="shared" ca="1" si="3"/>
        <v>1826000</v>
      </c>
      <c r="AQ10" s="93">
        <f t="shared" ca="1" si="3"/>
        <v>1826000</v>
      </c>
      <c r="AR10" s="93">
        <f t="shared" ca="1" si="3"/>
        <v>1826000</v>
      </c>
      <c r="AS10" s="93">
        <f t="shared" ca="1" si="3"/>
        <v>1826000</v>
      </c>
      <c r="AT10" s="93">
        <f t="shared" ca="1" si="3"/>
        <v>1826000</v>
      </c>
      <c r="AU10" s="93">
        <f t="shared" ca="1" si="3"/>
        <v>1810000</v>
      </c>
      <c r="AV10" s="93">
        <f t="shared" ca="1" si="3"/>
        <v>2050000</v>
      </c>
      <c r="AW10" s="93">
        <f t="shared" ca="1" si="3"/>
        <v>2050000</v>
      </c>
      <c r="AX10" s="93">
        <f t="shared" ca="1" si="3"/>
        <v>2050000</v>
      </c>
      <c r="AY10" s="93">
        <f t="shared" ca="1" si="3"/>
        <v>2030000</v>
      </c>
      <c r="AZ10" s="93">
        <f t="shared" ca="1" si="3"/>
        <v>2030000</v>
      </c>
      <c r="BA10" s="93">
        <f t="shared" ca="1" si="3"/>
        <v>2030000</v>
      </c>
      <c r="BB10" s="93">
        <f t="shared" ca="1" si="3"/>
        <v>2030000</v>
      </c>
      <c r="BC10" s="93">
        <f t="shared" ca="1" si="3"/>
        <v>2010000</v>
      </c>
      <c r="BD10" s="57">
        <f t="shared" ca="1" si="3"/>
        <v>1922000</v>
      </c>
      <c r="BE10" s="57">
        <f t="shared" ca="1" si="3"/>
        <v>1874000</v>
      </c>
      <c r="BF10" s="57">
        <f t="shared" ca="1" si="3"/>
        <v>1826000</v>
      </c>
      <c r="BG10" s="57">
        <f t="shared" ca="1" si="3"/>
        <v>2010000</v>
      </c>
      <c r="BH10" s="57">
        <f t="shared" ca="1" si="3"/>
        <v>2010000</v>
      </c>
    </row>
    <row r="11" spans="1:60" s="10" customFormat="1" ht="16.149999999999999" customHeight="1" x14ac:dyDescent="0.25">
      <c r="A11" s="165"/>
      <c r="B11" s="94" t="s">
        <v>34</v>
      </c>
      <c r="C11" s="52"/>
      <c r="D11" s="52"/>
      <c r="E11" s="52"/>
      <c r="F11" s="52"/>
      <c r="G11" s="52"/>
      <c r="H11" s="52"/>
      <c r="I11" s="52"/>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row>
    <row r="12" spans="1:60" ht="16.149999999999999" customHeight="1" x14ac:dyDescent="0.3">
      <c r="A12" s="164" t="s">
        <v>145</v>
      </c>
      <c r="B12" s="31" t="s">
        <v>25</v>
      </c>
      <c r="C12" s="51">
        <f ca="1">SUMIF(Assumptions!$A$81:$C$104,$A12,Assumptions!$C$81:$C$104)</f>
        <v>170000</v>
      </c>
      <c r="D12" s="95">
        <f ca="1">(IF(D$46&lt;=D$43,0,IF(ISNA(MATCH(D$4-D$46,$A$4:$BH$4,1)),SUM($D$47:D$47),SUM(OFFSET($A$47,0,MATCH(D$4-D$46,$A$4:$BH$4,1)+1,1,COLUMN(D$4)-MATCH(D$4-D$46,$A$4:$BH$4,1)-1)))))+(IF(D$4-D$46=D$4,0,IF(D$4-D$46&lt;$C$4,0,IF(ISNA(MATCH(D$4-D$46,$A$4:$BH$4,1)),0,OFFSET($A$47,0,MATCH(D$4-D$46,$A$4:$BH$4,1),1,1)/7*(OFFSET($A$4,0,MATCH(D$4-D$46,$A$4:$BH$4,1),1,1)-(D$4-D$46))))))+IF(C$46=0,0,($C$12/$C$46*IF($C$4&gt;(D$4-D$46),$C$4-(D$4-D$46),0)))</f>
        <v>169333.33333333334</v>
      </c>
      <c r="E12" s="95">
        <f ca="1">(IF(E$46&lt;=E$43,0,IF(ISNA(MATCH(E$4-E$46,$A$4:$BH$4,1)),SUM($D$47:E$47),SUM(OFFSET($A$47,0,MATCH(E$4-E$46,$A$4:$BH$4,1)+1,1,COLUMN(E$4)-MATCH(E$4-E$46,$A$4:$BH$4,1)-1)))))+(IF(E$4-E$46=E$4,0,IF(E$4-E$46&lt;$C$4,0,IF(ISNA(MATCH(E$4-E$46,$A$4:$BH$4,1)),0,OFFSET($A$47,0,MATCH(E$4-E$46,$A$4:$BH$4,1),1,1)/7*(OFFSET($A$4,0,MATCH(E$4-E$46,$A$4:$BH$4,1),1,1)-(E$4-E$46))))))+IF(D$46=0,0,($C$12/$C$46*IF($C$4&gt;(E$4-E$46),$C$4-(E$4-E$46),0)))</f>
        <v>162588.26666666666</v>
      </c>
      <c r="F12" s="95">
        <f ca="1">(IF(F$46&lt;=F$43,0,IF(ISNA(MATCH(F$4-F$46,$A$4:$BH$4,1)),SUM($D$47:F$47),SUM(OFFSET($A$47,0,MATCH(F$4-F$46,$A$4:$BH$4,1)+1,1,COLUMN(F$4)-MATCH(F$4-F$46,$A$4:$BH$4,1)-1)))))+(IF(F$4-F$46=F$4,0,IF(F$4-F$46&lt;$C$4,0,IF(ISNA(MATCH(F$4-F$46,$A$4:$BH$4,1)),0,OFFSET($A$47,0,MATCH(F$4-F$46,$A$4:$BH$4,1),1,1)/7*(OFFSET($A$4,0,MATCH(F$4-F$46,$A$4:$BH$4,1),1,1)-(F$4-F$46))))))+IF(E$46=0,0,($C$12/$C$46*IF($C$4&gt;(F$4-F$46),$C$4-(F$4-F$46),0)))</f>
        <v>164521.60000000001</v>
      </c>
      <c r="G12" s="95">
        <f ca="1">(IF(G$46&lt;=G$43,0,IF(ISNA(MATCH(G$4-G$46,$A$4:$BH$4,1)),SUM($D$47:G$47),SUM(OFFSET($A$47,0,MATCH(G$4-G$46,$A$4:$BH$4,1)+1,1,COLUMN(G$4)-MATCH(G$4-G$46,$A$4:$BH$4,1)-1)))))+(IF(G$4-G$46=G$4,0,IF(G$4-G$46&lt;$C$4,0,IF(ISNA(MATCH(G$4-G$46,$A$4:$BH$4,1)),0,OFFSET($A$47,0,MATCH(G$4-G$46,$A$4:$BH$4,1),1,1)/7*(OFFSET($A$4,0,MATCH(G$4-G$46,$A$4:$BH$4,1),1,1)-(G$4-G$46))))))+IF(F$46=0,0,($C$12/$C$46*IF($C$4&gt;(G$4-G$46),$C$4-(G$4-G$46),0)))</f>
        <v>167494.93333333335</v>
      </c>
      <c r="H12" s="95">
        <f ca="1">(IF(H$46&lt;=H$43,0,IF(ISNA(MATCH(H$4-H$46,$A$4:$BH$4,1)),SUM($D$47:H$47),SUM(OFFSET($A$47,0,MATCH(H$4-H$46,$A$4:$BH$4,1)+1,1,COLUMN(H$4)-MATCH(H$4-H$46,$A$4:$BH$4,1)-1)))))+(IF(H$4-H$46=H$4,0,IF(H$4-H$46&lt;$C$4,0,IF(ISNA(MATCH(H$4-H$46,$A$4:$BH$4,1)),0,OFFSET($A$47,0,MATCH(H$4-H$46,$A$4:$BH$4,1),1,1)/7*(OFFSET($A$4,0,MATCH(H$4-H$46,$A$4:$BH$4,1),1,1)-(H$4-H$46))))))+IF(G$46=0,0,($C$12/$C$46*IF($C$4&gt;(H$4-H$46),$C$4-(H$4-H$46),0)))</f>
        <v>169392.45714285714</v>
      </c>
      <c r="I12" s="95">
        <f ca="1">(IF(I$46&lt;=I$43,0,IF(ISNA(MATCH(I$4-I$46,$A$4:$BH$4,1)),SUM($D$47:I$47),SUM(OFFSET($A$47,0,MATCH(I$4-I$46,$A$4:$BH$4,1)+1,1,COLUMN(I$4)-MATCH(I$4-I$46,$A$4:$BH$4,1)-1)))))+(IF(I$4-I$46=I$4,0,IF(I$4-I$46&lt;$C$4,0,IF(ISNA(MATCH(I$4-I$46,$A$4:$BH$4,1)),0,OFFSET($A$47,0,MATCH(I$4-I$46,$A$4:$BH$4,1),1,1)/7*(OFFSET($A$4,0,MATCH(I$4-I$46,$A$4:$BH$4,1),1,1)-(I$4-I$46))))))+IF(H$46=0,0,($C$12/$C$46*IF($C$4&gt;(I$4-I$46),$C$4-(I$4-I$46),0)))</f>
        <v>173164.17142857143</v>
      </c>
      <c r="J12" s="95">
        <f ca="1">(IF(J$46&lt;=J$43,0,IF(ISNA(MATCH(J$4-J$46,$A$4:$BH$4,1)),SUM($D$47:J$47),SUM(OFFSET($A$47,0,MATCH(J$4-J$46,$A$4:$BH$4,1)+1,1,COLUMN(J$4)-MATCH(J$4-J$46,$A$4:$BH$4,1)-1)))))+(IF(J$4-J$46=J$4,0,IF(J$4-J$46&lt;$C$4,0,IF(ISNA(MATCH(J$4-J$46,$A$4:$BH$4,1)),0,OFFSET($A$47,0,MATCH(J$4-J$46,$A$4:$BH$4,1),1,1)/7*(OFFSET($A$4,0,MATCH(J$4-J$46,$A$4:$BH$4,1),1,1)-(J$4-J$46))))))+IF(I$46=0,0,($C$12/$C$46*IF($C$4&gt;(J$4-J$46),$C$4-(J$4-J$46),0)))</f>
        <v>168441.71428571429</v>
      </c>
      <c r="K12" s="95">
        <f ca="1">(IF(K$46&lt;=K$43,0,IF(ISNA(MATCH(K$4-K$46,$A$4:$BH$4,1)),SUM($D$47:K$47),SUM(OFFSET($A$47,0,MATCH(K$4-K$46,$A$4:$BH$4,1)+1,1,COLUMN(K$4)-MATCH(K$4-K$46,$A$4:$BH$4,1)-1)))))+(IF(K$4-K$46=K$4,0,IF(K$4-K$46&lt;$C$4,0,IF(ISNA(MATCH(K$4-K$46,$A$4:$BH$4,1)),0,OFFSET($A$47,0,MATCH(K$4-K$46,$A$4:$BH$4,1),1,1)/7*(OFFSET($A$4,0,MATCH(K$4-K$46,$A$4:$BH$4,1),1,1)-(K$4-K$46))))))+IF(J$46=0,0,($C$12/$C$46*IF($C$4&gt;(K$4-K$46),$C$4-(K$4-K$46),0)))</f>
        <v>165788.85714285713</v>
      </c>
      <c r="L12" s="95">
        <f ca="1">(IF(L$46&lt;=L$43,0,IF(ISNA(MATCH(L$4-L$46,$A$4:$BH$4,1)),SUM($D$47:L$47),SUM(OFFSET($A$47,0,MATCH(L$4-L$46,$A$4:$BH$4,1)+1,1,COLUMN(L$4)-MATCH(L$4-L$46,$A$4:$BH$4,1)-1)))))+(IF(L$4-L$46=L$4,0,IF(L$4-L$46&lt;$C$4,0,IF(ISNA(MATCH(L$4-L$46,$A$4:$BH$4,1)),0,OFFSET($A$47,0,MATCH(L$4-L$46,$A$4:$BH$4,1),1,1)/7*(OFFSET($A$4,0,MATCH(L$4-L$46,$A$4:$BH$4,1),1,1)-(L$4-L$46))))))+IF(K$46=0,0,($C$12/$C$46*IF($C$4&gt;(L$4-L$46),$C$4-(L$4-L$46),0)))</f>
        <v>162057.42857142858</v>
      </c>
      <c r="M12" s="95">
        <f ca="1">(IF(M$46&lt;=M$43,0,IF(ISNA(MATCH(M$4-M$46,$A$4:$BH$4,1)),SUM($D$47:M$47),SUM(OFFSET($A$47,0,MATCH(M$4-M$46,$A$4:$BH$4,1)+1,1,COLUMN(M$4)-MATCH(M$4-M$46,$A$4:$BH$4,1)-1)))))+(IF(M$4-M$46=M$4,0,IF(M$4-M$46&lt;$C$4,0,IF(ISNA(MATCH(M$4-M$46,$A$4:$BH$4,1)),0,OFFSET($A$47,0,MATCH(M$4-M$46,$A$4:$BH$4,1),1,1)/7*(OFFSET($A$4,0,MATCH(M$4-M$46,$A$4:$BH$4,1),1,1)-(M$4-M$46))))))+IF(L$46=0,0,($C$12/$C$46*IF($C$4&gt;(M$4-M$46),$C$4-(M$4-M$46),0)))</f>
        <v>163188</v>
      </c>
      <c r="N12" s="95">
        <f ca="1">(IF(N$46&lt;=N$43,0,IF(ISNA(MATCH(N$4-N$46,$A$4:$BH$4,1)),SUM($D$47:N$47),SUM(OFFSET($A$47,0,MATCH(N$4-N$46,$A$4:$BH$4,1)+1,1,COLUMN(N$4)-MATCH(N$4-N$46,$A$4:$BH$4,1)-1)))))+(IF(N$4-N$46=N$4,0,IF(N$4-N$46&lt;$C$4,0,IF(ISNA(MATCH(N$4-N$46,$A$4:$BH$4,1)),0,OFFSET($A$47,0,MATCH(N$4-N$46,$A$4:$BH$4,1),1,1)/7*(OFFSET($A$4,0,MATCH(N$4-N$46,$A$4:$BH$4,1),1,1)-(N$4-N$46))))))+IF(M$46=0,0,($C$12/$C$46*IF($C$4&gt;(N$4-N$46),$C$4-(N$4-N$46),0)))</f>
        <v>169218</v>
      </c>
      <c r="O12" s="95">
        <f ca="1">(IF(O$46&lt;=O$43,0,IF(ISNA(MATCH(O$4-O$46,$A$4:$BH$4,1)),SUM($D$47:O$47),SUM(OFFSET($A$47,0,MATCH(O$4-O$46,$A$4:$BH$4,1)+1,1,COLUMN(O$4)-MATCH(O$4-O$46,$A$4:$BH$4,1)-1)))))+(IF(O$4-O$46=O$4,0,IF(O$4-O$46&lt;$C$4,0,IF(ISNA(MATCH(O$4-O$46,$A$4:$BH$4,1)),0,OFFSET($A$47,0,MATCH(O$4-O$46,$A$4:$BH$4,1),1,1)/7*(OFFSET($A$4,0,MATCH(O$4-O$46,$A$4:$BH$4,1),1,1)-(O$4-O$46))))))+IF(N$46=0,0,($C$12/$C$46*IF($C$4&gt;(O$4-O$46),$C$4-(O$4-O$46),0)))</f>
        <v>172368</v>
      </c>
      <c r="P12" s="95">
        <f ca="1">(IF(P$46&lt;=P$43,0,IF(ISNA(MATCH(P$4-P$46,$A$4:$BH$4,1)),SUM($D$47:P$47),SUM(OFFSET($A$47,0,MATCH(P$4-P$46,$A$4:$BH$4,1)+1,1,COLUMN(P$4)-MATCH(P$4-P$46,$A$4:$BH$4,1)-1)))))+(IF(P$4-P$46=P$4,0,IF(P$4-P$46&lt;$C$4,0,IF(ISNA(MATCH(P$4-P$46,$A$4:$BH$4,1)),0,OFFSET($A$47,0,MATCH(P$4-P$46,$A$4:$BH$4,1),1,1)/7*(OFFSET($A$4,0,MATCH(P$4-P$46,$A$4:$BH$4,1),1,1)-(P$4-P$46))))))+IF(O$46=0,0,($C$12/$C$46*IF($C$4&gt;(P$4-P$46),$C$4-(P$4-P$46),0)))</f>
        <v>173088</v>
      </c>
      <c r="Q12" s="95">
        <f ca="1">(IF(Q$46&lt;=Q$43,0,IF(ISNA(MATCH(Q$4-Q$46,$A$4:$BH$4,1)),SUM($D$47:Q$47),SUM(OFFSET($A$47,0,MATCH(Q$4-Q$46,$A$4:$BH$4,1)+1,1,COLUMN(Q$4)-MATCH(Q$4-Q$46,$A$4:$BH$4,1)-1)))))+(IF(Q$4-Q$46=Q$4,0,IF(Q$4-Q$46&lt;$C$4,0,IF(ISNA(MATCH(Q$4-Q$46,$A$4:$BH$4,1)),0,OFFSET($A$47,0,MATCH(Q$4-Q$46,$A$4:$BH$4,1),1,1)/7*(OFFSET($A$4,0,MATCH(Q$4-Q$46,$A$4:$BH$4,1),1,1)-(Q$4-Q$46))))))+IF(P$46=0,0,($C$12/$C$46*IF($C$4&gt;(Q$4-Q$46),$C$4-(Q$4-Q$46),0)))</f>
        <v>177588</v>
      </c>
      <c r="R12" s="95">
        <f ca="1">(IF(R$46&lt;=R$43,0,IF(ISNA(MATCH(R$4-R$46,$A$4:$BH$4,1)),SUM($D$47:R$47),SUM(OFFSET($A$47,0,MATCH(R$4-R$46,$A$4:$BH$4,1)+1,1,COLUMN(R$4)-MATCH(R$4-R$46,$A$4:$BH$4,1)-1)))))+(IF(R$4-R$46=R$4,0,IF(R$4-R$46&lt;$C$4,0,IF(ISNA(MATCH(R$4-R$46,$A$4:$BH$4,1)),0,OFFSET($A$47,0,MATCH(R$4-R$46,$A$4:$BH$4,1),1,1)/7*(OFFSET($A$4,0,MATCH(R$4-R$46,$A$4:$BH$4,1),1,1)-(R$4-R$46))))))+IF(Q$46=0,0,($C$12/$C$46*IF($C$4&gt;(R$4-R$46),$C$4-(R$4-R$46),0)))</f>
        <v>176688</v>
      </c>
      <c r="S12" s="95">
        <f ca="1">(IF(S$46&lt;=S$43,0,IF(ISNA(MATCH(S$4-S$46,$A$4:$BH$4,1)),SUM($D$47:S$47),SUM(OFFSET($A$47,0,MATCH(S$4-S$46,$A$4:$BH$4,1)+1,1,COLUMN(S$4)-MATCH(S$4-S$46,$A$4:$BH$4,1)-1)))))+(IF(S$4-S$46=S$4,0,IF(S$4-S$46&lt;$C$4,0,IF(ISNA(MATCH(S$4-S$46,$A$4:$BH$4,1)),0,OFFSET($A$47,0,MATCH(S$4-S$46,$A$4:$BH$4,1),1,1)/7*(OFFSET($A$4,0,MATCH(S$4-S$46,$A$4:$BH$4,1),1,1)-(S$4-S$46))))))+IF(R$46=0,0,($C$12/$C$46*IF($C$4&gt;(S$4-S$46),$C$4-(S$4-S$46),0)))</f>
        <v>175986</v>
      </c>
      <c r="T12" s="95">
        <f ca="1">(IF(T$46&lt;=T$43,0,IF(ISNA(MATCH(T$4-T$46,$A$4:$BH$4,1)),SUM($D$47:T$47),SUM(OFFSET($A$47,0,MATCH(T$4-T$46,$A$4:$BH$4,1)+1,1,COLUMN(T$4)-MATCH(T$4-T$46,$A$4:$BH$4,1)-1)))))+(IF(T$4-T$46=T$4,0,IF(T$4-T$46&lt;$C$4,0,IF(ISNA(MATCH(T$4-T$46,$A$4:$BH$4,1)),0,OFFSET($A$47,0,MATCH(T$4-T$46,$A$4:$BH$4,1),1,1)/7*(OFFSET($A$4,0,MATCH(T$4-T$46,$A$4:$BH$4,1),1,1)-(T$4-T$46))))))+IF(S$46=0,0,($C$12/$C$46*IF($C$4&gt;(T$4-T$46),$C$4-(T$4-T$46),0)))</f>
        <v>179748</v>
      </c>
      <c r="U12" s="95">
        <f ca="1">(IF(U$46&lt;=U$43,0,IF(ISNA(MATCH(U$4-U$46,$A$4:$BH$4,1)),SUM($D$47:U$47),SUM(OFFSET($A$47,0,MATCH(U$4-U$46,$A$4:$BH$4,1)+1,1,COLUMN(U$4)-MATCH(U$4-U$46,$A$4:$BH$4,1)-1)))))+(IF(U$4-U$46=U$4,0,IF(U$4-U$46&lt;$C$4,0,IF(ISNA(MATCH(U$4-U$46,$A$4:$BH$4,1)),0,OFFSET($A$47,0,MATCH(U$4-U$46,$A$4:$BH$4,1),1,1)/7*(OFFSET($A$4,0,MATCH(U$4-U$46,$A$4:$BH$4,1),1,1)-(U$4-U$46))))))+IF(T$46=0,0,($C$12/$C$46*IF($C$4&gt;(U$4-U$46),$C$4-(U$4-U$46),0)))</f>
        <v>181692</v>
      </c>
      <c r="V12" s="95">
        <f ca="1">(IF(V$46&lt;=V$43,0,IF(ISNA(MATCH(V$4-V$46,$A$4:$BH$4,1)),SUM($D$47:V$47),SUM(OFFSET($A$47,0,MATCH(V$4-V$46,$A$4:$BH$4,1)+1,1,COLUMN(V$4)-MATCH(V$4-V$46,$A$4:$BH$4,1)-1)))))+(IF(V$4-V$46=V$4,0,IF(V$4-V$46&lt;$C$4,0,IF(ISNA(MATCH(V$4-V$46,$A$4:$BH$4,1)),0,OFFSET($A$47,0,MATCH(V$4-V$46,$A$4:$BH$4,1),1,1)/7*(OFFSET($A$4,0,MATCH(V$4-V$46,$A$4:$BH$4,1),1,1)-(V$4-V$46))))))+IF(U$46=0,0,($C$12/$C$46*IF($C$4&gt;(V$4-V$46),$C$4-(V$4-V$46),0)))</f>
        <v>184014</v>
      </c>
      <c r="W12" s="95">
        <f ca="1">(IF(W$46&lt;=W$43,0,IF(ISNA(MATCH(W$4-W$46,$A$4:$BH$4,1)),SUM($D$47:W$47),SUM(OFFSET($A$47,0,MATCH(W$4-W$46,$A$4:$BH$4,1)+1,1,COLUMN(W$4)-MATCH(W$4-W$46,$A$4:$BH$4,1)-1)))))+(IF(W$4-W$46=W$4,0,IF(W$4-W$46&lt;$C$4,0,IF(ISNA(MATCH(W$4-W$46,$A$4:$BH$4,1)),0,OFFSET($A$47,0,MATCH(W$4-W$46,$A$4:$BH$4,1),1,1)/7*(OFFSET($A$4,0,MATCH(W$4-W$46,$A$4:$BH$4,1),1,1)-(W$4-W$46))))))+IF(V$46=0,0,($C$12/$C$46*IF($C$4&gt;(W$4-W$46),$C$4-(W$4-W$46),0)))</f>
        <v>181864</v>
      </c>
      <c r="X12" s="95">
        <f ca="1">(IF(X$46&lt;=X$43,0,IF(ISNA(MATCH(X$4-X$46,$A$4:$BH$4,1)),SUM($D$47:X$47),SUM(OFFSET($A$47,0,MATCH(X$4-X$46,$A$4:$BH$4,1)+1,1,COLUMN(X$4)-MATCH(X$4-X$46,$A$4:$BH$4,1)-1)))))+(IF(X$4-X$46=X$4,0,IF(X$4-X$46&lt;$C$4,0,IF(ISNA(MATCH(X$4-X$46,$A$4:$BH$4,1)),0,OFFSET($A$47,0,MATCH(X$4-X$46,$A$4:$BH$4,1),1,1)/7*(OFFSET($A$4,0,MATCH(X$4-X$46,$A$4:$BH$4,1),1,1)-(X$4-X$46))))))+IF(W$46=0,0,($C$12/$C$46*IF($C$4&gt;(X$4-X$46),$C$4-(X$4-X$46),0)))</f>
        <v>178246</v>
      </c>
      <c r="Y12" s="95">
        <f ca="1">(IF(Y$46&lt;=Y$43,0,IF(ISNA(MATCH(Y$4-Y$46,$A$4:$BH$4,1)),SUM($D$47:Y$47),SUM(OFFSET($A$47,0,MATCH(Y$4-Y$46,$A$4:$BH$4,1)+1,1,COLUMN(Y$4)-MATCH(Y$4-Y$46,$A$4:$BH$4,1)-1)))))+(IF(Y$4-Y$46=Y$4,0,IF(Y$4-Y$46&lt;$C$4,0,IF(ISNA(MATCH(Y$4-Y$46,$A$4:$BH$4,1)),0,OFFSET($A$47,0,MATCH(Y$4-Y$46,$A$4:$BH$4,1),1,1)/7*(OFFSET($A$4,0,MATCH(Y$4-Y$46,$A$4:$BH$4,1),1,1)-(Y$4-Y$46))))))+IF(X$46=0,0,($C$12/$C$46*IF($C$4&gt;(Y$4-Y$46),$C$4-(Y$4-Y$46),0)))</f>
        <v>177366</v>
      </c>
      <c r="Z12" s="95">
        <f ca="1">(IF(Z$46&lt;=Z$43,0,IF(ISNA(MATCH(Z$4-Z$46,$A$4:$BH$4,1)),SUM($D$47:Z$47),SUM(OFFSET($A$47,0,MATCH(Z$4-Z$46,$A$4:$BH$4,1)+1,1,COLUMN(Z$4)-MATCH(Z$4-Z$46,$A$4:$BH$4,1)-1)))))+(IF(Z$4-Z$46=Z$4,0,IF(Z$4-Z$46&lt;$C$4,0,IF(ISNA(MATCH(Z$4-Z$46,$A$4:$BH$4,1)),0,OFFSET($A$47,0,MATCH(Z$4-Z$46,$A$4:$BH$4,1),1,1)/7*(OFFSET($A$4,0,MATCH(Z$4-Z$46,$A$4:$BH$4,1),1,1)-(Z$4-Z$46))))))+IF(Y$46=0,0,($C$12/$C$46*IF($C$4&gt;(Z$4-Z$46),$C$4-(Z$4-Z$46),0)))</f>
        <v>175304</v>
      </c>
      <c r="AA12" s="95">
        <f ca="1">(IF(AA$46&lt;=AA$43,0,IF(ISNA(MATCH(AA$4-AA$46,$A$4:$BH$4,1)),SUM($D$47:AA$47),SUM(OFFSET($A$47,0,MATCH(AA$4-AA$46,$A$4:$BH$4,1)+1,1,COLUMN(AA$4)-MATCH(AA$4-AA$46,$A$4:$BH$4,1)-1)))))+(IF(AA$4-AA$46=AA$4,0,IF(AA$4-AA$46&lt;$C$4,0,IF(ISNA(MATCH(AA$4-AA$46,$A$4:$BH$4,1)),0,OFFSET($A$47,0,MATCH(AA$4-AA$46,$A$4:$BH$4,1),1,1)/7*(OFFSET($A$4,0,MATCH(AA$4-AA$46,$A$4:$BH$4,1),1,1)-(AA$4-AA$46))))))+IF(Z$46=0,0,($C$12/$C$46*IF($C$4&gt;(AA$4-AA$46),$C$4-(AA$4-AA$46),0)))</f>
        <v>180242.85714285713</v>
      </c>
      <c r="AB12" s="95">
        <f ca="1">(IF(AB$46&lt;=AB$43,0,IF(ISNA(MATCH(AB$4-AB$46,$A$4:$BH$4,1)),SUM($D$47:AB$47),SUM(OFFSET($A$47,0,MATCH(AB$4-AB$46,$A$4:$BH$4,1)+1,1,COLUMN(AB$4)-MATCH(AB$4-AB$46,$A$4:$BH$4,1)-1)))))+(IF(AB$4-AB$46=AB$4,0,IF(AB$4-AB$46&lt;$C$4,0,IF(ISNA(MATCH(AB$4-AB$46,$A$4:$BH$4,1)),0,OFFSET($A$47,0,MATCH(AB$4-AB$46,$A$4:$BH$4,1),1,1)/7*(OFFSET($A$4,0,MATCH(AB$4-AB$46,$A$4:$BH$4,1),1,1)-(AB$4-AB$46))))))+IF(AA$46=0,0,($C$12/$C$46*IF($C$4&gt;(AB$4-AB$46),$C$4-(AB$4-AB$46),0)))</f>
        <v>185628</v>
      </c>
      <c r="AC12" s="95">
        <f ca="1">(IF(AC$46&lt;=AC$43,0,IF(ISNA(MATCH(AC$4-AC$46,$A$4:$BH$4,1)),SUM($D$47:AC$47),SUM(OFFSET($A$47,0,MATCH(AC$4-AC$46,$A$4:$BH$4,1)+1,1,COLUMN(AC$4)-MATCH(AC$4-AC$46,$A$4:$BH$4,1)-1)))))+(IF(AC$4-AC$46=AC$4,0,IF(AC$4-AC$46&lt;$C$4,0,IF(ISNA(MATCH(AC$4-AC$46,$A$4:$BH$4,1)),0,OFFSET($A$47,0,MATCH(AC$4-AC$46,$A$4:$BH$4,1),1,1)/7*(OFFSET($A$4,0,MATCH(AC$4-AC$46,$A$4:$BH$4,1),1,1)-(AC$4-AC$46))))))+IF(AB$46=0,0,($C$12/$C$46*IF($C$4&gt;(AC$4-AC$46),$C$4-(AC$4-AC$46),0)))</f>
        <v>186534</v>
      </c>
      <c r="AD12" s="95">
        <f ca="1">(IF(AD$46&lt;=AD$43,0,IF(ISNA(MATCH(AD$4-AD$46,$A$4:$BH$4,1)),SUM($D$47:AD$47),SUM(OFFSET($A$47,0,MATCH(AD$4-AD$46,$A$4:$BH$4,1)+1,1,COLUMN(AD$4)-MATCH(AD$4-AD$46,$A$4:$BH$4,1)-1)))))+(IF(AD$4-AD$46=AD$4,0,IF(AD$4-AD$46&lt;$C$4,0,IF(ISNA(MATCH(AD$4-AD$46,$A$4:$BH$4,1)),0,OFFSET($A$47,0,MATCH(AD$4-AD$46,$A$4:$BH$4,1),1,1)/7*(OFFSET($A$4,0,MATCH(AD$4-AD$46,$A$4:$BH$4,1),1,1)-(AD$4-AD$46))))))+IF(AC$46=0,0,($C$12/$C$46*IF($C$4&gt;(AD$4-AD$46),$C$4-(AD$4-AD$46),0)))</f>
        <v>187636.85714285713</v>
      </c>
      <c r="AE12" s="95">
        <f ca="1">(IF(AE$46&lt;=AE$43,0,IF(ISNA(MATCH(AE$4-AE$46,$A$4:$BH$4,1)),SUM($D$47:AE$47),SUM(OFFSET($A$47,0,MATCH(AE$4-AE$46,$A$4:$BH$4,1)+1,1,COLUMN(AE$4)-MATCH(AE$4-AE$46,$A$4:$BH$4,1)-1)))))+(IF(AE$4-AE$46=AE$4,0,IF(AE$4-AE$46&lt;$C$4,0,IF(ISNA(MATCH(AE$4-AE$46,$A$4:$BH$4,1)),0,OFFSET($A$47,0,MATCH(AE$4-AE$46,$A$4:$BH$4,1),1,1)/7*(OFFSET($A$4,0,MATCH(AE$4-AE$46,$A$4:$BH$4,1),1,1)-(AE$4-AE$46))))))+IF(AD$46=0,0,($C$12/$C$46*IF($C$4&gt;(AE$4-AE$46),$C$4-(AE$4-AE$46),0)))</f>
        <v>187759.14285714287</v>
      </c>
      <c r="AF12" s="95">
        <f ca="1">(IF(AF$46&lt;=AF$43,0,IF(ISNA(MATCH(AF$4-AF$46,$A$4:$BH$4,1)),SUM($D$47:AF$47),SUM(OFFSET($A$47,0,MATCH(AF$4-AF$46,$A$4:$BH$4,1)+1,1,COLUMN(AF$4)-MATCH(AF$4-AF$46,$A$4:$BH$4,1)-1)))))+(IF(AF$4-AF$46=AF$4,0,IF(AF$4-AF$46&lt;$C$4,0,IF(ISNA(MATCH(AF$4-AF$46,$A$4:$BH$4,1)),0,OFFSET($A$47,0,MATCH(AF$4-AF$46,$A$4:$BH$4,1),1,1)/7*(OFFSET($A$4,0,MATCH(AF$4-AF$46,$A$4:$BH$4,1),1,1)-(AF$4-AF$46))))))+IF(AE$46=0,0,($C$12/$C$46*IF($C$4&gt;(AF$4-AF$46),$C$4-(AF$4-AF$46),0)))</f>
        <v>187954</v>
      </c>
      <c r="AG12" s="95">
        <f ca="1">(IF(AG$46&lt;=AG$43,0,IF(ISNA(MATCH(AG$4-AG$46,$A$4:$BH$4,1)),SUM($D$47:AG$47),SUM(OFFSET($A$47,0,MATCH(AG$4-AG$46,$A$4:$BH$4,1)+1,1,COLUMN(AG$4)-MATCH(AG$4-AG$46,$A$4:$BH$4,1)-1)))))+(IF(AG$4-AG$46=AG$4,0,IF(AG$4-AG$46&lt;$C$4,0,IF(ISNA(MATCH(AG$4-AG$46,$A$4:$BH$4,1)),0,OFFSET($A$47,0,MATCH(AG$4-AG$46,$A$4:$BH$4,1),1,1)/7*(OFFSET($A$4,0,MATCH(AG$4-AG$46,$A$4:$BH$4,1),1,1)-(AG$4-AG$46))))))+IF(AF$46=0,0,($C$12/$C$46*IF($C$4&gt;(AG$4-AG$46),$C$4-(AG$4-AG$46),0)))</f>
        <v>186424.57142857142</v>
      </c>
      <c r="AH12" s="95">
        <f ca="1">(IF(AH$46&lt;=AH$43,0,IF(ISNA(MATCH(AH$4-AH$46,$A$4:$BH$4,1)),SUM($D$47:AH$47),SUM(OFFSET($A$47,0,MATCH(AH$4-AH$46,$A$4:$BH$4,1)+1,1,COLUMN(AH$4)-MATCH(AH$4-AH$46,$A$4:$BH$4,1)-1)))))+(IF(AH$4-AH$46=AH$4,0,IF(AH$4-AH$46&lt;$C$4,0,IF(ISNA(MATCH(AH$4-AH$46,$A$4:$BH$4,1)),0,OFFSET($A$47,0,MATCH(AH$4-AH$46,$A$4:$BH$4,1),1,1)/7*(OFFSET($A$4,0,MATCH(AH$4-AH$46,$A$4:$BH$4,1),1,1)-(AH$4-AH$46))))))+IF(AG$46=0,0,($C$12/$C$46*IF($C$4&gt;(AH$4-AH$46),$C$4-(AH$4-AH$46),0)))</f>
        <v>187491.42857142858</v>
      </c>
      <c r="AI12" s="95">
        <f ca="1">(IF(AI$46&lt;=AI$43,0,IF(ISNA(MATCH(AI$4-AI$46,$A$4:$BH$4,1)),SUM($D$47:AI$47),SUM(OFFSET($A$47,0,MATCH(AI$4-AI$46,$A$4:$BH$4,1)+1,1,COLUMN(AI$4)-MATCH(AI$4-AI$46,$A$4:$BH$4,1)-1)))))+(IF(AI$4-AI$46=AI$4,0,IF(AI$4-AI$46&lt;$C$4,0,IF(ISNA(MATCH(AI$4-AI$46,$A$4:$BH$4,1)),0,OFFSET($A$47,0,MATCH(AI$4-AI$46,$A$4:$BH$4,1),1,1)/7*(OFFSET($A$4,0,MATCH(AI$4-AI$46,$A$4:$BH$4,1),1,1)-(AI$4-AI$46))))))+IF(AH$46=0,0,($C$12/$C$46*IF($C$4&gt;(AI$4-AI$46),$C$4-(AI$4-AI$46),0)))</f>
        <v>187217.14285714287</v>
      </c>
      <c r="AJ12" s="95">
        <f ca="1">(IF(AJ$46&lt;=AJ$43,0,IF(ISNA(MATCH(AJ$4-AJ$46,$A$4:$BH$4,1)),SUM($D$47:AJ$47),SUM(OFFSET($A$47,0,MATCH(AJ$4-AJ$46,$A$4:$BH$4,1)+1,1,COLUMN(AJ$4)-MATCH(AJ$4-AJ$46,$A$4:$BH$4,1)-1)))))+(IF(AJ$4-AJ$46=AJ$4,0,IF(AJ$4-AJ$46&lt;$C$4,0,IF(ISNA(MATCH(AJ$4-AJ$46,$A$4:$BH$4,1)),0,OFFSET($A$47,0,MATCH(AJ$4-AJ$46,$A$4:$BH$4,1),1,1)/7*(OFFSET($A$4,0,MATCH(AJ$4-AJ$46,$A$4:$BH$4,1),1,1)-(AJ$4-AJ$46))))))+IF(AI$46=0,0,($C$12/$C$46*IF($C$4&gt;(AJ$4-AJ$46),$C$4-(AJ$4-AJ$46),0)))</f>
        <v>188434.28571428571</v>
      </c>
      <c r="AK12" s="95">
        <f ca="1">(IF(AK$46&lt;=AK$43,0,IF(ISNA(MATCH(AK$4-AK$46,$A$4:$BH$4,1)),SUM($D$47:AK$47),SUM(OFFSET($A$47,0,MATCH(AK$4-AK$46,$A$4:$BH$4,1)+1,1,COLUMN(AK$4)-MATCH(AK$4-AK$46,$A$4:$BH$4,1)-1)))))+(IF(AK$4-AK$46=AK$4,0,IF(AK$4-AK$46&lt;$C$4,0,IF(ISNA(MATCH(AK$4-AK$46,$A$4:$BH$4,1)),0,OFFSET($A$47,0,MATCH(AK$4-AK$46,$A$4:$BH$4,1),1,1)/7*(OFFSET($A$4,0,MATCH(AK$4-AK$46,$A$4:$BH$4,1),1,1)-(AK$4-AK$46))))))+IF(AJ$46=0,0,($C$12/$C$46*IF($C$4&gt;(AK$4-AK$46),$C$4-(AK$4-AK$46),0)))</f>
        <v>192445.71428571429</v>
      </c>
      <c r="AL12" s="95">
        <f ca="1">(IF(AL$46&lt;=AL$43,0,IF(ISNA(MATCH(AL$4-AL$46,$A$4:$BH$4,1)),SUM($D$47:AL$47),SUM(OFFSET($A$47,0,MATCH(AL$4-AL$46,$A$4:$BH$4,1)+1,1,COLUMN(AL$4)-MATCH(AL$4-AL$46,$A$4:$BH$4,1)-1)))))+(IF(AL$4-AL$46=AL$4,0,IF(AL$4-AL$46&lt;$C$4,0,IF(ISNA(MATCH(AL$4-AL$46,$A$4:$BH$4,1)),0,OFFSET($A$47,0,MATCH(AL$4-AL$46,$A$4:$BH$4,1),1,1)/7*(OFFSET($A$4,0,MATCH(AL$4-AL$46,$A$4:$BH$4,1),1,1)-(AL$4-AL$46))))))+IF(AK$46=0,0,($C$12/$C$46*IF($C$4&gt;(AL$4-AL$46),$C$4-(AL$4-AL$46),0)))</f>
        <v>193405.71428571429</v>
      </c>
      <c r="AM12" s="95">
        <f ca="1">(IF(AM$46&lt;=AM$43,0,IF(ISNA(MATCH(AM$4-AM$46,$A$4:$BH$4,1)),SUM($D$47:AM$47),SUM(OFFSET($A$47,0,MATCH(AM$4-AM$46,$A$4:$BH$4,1)+1,1,COLUMN(AM$4)-MATCH(AM$4-AM$46,$A$4:$BH$4,1)-1)))))+(IF(AM$4-AM$46=AM$4,0,IF(AM$4-AM$46&lt;$C$4,0,IF(ISNA(MATCH(AM$4-AM$46,$A$4:$BH$4,1)),0,OFFSET($A$47,0,MATCH(AM$4-AM$46,$A$4:$BH$4,1),1,1)/7*(OFFSET($A$4,0,MATCH(AM$4-AM$46,$A$4:$BH$4,1),1,1)-(AM$4-AM$46))))))+IF(AL$46=0,0,($C$12/$C$46*IF($C$4&gt;(AM$4-AM$46),$C$4-(AM$4-AM$46),0)))</f>
        <v>195120</v>
      </c>
      <c r="AN12" s="95">
        <f ca="1">(IF(AN$46&lt;=AN$43,0,IF(ISNA(MATCH(AN$4-AN$46,$A$4:$BH$4,1)),SUM($D$47:AN$47),SUM(OFFSET($A$47,0,MATCH(AN$4-AN$46,$A$4:$BH$4,1)+1,1,COLUMN(AN$4)-MATCH(AN$4-AN$46,$A$4:$BH$4,1)-1)))))+(IF(AN$4-AN$46=AN$4,0,IF(AN$4-AN$46&lt;$C$4,0,IF(ISNA(MATCH(AN$4-AN$46,$A$4:$BH$4,1)),0,OFFSET($A$47,0,MATCH(AN$4-AN$46,$A$4:$BH$4,1),1,1)/7*(OFFSET($A$4,0,MATCH(AN$4-AN$46,$A$4:$BH$4,1),1,1)-(AN$4-AN$46))))))+IF(AM$46=0,0,($C$12/$C$46*IF($C$4&gt;(AN$4-AN$46),$C$4-(AN$4-AN$46),0)))</f>
        <v>196182.85714285713</v>
      </c>
      <c r="AO12" s="95">
        <f ca="1">(IF(AO$46&lt;=AO$43,0,IF(ISNA(MATCH(AO$4-AO$46,$A$4:$BH$4,1)),SUM($D$47:AO$47),SUM(OFFSET($A$47,0,MATCH(AO$4-AO$46,$A$4:$BH$4,1)+1,1,COLUMN(AO$4)-MATCH(AO$4-AO$46,$A$4:$BH$4,1)-1)))))+(IF(AO$4-AO$46=AO$4,0,IF(AO$4-AO$46&lt;$C$4,0,IF(ISNA(MATCH(AO$4-AO$46,$A$4:$BH$4,1)),0,OFFSET($A$47,0,MATCH(AO$4-AO$46,$A$4:$BH$4,1),1,1)/7*(OFFSET($A$4,0,MATCH(AO$4-AO$46,$A$4:$BH$4,1),1,1)-(AO$4-AO$46))))))+IF(AN$46=0,0,($C$12/$C$46*IF($C$4&gt;(AO$4-AO$46),$C$4-(AO$4-AO$46),0)))</f>
        <v>194657.14285714287</v>
      </c>
      <c r="AP12" s="95">
        <f ca="1">(IF(AP$46&lt;=AP$43,0,IF(ISNA(MATCH(AP$4-AP$46,$A$4:$BH$4,1)),SUM($D$47:AP$47),SUM(OFFSET($A$47,0,MATCH(AP$4-AP$46,$A$4:$BH$4,1)+1,1,COLUMN(AP$4)-MATCH(AP$4-AP$46,$A$4:$BH$4,1)-1)))))+(IF(AP$4-AP$46=AP$4,0,IF(AP$4-AP$46&lt;$C$4,0,IF(ISNA(MATCH(AP$4-AP$46,$A$4:$BH$4,1)),0,OFFSET($A$47,0,MATCH(AP$4-AP$46,$A$4:$BH$4,1),1,1)/7*(OFFSET($A$4,0,MATCH(AP$4-AP$46,$A$4:$BH$4,1),1,1)-(AP$4-AP$46))))))+IF(AO$46=0,0,($C$12/$C$46*IF($C$4&gt;(AP$4-AP$46),$C$4-(AP$4-AP$46),0)))</f>
        <v>196234.28571428571</v>
      </c>
      <c r="AQ12" s="95">
        <f ca="1">(IF(AQ$46&lt;=AQ$43,0,IF(ISNA(MATCH(AQ$4-AQ$46,$A$4:$BH$4,1)),SUM($D$47:AQ$47),SUM(OFFSET($A$47,0,MATCH(AQ$4-AQ$46,$A$4:$BH$4,1)+1,1,COLUMN(AQ$4)-MATCH(AQ$4-AQ$46,$A$4:$BH$4,1)-1)))))+(IF(AQ$4-AQ$46=AQ$4,0,IF(AQ$4-AQ$46&lt;$C$4,0,IF(ISNA(MATCH(AQ$4-AQ$46,$A$4:$BH$4,1)),0,OFFSET($A$47,0,MATCH(AQ$4-AQ$46,$A$4:$BH$4,1),1,1)/7*(OFFSET($A$4,0,MATCH(AQ$4-AQ$46,$A$4:$BH$4,1),1,1)-(AQ$4-AQ$46))))))+IF(AP$46=0,0,($C$12/$C$46*IF($C$4&gt;(AQ$4-AQ$46),$C$4-(AQ$4-AQ$46),0)))</f>
        <v>193244.57142857142</v>
      </c>
      <c r="AR12" s="95">
        <f ca="1">(IF(AR$46&lt;=AR$43,0,IF(ISNA(MATCH(AR$4-AR$46,$A$4:$BH$4,1)),SUM($D$47:AR$47),SUM(OFFSET($A$47,0,MATCH(AR$4-AR$46,$A$4:$BH$4,1)+1,1,COLUMN(AR$4)-MATCH(AR$4-AR$46,$A$4:$BH$4,1)-1)))))+(IF(AR$4-AR$46=AR$4,0,IF(AR$4-AR$46&lt;$C$4,0,IF(ISNA(MATCH(AR$4-AR$46,$A$4:$BH$4,1)),0,OFFSET($A$47,0,MATCH(AR$4-AR$46,$A$4:$BH$4,1),1,1)/7*(OFFSET($A$4,0,MATCH(AR$4-AR$46,$A$4:$BH$4,1),1,1)-(AR$4-AR$46))))))+IF(AQ$46=0,0,($C$12/$C$46*IF($C$4&gt;(AR$4-AR$46),$C$4-(AR$4-AR$46),0)))</f>
        <v>183360</v>
      </c>
      <c r="AS12" s="95">
        <f ca="1">(IF(AS$46&lt;=AS$43,0,IF(ISNA(MATCH(AS$4-AS$46,$A$4:$BH$4,1)),SUM($D$47:AS$47),SUM(OFFSET($A$47,0,MATCH(AS$4-AS$46,$A$4:$BH$4,1)+1,1,COLUMN(AS$4)-MATCH(AS$4-AS$46,$A$4:$BH$4,1)-1)))))+(IF(AS$4-AS$46=AS$4,0,IF(AS$4-AS$46&lt;$C$4,0,IF(ISNA(MATCH(AS$4-AS$46,$A$4:$BH$4,1)),0,OFFSET($A$47,0,MATCH(AS$4-AS$46,$A$4:$BH$4,1),1,1)/7*(OFFSET($A$4,0,MATCH(AS$4-AS$46,$A$4:$BH$4,1),1,1)-(AS$4-AS$46))))))+IF(AR$46=0,0,($C$12/$C$46*IF($C$4&gt;(AS$4-AS$46),$C$4-(AS$4-AS$46),0)))</f>
        <v>176118.85714285713</v>
      </c>
      <c r="AT12" s="95">
        <f ca="1">(IF(AT$46&lt;=AT$43,0,IF(ISNA(MATCH(AT$4-AT$46,$A$4:$BH$4,1)),SUM($D$47:AT$47),SUM(OFFSET($A$47,0,MATCH(AT$4-AT$46,$A$4:$BH$4,1)+1,1,COLUMN(AT$4)-MATCH(AT$4-AT$46,$A$4:$BH$4,1)-1)))))+(IF(AT$4-AT$46=AT$4,0,IF(AT$4-AT$46&lt;$C$4,0,IF(ISNA(MATCH(AT$4-AT$46,$A$4:$BH$4,1)),0,OFFSET($A$47,0,MATCH(AT$4-AT$46,$A$4:$BH$4,1),1,1)/7*(OFFSET($A$4,0,MATCH(AT$4-AT$46,$A$4:$BH$4,1),1,1)-(AT$4-AT$46))))))+IF(AS$46=0,0,($C$12/$C$46*IF($C$4&gt;(AT$4-AT$46),$C$4-(AT$4-AT$46),0)))</f>
        <v>159003.42857142858</v>
      </c>
      <c r="AU12" s="95">
        <f ca="1">(IF(AU$46&lt;=AU$43,0,IF(ISNA(MATCH(AU$4-AU$46,$A$4:$BH$4,1)),SUM($D$47:AU$47),SUM(OFFSET($A$47,0,MATCH(AU$4-AU$46,$A$4:$BH$4,1)+1,1,COLUMN(AU$4)-MATCH(AU$4-AU$46,$A$4:$BH$4,1)-1)))))+(IF(AU$4-AU$46=AU$4,0,IF(AU$4-AU$46&lt;$C$4,0,IF(ISNA(MATCH(AU$4-AU$46,$A$4:$BH$4,1)),0,OFFSET($A$47,0,MATCH(AU$4-AU$46,$A$4:$BH$4,1),1,1)/7*(OFFSET($A$4,0,MATCH(AU$4-AU$46,$A$4:$BH$4,1),1,1)-(AU$4-AU$46))))))+IF(AT$46=0,0,($C$12/$C$46*IF($C$4&gt;(AU$4-AU$46),$C$4-(AU$4-AU$46),0)))</f>
        <v>139881.60000000001</v>
      </c>
      <c r="AV12" s="95">
        <f ca="1">(IF(AV$46&lt;=AV$43,0,IF(ISNA(MATCH(AV$4-AV$46,$A$4:$BH$4,1)),SUM($D$47:AV$47),SUM(OFFSET($A$47,0,MATCH(AV$4-AV$46,$A$4:$BH$4,1)+1,1,COLUMN(AV$4)-MATCH(AV$4-AV$46,$A$4:$BH$4,1)-1)))))+(IF(AV$4-AV$46=AV$4,0,IF(AV$4-AV$46&lt;$C$4,0,IF(ISNA(MATCH(AV$4-AV$46,$A$4:$BH$4,1)),0,OFFSET($A$47,0,MATCH(AV$4-AV$46,$A$4:$BH$4,1),1,1)/7*(OFFSET($A$4,0,MATCH(AV$4-AV$46,$A$4:$BH$4,1),1,1)-(AV$4-AV$46))))))+IF(AU$46=0,0,($C$12/$C$46*IF($C$4&gt;(AV$4-AV$46),$C$4-(AV$4-AV$46),0)))</f>
        <v>128522.05714285716</v>
      </c>
      <c r="AW12" s="95">
        <f ca="1">(IF(AW$46&lt;=AW$43,0,IF(ISNA(MATCH(AW$4-AW$46,$A$4:$BH$4,1)),SUM($D$47:AW$47),SUM(OFFSET($A$47,0,MATCH(AW$4-AW$46,$A$4:$BH$4,1)+1,1,COLUMN(AW$4)-MATCH(AW$4-AW$46,$A$4:$BH$4,1)-1)))))+(IF(AW$4-AW$46=AW$4,0,IF(AW$4-AW$46&lt;$C$4,0,IF(ISNA(MATCH(AW$4-AW$46,$A$4:$BH$4,1)),0,OFFSET($A$47,0,MATCH(AW$4-AW$46,$A$4:$BH$4,1),1,1)/7*(OFFSET($A$4,0,MATCH(AW$4-AW$46,$A$4:$BH$4,1),1,1)-(AW$4-AW$46))))))+IF(AV$46=0,0,($C$12/$C$46*IF($C$4&gt;(AW$4-AW$46),$C$4-(AW$4-AW$46),0)))</f>
        <v>123800.91428571429</v>
      </c>
      <c r="AX12" s="95">
        <f ca="1">(IF(AX$46&lt;=AX$43,0,IF(ISNA(MATCH(AX$4-AX$46,$A$4:$BH$4,1)),SUM($D$47:AX$47),SUM(OFFSET($A$47,0,MATCH(AX$4-AX$46,$A$4:$BH$4,1)+1,1,COLUMN(AX$4)-MATCH(AX$4-AX$46,$A$4:$BH$4,1)-1)))))+(IF(AX$4-AX$46=AX$4,0,IF(AX$4-AX$46&lt;$C$4,0,IF(ISNA(MATCH(AX$4-AX$46,$A$4:$BH$4,1)),0,OFFSET($A$47,0,MATCH(AX$4-AX$46,$A$4:$BH$4,1),1,1)/7*(OFFSET($A$4,0,MATCH(AX$4-AX$46,$A$4:$BH$4,1),1,1)-(AX$4-AX$46))))))+IF(AW$46=0,0,($C$12/$C$46*IF($C$4&gt;(AX$4-AX$46),$C$4-(AX$4-AX$46),0)))</f>
        <v>138025.37142857141</v>
      </c>
      <c r="AY12" s="95">
        <f ca="1">(IF(AY$46&lt;=AY$43,0,IF(ISNA(MATCH(AY$4-AY$46,$A$4:$BH$4,1)),SUM($D$47:AY$47),SUM(OFFSET($A$47,0,MATCH(AY$4-AY$46,$A$4:$BH$4,1)+1,1,COLUMN(AY$4)-MATCH(AY$4-AY$46,$A$4:$BH$4,1)-1)))))+(IF(AY$4-AY$46=AY$4,0,IF(AY$4-AY$46&lt;$C$4,0,IF(ISNA(MATCH(AY$4-AY$46,$A$4:$BH$4,1)),0,OFFSET($A$47,0,MATCH(AY$4-AY$46,$A$4:$BH$4,1),1,1)/7*(OFFSET($A$4,0,MATCH(AY$4-AY$46,$A$4:$BH$4,1),1,1)-(AY$4-AY$46))))))+IF(AX$46=0,0,($C$12/$C$46*IF($C$4&gt;(AY$4-AY$46),$C$4-(AY$4-AY$46),0)))</f>
        <v>157808.22857142857</v>
      </c>
      <c r="AZ12" s="95">
        <f ca="1">(IF(AZ$46&lt;=AZ$43,0,IF(ISNA(MATCH(AZ$4-AZ$46,$A$4:$BH$4,1)),SUM($D$47:AZ$47),SUM(OFFSET($A$47,0,MATCH(AZ$4-AZ$46,$A$4:$BH$4,1)+1,1,COLUMN(AZ$4)-MATCH(AZ$4-AZ$46,$A$4:$BH$4,1)-1)))))+(IF(AZ$4-AZ$46=AZ$4,0,IF(AZ$4-AZ$46&lt;$C$4,0,IF(ISNA(MATCH(AZ$4-AZ$46,$A$4:$BH$4,1)),0,OFFSET($A$47,0,MATCH(AZ$4-AZ$46,$A$4:$BH$4,1),1,1)/7*(OFFSET($A$4,0,MATCH(AZ$4-AZ$46,$A$4:$BH$4,1),1,1)-(AZ$4-AZ$46))))))+IF(AY$46=0,0,($C$12/$C$46*IF($C$4&gt;(AZ$4-AZ$46),$C$4-(AZ$4-AZ$46),0)))</f>
        <v>178404.34285714285</v>
      </c>
      <c r="BA12" s="95">
        <f ca="1">(IF(BA$46&lt;=BA$43,0,IF(ISNA(MATCH(BA$4-BA$46,$A$4:$BH$4,1)),SUM($D$47:BA$47),SUM(OFFSET($A$47,0,MATCH(BA$4-BA$46,$A$4:$BH$4,1)+1,1,COLUMN(BA$4)-MATCH(BA$4-BA$46,$A$4:$BH$4,1)-1)))))+(IF(BA$4-BA$46=BA$4,0,IF(BA$4-BA$46&lt;$C$4,0,IF(ISNA(MATCH(BA$4-BA$46,$A$4:$BH$4,1)),0,OFFSET($A$47,0,MATCH(BA$4-BA$46,$A$4:$BH$4,1),1,1)/7*(OFFSET($A$4,0,MATCH(BA$4-BA$46,$A$4:$BH$4,1),1,1)-(BA$4-BA$46))))))+IF(AZ$46=0,0,($C$12/$C$46*IF($C$4&gt;(BA$4-BA$46),$C$4-(BA$4-BA$46),0)))</f>
        <v>196137.60000000001</v>
      </c>
      <c r="BB12" s="95">
        <f ca="1">(IF(BB$46&lt;=BB$43,0,IF(ISNA(MATCH(BB$4-BB$46,$A$4:$BH$4,1)),SUM($D$47:BB$47),SUM(OFFSET($A$47,0,MATCH(BB$4-BB$46,$A$4:$BH$4,1)+1,1,COLUMN(BB$4)-MATCH(BB$4-BB$46,$A$4:$BH$4,1)-1)))))+(IF(BB$4-BB$46=BB$4,0,IF(BB$4-BB$46&lt;$C$4,0,IF(ISNA(MATCH(BB$4-BB$46,$A$4:$BH$4,1)),0,OFFSET($A$47,0,MATCH(BB$4-BB$46,$A$4:$BH$4,1),1,1)/7*(OFFSET($A$4,0,MATCH(BB$4-BB$46,$A$4:$BH$4,1),1,1)-(BB$4-BB$46))))))+IF(BA$46=0,0,($C$12/$C$46*IF($C$4&gt;(BB$4-BB$46),$C$4-(BB$4-BB$46),0)))</f>
        <v>201321.60000000001</v>
      </c>
      <c r="BC12" s="95">
        <f ca="1">(IF(BC$46&lt;=BC$43,0,IF(ISNA(MATCH(BC$4-BC$46,$A$4:$BH$4,1)),SUM($D$47:BC$47),SUM(OFFSET($A$47,0,MATCH(BC$4-BC$46,$A$4:$BH$4,1)+1,1,COLUMN(BC$4)-MATCH(BC$4-BC$46,$A$4:$BH$4,1)-1)))))+(IF(BC$4-BC$46=BC$4,0,IF(BC$4-BC$46&lt;$C$4,0,IF(ISNA(MATCH(BC$4-BC$46,$A$4:$BH$4,1)),0,OFFSET($A$47,0,MATCH(BC$4-BC$46,$A$4:$BH$4,1),1,1)/7*(OFFSET($A$4,0,MATCH(BC$4-BC$46,$A$4:$BH$4,1),1,1)-(BC$4-BC$46))))))+IF(BB$46=0,0,($C$12/$C$46*IF($C$4&gt;(BC$4-BC$46),$C$4-(BC$4-BC$46),0)))</f>
        <v>201908.57142857142</v>
      </c>
      <c r="BD12" s="52">
        <f ca="1">OFFSET($B12,0,Assumptions!$C$8+1,1,1)</f>
        <v>173088</v>
      </c>
      <c r="BE12" s="52">
        <f ca="1">OFFSET($B12,0,SUM(Assumptions!$C$8:$C$9)+1,1,1)</f>
        <v>186534</v>
      </c>
      <c r="BF12" s="52">
        <f ca="1">OFFSET($B12,0,SUM(Assumptions!$C$8:$C$10)+1,1,1)</f>
        <v>196234.28571428571</v>
      </c>
      <c r="BG12" s="52">
        <f ca="1">OFFSET($B12,0,SUM(Assumptions!$C$8:$C$11)+1,1,1)</f>
        <v>201908.57142857142</v>
      </c>
      <c r="BH12" s="52">
        <f ca="1">BG12</f>
        <v>201908.57142857142</v>
      </c>
    </row>
    <row r="13" spans="1:60" ht="16.149999999999999" customHeight="1" x14ac:dyDescent="0.3">
      <c r="A13" s="164" t="s">
        <v>146</v>
      </c>
      <c r="B13" s="31" t="s">
        <v>147</v>
      </c>
      <c r="C13" s="51">
        <f ca="1">SUMIF(Assumptions!$A$81:$C$104,$A13,Assumptions!$C$81:$C$104)</f>
        <v>370000</v>
      </c>
      <c r="D13" s="95">
        <f ca="1">(IF(D$48&lt;=D$43,0,IF(ISNA(MATCH(D$4-D$48,$A$4:$BH$4,1)),SUM($D$49:D$49),SUM(OFFSET($A$49,0,MATCH(D$4-D$48,$A$4:$BH$4,1)+1,1,COLUMN(D$4)-MATCH(D$4-D$48,$A$4:$BH$4,1)-1)))))+(IF(D$4-D$48=D$4,0,IF(D$4-D$48&lt;$C$4,0,IF(ISNA(MATCH(D$4-D$48,$A$4:$BH$4,1)),0,OFFSET($A$49,0,MATCH(D$4-D$48,$A$4:$BH$4,1),1,1)/7*(OFFSET($A$4,0,MATCH(D$4-D$48,$A$4:$BH$4,1),1,1)-(D$4-D$48))))))+IF(C$48=0,0,($C$13/$C$48*IF($C$4&gt;(D$4-D$48),$C$4-(D$4-D$48),0)))</f>
        <v>364150</v>
      </c>
      <c r="E13" s="95">
        <f ca="1">(IF(E$48&lt;=E$43,0,IF(ISNA(MATCH(E$4-E$48,$A$4:$BH$4,1)),SUM($D$49:E$49),SUM(OFFSET($A$49,0,MATCH(E$4-E$48,$A$4:$BH$4,1)+1,1,COLUMN(E$4)-MATCH(E$4-E$48,$A$4:$BH$4,1)-1)))))+(IF(E$4-E$48=E$4,0,IF(E$4-E$48&lt;$C$4,0,IF(ISNA(MATCH(E$4-E$48,$A$4:$BH$4,1)),0,OFFSET($A$49,0,MATCH(E$4-E$48,$A$4:$BH$4,1),1,1)/7*(OFFSET($A$4,0,MATCH(E$4-E$48,$A$4:$BH$4,1),1,1)-(E$4-E$48))))))+IF(D$48=0,0,($C$13/$C$48*IF($C$4&gt;(E$4-E$48),$C$4-(E$4-E$48),0)))</f>
        <v>343861.36666666664</v>
      </c>
      <c r="F13" s="95">
        <f ca="1">(IF(F$48&lt;=F$43,0,IF(ISNA(MATCH(F$4-F$48,$A$4:$BH$4,1)),SUM($D$49:F$49),SUM(OFFSET($A$49,0,MATCH(F$4-F$48,$A$4:$BH$4,1)+1,1,COLUMN(F$4)-MATCH(F$4-F$48,$A$4:$BH$4,1)-1)))))+(IF(F$4-F$48=F$4,0,IF(F$4-F$48&lt;$C$4,0,IF(ISNA(MATCH(F$4-F$48,$A$4:$BH$4,1)),0,OFFSET($A$49,0,MATCH(F$4-F$48,$A$4:$BH$4,1),1,1)/7*(OFFSET($A$4,0,MATCH(F$4-F$48,$A$4:$BH$4,1),1,1)-(F$4-F$48))))))+IF(E$48=0,0,($C$13/$C$48*IF($C$4&gt;(F$4-F$48),$C$4-(F$4-F$48),0)))</f>
        <v>342688.03333333333</v>
      </c>
      <c r="G13" s="95">
        <f ca="1">(IF(G$48&lt;=G$43,0,IF(ISNA(MATCH(G$4-G$48,$A$4:$BH$4,1)),SUM($D$49:G$49),SUM(OFFSET($A$49,0,MATCH(G$4-G$48,$A$4:$BH$4,1)+1,1,COLUMN(G$4)-MATCH(G$4-G$48,$A$4:$BH$4,1)-1)))))+(IF(G$4-G$48=G$4,0,IF(G$4-G$48&lt;$C$4,0,IF(ISNA(MATCH(G$4-G$48,$A$4:$BH$4,1)),0,OFFSET($A$49,0,MATCH(G$4-G$48,$A$4:$BH$4,1),1,1)/7*(OFFSET($A$4,0,MATCH(G$4-G$48,$A$4:$BH$4,1),1,1)-(G$4-G$48))))))+IF(F$48=0,0,($C$13/$C$48*IF($C$4&gt;(G$4-G$48),$C$4-(G$4-G$48),0)))</f>
        <v>347525.50952380948</v>
      </c>
      <c r="H13" s="95">
        <f ca="1">(IF(H$48&lt;=H$43,0,IF(ISNA(MATCH(H$4-H$48,$A$4:$BH$4,1)),SUM($D$49:H$49),SUM(OFFSET($A$49,0,MATCH(H$4-H$48,$A$4:$BH$4,1)+1,1,COLUMN(H$4)-MATCH(H$4-H$48,$A$4:$BH$4,1)-1)))))+(IF(H$4-H$48=H$4,0,IF(H$4-H$48&lt;$C$4,0,IF(ISNA(MATCH(H$4-H$48,$A$4:$BH$4,1)),0,OFFSET($A$49,0,MATCH(H$4-H$48,$A$4:$BH$4,1),1,1)/7*(OFFSET($A$4,0,MATCH(H$4-H$48,$A$4:$BH$4,1),1,1)-(H$4-H$48))))))+IF(G$48=0,0,($C$13/$C$48*IF($C$4&gt;(H$4-H$48),$C$4-(H$4-H$48),0)))</f>
        <v>362401.74523809523</v>
      </c>
      <c r="I13" s="95">
        <f ca="1">(IF(I$48&lt;=I$43,0,IF(ISNA(MATCH(I$4-I$48,$A$4:$BH$4,1)),SUM($D$49:I$49),SUM(OFFSET($A$49,0,MATCH(I$4-I$48,$A$4:$BH$4,1)+1,1,COLUMN(I$4)-MATCH(I$4-I$48,$A$4:$BH$4,1)-1)))))+(IF(I$4-I$48=I$4,0,IF(I$4-I$48&lt;$C$4,0,IF(ISNA(MATCH(I$4-I$48,$A$4:$BH$4,1)),0,OFFSET($A$49,0,MATCH(I$4-I$48,$A$4:$BH$4,1),1,1)/7*(OFFSET($A$4,0,MATCH(I$4-I$48,$A$4:$BH$4,1),1,1)-(I$4-I$48))))))+IF(H$48=0,0,($C$13/$C$48*IF($C$4&gt;(I$4-I$48),$C$4-(I$4-I$48),0)))</f>
        <v>372907.89880952379</v>
      </c>
      <c r="J13" s="95">
        <f ca="1">(IF(J$48&lt;=J$43,0,IF(ISNA(MATCH(J$4-J$48,$A$4:$BH$4,1)),SUM($D$49:J$49),SUM(OFFSET($A$49,0,MATCH(J$4-J$48,$A$4:$BH$4,1)+1,1,COLUMN(J$4)-MATCH(J$4-J$48,$A$4:$BH$4,1)-1)))))+(IF(J$4-J$48=J$4,0,IF(J$4-J$48&lt;$C$4,0,IF(ISNA(MATCH(J$4-J$48,$A$4:$BH$4,1)),0,OFFSET($A$49,0,MATCH(J$4-J$48,$A$4:$BH$4,1),1,1)/7*(OFFSET($A$4,0,MATCH(J$4-J$48,$A$4:$BH$4,1),1,1)-(J$4-J$48))))))+IF(I$48=0,0,($C$13/$C$48*IF($C$4&gt;(J$4-J$48),$C$4-(J$4-J$48),0)))</f>
        <v>357670.53571428568</v>
      </c>
      <c r="K13" s="95">
        <f ca="1">(IF(K$48&lt;=K$43,0,IF(ISNA(MATCH(K$4-K$48,$A$4:$BH$4,1)),SUM($D$49:K$49),SUM(OFFSET($A$49,0,MATCH(K$4-K$48,$A$4:$BH$4,1)+1,1,COLUMN(K$4)-MATCH(K$4-K$48,$A$4:$BH$4,1)-1)))))+(IF(K$4-K$48=K$4,0,IF(K$4-K$48&lt;$C$4,0,IF(ISNA(MATCH(K$4-K$48,$A$4:$BH$4,1)),0,OFFSET($A$49,0,MATCH(K$4-K$48,$A$4:$BH$4,1),1,1)/7*(OFFSET($A$4,0,MATCH(K$4-K$48,$A$4:$BH$4,1),1,1)-(K$4-K$48))))))+IF(J$48=0,0,($C$13/$C$48*IF($C$4&gt;(K$4-K$48),$C$4-(K$4-K$48),0)))</f>
        <v>355971.27380952385</v>
      </c>
      <c r="L13" s="95">
        <f ca="1">(IF(L$48&lt;=L$43,0,IF(ISNA(MATCH(L$4-L$48,$A$4:$BH$4,1)),SUM($D$49:L$49),SUM(OFFSET($A$49,0,MATCH(L$4-L$48,$A$4:$BH$4,1)+1,1,COLUMN(L$4)-MATCH(L$4-L$48,$A$4:$BH$4,1)-1)))))+(IF(L$4-L$48=L$4,0,IF(L$4-L$48&lt;$C$4,0,IF(ISNA(MATCH(L$4-L$48,$A$4:$BH$4,1)),0,OFFSET($A$49,0,MATCH(L$4-L$48,$A$4:$BH$4,1),1,1)/7*(OFFSET($A$4,0,MATCH(L$4-L$48,$A$4:$BH$4,1),1,1)-(L$4-L$48))))))+IF(K$48=0,0,($C$13/$C$48*IF($C$4&gt;(L$4-L$48),$C$4-(L$4-L$48),0)))</f>
        <v>347743.43452380953</v>
      </c>
      <c r="M13" s="95">
        <f ca="1">(IF(M$48&lt;=M$43,0,IF(ISNA(MATCH(M$4-M$48,$A$4:$BH$4,1)),SUM($D$49:M$49),SUM(OFFSET($A$49,0,MATCH(M$4-M$48,$A$4:$BH$4,1)+1,1,COLUMN(M$4)-MATCH(M$4-M$48,$A$4:$BH$4,1)-1)))))+(IF(M$4-M$48=M$4,0,IF(M$4-M$48&lt;$C$4,0,IF(ISNA(MATCH(M$4-M$48,$A$4:$BH$4,1)),0,OFFSET($A$49,0,MATCH(M$4-M$48,$A$4:$BH$4,1),1,1)/7*(OFFSET($A$4,0,MATCH(M$4-M$48,$A$4:$BH$4,1),1,1)-(M$4-M$48))))))+IF(L$48=0,0,($C$13/$C$48*IF($C$4&gt;(M$4-M$48),$C$4-(M$4-M$48),0)))</f>
        <v>352948.41666666663</v>
      </c>
      <c r="N13" s="95">
        <f ca="1">(IF(N$48&lt;=N$43,0,IF(ISNA(MATCH(N$4-N$48,$A$4:$BH$4,1)),SUM($D$49:N$49),SUM(OFFSET($A$49,0,MATCH(N$4-N$48,$A$4:$BH$4,1)+1,1,COLUMN(N$4)-MATCH(N$4-N$48,$A$4:$BH$4,1)-1)))))+(IF(N$4-N$48=N$4,0,IF(N$4-N$48&lt;$C$4,0,IF(ISNA(MATCH(N$4-N$48,$A$4:$BH$4,1)),0,OFFSET($A$49,0,MATCH(N$4-N$48,$A$4:$BH$4,1),1,1)/7*(OFFSET($A$4,0,MATCH(N$4-N$48,$A$4:$BH$4,1),1,1)-(N$4-N$48))))))+IF(M$48=0,0,($C$13/$C$48*IF($C$4&gt;(N$4-N$48),$C$4-(N$4-N$48),0)))</f>
        <v>367242.91666666663</v>
      </c>
      <c r="O13" s="95">
        <f ca="1">(IF(O$48&lt;=O$43,0,IF(ISNA(MATCH(O$4-O$48,$A$4:$BH$4,1)),SUM($D$49:O$49),SUM(OFFSET($A$49,0,MATCH(O$4-O$48,$A$4:$BH$4,1)+1,1,COLUMN(O$4)-MATCH(O$4-O$48,$A$4:$BH$4,1)-1)))))+(IF(O$4-O$48=O$4,0,IF(O$4-O$48&lt;$C$4,0,IF(ISNA(MATCH(O$4-O$48,$A$4:$BH$4,1)),0,OFFSET($A$49,0,MATCH(O$4-O$48,$A$4:$BH$4,1),1,1)/7*(OFFSET($A$4,0,MATCH(O$4-O$48,$A$4:$BH$4,1),1,1)-(O$4-O$48))))))+IF(N$48=0,0,($C$13/$C$48*IF($C$4&gt;(O$4-O$48),$C$4-(O$4-O$48),0)))</f>
        <v>375354.79761904757</v>
      </c>
      <c r="P13" s="95">
        <f ca="1">(IF(P$48&lt;=P$43,0,IF(ISNA(MATCH(P$4-P$48,$A$4:$BH$4,1)),SUM($D$49:P$49),SUM(OFFSET($A$49,0,MATCH(P$4-P$48,$A$4:$BH$4,1)+1,1,COLUMN(P$4)-MATCH(P$4-P$48,$A$4:$BH$4,1)-1)))))+(IF(P$4-P$48=P$4,0,IF(P$4-P$48&lt;$C$4,0,IF(ISNA(MATCH(P$4-P$48,$A$4:$BH$4,1)),0,OFFSET($A$49,0,MATCH(P$4-P$48,$A$4:$BH$4,1),1,1)/7*(OFFSET($A$4,0,MATCH(P$4-P$48,$A$4:$BH$4,1),1,1)-(P$4-P$48))))))+IF(O$48=0,0,($C$13/$C$48*IF($C$4&gt;(P$4-P$48),$C$4-(P$4-P$48),0)))</f>
        <v>380498.30952380953</v>
      </c>
      <c r="Q13" s="95">
        <f ca="1">(IF(Q$48&lt;=Q$43,0,IF(ISNA(MATCH(Q$4-Q$48,$A$4:$BH$4,1)),SUM($D$49:Q$49),SUM(OFFSET($A$49,0,MATCH(Q$4-Q$48,$A$4:$BH$4,1)+1,1,COLUMN(Q$4)-MATCH(Q$4-Q$48,$A$4:$BH$4,1)-1)))))+(IF(Q$4-Q$48=Q$4,0,IF(Q$4-Q$48&lt;$C$4,0,IF(ISNA(MATCH(Q$4-Q$48,$A$4:$BH$4,1)),0,OFFSET($A$49,0,MATCH(Q$4-Q$48,$A$4:$BH$4,1),1,1)/7*(OFFSET($A$4,0,MATCH(Q$4-Q$48,$A$4:$BH$4,1),1,1)-(Q$4-Q$48))))))+IF(P$48=0,0,($C$13/$C$48*IF($C$4&gt;(Q$4-Q$48),$C$4-(Q$4-Q$48),0)))</f>
        <v>392859.44047619047</v>
      </c>
      <c r="R13" s="95">
        <f ca="1">(IF(R$48&lt;=R$43,0,IF(ISNA(MATCH(R$4-R$48,$A$4:$BH$4,1)),SUM($D$49:R$49),SUM(OFFSET($A$49,0,MATCH(R$4-R$48,$A$4:$BH$4,1)+1,1,COLUMN(R$4)-MATCH(R$4-R$48,$A$4:$BH$4,1)-1)))))+(IF(R$4-R$48=R$4,0,IF(R$4-R$48&lt;$C$4,0,IF(ISNA(MATCH(R$4-R$48,$A$4:$BH$4,1)),0,OFFSET($A$49,0,MATCH(R$4-R$48,$A$4:$BH$4,1),1,1)/7*(OFFSET($A$4,0,MATCH(R$4-R$48,$A$4:$BH$4,1),1,1)-(R$4-R$48))))))+IF(Q$48=0,0,($C$13/$C$48*IF($C$4&gt;(R$4-R$48),$C$4-(R$4-R$48),0)))</f>
        <v>389205.72619047621</v>
      </c>
      <c r="S13" s="95">
        <f ca="1">(IF(S$48&lt;=S$43,0,IF(ISNA(MATCH(S$4-S$48,$A$4:$BH$4,1)),SUM($D$49:S$49),SUM(OFFSET($A$49,0,MATCH(S$4-S$48,$A$4:$BH$4,1)+1,1,COLUMN(S$4)-MATCH(S$4-S$48,$A$4:$BH$4,1)-1)))))+(IF(S$4-S$48=S$4,0,IF(S$4-S$48&lt;$C$4,0,IF(ISNA(MATCH(S$4-S$48,$A$4:$BH$4,1)),0,OFFSET($A$49,0,MATCH(S$4-S$48,$A$4:$BH$4,1),1,1)/7*(OFFSET($A$4,0,MATCH(S$4-S$48,$A$4:$BH$4,1),1,1)-(S$4-S$48))))))+IF(R$48=0,0,($C$13/$C$48*IF($C$4&gt;(S$4-S$48),$C$4-(S$4-S$48),0)))</f>
        <v>385210.57142857142</v>
      </c>
      <c r="T13" s="95">
        <f ca="1">(IF(T$48&lt;=T$43,0,IF(ISNA(MATCH(T$4-T$48,$A$4:$BH$4,1)),SUM($D$49:T$49),SUM(OFFSET($A$49,0,MATCH(T$4-T$48,$A$4:$BH$4,1)+1,1,COLUMN(T$4)-MATCH(T$4-T$48,$A$4:$BH$4,1)-1)))))+(IF(T$4-T$48=T$4,0,IF(T$4-T$48&lt;$C$4,0,IF(ISNA(MATCH(T$4-T$48,$A$4:$BH$4,1)),0,OFFSET($A$49,0,MATCH(T$4-T$48,$A$4:$BH$4,1),1,1)/7*(OFFSET($A$4,0,MATCH(T$4-T$48,$A$4:$BH$4,1),1,1)-(T$4-T$48))))))+IF(S$48=0,0,($C$13/$C$48*IF($C$4&gt;(T$4-T$48),$C$4-(T$4-T$48),0)))</f>
        <v>387733.04166666663</v>
      </c>
      <c r="U13" s="95">
        <f ca="1">(IF(U$48&lt;=U$43,0,IF(ISNA(MATCH(U$4-U$48,$A$4:$BH$4,1)),SUM($D$49:U$49),SUM(OFFSET($A$49,0,MATCH(U$4-U$48,$A$4:$BH$4,1)+1,1,COLUMN(U$4)-MATCH(U$4-U$48,$A$4:$BH$4,1)-1)))))+(IF(U$4-U$48=U$4,0,IF(U$4-U$48&lt;$C$4,0,IF(ISNA(MATCH(U$4-U$48,$A$4:$BH$4,1)),0,OFFSET($A$49,0,MATCH(U$4-U$48,$A$4:$BH$4,1),1,1)/7*(OFFSET($A$4,0,MATCH(U$4-U$48,$A$4:$BH$4,1),1,1)-(U$4-U$48))))))+IF(T$48=0,0,($C$13/$C$48*IF($C$4&gt;(U$4-U$48),$C$4-(U$4-U$48),0)))</f>
        <v>390651.85119047615</v>
      </c>
      <c r="V13" s="95">
        <f ca="1">(IF(V$48&lt;=V$43,0,IF(ISNA(MATCH(V$4-V$48,$A$4:$BH$4,1)),SUM($D$49:V$49),SUM(OFFSET($A$49,0,MATCH(V$4-V$48,$A$4:$BH$4,1)+1,1,COLUMN(V$4)-MATCH(V$4-V$48,$A$4:$BH$4,1)-1)))))+(IF(V$4-V$48=V$4,0,IF(V$4-V$48&lt;$C$4,0,IF(ISNA(MATCH(V$4-V$48,$A$4:$BH$4,1)),0,OFFSET($A$49,0,MATCH(V$4-V$48,$A$4:$BH$4,1),1,1)/7*(OFFSET($A$4,0,MATCH(V$4-V$48,$A$4:$BH$4,1),1,1)-(V$4-V$48))))))+IF(U$48=0,0,($C$13/$C$48*IF($C$4&gt;(V$4-V$48),$C$4-(V$4-V$48),0)))</f>
        <v>402208.39285714284</v>
      </c>
      <c r="W13" s="95">
        <f ca="1">(IF(W$48&lt;=W$43,0,IF(ISNA(MATCH(W$4-W$48,$A$4:$BH$4,1)),SUM($D$49:W$49),SUM(OFFSET($A$49,0,MATCH(W$4-W$48,$A$4:$BH$4,1)+1,1,COLUMN(W$4)-MATCH(W$4-W$48,$A$4:$BH$4,1)-1)))))+(IF(W$4-W$48=W$4,0,IF(W$4-W$48&lt;$C$4,0,IF(ISNA(MATCH(W$4-W$48,$A$4:$BH$4,1)),0,OFFSET($A$49,0,MATCH(W$4-W$48,$A$4:$BH$4,1),1,1)/7*(OFFSET($A$4,0,MATCH(W$4-W$48,$A$4:$BH$4,1),1,1)-(W$4-W$48))))))+IF(V$48=0,0,($C$13/$C$48*IF($C$4&gt;(W$4-W$48),$C$4-(W$4-W$48),0)))</f>
        <v>399130.91071428568</v>
      </c>
      <c r="X13" s="95">
        <f ca="1">(IF(X$48&lt;=X$43,0,IF(ISNA(MATCH(X$4-X$48,$A$4:$BH$4,1)),SUM($D$49:X$49),SUM(OFFSET($A$49,0,MATCH(X$4-X$48,$A$4:$BH$4,1)+1,1,COLUMN(X$4)-MATCH(X$4-X$48,$A$4:$BH$4,1)-1)))))+(IF(X$4-X$48=X$4,0,IF(X$4-X$48&lt;$C$4,0,IF(ISNA(MATCH(X$4-X$48,$A$4:$BH$4,1)),0,OFFSET($A$49,0,MATCH(X$4-X$48,$A$4:$BH$4,1),1,1)/7*(OFFSET($A$4,0,MATCH(X$4-X$48,$A$4:$BH$4,1),1,1)-(X$4-X$48))))))+IF(W$48=0,0,($C$13/$C$48*IF($C$4&gt;(X$4-X$48),$C$4-(X$4-X$48),0)))</f>
        <v>390099.30357142858</v>
      </c>
      <c r="Y13" s="95">
        <f ca="1">(IF(Y$48&lt;=Y$43,0,IF(ISNA(MATCH(Y$4-Y$48,$A$4:$BH$4,1)),SUM($D$49:Y$49),SUM(OFFSET($A$49,0,MATCH(Y$4-Y$48,$A$4:$BH$4,1)+1,1,COLUMN(Y$4)-MATCH(Y$4-Y$48,$A$4:$BH$4,1)-1)))))+(IF(Y$4-Y$48=Y$4,0,IF(Y$4-Y$48&lt;$C$4,0,IF(ISNA(MATCH(Y$4-Y$48,$A$4:$BH$4,1)),0,OFFSET($A$49,0,MATCH(Y$4-Y$48,$A$4:$BH$4,1),1,1)/7*(OFFSET($A$4,0,MATCH(Y$4-Y$48,$A$4:$BH$4,1),1,1)-(Y$4-Y$48))))))+IF(X$48=0,0,($C$13/$C$48*IF($C$4&gt;(Y$4-Y$48),$C$4-(Y$4-Y$48),0)))</f>
        <v>391509.55952380953</v>
      </c>
      <c r="Z13" s="95">
        <f ca="1">(IF(Z$48&lt;=Z$43,0,IF(ISNA(MATCH(Z$4-Z$48,$A$4:$BH$4,1)),SUM($D$49:Z$49),SUM(OFFSET($A$49,0,MATCH(Z$4-Z$48,$A$4:$BH$4,1)+1,1,COLUMN(Z$4)-MATCH(Z$4-Z$48,$A$4:$BH$4,1)-1)))))+(IF(Z$4-Z$48=Z$4,0,IF(Z$4-Z$48&lt;$C$4,0,IF(ISNA(MATCH(Z$4-Z$48,$A$4:$BH$4,1)),0,OFFSET($A$49,0,MATCH(Z$4-Z$48,$A$4:$BH$4,1),1,1)/7*(OFFSET($A$4,0,MATCH(Z$4-Z$48,$A$4:$BH$4,1),1,1)-(Z$4-Z$48))))))+IF(Y$48=0,0,($C$13/$C$48*IF($C$4&gt;(Z$4-Z$48),$C$4-(Z$4-Z$48),0)))</f>
        <v>392831.23809523805</v>
      </c>
      <c r="AA13" s="95">
        <f ca="1">(IF(AA$48&lt;=AA$43,0,IF(ISNA(MATCH(AA$4-AA$48,$A$4:$BH$4,1)),SUM($D$49:AA$49),SUM(OFFSET($A$49,0,MATCH(AA$4-AA$48,$A$4:$BH$4,1)+1,1,COLUMN(AA$4)-MATCH(AA$4-AA$48,$A$4:$BH$4,1)-1)))))+(IF(AA$4-AA$48=AA$4,0,IF(AA$4-AA$48&lt;$C$4,0,IF(ISNA(MATCH(AA$4-AA$48,$A$4:$BH$4,1)),0,OFFSET($A$49,0,MATCH(AA$4-AA$48,$A$4:$BH$4,1),1,1)/7*(OFFSET($A$4,0,MATCH(AA$4-AA$48,$A$4:$BH$4,1),1,1)-(AA$4-AA$48))))))+IF(Z$48=0,0,($C$13/$C$48*IF($C$4&gt;(AA$4-AA$48),$C$4-(AA$4-AA$48),0)))</f>
        <v>406425.33333333331</v>
      </c>
      <c r="AB13" s="95">
        <f ca="1">(IF(AB$48&lt;=AB$43,0,IF(ISNA(MATCH(AB$4-AB$48,$A$4:$BH$4,1)),SUM($D$49:AB$49),SUM(OFFSET($A$49,0,MATCH(AB$4-AB$48,$A$4:$BH$4,1)+1,1,COLUMN(AB$4)-MATCH(AB$4-AB$48,$A$4:$BH$4,1)-1)))))+(IF(AB$4-AB$48=AB$4,0,IF(AB$4-AB$48&lt;$C$4,0,IF(ISNA(MATCH(AB$4-AB$48,$A$4:$BH$4,1)),0,OFFSET($A$49,0,MATCH(AB$4-AB$48,$A$4:$BH$4,1),1,1)/7*(OFFSET($A$4,0,MATCH(AB$4-AB$48,$A$4:$BH$4,1),1,1)-(AB$4-AB$48))))))+IF(AA$48=0,0,($C$13/$C$48*IF($C$4&gt;(AB$4-AB$48),$C$4-(AB$4-AB$48),0)))</f>
        <v>410841.33333333326</v>
      </c>
      <c r="AC13" s="95">
        <f ca="1">(IF(AC$48&lt;=AC$43,0,IF(ISNA(MATCH(AC$4-AC$48,$A$4:$BH$4,1)),SUM($D$49:AC$49),SUM(OFFSET($A$49,0,MATCH(AC$4-AC$48,$A$4:$BH$4,1)+1,1,COLUMN(AC$4)-MATCH(AC$4-AC$48,$A$4:$BH$4,1)-1)))))+(IF(AC$4-AC$48=AC$4,0,IF(AC$4-AC$48&lt;$C$4,0,IF(ISNA(MATCH(AC$4-AC$48,$A$4:$BH$4,1)),0,OFFSET($A$49,0,MATCH(AC$4-AC$48,$A$4:$BH$4,1),1,1)/7*(OFFSET($A$4,0,MATCH(AC$4-AC$48,$A$4:$BH$4,1),1,1)-(AC$4-AC$48))))))+IF(AB$48=0,0,($C$13/$C$48*IF($C$4&gt;(AC$4-AC$48),$C$4-(AC$4-AC$48),0)))</f>
        <v>409583.45238095231</v>
      </c>
      <c r="AD13" s="95">
        <f ca="1">(IF(AD$48&lt;=AD$43,0,IF(ISNA(MATCH(AD$4-AD$48,$A$4:$BH$4,1)),SUM($D$49:AD$49),SUM(OFFSET($A$49,0,MATCH(AD$4-AD$48,$A$4:$BH$4,1)+1,1,COLUMN(AD$4)-MATCH(AD$4-AD$48,$A$4:$BH$4,1)-1)))))+(IF(AD$4-AD$48=AD$4,0,IF(AD$4-AD$48&lt;$C$4,0,IF(ISNA(MATCH(AD$4-AD$48,$A$4:$BH$4,1)),0,OFFSET($A$49,0,MATCH(AD$4-AD$48,$A$4:$BH$4,1),1,1)/7*(OFFSET($A$4,0,MATCH(AD$4-AD$48,$A$4:$BH$4,1),1,1)-(AD$4-AD$48))))))+IF(AC$48=0,0,($C$13/$C$48*IF($C$4&gt;(AD$4-AD$48),$C$4-(AD$4-AD$48),0)))</f>
        <v>412396.29761904757</v>
      </c>
      <c r="AE13" s="95">
        <f ca="1">(IF(AE$48&lt;=AE$43,0,IF(ISNA(MATCH(AE$4-AE$48,$A$4:$BH$4,1)),SUM($D$49:AE$49),SUM(OFFSET($A$49,0,MATCH(AE$4-AE$48,$A$4:$BH$4,1)+1,1,COLUMN(AE$4)-MATCH(AE$4-AE$48,$A$4:$BH$4,1)-1)))))+(IF(AE$4-AE$48=AE$4,0,IF(AE$4-AE$48&lt;$C$4,0,IF(ISNA(MATCH(AE$4-AE$48,$A$4:$BH$4,1)),0,OFFSET($A$49,0,MATCH(AE$4-AE$48,$A$4:$BH$4,1),1,1)/7*(OFFSET($A$4,0,MATCH(AE$4-AE$48,$A$4:$BH$4,1),1,1)-(AE$4-AE$48))))))+IF(AD$48=0,0,($C$13/$C$48*IF($C$4&gt;(AE$4-AE$48),$C$4-(AE$4-AE$48),0)))</f>
        <v>413658.83333333331</v>
      </c>
      <c r="AF13" s="95">
        <f ca="1">(IF(AF$48&lt;=AF$43,0,IF(ISNA(MATCH(AF$4-AF$48,$A$4:$BH$4,1)),SUM($D$49:AF$49),SUM(OFFSET($A$49,0,MATCH(AF$4-AF$48,$A$4:$BH$4,1)+1,1,COLUMN(AF$4)-MATCH(AF$4-AF$48,$A$4:$BH$4,1)-1)))))+(IF(AF$4-AF$48=AF$4,0,IF(AF$4-AF$48&lt;$C$4,0,IF(ISNA(MATCH(AF$4-AF$48,$A$4:$BH$4,1)),0,OFFSET($A$49,0,MATCH(AF$4-AF$48,$A$4:$BH$4,1),1,1)/7*(OFFSET($A$4,0,MATCH(AF$4-AF$48,$A$4:$BH$4,1),1,1)-(AF$4-AF$48))))))+IF(AE$48=0,0,($C$13/$C$48*IF($C$4&gt;(AF$4-AF$48),$C$4-(AF$4-AF$48),0)))</f>
        <v>419075.33333333331</v>
      </c>
      <c r="AG13" s="95">
        <f ca="1">(IF(AG$48&lt;=AG$43,0,IF(ISNA(MATCH(AG$4-AG$48,$A$4:$BH$4,1)),SUM($D$49:AG$49),SUM(OFFSET($A$49,0,MATCH(AG$4-AG$48,$A$4:$BH$4,1)+1,1,COLUMN(AG$4)-MATCH(AG$4-AG$48,$A$4:$BH$4,1)-1)))))+(IF(AG$4-AG$48=AG$4,0,IF(AG$4-AG$48&lt;$C$4,0,IF(ISNA(MATCH(AG$4-AG$48,$A$4:$BH$4,1)),0,OFFSET($A$49,0,MATCH(AG$4-AG$48,$A$4:$BH$4,1),1,1)/7*(OFFSET($A$4,0,MATCH(AG$4-AG$48,$A$4:$BH$4,1),1,1)-(AG$4-AG$48))))))+IF(AF$48=0,0,($C$13/$C$48*IF($C$4&gt;(AG$4-AG$48),$C$4-(AG$4-AG$48),0)))</f>
        <v>419258.1011904761</v>
      </c>
      <c r="AH13" s="95">
        <f ca="1">(IF(AH$48&lt;=AH$43,0,IF(ISNA(MATCH(AH$4-AH$48,$A$4:$BH$4,1)),SUM($D$49:AH$49),SUM(OFFSET($A$49,0,MATCH(AH$4-AH$48,$A$4:$BH$4,1)+1,1,COLUMN(AH$4)-MATCH(AH$4-AH$48,$A$4:$BH$4,1)-1)))))+(IF(AH$4-AH$48=AH$4,0,IF(AH$4-AH$48&lt;$C$4,0,IF(ISNA(MATCH(AH$4-AH$48,$A$4:$BH$4,1)),0,OFFSET($A$49,0,MATCH(AH$4-AH$48,$A$4:$BH$4,1),1,1)/7*(OFFSET($A$4,0,MATCH(AH$4-AH$48,$A$4:$BH$4,1),1,1)-(AH$4-AH$48))))))+IF(AG$48=0,0,($C$13/$C$48*IF($C$4&gt;(AH$4-AH$48),$C$4-(AH$4-AH$48),0)))</f>
        <v>424963.47023809521</v>
      </c>
      <c r="AI13" s="95">
        <f ca="1">(IF(AI$48&lt;=AI$43,0,IF(ISNA(MATCH(AI$4-AI$48,$A$4:$BH$4,1)),SUM($D$49:AI$49),SUM(OFFSET($A$49,0,MATCH(AI$4-AI$48,$A$4:$BH$4,1)+1,1,COLUMN(AI$4)-MATCH(AI$4-AI$48,$A$4:$BH$4,1)-1)))))+(IF(AI$4-AI$48=AI$4,0,IF(AI$4-AI$48&lt;$C$4,0,IF(ISNA(MATCH(AI$4-AI$48,$A$4:$BH$4,1)),0,OFFSET($A$49,0,MATCH(AI$4-AI$48,$A$4:$BH$4,1),1,1)/7*(OFFSET($A$4,0,MATCH(AI$4-AI$48,$A$4:$BH$4,1),1,1)-(AI$4-AI$48))))))+IF(AH$48=0,0,($C$13/$C$48*IF($C$4&gt;(AI$4-AI$48),$C$4-(AI$4-AI$48),0)))</f>
        <v>428764.49404761894</v>
      </c>
      <c r="AJ13" s="95">
        <f ca="1">(IF(AJ$48&lt;=AJ$43,0,IF(ISNA(MATCH(AJ$4-AJ$48,$A$4:$BH$4,1)),SUM($D$49:AJ$49),SUM(OFFSET($A$49,0,MATCH(AJ$4-AJ$48,$A$4:$BH$4,1)+1,1,COLUMN(AJ$4)-MATCH(AJ$4-AJ$48,$A$4:$BH$4,1)-1)))))+(IF(AJ$4-AJ$48=AJ$4,0,IF(AJ$4-AJ$48&lt;$C$4,0,IF(ISNA(MATCH(AJ$4-AJ$48,$A$4:$BH$4,1)),0,OFFSET($A$49,0,MATCH(AJ$4-AJ$48,$A$4:$BH$4,1),1,1)/7*(OFFSET($A$4,0,MATCH(AJ$4-AJ$48,$A$4:$BH$4,1),1,1)-(AJ$4-AJ$48))))))+IF(AI$48=0,0,($C$13/$C$48*IF($C$4&gt;(AJ$4-AJ$48),$C$4-(AJ$4-AJ$48),0)))</f>
        <v>433019.90476190473</v>
      </c>
      <c r="AK13" s="95">
        <f ca="1">(IF(AK$48&lt;=AK$43,0,IF(ISNA(MATCH(AK$4-AK$48,$A$4:$BH$4,1)),SUM($D$49:AK$49),SUM(OFFSET($A$49,0,MATCH(AK$4-AK$48,$A$4:$BH$4,1)+1,1,COLUMN(AK$4)-MATCH(AK$4-AK$48,$A$4:$BH$4,1)-1)))))+(IF(AK$4-AK$48=AK$4,0,IF(AK$4-AK$48&lt;$C$4,0,IF(ISNA(MATCH(AK$4-AK$48,$A$4:$BH$4,1)),0,OFFSET($A$49,0,MATCH(AK$4-AK$48,$A$4:$BH$4,1),1,1)/7*(OFFSET($A$4,0,MATCH(AK$4-AK$48,$A$4:$BH$4,1),1,1)-(AK$4-AK$48))))))+IF(AJ$48=0,0,($C$13/$C$48*IF($C$4&gt;(AK$4-AK$48),$C$4-(AK$4-AK$48),0)))</f>
        <v>442592.55952380947</v>
      </c>
      <c r="AL13" s="95">
        <f ca="1">(IF(AL$48&lt;=AL$43,0,IF(ISNA(MATCH(AL$4-AL$48,$A$4:$BH$4,1)),SUM($D$49:AL$49),SUM(OFFSET($A$49,0,MATCH(AL$4-AL$48,$A$4:$BH$4,1)+1,1,COLUMN(AL$4)-MATCH(AL$4-AL$48,$A$4:$BH$4,1)-1)))))+(IF(AL$4-AL$48=AL$4,0,IF(AL$4-AL$48&lt;$C$4,0,IF(ISNA(MATCH(AL$4-AL$48,$A$4:$BH$4,1)),0,OFFSET($A$49,0,MATCH(AL$4-AL$48,$A$4:$BH$4,1),1,1)/7*(OFFSET($A$4,0,MATCH(AL$4-AL$48,$A$4:$BH$4,1),1,1)-(AL$4-AL$48))))))+IF(AK$48=0,0,($C$13/$C$48*IF($C$4&gt;(AL$4-AL$48),$C$4-(AL$4-AL$48),0)))</f>
        <v>441881.75</v>
      </c>
      <c r="AM13" s="95">
        <f ca="1">(IF(AM$48&lt;=AM$43,0,IF(ISNA(MATCH(AM$4-AM$48,$A$4:$BH$4,1)),SUM($D$49:AM$49),SUM(OFFSET($A$49,0,MATCH(AM$4-AM$48,$A$4:$BH$4,1)+1,1,COLUMN(AM$4)-MATCH(AM$4-AM$48,$A$4:$BH$4,1)-1)))))+(IF(AM$4-AM$48=AM$4,0,IF(AM$4-AM$48&lt;$C$4,0,IF(ISNA(MATCH(AM$4-AM$48,$A$4:$BH$4,1)),0,OFFSET($A$49,0,MATCH(AM$4-AM$48,$A$4:$BH$4,1),1,1)/7*(OFFSET($A$4,0,MATCH(AM$4-AM$48,$A$4:$BH$4,1),1,1)-(AM$4-AM$48))))))+IF(AL$48=0,0,($C$13/$C$48*IF($C$4&gt;(AM$4-AM$48),$C$4-(AM$4-AM$48),0)))</f>
        <v>442210.04761904757</v>
      </c>
      <c r="AN13" s="95">
        <f ca="1">(IF(AN$48&lt;=AN$43,0,IF(ISNA(MATCH(AN$4-AN$48,$A$4:$BH$4,1)),SUM($D$49:AN$49),SUM(OFFSET($A$49,0,MATCH(AN$4-AN$48,$A$4:$BH$4,1)+1,1,COLUMN(AN$4)-MATCH(AN$4-AN$48,$A$4:$BH$4,1)-1)))))+(IF(AN$4-AN$48=AN$4,0,IF(AN$4-AN$48&lt;$C$4,0,IF(ISNA(MATCH(AN$4-AN$48,$A$4:$BH$4,1)),0,OFFSET($A$49,0,MATCH(AN$4-AN$48,$A$4:$BH$4,1),1,1)/7*(OFFSET($A$4,0,MATCH(AN$4-AN$48,$A$4:$BH$4,1),1,1)-(AN$4-AN$48))))))+IF(AM$48=0,0,($C$13/$C$48*IF($C$4&gt;(AN$4-AN$48),$C$4-(AN$4-AN$48),0)))</f>
        <v>443746.94047619042</v>
      </c>
      <c r="AO13" s="95">
        <f ca="1">(IF(AO$48&lt;=AO$43,0,IF(ISNA(MATCH(AO$4-AO$48,$A$4:$BH$4,1)),SUM($D$49:AO$49),SUM(OFFSET($A$49,0,MATCH(AO$4-AO$48,$A$4:$BH$4,1)+1,1,COLUMN(AO$4)-MATCH(AO$4-AO$48,$A$4:$BH$4,1)-1)))))+(IF(AO$4-AO$48=AO$4,0,IF(AO$4-AO$48&lt;$C$4,0,IF(ISNA(MATCH(AO$4-AO$48,$A$4:$BH$4,1)),0,OFFSET($A$49,0,MATCH(AO$4-AO$48,$A$4:$BH$4,1),1,1)/7*(OFFSET($A$4,0,MATCH(AO$4-AO$48,$A$4:$BH$4,1),1,1)-(AO$4-AO$48))))))+IF(AN$48=0,0,($C$13/$C$48*IF($C$4&gt;(AO$4-AO$48),$C$4-(AO$4-AO$48),0)))</f>
        <v>437566.78571428568</v>
      </c>
      <c r="AP13" s="95">
        <f ca="1">(IF(AP$48&lt;=AP$43,0,IF(ISNA(MATCH(AP$4-AP$48,$A$4:$BH$4,1)),SUM($D$49:AP$49),SUM(OFFSET($A$49,0,MATCH(AP$4-AP$48,$A$4:$BH$4,1)+1,1,COLUMN(AP$4)-MATCH(AP$4-AP$48,$A$4:$BH$4,1)-1)))))+(IF(AP$4-AP$48=AP$4,0,IF(AP$4-AP$48&lt;$C$4,0,IF(ISNA(MATCH(AP$4-AP$48,$A$4:$BH$4,1)),0,OFFSET($A$49,0,MATCH(AP$4-AP$48,$A$4:$BH$4,1),1,1)/7*(OFFSET($A$4,0,MATCH(AP$4-AP$48,$A$4:$BH$4,1),1,1)-(AP$4-AP$48))))))+IF(AO$48=0,0,($C$13/$C$48*IF($C$4&gt;(AP$4-AP$48),$C$4-(AP$4-AP$48),0)))</f>
        <v>443278.99999999994</v>
      </c>
      <c r="AQ13" s="95">
        <f ca="1">(IF(AQ$48&lt;=AQ$43,0,IF(ISNA(MATCH(AQ$4-AQ$48,$A$4:$BH$4,1)),SUM($D$49:AQ$49),SUM(OFFSET($A$49,0,MATCH(AQ$4-AQ$48,$A$4:$BH$4,1)+1,1,COLUMN(AQ$4)-MATCH(AQ$4-AQ$48,$A$4:$BH$4,1)-1)))))+(IF(AQ$4-AQ$48=AQ$4,0,IF(AQ$4-AQ$48&lt;$C$4,0,IF(ISNA(MATCH(AQ$4-AQ$48,$A$4:$BH$4,1)),0,OFFSET($A$49,0,MATCH(AQ$4-AQ$48,$A$4:$BH$4,1),1,1)/7*(OFFSET($A$4,0,MATCH(AQ$4-AQ$48,$A$4:$BH$4,1),1,1)-(AQ$4-AQ$48))))))+IF(AP$48=0,0,($C$13/$C$48*IF($C$4&gt;(AQ$4-AQ$48),$C$4-(AQ$4-AQ$48),0)))</f>
        <v>431191.35</v>
      </c>
      <c r="AR13" s="95">
        <f ca="1">(IF(AR$48&lt;=AR$43,0,IF(ISNA(MATCH(AR$4-AR$48,$A$4:$BH$4,1)),SUM($D$49:AR$49),SUM(OFFSET($A$49,0,MATCH(AR$4-AR$48,$A$4:$BH$4,1)+1,1,COLUMN(AR$4)-MATCH(AR$4-AR$48,$A$4:$BH$4,1)-1)))))+(IF(AR$4-AR$48=AR$4,0,IF(AR$4-AR$48&lt;$C$4,0,IF(ISNA(MATCH(AR$4-AR$48,$A$4:$BH$4,1)),0,OFFSET($A$49,0,MATCH(AR$4-AR$48,$A$4:$BH$4,1),1,1)/7*(OFFSET($A$4,0,MATCH(AR$4-AR$48,$A$4:$BH$4,1),1,1)-(AR$4-AR$48))))))+IF(AQ$48=0,0,($C$13/$C$48*IF($C$4&gt;(AR$4-AR$48),$C$4-(AR$4-AR$48),0)))</f>
        <v>408674.02142857137</v>
      </c>
      <c r="AS13" s="95">
        <f ca="1">(IF(AS$48&lt;=AS$43,0,IF(ISNA(MATCH(AS$4-AS$48,$A$4:$BH$4,1)),SUM($D$49:AS$49),SUM(OFFSET($A$49,0,MATCH(AS$4-AS$48,$A$4:$BH$4,1)+1,1,COLUMN(AS$4)-MATCH(AS$4-AS$48,$A$4:$BH$4,1)-1)))))+(IF(AS$4-AS$48=AS$4,0,IF(AS$4-AS$48&lt;$C$4,0,IF(ISNA(MATCH(AS$4-AS$48,$A$4:$BH$4,1)),0,OFFSET($A$49,0,MATCH(AS$4-AS$48,$A$4:$BH$4,1),1,1)/7*(OFFSET($A$4,0,MATCH(AS$4-AS$48,$A$4:$BH$4,1),1,1)-(AS$4-AS$48))))))+IF(AR$48=0,0,($C$13/$C$48*IF($C$4&gt;(AS$4-AS$48),$C$4-(AS$4-AS$48),0)))</f>
        <v>390129.77857142856</v>
      </c>
      <c r="AT13" s="95">
        <f ca="1">(IF(AT$48&lt;=AT$43,0,IF(ISNA(MATCH(AT$4-AT$48,$A$4:$BH$4,1)),SUM($D$49:AT$49),SUM(OFFSET($A$49,0,MATCH(AT$4-AT$48,$A$4:$BH$4,1)+1,1,COLUMN(AT$4)-MATCH(AT$4-AT$48,$A$4:$BH$4,1)-1)))))+(IF(AT$4-AT$48=AT$4,0,IF(AT$4-AT$48&lt;$C$4,0,IF(ISNA(MATCH(AT$4-AT$48,$A$4:$BH$4,1)),0,OFFSET($A$49,0,MATCH(AT$4-AT$48,$A$4:$BH$4,1),1,1)/7*(OFFSET($A$4,0,MATCH(AT$4-AT$48,$A$4:$BH$4,1),1,1)-(AT$4-AT$48))))))+IF(AS$48=0,0,($C$13/$C$48*IF($C$4&gt;(AT$4-AT$48),$C$4-(AT$4-AT$48),0)))</f>
        <v>346377.31666666671</v>
      </c>
      <c r="AU13" s="95">
        <f ca="1">(IF(AU$48&lt;=AU$43,0,IF(ISNA(MATCH(AU$4-AU$48,$A$4:$BH$4,1)),SUM($D$49:AU$49),SUM(OFFSET($A$49,0,MATCH(AU$4-AU$48,$A$4:$BH$4,1)+1,1,COLUMN(AU$4)-MATCH(AU$4-AU$48,$A$4:$BH$4,1)-1)))))+(IF(AU$4-AU$48=AU$4,0,IF(AU$4-AU$48&lt;$C$4,0,IF(ISNA(MATCH(AU$4-AU$48,$A$4:$BH$4,1)),0,OFFSET($A$49,0,MATCH(AU$4-AU$48,$A$4:$BH$4,1),1,1)/7*(OFFSET($A$4,0,MATCH(AU$4-AU$48,$A$4:$BH$4,1),1,1)-(AU$4-AU$48))))))+IF(AT$48=0,0,($C$13/$C$48*IF($C$4&gt;(AU$4-AU$48),$C$4-(AU$4-AU$48),0)))</f>
        <v>303990.20047619042</v>
      </c>
      <c r="AV13" s="95">
        <f ca="1">(IF(AV$48&lt;=AV$43,0,IF(ISNA(MATCH(AV$4-AV$48,$A$4:$BH$4,1)),SUM($D$49:AV$49),SUM(OFFSET($A$49,0,MATCH(AV$4-AV$48,$A$4:$BH$4,1)+1,1,COLUMN(AV$4)-MATCH(AV$4-AV$48,$A$4:$BH$4,1)-1)))))+(IF(AV$4-AV$48=AV$4,0,IF(AV$4-AV$48&lt;$C$4,0,IF(ISNA(MATCH(AV$4-AV$48,$A$4:$BH$4,1)),0,OFFSET($A$49,0,MATCH(AV$4-AV$48,$A$4:$BH$4,1),1,1)/7*(OFFSET($A$4,0,MATCH(AV$4-AV$48,$A$4:$BH$4,1),1,1)-(AV$4-AV$48))))))+IF(AU$48=0,0,($C$13/$C$48*IF($C$4&gt;(AV$4-AV$48),$C$4-(AV$4-AV$48),0)))</f>
        <v>271857.68904761906</v>
      </c>
      <c r="AW13" s="95">
        <f ca="1">(IF(AW$48&lt;=AW$43,0,IF(ISNA(MATCH(AW$4-AW$48,$A$4:$BH$4,1)),SUM($D$49:AW$49),SUM(OFFSET($A$49,0,MATCH(AW$4-AW$48,$A$4:$BH$4,1)+1,1,COLUMN(AW$4)-MATCH(AW$4-AW$48,$A$4:$BH$4,1)-1)))))+(IF(AW$4-AW$48=AW$4,0,IF(AW$4-AW$48&lt;$C$4,0,IF(ISNA(MATCH(AW$4-AW$48,$A$4:$BH$4,1)),0,OFFSET($A$49,0,MATCH(AW$4-AW$48,$A$4:$BH$4,1),1,1)/7*(OFFSET($A$4,0,MATCH(AW$4-AW$48,$A$4:$BH$4,1),1,1)-(AW$4-AW$48))))))+IF(AV$48=0,0,($C$13/$C$48*IF($C$4&gt;(AW$4-AW$48),$C$4-(AW$4-AW$48),0)))</f>
        <v>269854.96404761903</v>
      </c>
      <c r="AX13" s="95">
        <f ca="1">(IF(AX$48&lt;=AX$43,0,IF(ISNA(MATCH(AX$4-AX$48,$A$4:$BH$4,1)),SUM($D$49:AX$49),SUM(OFFSET($A$49,0,MATCH(AX$4-AX$48,$A$4:$BH$4,1)+1,1,COLUMN(AX$4)-MATCH(AX$4-AX$48,$A$4:$BH$4,1)-1)))))+(IF(AX$4-AX$48=AX$4,0,IF(AX$4-AX$48&lt;$C$4,0,IF(ISNA(MATCH(AX$4-AX$48,$A$4:$BH$4,1)),0,OFFSET($A$49,0,MATCH(AX$4-AX$48,$A$4:$BH$4,1),1,1)/7*(OFFSET($A$4,0,MATCH(AX$4-AX$48,$A$4:$BH$4,1),1,1)-(AX$4-AX$48))))))+IF(AW$48=0,0,($C$13/$C$48*IF($C$4&gt;(AX$4-AX$48),$C$4-(AX$4-AX$48),0)))</f>
        <v>324058.57119047613</v>
      </c>
      <c r="AY13" s="95">
        <f ca="1">(IF(AY$48&lt;=AY$43,0,IF(ISNA(MATCH(AY$4-AY$48,$A$4:$BH$4,1)),SUM($D$49:AY$49),SUM(OFFSET($A$49,0,MATCH(AY$4-AY$48,$A$4:$BH$4,1)+1,1,COLUMN(AY$4)-MATCH(AY$4-AY$48,$A$4:$BH$4,1)-1)))))+(IF(AY$4-AY$48=AY$4,0,IF(AY$4-AY$48&lt;$C$4,0,IF(ISNA(MATCH(AY$4-AY$48,$A$4:$BH$4,1)),0,OFFSET($A$49,0,MATCH(AY$4-AY$48,$A$4:$BH$4,1),1,1)/7*(OFFSET($A$4,0,MATCH(AY$4-AY$48,$A$4:$BH$4,1),1,1)-(AY$4-AY$48))))))+IF(AX$48=0,0,($C$13/$C$48*IF($C$4&gt;(AY$4-AY$48),$C$4-(AY$4-AY$48),0)))</f>
        <v>384078.58261904761</v>
      </c>
      <c r="AZ13" s="95">
        <f ca="1">(IF(AZ$48&lt;=AZ$43,0,IF(ISNA(MATCH(AZ$4-AZ$48,$A$4:$BH$4,1)),SUM($D$49:AZ$49),SUM(OFFSET($A$49,0,MATCH(AZ$4-AZ$48,$A$4:$BH$4,1)+1,1,COLUMN(AZ$4)-MATCH(AZ$4-AZ$48,$A$4:$BH$4,1)-1)))))+(IF(AZ$4-AZ$48=AZ$4,0,IF(AZ$4-AZ$48&lt;$C$4,0,IF(ISNA(MATCH(AZ$4-AZ$48,$A$4:$BH$4,1)),0,OFFSET($A$49,0,MATCH(AZ$4-AZ$48,$A$4:$BH$4,1),1,1)/7*(OFFSET($A$4,0,MATCH(AZ$4-AZ$48,$A$4:$BH$4,1),1,1)-(AZ$4-AZ$48))))))+IF(AY$48=0,0,($C$13/$C$48*IF($C$4&gt;(AZ$4-AZ$48),$C$4-(AZ$4-AZ$48),0)))</f>
        <v>433715.90666666662</v>
      </c>
      <c r="BA13" s="95">
        <f ca="1">(IF(BA$48&lt;=BA$43,0,IF(ISNA(MATCH(BA$4-BA$48,$A$4:$BH$4,1)),SUM($D$49:BA$49),SUM(OFFSET($A$49,0,MATCH(BA$4-BA$48,$A$4:$BH$4,1)+1,1,COLUMN(BA$4)-MATCH(BA$4-BA$48,$A$4:$BH$4,1)-1)))))+(IF(BA$4-BA$48=BA$4,0,IF(BA$4-BA$48&lt;$C$4,0,IF(ISNA(MATCH(BA$4-BA$48,$A$4:$BH$4,1)),0,OFFSET($A$49,0,MATCH(BA$4-BA$48,$A$4:$BH$4,1),1,1)/7*(OFFSET($A$4,0,MATCH(BA$4-BA$48,$A$4:$BH$4,1),1,1)-(BA$4-BA$48))))))+IF(AZ$48=0,0,($C$13/$C$48*IF($C$4&gt;(BA$4-BA$48),$C$4-(BA$4-BA$48),0)))</f>
        <v>457754.27999999997</v>
      </c>
      <c r="BB13" s="95">
        <f ca="1">(IF(BB$48&lt;=BB$43,0,IF(ISNA(MATCH(BB$4-BB$48,$A$4:$BH$4,1)),SUM($D$49:BB$49),SUM(OFFSET($A$49,0,MATCH(BB$4-BB$48,$A$4:$BH$4,1)+1,1,COLUMN(BB$4)-MATCH(BB$4-BB$48,$A$4:$BH$4,1)-1)))))+(IF(BB$4-BB$48=BB$4,0,IF(BB$4-BB$48&lt;$C$4,0,IF(ISNA(MATCH(BB$4-BB$48,$A$4:$BH$4,1)),0,OFFSET($A$49,0,MATCH(BB$4-BB$48,$A$4:$BH$4,1),1,1)/7*(OFFSET($A$4,0,MATCH(BB$4-BB$48,$A$4:$BH$4,1),1,1)-(BB$4-BB$48))))))+IF(BA$48=0,0,($C$13/$C$48*IF($C$4&gt;(BB$4-BB$48),$C$4-(BB$4-BB$48),0)))</f>
        <v>459364.10476190475</v>
      </c>
      <c r="BC13" s="95">
        <f ca="1">(IF(BC$48&lt;=BC$43,0,IF(ISNA(MATCH(BC$4-BC$48,$A$4:$BH$4,1)),SUM($D$49:BC$49),SUM(OFFSET($A$49,0,MATCH(BC$4-BC$48,$A$4:$BH$4,1)+1,1,COLUMN(BC$4)-MATCH(BC$4-BC$48,$A$4:$BH$4,1)-1)))))+(IF(BC$4-BC$48=BC$4,0,IF(BC$4-BC$48&lt;$C$4,0,IF(ISNA(MATCH(BC$4-BC$48,$A$4:$BH$4,1)),0,OFFSET($A$49,0,MATCH(BC$4-BC$48,$A$4:$BH$4,1),1,1)/7*(OFFSET($A$4,0,MATCH(BC$4-BC$48,$A$4:$BH$4,1),1,1)-(BC$4-BC$48))))))+IF(BB$48=0,0,($C$13/$C$48*IF($C$4&gt;(BC$4-BC$48),$C$4-(BC$4-BC$48),0)))</f>
        <v>460198.8952380952</v>
      </c>
      <c r="BD13" s="52">
        <f ca="1">OFFSET($B13,0,Assumptions!$C$8+1,1,1)</f>
        <v>380498.30952380953</v>
      </c>
      <c r="BE13" s="52">
        <f ca="1">OFFSET($B13,0,SUM(Assumptions!$C$8:$C$9)+1,1,1)</f>
        <v>409583.45238095231</v>
      </c>
      <c r="BF13" s="52">
        <f ca="1">OFFSET($B13,0,SUM(Assumptions!$C$8:$C$10)+1,1,1)</f>
        <v>443278.99999999994</v>
      </c>
      <c r="BG13" s="52">
        <f ca="1">OFFSET($B13,0,SUM(Assumptions!$C$8:$C$11)+1,1,1)</f>
        <v>460198.8952380952</v>
      </c>
      <c r="BH13" s="52">
        <f ca="1">BG13</f>
        <v>460198.8952380952</v>
      </c>
    </row>
    <row r="14" spans="1:60" ht="16.149999999999999" customHeight="1" x14ac:dyDescent="0.3">
      <c r="A14" s="164" t="s">
        <v>143</v>
      </c>
      <c r="B14" s="31" t="s">
        <v>144</v>
      </c>
      <c r="C14" s="51">
        <f ca="1">SUMIF(Assumptions!$A$81:$C$104,$A14,Assumptions!$C$81:$C$104)</f>
        <v>55000</v>
      </c>
      <c r="D14" s="95">
        <f ca="1">OFFSET(D$4,ROW($B14)-ROW($B$4),-1,1,1)-OFFSET(CashFlow!$B16,0,COLUMN(D$4)-COLUMN($C$4),1,1)</f>
        <v>55000</v>
      </c>
      <c r="E14" s="95">
        <f ca="1">OFFSET(E$4,ROW($B14)-ROW($B$4),-1,1,1)-OFFSET(CashFlow!$B16,0,COLUMN(E$4)-COLUMN($C$4),1,1)</f>
        <v>55000</v>
      </c>
      <c r="F14" s="95">
        <f ca="1">OFFSET(F$4,ROW($B14)-ROW($B$4),-1,1,1)-OFFSET(CashFlow!$B16,0,COLUMN(F$4)-COLUMN($C$4),1,1)</f>
        <v>55000</v>
      </c>
      <c r="G14" s="95">
        <f ca="1">OFFSET(G$4,ROW($B14)-ROW($B$4),-1,1,1)-OFFSET(CashFlow!$B16,0,COLUMN(G$4)-COLUMN($C$4),1,1)</f>
        <v>55000</v>
      </c>
      <c r="H14" s="95">
        <f ca="1">OFFSET(H$4,ROW($B14)-ROW($B$4),-1,1,1)-OFFSET(CashFlow!$B16,0,COLUMN(H$4)-COLUMN($C$4),1,1)</f>
        <v>55000</v>
      </c>
      <c r="I14" s="95">
        <f ca="1">OFFSET(I$4,ROW($B14)-ROW($B$4),-1,1,1)-OFFSET(CashFlow!$B16,0,COLUMN(I$4)-COLUMN($C$4),1,1)</f>
        <v>55000</v>
      </c>
      <c r="J14" s="95">
        <f ca="1">OFFSET(J$4,ROW($B14)-ROW($B$4),-1,1,1)-OFFSET(CashFlow!$B16,0,COLUMN(J$4)-COLUMN($C$4),1,1)</f>
        <v>55000</v>
      </c>
      <c r="K14" s="95">
        <f ca="1">OFFSET(K$4,ROW($B14)-ROW($B$4),-1,1,1)-OFFSET(CashFlow!$B16,0,COLUMN(K$4)-COLUMN($C$4),1,1)</f>
        <v>55000</v>
      </c>
      <c r="L14" s="95">
        <f ca="1">OFFSET(L$4,ROW($B14)-ROW($B$4),-1,1,1)-OFFSET(CashFlow!$B16,0,COLUMN(L$4)-COLUMN($C$4),1,1)</f>
        <v>55000</v>
      </c>
      <c r="M14" s="95">
        <f ca="1">OFFSET(M$4,ROW($B14)-ROW($B$4),-1,1,1)-OFFSET(CashFlow!$B16,0,COLUMN(M$4)-COLUMN($C$4),1,1)</f>
        <v>55000</v>
      </c>
      <c r="N14" s="95">
        <f ca="1">OFFSET(N$4,ROW($B14)-ROW($B$4),-1,1,1)-OFFSET(CashFlow!$B16,0,COLUMN(N$4)-COLUMN($C$4),1,1)</f>
        <v>55000</v>
      </c>
      <c r="O14" s="95">
        <f ca="1">OFFSET(O$4,ROW($B14)-ROW($B$4),-1,1,1)-OFFSET(CashFlow!$B16,0,COLUMN(O$4)-COLUMN($C$4),1,1)</f>
        <v>55000</v>
      </c>
      <c r="P14" s="95">
        <f ca="1">OFFSET(P$4,ROW($B14)-ROW($B$4),-1,1,1)-OFFSET(CashFlow!$B16,0,COLUMN(P$4)-COLUMN($C$4),1,1)</f>
        <v>55000</v>
      </c>
      <c r="Q14" s="95">
        <f ca="1">OFFSET(Q$4,ROW($B14)-ROW($B$4),-1,1,1)-OFFSET(CashFlow!$B16,0,COLUMN(Q$4)-COLUMN($C$4),1,1)</f>
        <v>55000</v>
      </c>
      <c r="R14" s="95">
        <f ca="1">OFFSET(R$4,ROW($B14)-ROW($B$4),-1,1,1)-OFFSET(CashFlow!$B16,0,COLUMN(R$4)-COLUMN($C$4),1,1)</f>
        <v>55000</v>
      </c>
      <c r="S14" s="95">
        <f ca="1">OFFSET(S$4,ROW($B14)-ROW($B$4),-1,1,1)-OFFSET(CashFlow!$B16,0,COLUMN(S$4)-COLUMN($C$4),1,1)</f>
        <v>55000</v>
      </c>
      <c r="T14" s="95">
        <f ca="1">OFFSET(T$4,ROW($B14)-ROW($B$4),-1,1,1)-OFFSET(CashFlow!$B16,0,COLUMN(T$4)-COLUMN($C$4),1,1)</f>
        <v>55000</v>
      </c>
      <c r="U14" s="95">
        <f ca="1">OFFSET(U$4,ROW($B14)-ROW($B$4),-1,1,1)-OFFSET(CashFlow!$B16,0,COLUMN(U$4)-COLUMN($C$4),1,1)</f>
        <v>55000</v>
      </c>
      <c r="V14" s="95">
        <f ca="1">OFFSET(V$4,ROW($B14)-ROW($B$4),-1,1,1)-OFFSET(CashFlow!$B16,0,COLUMN(V$4)-COLUMN($C$4),1,1)</f>
        <v>55000</v>
      </c>
      <c r="W14" s="95">
        <f ca="1">OFFSET(W$4,ROW($B14)-ROW($B$4),-1,1,1)-OFFSET(CashFlow!$B16,0,COLUMN(W$4)-COLUMN($C$4),1,1)</f>
        <v>55000</v>
      </c>
      <c r="X14" s="95">
        <f ca="1">OFFSET(X$4,ROW($B14)-ROW($B$4),-1,1,1)-OFFSET(CashFlow!$B16,0,COLUMN(X$4)-COLUMN($C$4),1,1)</f>
        <v>55000</v>
      </c>
      <c r="Y14" s="95">
        <f ca="1">OFFSET(Y$4,ROW($B14)-ROW($B$4),-1,1,1)-OFFSET(CashFlow!$B16,0,COLUMN(Y$4)-COLUMN($C$4),1,1)</f>
        <v>55000</v>
      </c>
      <c r="Z14" s="95">
        <f ca="1">OFFSET(Z$4,ROW($B14)-ROW($B$4),-1,1,1)-OFFSET(CashFlow!$B16,0,COLUMN(Z$4)-COLUMN($C$4),1,1)</f>
        <v>55000</v>
      </c>
      <c r="AA14" s="95">
        <f ca="1">OFFSET(AA$4,ROW($B14)-ROW($B$4),-1,1,1)-OFFSET(CashFlow!$B16,0,COLUMN(AA$4)-COLUMN($C$4),1,1)</f>
        <v>55000</v>
      </c>
      <c r="AB14" s="95">
        <f ca="1">OFFSET(AB$4,ROW($B14)-ROW($B$4),-1,1,1)-OFFSET(CashFlow!$B16,0,COLUMN(AB$4)-COLUMN($C$4),1,1)</f>
        <v>55000</v>
      </c>
      <c r="AC14" s="95">
        <f ca="1">OFFSET(AC$4,ROW($B14)-ROW($B$4),-1,1,1)-OFFSET(CashFlow!$B16,0,COLUMN(AC$4)-COLUMN($C$4),1,1)</f>
        <v>55000</v>
      </c>
      <c r="AD14" s="95">
        <f ca="1">OFFSET(AD$4,ROW($B14)-ROW($B$4),-1,1,1)-OFFSET(CashFlow!$B16,0,COLUMN(AD$4)-COLUMN($C$4),1,1)</f>
        <v>55000</v>
      </c>
      <c r="AE14" s="95">
        <f ca="1">OFFSET(AE$4,ROW($B14)-ROW($B$4),-1,1,1)-OFFSET(CashFlow!$B16,0,COLUMN(AE$4)-COLUMN($C$4),1,1)</f>
        <v>55000</v>
      </c>
      <c r="AF14" s="95">
        <f ca="1">OFFSET(AF$4,ROW($B14)-ROW($B$4),-1,1,1)-OFFSET(CashFlow!$B16,0,COLUMN(AF$4)-COLUMN($C$4),1,1)</f>
        <v>55000</v>
      </c>
      <c r="AG14" s="95">
        <f ca="1">OFFSET(AG$4,ROW($B14)-ROW($B$4),-1,1,1)-OFFSET(CashFlow!$B16,0,COLUMN(AG$4)-COLUMN($C$4),1,1)</f>
        <v>55000</v>
      </c>
      <c r="AH14" s="95">
        <f ca="1">OFFSET(AH$4,ROW($B14)-ROW($B$4),-1,1,1)-OFFSET(CashFlow!$B16,0,COLUMN(AH$4)-COLUMN($C$4),1,1)</f>
        <v>65000</v>
      </c>
      <c r="AI14" s="95">
        <f ca="1">OFFSET(AI$4,ROW($B14)-ROW($B$4),-1,1,1)-OFFSET(CashFlow!$B16,0,COLUMN(AI$4)-COLUMN($C$4),1,1)</f>
        <v>65000</v>
      </c>
      <c r="AJ14" s="95">
        <f ca="1">OFFSET(AJ$4,ROW($B14)-ROW($B$4),-1,1,1)-OFFSET(CashFlow!$B16,0,COLUMN(AJ$4)-COLUMN($C$4),1,1)</f>
        <v>65000</v>
      </c>
      <c r="AK14" s="95">
        <f ca="1">OFFSET(AK$4,ROW($B14)-ROW($B$4),-1,1,1)-OFFSET(CashFlow!$B16,0,COLUMN(AK$4)-COLUMN($C$4),1,1)</f>
        <v>65000</v>
      </c>
      <c r="AL14" s="95">
        <f ca="1">OFFSET(AL$4,ROW($B14)-ROW($B$4),-1,1,1)-OFFSET(CashFlow!$B16,0,COLUMN(AL$4)-COLUMN($C$4),1,1)</f>
        <v>65000</v>
      </c>
      <c r="AM14" s="95">
        <f ca="1">OFFSET(AM$4,ROW($B14)-ROW($B$4),-1,1,1)-OFFSET(CashFlow!$B16,0,COLUMN(AM$4)-COLUMN($C$4),1,1)</f>
        <v>65000</v>
      </c>
      <c r="AN14" s="95">
        <f ca="1">OFFSET(AN$4,ROW($B14)-ROW($B$4),-1,1,1)-OFFSET(CashFlow!$B16,0,COLUMN(AN$4)-COLUMN($C$4),1,1)</f>
        <v>65000</v>
      </c>
      <c r="AO14" s="95">
        <f ca="1">OFFSET(AO$4,ROW($B14)-ROW($B$4),-1,1,1)-OFFSET(CashFlow!$B16,0,COLUMN(AO$4)-COLUMN($C$4),1,1)</f>
        <v>65000</v>
      </c>
      <c r="AP14" s="95">
        <f ca="1">OFFSET(AP$4,ROW($B14)-ROW($B$4),-1,1,1)-OFFSET(CashFlow!$B16,0,COLUMN(AP$4)-COLUMN($C$4),1,1)</f>
        <v>65000</v>
      </c>
      <c r="AQ14" s="95">
        <f ca="1">OFFSET(AQ$4,ROW($B14)-ROW($B$4),-1,1,1)-OFFSET(CashFlow!$B16,0,COLUMN(AQ$4)-COLUMN($C$4),1,1)</f>
        <v>55000</v>
      </c>
      <c r="AR14" s="95">
        <f ca="1">OFFSET(AR$4,ROW($B14)-ROW($B$4),-1,1,1)-OFFSET(CashFlow!$B16,0,COLUMN(AR$4)-COLUMN($C$4),1,1)</f>
        <v>55000</v>
      </c>
      <c r="AS14" s="95">
        <f ca="1">OFFSET(AS$4,ROW($B14)-ROW($B$4),-1,1,1)-OFFSET(CashFlow!$B16,0,COLUMN(AS$4)-COLUMN($C$4),1,1)</f>
        <v>55000</v>
      </c>
      <c r="AT14" s="95">
        <f ca="1">OFFSET(AT$4,ROW($B14)-ROW($B$4),-1,1,1)-OFFSET(CashFlow!$B16,0,COLUMN(AT$4)-COLUMN($C$4),1,1)</f>
        <v>55000</v>
      </c>
      <c r="AU14" s="95">
        <f ca="1">OFFSET(AU$4,ROW($B14)-ROW($B$4),-1,1,1)-OFFSET(CashFlow!$B16,0,COLUMN(AU$4)-COLUMN($C$4),1,1)</f>
        <v>55000</v>
      </c>
      <c r="AV14" s="95">
        <f ca="1">OFFSET(AV$4,ROW($B14)-ROW($B$4),-1,1,1)-OFFSET(CashFlow!$B16,0,COLUMN(AV$4)-COLUMN($C$4),1,1)</f>
        <v>55000</v>
      </c>
      <c r="AW14" s="95">
        <f ca="1">OFFSET(AW$4,ROW($B14)-ROW($B$4),-1,1,1)-OFFSET(CashFlow!$B16,0,COLUMN(AW$4)-COLUMN($C$4),1,1)</f>
        <v>55000</v>
      </c>
      <c r="AX14" s="95">
        <f ca="1">OFFSET(AX$4,ROW($B14)-ROW($B$4),-1,1,1)-OFFSET(CashFlow!$B16,0,COLUMN(AX$4)-COLUMN($C$4),1,1)</f>
        <v>55000</v>
      </c>
      <c r="AY14" s="95">
        <f ca="1">OFFSET(AY$4,ROW($B14)-ROW($B$4),-1,1,1)-OFFSET(CashFlow!$B16,0,COLUMN(AY$4)-COLUMN($C$4),1,1)</f>
        <v>55000</v>
      </c>
      <c r="AZ14" s="95">
        <f ca="1">OFFSET(AZ$4,ROW($B14)-ROW($B$4),-1,1,1)-OFFSET(CashFlow!$B16,0,COLUMN(AZ$4)-COLUMN($C$4),1,1)</f>
        <v>55000</v>
      </c>
      <c r="BA14" s="95">
        <f ca="1">OFFSET(BA$4,ROW($B14)-ROW($B$4),-1,1,1)-OFFSET(CashFlow!$B16,0,COLUMN(BA$4)-COLUMN($C$4),1,1)</f>
        <v>55000</v>
      </c>
      <c r="BB14" s="95">
        <f ca="1">OFFSET(BB$4,ROW($B14)-ROW($B$4),-1,1,1)-OFFSET(CashFlow!$B16,0,COLUMN(BB$4)-COLUMN($C$4),1,1)</f>
        <v>55000</v>
      </c>
      <c r="BC14" s="95">
        <f ca="1">OFFSET(BC$4,ROW($B14)-ROW($B$4),-1,1,1)-OFFSET(CashFlow!$B16,0,COLUMN(BC$4)-COLUMN($C$4),1,1)</f>
        <v>55000</v>
      </c>
      <c r="BD14" s="52">
        <f ca="1">OFFSET($B14,0,Assumptions!$C$8+1,1,1)</f>
        <v>55000</v>
      </c>
      <c r="BE14" s="52">
        <f ca="1">OFFSET($B14,0,SUM(Assumptions!$C$8:$C$9)+1,1,1)</f>
        <v>55000</v>
      </c>
      <c r="BF14" s="52">
        <f ca="1">OFFSET($B14,0,SUM(Assumptions!$C$8:$C$10)+1,1,1)</f>
        <v>65000</v>
      </c>
      <c r="BG14" s="52">
        <f ca="1">OFFSET($B14,0,SUM(Assumptions!$C$8:$C$11)+1,1,1)</f>
        <v>55000</v>
      </c>
      <c r="BH14" s="52">
        <f t="shared" ref="BH14:BH15" ca="1" si="4">BG14</f>
        <v>55000</v>
      </c>
    </row>
    <row r="15" spans="1:60" ht="16.149999999999999" customHeight="1" x14ac:dyDescent="0.3">
      <c r="A15" s="164" t="s">
        <v>148</v>
      </c>
      <c r="B15" s="31" t="s">
        <v>149</v>
      </c>
      <c r="C15" s="51">
        <f ca="1">SUMIF(Assumptions!$A$81:$C$104,$A15,Assumptions!$C$81:$C$104)</f>
        <v>53000</v>
      </c>
      <c r="D15" s="95">
        <f ca="1">OFFSET(D$4,ROW($B15)-ROW($B$4),-1,1,1)-OFFSET(CashFlow!$B17,0,COLUMN(D$4)-COLUMN($C$4),1,1)</f>
        <v>53000</v>
      </c>
      <c r="E15" s="95">
        <f ca="1">OFFSET(E$4,ROW($B15)-ROW($B$4),-1,1,1)-OFFSET(CashFlow!$B17,0,COLUMN(E$4)-COLUMN($C$4),1,1)</f>
        <v>53000</v>
      </c>
      <c r="F15" s="95">
        <f ca="1">OFFSET(F$4,ROW($B15)-ROW($B$4),-1,1,1)-OFFSET(CashFlow!$B17,0,COLUMN(F$4)-COLUMN($C$4),1,1)</f>
        <v>53000</v>
      </c>
      <c r="G15" s="95">
        <f ca="1">OFFSET(G$4,ROW($B15)-ROW($B$4),-1,1,1)-OFFSET(CashFlow!$B17,0,COLUMN(G$4)-COLUMN($C$4),1,1)</f>
        <v>53000</v>
      </c>
      <c r="H15" s="95">
        <f ca="1">OFFSET(H$4,ROW($B15)-ROW($B$4),-1,1,1)-OFFSET(CashFlow!$B17,0,COLUMN(H$4)-COLUMN($C$4),1,1)</f>
        <v>53000</v>
      </c>
      <c r="I15" s="95">
        <f ca="1">OFFSET(I$4,ROW($B15)-ROW($B$4),-1,1,1)-OFFSET(CashFlow!$B17,0,COLUMN(I$4)-COLUMN($C$4),1,1)</f>
        <v>53000</v>
      </c>
      <c r="J15" s="95">
        <f ca="1">OFFSET(J$4,ROW($B15)-ROW($B$4),-1,1,1)-OFFSET(CashFlow!$B17,0,COLUMN(J$4)-COLUMN($C$4),1,1)</f>
        <v>53000</v>
      </c>
      <c r="K15" s="95">
        <f ca="1">OFFSET(K$4,ROW($B15)-ROW($B$4),-1,1,1)-OFFSET(CashFlow!$B17,0,COLUMN(K$4)-COLUMN($C$4),1,1)</f>
        <v>53000</v>
      </c>
      <c r="L15" s="95">
        <f ca="1">OFFSET(L$4,ROW($B15)-ROW($B$4),-1,1,1)-OFFSET(CashFlow!$B17,0,COLUMN(L$4)-COLUMN($C$4),1,1)</f>
        <v>53000</v>
      </c>
      <c r="M15" s="95">
        <f ca="1">OFFSET(M$4,ROW($B15)-ROW($B$4),-1,1,1)-OFFSET(CashFlow!$B17,0,COLUMN(M$4)-COLUMN($C$4),1,1)</f>
        <v>53000</v>
      </c>
      <c r="N15" s="95">
        <f ca="1">OFFSET(N$4,ROW($B15)-ROW($B$4),-1,1,1)-OFFSET(CashFlow!$B17,0,COLUMN(N$4)-COLUMN($C$4),1,1)</f>
        <v>53000</v>
      </c>
      <c r="O15" s="95">
        <f ca="1">OFFSET(O$4,ROW($B15)-ROW($B$4),-1,1,1)-OFFSET(CashFlow!$B17,0,COLUMN(O$4)-COLUMN($C$4),1,1)</f>
        <v>53000</v>
      </c>
      <c r="P15" s="95">
        <f ca="1">OFFSET(P$4,ROW($B15)-ROW($B$4),-1,1,1)-OFFSET(CashFlow!$B17,0,COLUMN(P$4)-COLUMN($C$4),1,1)</f>
        <v>53000</v>
      </c>
      <c r="Q15" s="95">
        <f ca="1">OFFSET(Q$4,ROW($B15)-ROW($B$4),-1,1,1)-OFFSET(CashFlow!$B17,0,COLUMN(Q$4)-COLUMN($C$4),1,1)</f>
        <v>53000</v>
      </c>
      <c r="R15" s="95">
        <f ca="1">OFFSET(R$4,ROW($B15)-ROW($B$4),-1,1,1)-OFFSET(CashFlow!$B17,0,COLUMN(R$4)-COLUMN($C$4),1,1)</f>
        <v>53000</v>
      </c>
      <c r="S15" s="95">
        <f ca="1">OFFSET(S$4,ROW($B15)-ROW($B$4),-1,1,1)-OFFSET(CashFlow!$B17,0,COLUMN(S$4)-COLUMN($C$4),1,1)</f>
        <v>53000</v>
      </c>
      <c r="T15" s="95">
        <f ca="1">OFFSET(T$4,ROW($B15)-ROW($B$4),-1,1,1)-OFFSET(CashFlow!$B17,0,COLUMN(T$4)-COLUMN($C$4),1,1)</f>
        <v>53000</v>
      </c>
      <c r="U15" s="95">
        <f ca="1">OFFSET(U$4,ROW($B15)-ROW($B$4),-1,1,1)-OFFSET(CashFlow!$B17,0,COLUMN(U$4)-COLUMN($C$4),1,1)</f>
        <v>53000</v>
      </c>
      <c r="V15" s="95">
        <f ca="1">OFFSET(V$4,ROW($B15)-ROW($B$4),-1,1,1)-OFFSET(CashFlow!$B17,0,COLUMN(V$4)-COLUMN($C$4),1,1)</f>
        <v>53000</v>
      </c>
      <c r="W15" s="95">
        <f ca="1">OFFSET(W$4,ROW($B15)-ROW($B$4),-1,1,1)-OFFSET(CashFlow!$B17,0,COLUMN(W$4)-COLUMN($C$4),1,1)</f>
        <v>53000</v>
      </c>
      <c r="X15" s="95">
        <f ca="1">OFFSET(X$4,ROW($B15)-ROW($B$4),-1,1,1)-OFFSET(CashFlow!$B17,0,COLUMN(X$4)-COLUMN($C$4),1,1)</f>
        <v>53000</v>
      </c>
      <c r="Y15" s="95">
        <f ca="1">OFFSET(Y$4,ROW($B15)-ROW($B$4),-1,1,1)-OFFSET(CashFlow!$B17,0,COLUMN(Y$4)-COLUMN($C$4),1,1)</f>
        <v>53000</v>
      </c>
      <c r="Z15" s="95">
        <f ca="1">OFFSET(Z$4,ROW($B15)-ROW($B$4),-1,1,1)-OFFSET(CashFlow!$B17,0,COLUMN(Z$4)-COLUMN($C$4),1,1)</f>
        <v>53000</v>
      </c>
      <c r="AA15" s="95">
        <f ca="1">OFFSET(AA$4,ROW($B15)-ROW($B$4),-1,1,1)-OFFSET(CashFlow!$B17,0,COLUMN(AA$4)-COLUMN($C$4),1,1)</f>
        <v>53000</v>
      </c>
      <c r="AB15" s="95">
        <f ca="1">OFFSET(AB$4,ROW($B15)-ROW($B$4),-1,1,1)-OFFSET(CashFlow!$B17,0,COLUMN(AB$4)-COLUMN($C$4),1,1)</f>
        <v>53000</v>
      </c>
      <c r="AC15" s="95">
        <f ca="1">OFFSET(AC$4,ROW($B15)-ROW($B$4),-1,1,1)-OFFSET(CashFlow!$B17,0,COLUMN(AC$4)-COLUMN($C$4),1,1)</f>
        <v>53000</v>
      </c>
      <c r="AD15" s="95">
        <f ca="1">OFFSET(AD$4,ROW($B15)-ROW($B$4),-1,1,1)-OFFSET(CashFlow!$B17,0,COLUMN(AD$4)-COLUMN($C$4),1,1)</f>
        <v>53000</v>
      </c>
      <c r="AE15" s="95">
        <f ca="1">OFFSET(AE$4,ROW($B15)-ROW($B$4),-1,1,1)-OFFSET(CashFlow!$B17,0,COLUMN(AE$4)-COLUMN($C$4),1,1)</f>
        <v>53000</v>
      </c>
      <c r="AF15" s="95">
        <f ca="1">OFFSET(AF$4,ROW($B15)-ROW($B$4),-1,1,1)-OFFSET(CashFlow!$B17,0,COLUMN(AF$4)-COLUMN($C$4),1,1)</f>
        <v>53000</v>
      </c>
      <c r="AG15" s="95">
        <f ca="1">OFFSET(AG$4,ROW($B15)-ROW($B$4),-1,1,1)-OFFSET(CashFlow!$B17,0,COLUMN(AG$4)-COLUMN($C$4),1,1)</f>
        <v>53000</v>
      </c>
      <c r="AH15" s="95">
        <f ca="1">OFFSET(AH$4,ROW($B15)-ROW($B$4),-1,1,1)-OFFSET(CashFlow!$B17,0,COLUMN(AH$4)-COLUMN($C$4),1,1)</f>
        <v>53000</v>
      </c>
      <c r="AI15" s="95">
        <f ca="1">OFFSET(AI$4,ROW($B15)-ROW($B$4),-1,1,1)-OFFSET(CashFlow!$B17,0,COLUMN(AI$4)-COLUMN($C$4),1,1)</f>
        <v>53000</v>
      </c>
      <c r="AJ15" s="95">
        <f ca="1">OFFSET(AJ$4,ROW($B15)-ROW($B$4),-1,1,1)-OFFSET(CashFlow!$B17,0,COLUMN(AJ$4)-COLUMN($C$4),1,1)</f>
        <v>53000</v>
      </c>
      <c r="AK15" s="95">
        <f ca="1">OFFSET(AK$4,ROW($B15)-ROW($B$4),-1,1,1)-OFFSET(CashFlow!$B17,0,COLUMN(AK$4)-COLUMN($C$4),1,1)</f>
        <v>53000</v>
      </c>
      <c r="AL15" s="95">
        <f ca="1">OFFSET(AL$4,ROW($B15)-ROW($B$4),-1,1,1)-OFFSET(CashFlow!$B17,0,COLUMN(AL$4)-COLUMN($C$4),1,1)</f>
        <v>53000</v>
      </c>
      <c r="AM15" s="95">
        <f ca="1">OFFSET(AM$4,ROW($B15)-ROW($B$4),-1,1,1)-OFFSET(CashFlow!$B17,0,COLUMN(AM$4)-COLUMN($C$4),1,1)</f>
        <v>53000</v>
      </c>
      <c r="AN15" s="95">
        <f ca="1">OFFSET(AN$4,ROW($B15)-ROW($B$4),-1,1,1)-OFFSET(CashFlow!$B17,0,COLUMN(AN$4)-COLUMN($C$4),1,1)</f>
        <v>53000</v>
      </c>
      <c r="AO15" s="95">
        <f ca="1">OFFSET(AO$4,ROW($B15)-ROW($B$4),-1,1,1)-OFFSET(CashFlow!$B17,0,COLUMN(AO$4)-COLUMN($C$4),1,1)</f>
        <v>53000</v>
      </c>
      <c r="AP15" s="95">
        <f ca="1">OFFSET(AP$4,ROW($B15)-ROW($B$4),-1,1,1)-OFFSET(CashFlow!$B17,0,COLUMN(AP$4)-COLUMN($C$4),1,1)</f>
        <v>53000</v>
      </c>
      <c r="AQ15" s="95">
        <f ca="1">OFFSET(AQ$4,ROW($B15)-ROW($B$4),-1,1,1)-OFFSET(CashFlow!$B17,0,COLUMN(AQ$4)-COLUMN($C$4),1,1)</f>
        <v>53000</v>
      </c>
      <c r="AR15" s="95">
        <f ca="1">OFFSET(AR$4,ROW($B15)-ROW($B$4),-1,1,1)-OFFSET(CashFlow!$B17,0,COLUMN(AR$4)-COLUMN($C$4),1,1)</f>
        <v>53000</v>
      </c>
      <c r="AS15" s="95">
        <f ca="1">OFFSET(AS$4,ROW($B15)-ROW($B$4),-1,1,1)-OFFSET(CashFlow!$B17,0,COLUMN(AS$4)-COLUMN($C$4),1,1)</f>
        <v>53000</v>
      </c>
      <c r="AT15" s="95">
        <f ca="1">OFFSET(AT$4,ROW($B15)-ROW($B$4),-1,1,1)-OFFSET(CashFlow!$B17,0,COLUMN(AT$4)-COLUMN($C$4),1,1)</f>
        <v>53000</v>
      </c>
      <c r="AU15" s="95">
        <f ca="1">OFFSET(AU$4,ROW($B15)-ROW($B$4),-1,1,1)-OFFSET(CashFlow!$B17,0,COLUMN(AU$4)-COLUMN($C$4),1,1)</f>
        <v>53000</v>
      </c>
      <c r="AV15" s="95">
        <f ca="1">OFFSET(AV$4,ROW($B15)-ROW($B$4),-1,1,1)-OFFSET(CashFlow!$B17,0,COLUMN(AV$4)-COLUMN($C$4),1,1)</f>
        <v>53000</v>
      </c>
      <c r="AW15" s="95">
        <f ca="1">OFFSET(AW$4,ROW($B15)-ROW($B$4),-1,1,1)-OFFSET(CashFlow!$B17,0,COLUMN(AW$4)-COLUMN($C$4),1,1)</f>
        <v>53000</v>
      </c>
      <c r="AX15" s="95">
        <f ca="1">OFFSET(AX$4,ROW($B15)-ROW($B$4),-1,1,1)-OFFSET(CashFlow!$B17,0,COLUMN(AX$4)-COLUMN($C$4),1,1)</f>
        <v>53000</v>
      </c>
      <c r="AY15" s="95">
        <f ca="1">OFFSET(AY$4,ROW($B15)-ROW($B$4),-1,1,1)-OFFSET(CashFlow!$B17,0,COLUMN(AY$4)-COLUMN($C$4),1,1)</f>
        <v>53000</v>
      </c>
      <c r="AZ15" s="95">
        <f ca="1">OFFSET(AZ$4,ROW($B15)-ROW($B$4),-1,1,1)-OFFSET(CashFlow!$B17,0,COLUMN(AZ$4)-COLUMN($C$4),1,1)</f>
        <v>53000</v>
      </c>
      <c r="BA15" s="95">
        <f ca="1">OFFSET(BA$4,ROW($B15)-ROW($B$4),-1,1,1)-OFFSET(CashFlow!$B17,0,COLUMN(BA$4)-COLUMN($C$4),1,1)</f>
        <v>53000</v>
      </c>
      <c r="BB15" s="95">
        <f ca="1">OFFSET(BB$4,ROW($B15)-ROW($B$4),-1,1,1)-OFFSET(CashFlow!$B17,0,COLUMN(BB$4)-COLUMN($C$4),1,1)</f>
        <v>53000</v>
      </c>
      <c r="BC15" s="95">
        <f ca="1">OFFSET(BC$4,ROW($B15)-ROW($B$4),-1,1,1)-OFFSET(CashFlow!$B17,0,COLUMN(BC$4)-COLUMN($C$4),1,1)</f>
        <v>53000</v>
      </c>
      <c r="BD15" s="52">
        <f ca="1">OFFSET($B15,0,Assumptions!$C$8+1,1,1)</f>
        <v>53000</v>
      </c>
      <c r="BE15" s="52">
        <f ca="1">OFFSET($B15,0,SUM(Assumptions!$C$8:$C$9)+1,1,1)</f>
        <v>53000</v>
      </c>
      <c r="BF15" s="52">
        <f ca="1">OFFSET($B15,0,SUM(Assumptions!$C$8:$C$10)+1,1,1)</f>
        <v>53000</v>
      </c>
      <c r="BG15" s="52">
        <f ca="1">OFFSET($B15,0,SUM(Assumptions!$C$8:$C$11)+1,1,1)</f>
        <v>53000</v>
      </c>
      <c r="BH15" s="52">
        <f t="shared" ca="1" si="4"/>
        <v>53000</v>
      </c>
    </row>
    <row r="16" spans="1:60" ht="16.149999999999999" customHeight="1" x14ac:dyDescent="0.3">
      <c r="A16" s="164" t="s">
        <v>150</v>
      </c>
      <c r="B16" s="31" t="s">
        <v>151</v>
      </c>
      <c r="C16" s="51">
        <f ca="1">SUMIF(Assumptions!$A$81:$C$104,$A16,Assumptions!$C$81:$C$104)</f>
        <v>171000</v>
      </c>
      <c r="D16" s="51">
        <f ca="1">IF(OFFSET(CashFlow!$B$46,0,COLUMN(D$4)-COLUMN($C$4),1,1)&gt;=0,OFFSET(CashFlow!$B$46,0,COLUMN(D$4)-COLUMN($C$4),1,1),0)</f>
        <v>65364.486441453468</v>
      </c>
      <c r="E16" s="51">
        <f ca="1">IF(OFFSET(CashFlow!$B$46,0,COLUMN(E$4)-COLUMN($C$4),1,1)&gt;=0,OFFSET(CashFlow!$B$46,0,COLUMN(E$4)-COLUMN($C$4),1,1),0)</f>
        <v>114481.72432313077</v>
      </c>
      <c r="F16" s="51">
        <f ca="1">IF(OFFSET(CashFlow!$B$46,0,COLUMN(F$4)-COLUMN($C$4),1,1)&gt;=0,OFFSET(CashFlow!$B$46,0,COLUMN(F$4)-COLUMN($C$4),1,1),0)</f>
        <v>165181.24813265455</v>
      </c>
      <c r="G16" s="51">
        <f ca="1">IF(OFFSET(CashFlow!$B$46,0,COLUMN(G$4)-COLUMN($C$4),1,1)&gt;=0,OFFSET(CashFlow!$B$46,0,COLUMN(G$4)-COLUMN($C$4),1,1),0)</f>
        <v>142809.36622789266</v>
      </c>
      <c r="H16" s="51">
        <f ca="1">IF(OFFSET(CashFlow!$B$46,0,COLUMN(H$4)-COLUMN($C$4),1,1)&gt;=0,OFFSET(CashFlow!$B$46,0,COLUMN(H$4)-COLUMN($C$4),1,1),0)</f>
        <v>175078.52662386975</v>
      </c>
      <c r="I16" s="51">
        <f ca="1">IF(OFFSET(CashFlow!$B$46,0,COLUMN(I$4)-COLUMN($C$4),1,1)&gt;=0,OFFSET(CashFlow!$B$46,0,COLUMN(I$4)-COLUMN($C$4),1,1),0)</f>
        <v>134004.2271374767</v>
      </c>
      <c r="J16" s="51">
        <f ca="1">IF(OFFSET(CashFlow!$B$46,0,COLUMN(J$4)-COLUMN($C$4),1,1)&gt;=0,OFFSET(CashFlow!$B$46,0,COLUMN(J$4)-COLUMN($C$4),1,1),0)</f>
        <v>183888.85808985768</v>
      </c>
      <c r="K16" s="51">
        <f ca="1">IF(OFFSET(CashFlow!$B$46,0,COLUMN(K$4)-COLUMN($C$4),1,1)&gt;=0,OFFSET(CashFlow!$B$46,0,COLUMN(K$4)-COLUMN($C$4),1,1),0)</f>
        <v>226871.69856604812</v>
      </c>
      <c r="L16" s="51">
        <f ca="1">IF(OFFSET(CashFlow!$B$46,0,COLUMN(L$4)-COLUMN($C$4),1,1)&gt;=0,OFFSET(CashFlow!$B$46,0,COLUMN(L$4)-COLUMN($C$4),1,1),0)</f>
        <v>212671.61348583479</v>
      </c>
      <c r="M16" s="51">
        <f ca="1">IF(OFFSET(CashFlow!$B$46,0,COLUMN(M$4)-COLUMN($C$4),1,1)&gt;=0,OFFSET(CashFlow!$B$46,0,COLUMN(M$4)-COLUMN($C$4),1,1),0)</f>
        <v>186037.37492728833</v>
      </c>
      <c r="N16" s="51">
        <f ca="1">IF(OFFSET(CashFlow!$B$46,0,COLUMN(N$4)-COLUMN($C$4),1,1)&gt;=0,OFFSET(CashFlow!$B$46,0,COLUMN(N$4)-COLUMN($C$4),1,1),0)</f>
        <v>210863.91042801322</v>
      </c>
      <c r="O16" s="51">
        <f ca="1">IF(OFFSET(CashFlow!$B$46,0,COLUMN(O$4)-COLUMN($C$4),1,1)&gt;=0,OFFSET(CashFlow!$B$46,0,COLUMN(O$4)-COLUMN($C$4),1,1),0)</f>
        <v>250161.48185658467</v>
      </c>
      <c r="P16" s="51">
        <f ca="1">IF(OFFSET(CashFlow!$B$46,0,COLUMN(P$4)-COLUMN($C$4),1,1)&gt;=0,OFFSET(CashFlow!$B$46,0,COLUMN(P$4)-COLUMN($C$4),1,1),0)</f>
        <v>184122.38320494269</v>
      </c>
      <c r="Q16" s="51">
        <f ca="1">IF(OFFSET(CashFlow!$B$46,0,COLUMN(Q$4)-COLUMN($C$4),1,1)&gt;=0,OFFSET(CashFlow!$B$46,0,COLUMN(Q$4)-COLUMN($C$4),1,1),0)</f>
        <v>172276.8053606819</v>
      </c>
      <c r="R16" s="51">
        <f ca="1">IF(OFFSET(CashFlow!$B$46,0,COLUMN(R$4)-COLUMN($C$4),1,1)&gt;=0,OFFSET(CashFlow!$B$46,0,COLUMN(R$4)-COLUMN($C$4),1,1),0)</f>
        <v>214797.34086140676</v>
      </c>
      <c r="S16" s="51">
        <f ca="1">IF(OFFSET(CashFlow!$B$46,0,COLUMN(S$4)-COLUMN($C$4),1,1)&gt;=0,OFFSET(CashFlow!$B$46,0,COLUMN(S$4)-COLUMN($C$4),1,1),0)</f>
        <v>241112.82895664487</v>
      </c>
      <c r="T16" s="51">
        <f ca="1">IF(OFFSET(CashFlow!$B$46,0,COLUMN(T$4)-COLUMN($C$4),1,1)&gt;=0,OFFSET(CashFlow!$B$46,0,COLUMN(T$4)-COLUMN($C$4),1,1),0)</f>
        <v>221965.51943283537</v>
      </c>
      <c r="U16" s="51">
        <f ca="1">IF(OFFSET(CashFlow!$B$46,0,COLUMN(U$4)-COLUMN($C$4),1,1)&gt;=0,OFFSET(CashFlow!$B$46,0,COLUMN(U$4)-COLUMN($C$4),1,1),0)</f>
        <v>267768.21411452675</v>
      </c>
      <c r="V16" s="51">
        <f ca="1">IF(OFFSET(CashFlow!$B$46,0,COLUMN(V$4)-COLUMN($C$4),1,1)&gt;=0,OFFSET(CashFlow!$B$46,0,COLUMN(V$4)-COLUMN($C$4),1,1),0)</f>
        <v>245184.05510432416</v>
      </c>
      <c r="W16" s="51">
        <f ca="1">IF(OFFSET(CashFlow!$B$46,0,COLUMN(W$4)-COLUMN($C$4),1,1)&gt;=0,OFFSET(CashFlow!$B$46,0,COLUMN(W$4)-COLUMN($C$4),1,1),0)</f>
        <v>295076.03486622893</v>
      </c>
      <c r="X16" s="51">
        <f ca="1">IF(OFFSET(CashFlow!$B$46,0,COLUMN(X$4)-COLUMN($C$4),1,1)&gt;=0,OFFSET(CashFlow!$B$46,0,COLUMN(X$4)-COLUMN($C$4),1,1),0)</f>
        <v>287758.60272337176</v>
      </c>
      <c r="Y16" s="51">
        <f ca="1">IF(OFFSET(CashFlow!$B$46,0,COLUMN(Y$4)-COLUMN($C$4),1,1)&gt;=0,OFFSET(CashFlow!$B$46,0,COLUMN(Y$4)-COLUMN($C$4),1,1),0)</f>
        <v>284848.96764315839</v>
      </c>
      <c r="Z16" s="51">
        <f ca="1">IF(OFFSET(CashFlow!$B$46,0,COLUMN(Z$4)-COLUMN($C$4),1,1)&gt;=0,OFFSET(CashFlow!$B$46,0,COLUMN(Z$4)-COLUMN($C$4),1,1),0)</f>
        <v>384809.06122746906</v>
      </c>
      <c r="AA16" s="51">
        <f ca="1">IF(OFFSET(CashFlow!$B$46,0,COLUMN(AA$4)-COLUMN($C$4),1,1)&gt;=0,OFFSET(CashFlow!$B$46,0,COLUMN(AA$4)-COLUMN($C$4),1,1),0)</f>
        <v>419769.24434724159</v>
      </c>
      <c r="AB16" s="51">
        <f ca="1">IF(OFFSET(CashFlow!$B$46,0,COLUMN(AB$4)-COLUMN($C$4),1,1)&gt;=0,OFFSET(CashFlow!$B$46,0,COLUMN(AB$4)-COLUMN($C$4),1,1),0)</f>
        <v>459622.09434724163</v>
      </c>
      <c r="AC16" s="51">
        <f ca="1">IF(OFFSET(CashFlow!$B$46,0,COLUMN(AC$4)-COLUMN($C$4),1,1)&gt;=0,OFFSET(CashFlow!$B$46,0,COLUMN(AC$4)-COLUMN($C$4),1,1),0)</f>
        <v>389596.12336707738</v>
      </c>
      <c r="AD16" s="51">
        <f ca="1">IF(OFFSET(CashFlow!$B$46,0,COLUMN(AD$4)-COLUMN($C$4),1,1)&gt;=0,OFFSET(CashFlow!$B$46,0,COLUMN(AD$4)-COLUMN($C$4),1,1),0)</f>
        <v>367957.30485513195</v>
      </c>
      <c r="AE16" s="51">
        <f ca="1">IF(OFFSET(CashFlow!$B$46,0,COLUMN(AE$4)-COLUMN($C$4),1,1)&gt;=0,OFFSET(CashFlow!$B$46,0,COLUMN(AE$4)-COLUMN($C$4),1,1),0)</f>
        <v>391719.03321299964</v>
      </c>
      <c r="AF16" s="51">
        <f ca="1">IF(OFFSET(CashFlow!$B$46,0,COLUMN(AF$4)-COLUMN($C$4),1,1)&gt;=0,OFFSET(CashFlow!$B$46,0,COLUMN(AF$4)-COLUMN($C$4),1,1),0)</f>
        <v>430047.97607014247</v>
      </c>
      <c r="AG16" s="51">
        <f ca="1">IF(OFFSET(CashFlow!$B$46,0,COLUMN(AG$4)-COLUMN($C$4),1,1)&gt;=0,OFFSET(CashFlow!$B$46,0,COLUMN(AG$4)-COLUMN($C$4),1,1),0)</f>
        <v>434036.55107014254</v>
      </c>
      <c r="AH16" s="51">
        <f ca="1">IF(OFFSET(CashFlow!$B$46,0,COLUMN(AH$4)-COLUMN($C$4),1,1)&gt;=0,OFFSET(CashFlow!$B$46,0,COLUMN(AH$4)-COLUMN($C$4),1,1),0)</f>
        <v>418273.75230721972</v>
      </c>
      <c r="AI16" s="51">
        <f ca="1">IF(OFFSET(CashFlow!$B$46,0,COLUMN(AI$4)-COLUMN($C$4),1,1)&gt;=0,OFFSET(CashFlow!$B$46,0,COLUMN(AI$4)-COLUMN($C$4),1,1),0)</f>
        <v>409623.6004398744</v>
      </c>
      <c r="AJ16" s="51">
        <f ca="1">IF(OFFSET(CashFlow!$B$46,0,COLUMN(AJ$4)-COLUMN($C$4),1,1)&gt;=0,OFFSET(CashFlow!$B$46,0,COLUMN(AJ$4)-COLUMN($C$4),1,1),0)</f>
        <v>468930.66115416004</v>
      </c>
      <c r="AK16" s="51">
        <f ca="1">IF(OFFSET(CashFlow!$B$46,0,COLUMN(AK$4)-COLUMN($C$4),1,1)&gt;=0,OFFSET(CashFlow!$B$46,0,COLUMN(AK$4)-COLUMN($C$4),1,1),0)</f>
        <v>516052.12543987436</v>
      </c>
      <c r="AL16" s="51">
        <f ca="1">IF(OFFSET(CashFlow!$B$46,0,COLUMN(AL$4)-COLUMN($C$4),1,1)&gt;=0,OFFSET(CashFlow!$B$46,0,COLUMN(AL$4)-COLUMN($C$4),1,1),0)</f>
        <v>506133.51715314208</v>
      </c>
      <c r="AM16" s="51">
        <f ca="1">IF(OFFSET(CashFlow!$B$46,0,COLUMN(AM$4)-COLUMN($C$4),1,1)&gt;=0,OFFSET(CashFlow!$B$46,0,COLUMN(AM$4)-COLUMN($C$4),1,1),0)</f>
        <v>504856.25359459565</v>
      </c>
      <c r="AN16" s="51">
        <f ca="1">IF(OFFSET(CashFlow!$B$46,0,COLUMN(AN$4)-COLUMN($C$4),1,1)&gt;=0,OFFSET(CashFlow!$B$46,0,COLUMN(AN$4)-COLUMN($C$4),1,1),0)</f>
        <v>534109.46052389196</v>
      </c>
      <c r="AO16" s="51">
        <f ca="1">IF(OFFSET(CashFlow!$B$46,0,COLUMN(AO$4)-COLUMN($C$4),1,1)&gt;=0,OFFSET(CashFlow!$B$46,0,COLUMN(AO$4)-COLUMN($C$4),1,1),0)</f>
        <v>591126.29385722522</v>
      </c>
      <c r="AP16" s="51">
        <f ca="1">IF(OFFSET(CashFlow!$B$46,0,COLUMN(AP$4)-COLUMN($C$4),1,1)&gt;=0,OFFSET(CashFlow!$B$46,0,COLUMN(AP$4)-COLUMN($C$4),1,1),0)</f>
        <v>527294.65457151097</v>
      </c>
      <c r="AQ16" s="51">
        <f ca="1">IF(OFFSET(CashFlow!$B$46,0,COLUMN(AQ$4)-COLUMN($C$4),1,1)&gt;=0,OFFSET(CashFlow!$B$46,0,COLUMN(AQ$4)-COLUMN($C$4),1,1),0)</f>
        <v>580860.0208214703</v>
      </c>
      <c r="AR16" s="51">
        <f ca="1">IF(OFFSET(CashFlow!$B$46,0,COLUMN(AR$4)-COLUMN($C$4),1,1)&gt;=0,OFFSET(CashFlow!$B$46,0,COLUMN(AR$4)-COLUMN($C$4),1,1),0)</f>
        <v>592301.90632219519</v>
      </c>
      <c r="AS16" s="51">
        <f ca="1">IF(OFFSET(CashFlow!$B$46,0,COLUMN(AS$4)-COLUMN($C$4),1,1)&gt;=0,OFFSET(CashFlow!$B$46,0,COLUMN(AS$4)-COLUMN($C$4),1,1),0)</f>
        <v>614802.06346505228</v>
      </c>
      <c r="AT16" s="51">
        <f ca="1">IF(OFFSET(CashFlow!$B$46,0,COLUMN(AT$4)-COLUMN($C$4),1,1)&gt;=0,OFFSET(CashFlow!$B$46,0,COLUMN(AT$4)-COLUMN($C$4),1,1),0)</f>
        <v>632157.27775076649</v>
      </c>
      <c r="AU16" s="51">
        <f ca="1">IF(OFFSET(CashFlow!$B$46,0,COLUMN(AU$4)-COLUMN($C$4),1,1)&gt;=0,OFFSET(CashFlow!$B$46,0,COLUMN(AU$4)-COLUMN($C$4),1,1),0)</f>
        <v>700880.82422593911</v>
      </c>
      <c r="AV16" s="51">
        <f ca="1">IF(OFFSET(CashFlow!$B$46,0,COLUMN(AV$4)-COLUMN($C$4),1,1)&gt;=0,OFFSET(CashFlow!$B$46,0,COLUMN(AV$4)-COLUMN($C$4),1,1),0)</f>
        <v>705100.51542929723</v>
      </c>
      <c r="AW16" s="51">
        <f ca="1">IF(OFFSET(CashFlow!$B$46,0,COLUMN(AW$4)-COLUMN($C$4),1,1)&gt;=0,OFFSET(CashFlow!$B$46,0,COLUMN(AW$4)-COLUMN($C$4),1,1),0)</f>
        <v>750579.83093002217</v>
      </c>
      <c r="AX16" s="51">
        <f ca="1">IF(OFFSET(CashFlow!$B$46,0,COLUMN(AX$4)-COLUMN($C$4),1,1)&gt;=0,OFFSET(CashFlow!$B$46,0,COLUMN(AX$4)-COLUMN($C$4),1,1),0)</f>
        <v>760630.33331097465</v>
      </c>
      <c r="AY16" s="51">
        <f ca="1">IF(OFFSET(CashFlow!$B$46,0,COLUMN(AY$4)-COLUMN($C$4),1,1)&gt;=0,OFFSET(CashFlow!$B$46,0,COLUMN(AY$4)-COLUMN($C$4),1,1),0)</f>
        <v>646228.01645281375</v>
      </c>
      <c r="AZ16" s="51">
        <f ca="1">IF(OFFSET(CashFlow!$B$46,0,COLUMN(AZ$4)-COLUMN($C$4),1,1)&gt;=0,OFFSET(CashFlow!$B$46,0,COLUMN(AZ$4)-COLUMN($C$4),1,1),0)</f>
        <v>593212.40605350083</v>
      </c>
      <c r="BA16" s="51">
        <f ca="1">IF(OFFSET(CashFlow!$B$46,0,COLUMN(BA$4)-COLUMN($C$4),1,1)&gt;=0,OFFSET(CashFlow!$B$46,0,COLUMN(BA$4)-COLUMN($C$4),1,1),0)</f>
        <v>608860.0386970829</v>
      </c>
      <c r="BB16" s="51">
        <f ca="1">IF(OFFSET(CashFlow!$B$46,0,COLUMN(BB$4)-COLUMN($C$4),1,1)&gt;=0,OFFSET(CashFlow!$B$46,0,COLUMN(BB$4)-COLUMN($C$4),1,1),0)</f>
        <v>659211.8425066066</v>
      </c>
      <c r="BC16" s="51">
        <f ca="1">IF(OFFSET(CashFlow!$B$46,0,COLUMN(BC$4)-COLUMN($C$4),1,1)&gt;=0,OFFSET(CashFlow!$B$46,0,COLUMN(BC$4)-COLUMN($C$4),1,1),0)</f>
        <v>678773.59862691129</v>
      </c>
      <c r="BD16" s="52">
        <f ca="1">OFFSET($B16,0,Assumptions!$C$8+1,1,1)</f>
        <v>184122.38320494269</v>
      </c>
      <c r="BE16" s="52">
        <f ca="1">OFFSET($B16,0,SUM(Assumptions!$C$8:$C$9)+1,1,1)</f>
        <v>389596.12336707738</v>
      </c>
      <c r="BF16" s="52">
        <f ca="1">OFFSET($B16,0,SUM(Assumptions!$C$8:$C$10)+1,1,1)</f>
        <v>527294.65457151097</v>
      </c>
      <c r="BG16" s="52">
        <f ca="1">OFFSET($B16,0,SUM(Assumptions!$C$8:$C$11)+1,1,1)</f>
        <v>678773.59862691129</v>
      </c>
      <c r="BH16" s="52">
        <f ca="1">BG16</f>
        <v>678773.59862691129</v>
      </c>
    </row>
    <row r="17" spans="1:60" ht="16.149999999999999" customHeight="1" thickBot="1" x14ac:dyDescent="0.35">
      <c r="B17" s="31"/>
      <c r="C17" s="93">
        <f ca="1">SUM(C12:C16)</f>
        <v>819000</v>
      </c>
      <c r="D17" s="93">
        <f t="shared" ref="D17:BH17" ca="1" si="5">SUM(D12:D16)</f>
        <v>706847.81977478683</v>
      </c>
      <c r="E17" s="93">
        <f t="shared" ca="1" si="5"/>
        <v>728931.3576564641</v>
      </c>
      <c r="F17" s="93">
        <f t="shared" ca="1" si="5"/>
        <v>780390.88146598788</v>
      </c>
      <c r="G17" s="93">
        <f t="shared" ca="1" si="5"/>
        <v>765829.80908503546</v>
      </c>
      <c r="H17" s="93">
        <f t="shared" ca="1" si="5"/>
        <v>814872.72900482221</v>
      </c>
      <c r="I17" s="93">
        <f t="shared" ca="1" si="5"/>
        <v>788076.29737557191</v>
      </c>
      <c r="J17" s="93">
        <f t="shared" ca="1" si="5"/>
        <v>818001.10808985773</v>
      </c>
      <c r="K17" s="93">
        <f t="shared" ca="1" si="5"/>
        <v>856631.829518429</v>
      </c>
      <c r="L17" s="93">
        <f t="shared" ca="1" si="5"/>
        <v>830472.4765810729</v>
      </c>
      <c r="M17" s="93">
        <f t="shared" ca="1" si="5"/>
        <v>810173.7915939549</v>
      </c>
      <c r="N17" s="93">
        <f t="shared" ca="1" si="5"/>
        <v>855324.82709467981</v>
      </c>
      <c r="O17" s="93">
        <f t="shared" ca="1" si="5"/>
        <v>905884.27947563224</v>
      </c>
      <c r="P17" s="93">
        <f t="shared" ca="1" si="5"/>
        <v>845708.69272875215</v>
      </c>
      <c r="Q17" s="93">
        <f t="shared" ca="1" si="5"/>
        <v>850724.24583687237</v>
      </c>
      <c r="R17" s="93">
        <f t="shared" ca="1" si="5"/>
        <v>888691.06705188297</v>
      </c>
      <c r="S17" s="93">
        <f t="shared" ca="1" si="5"/>
        <v>910309.40038521623</v>
      </c>
      <c r="T17" s="93">
        <f t="shared" ca="1" si="5"/>
        <v>897446.56109950203</v>
      </c>
      <c r="U17" s="93">
        <f t="shared" ca="1" si="5"/>
        <v>948112.06530500297</v>
      </c>
      <c r="V17" s="93">
        <f t="shared" ca="1" si="5"/>
        <v>939406.44796146697</v>
      </c>
      <c r="W17" s="93">
        <f t="shared" ca="1" si="5"/>
        <v>984070.94558051461</v>
      </c>
      <c r="X17" s="93">
        <f t="shared" ca="1" si="5"/>
        <v>964103.90629480034</v>
      </c>
      <c r="Y17" s="93">
        <f t="shared" ca="1" si="5"/>
        <v>961724.52716696786</v>
      </c>
      <c r="Z17" s="93">
        <f t="shared" ca="1" si="5"/>
        <v>1060944.2993227071</v>
      </c>
      <c r="AA17" s="93">
        <f t="shared" ca="1" si="5"/>
        <v>1114437.434823432</v>
      </c>
      <c r="AB17" s="93">
        <f t="shared" ca="1" si="5"/>
        <v>1164091.4276805748</v>
      </c>
      <c r="AC17" s="93">
        <f t="shared" ca="1" si="5"/>
        <v>1093713.5757480296</v>
      </c>
      <c r="AD17" s="93">
        <f t="shared" ca="1" si="5"/>
        <v>1075990.4596170366</v>
      </c>
      <c r="AE17" s="93">
        <f t="shared" ca="1" si="5"/>
        <v>1101137.0094034758</v>
      </c>
      <c r="AF17" s="93">
        <f t="shared" ca="1" si="5"/>
        <v>1145077.3094034758</v>
      </c>
      <c r="AG17" s="93">
        <f t="shared" ca="1" si="5"/>
        <v>1147719.2236891901</v>
      </c>
      <c r="AH17" s="93">
        <f t="shared" ca="1" si="5"/>
        <v>1148728.6511167435</v>
      </c>
      <c r="AI17" s="93">
        <f t="shared" ca="1" si="5"/>
        <v>1143605.2373446361</v>
      </c>
      <c r="AJ17" s="93">
        <f t="shared" ca="1" si="5"/>
        <v>1208384.8516303506</v>
      </c>
      <c r="AK17" s="93">
        <f t="shared" ca="1" si="5"/>
        <v>1269090.3992493981</v>
      </c>
      <c r="AL17" s="93">
        <f t="shared" ca="1" si="5"/>
        <v>1259420.9814388563</v>
      </c>
      <c r="AM17" s="93">
        <f t="shared" ca="1" si="5"/>
        <v>1260186.3012136433</v>
      </c>
      <c r="AN17" s="93">
        <f t="shared" ca="1" si="5"/>
        <v>1292039.2581429395</v>
      </c>
      <c r="AO17" s="93">
        <f t="shared" ca="1" si="5"/>
        <v>1341350.2224286539</v>
      </c>
      <c r="AP17" s="93">
        <f t="shared" ca="1" si="5"/>
        <v>1284807.9402857968</v>
      </c>
      <c r="AQ17" s="93">
        <f t="shared" ca="1" si="5"/>
        <v>1313295.9422500418</v>
      </c>
      <c r="AR17" s="93">
        <f t="shared" ca="1" si="5"/>
        <v>1292335.9277507665</v>
      </c>
      <c r="AS17" s="93">
        <f t="shared" ca="1" si="5"/>
        <v>1289050.6991793378</v>
      </c>
      <c r="AT17" s="93">
        <f t="shared" ca="1" si="5"/>
        <v>1245538.0229888619</v>
      </c>
      <c r="AU17" s="93">
        <f t="shared" ca="1" si="5"/>
        <v>1252752.6247021295</v>
      </c>
      <c r="AV17" s="93">
        <f t="shared" ca="1" si="5"/>
        <v>1213480.2616197735</v>
      </c>
      <c r="AW17" s="93">
        <f t="shared" ca="1" si="5"/>
        <v>1252235.7092633555</v>
      </c>
      <c r="AX17" s="93">
        <f t="shared" ca="1" si="5"/>
        <v>1330714.2759300224</v>
      </c>
      <c r="AY17" s="93">
        <f t="shared" ca="1" si="5"/>
        <v>1296114.8276432899</v>
      </c>
      <c r="AZ17" s="93">
        <f t="shared" ca="1" si="5"/>
        <v>1313332.6555773104</v>
      </c>
      <c r="BA17" s="93">
        <f t="shared" ca="1" si="5"/>
        <v>1370751.9186970829</v>
      </c>
      <c r="BB17" s="93">
        <f t="shared" ca="1" si="5"/>
        <v>1427897.5472685113</v>
      </c>
      <c r="BC17" s="93">
        <f t="shared" ca="1" si="5"/>
        <v>1448881.065293578</v>
      </c>
      <c r="BD17" s="57">
        <f t="shared" ca="1" si="5"/>
        <v>845708.69272875215</v>
      </c>
      <c r="BE17" s="57">
        <f t="shared" ca="1" si="5"/>
        <v>1093713.5757480296</v>
      </c>
      <c r="BF17" s="57">
        <f t="shared" ca="1" si="5"/>
        <v>1284807.9402857968</v>
      </c>
      <c r="BG17" s="57">
        <f t="shared" ca="1" si="5"/>
        <v>1448881.065293578</v>
      </c>
      <c r="BH17" s="57">
        <f t="shared" ca="1" si="5"/>
        <v>1448881.065293578</v>
      </c>
    </row>
    <row r="18" spans="1:60" s="10" customFormat="1" ht="16.149999999999999" customHeight="1" thickBot="1" x14ac:dyDescent="0.3">
      <c r="A18" s="165"/>
      <c r="B18" s="2" t="s">
        <v>188</v>
      </c>
      <c r="C18" s="96">
        <f ca="1">SUM(C10,C17)</f>
        <v>2789000</v>
      </c>
      <c r="D18" s="96">
        <f t="shared" ref="D18:BH18" ca="1" si="6">SUM(D10,D17)</f>
        <v>2676847.8197747869</v>
      </c>
      <c r="E18" s="96">
        <f t="shared" ca="1" si="6"/>
        <v>2698931.357656464</v>
      </c>
      <c r="F18" s="96">
        <f t="shared" ca="1" si="6"/>
        <v>2750390.8814659878</v>
      </c>
      <c r="G18" s="96">
        <f t="shared" ca="1" si="6"/>
        <v>2735829.8090850357</v>
      </c>
      <c r="H18" s="96">
        <f t="shared" ca="1" si="6"/>
        <v>2768872.7290048222</v>
      </c>
      <c r="I18" s="96">
        <f t="shared" ca="1" si="6"/>
        <v>2742076.2973755719</v>
      </c>
      <c r="J18" s="96">
        <f t="shared" ca="1" si="6"/>
        <v>2772001.1080898577</v>
      </c>
      <c r="K18" s="96">
        <f t="shared" ca="1" si="6"/>
        <v>2810631.829518429</v>
      </c>
      <c r="L18" s="96">
        <f t="shared" ca="1" si="6"/>
        <v>2768472.4765810729</v>
      </c>
      <c r="M18" s="96">
        <f t="shared" ca="1" si="6"/>
        <v>2748173.7915939549</v>
      </c>
      <c r="N18" s="96">
        <f t="shared" ca="1" si="6"/>
        <v>2793324.8270946797</v>
      </c>
      <c r="O18" s="96">
        <f t="shared" ca="1" si="6"/>
        <v>2843884.2794756321</v>
      </c>
      <c r="P18" s="96">
        <f t="shared" ca="1" si="6"/>
        <v>2767708.6927287523</v>
      </c>
      <c r="Q18" s="96">
        <f t="shared" ca="1" si="6"/>
        <v>2772724.2458368726</v>
      </c>
      <c r="R18" s="96">
        <f t="shared" ca="1" si="6"/>
        <v>2810691.0670518829</v>
      </c>
      <c r="S18" s="96">
        <f t="shared" ca="1" si="6"/>
        <v>2832309.4003852163</v>
      </c>
      <c r="T18" s="96">
        <f t="shared" ca="1" si="6"/>
        <v>2819446.5610995023</v>
      </c>
      <c r="U18" s="96">
        <f t="shared" ca="1" si="6"/>
        <v>2854112.065305003</v>
      </c>
      <c r="V18" s="96">
        <f t="shared" ca="1" si="6"/>
        <v>2845406.4479614669</v>
      </c>
      <c r="W18" s="96">
        <f t="shared" ca="1" si="6"/>
        <v>2890070.9455805146</v>
      </c>
      <c r="X18" s="96">
        <f t="shared" ca="1" si="6"/>
        <v>2870103.9062948003</v>
      </c>
      <c r="Y18" s="96">
        <f t="shared" ca="1" si="6"/>
        <v>2851724.5271669677</v>
      </c>
      <c r="Z18" s="96">
        <f t="shared" ca="1" si="6"/>
        <v>2950944.2993227071</v>
      </c>
      <c r="AA18" s="96">
        <f t="shared" ca="1" si="6"/>
        <v>3004437.434823432</v>
      </c>
      <c r="AB18" s="96">
        <f t="shared" ca="1" si="6"/>
        <v>3054091.4276805748</v>
      </c>
      <c r="AC18" s="96">
        <f t="shared" ca="1" si="6"/>
        <v>2967713.5757480296</v>
      </c>
      <c r="AD18" s="96">
        <f t="shared" ca="1" si="6"/>
        <v>2949990.4596170364</v>
      </c>
      <c r="AE18" s="96">
        <f t="shared" ca="1" si="6"/>
        <v>2975137.0094034756</v>
      </c>
      <c r="AF18" s="96">
        <f t="shared" ca="1" si="6"/>
        <v>3019077.3094034758</v>
      </c>
      <c r="AG18" s="96">
        <f t="shared" ca="1" si="6"/>
        <v>3021719.2236891901</v>
      </c>
      <c r="AH18" s="96">
        <f t="shared" ca="1" si="6"/>
        <v>3006728.6511167437</v>
      </c>
      <c r="AI18" s="96">
        <f t="shared" ca="1" si="6"/>
        <v>3001605.2373446361</v>
      </c>
      <c r="AJ18" s="96">
        <f t="shared" ca="1" si="6"/>
        <v>3066384.8516303506</v>
      </c>
      <c r="AK18" s="96">
        <f t="shared" ca="1" si="6"/>
        <v>3127090.3992493981</v>
      </c>
      <c r="AL18" s="96">
        <f t="shared" ca="1" si="6"/>
        <v>3101420.9814388566</v>
      </c>
      <c r="AM18" s="96">
        <f t="shared" ca="1" si="6"/>
        <v>3102186.3012136435</v>
      </c>
      <c r="AN18" s="96">
        <f t="shared" ca="1" si="6"/>
        <v>3134039.2581429398</v>
      </c>
      <c r="AO18" s="96">
        <f t="shared" ca="1" si="6"/>
        <v>3183350.2224286539</v>
      </c>
      <c r="AP18" s="96">
        <f t="shared" ca="1" si="6"/>
        <v>3110807.9402857968</v>
      </c>
      <c r="AQ18" s="96">
        <f t="shared" ca="1" si="6"/>
        <v>3139295.9422500418</v>
      </c>
      <c r="AR18" s="96">
        <f t="shared" ca="1" si="6"/>
        <v>3118335.9277507663</v>
      </c>
      <c r="AS18" s="96">
        <f t="shared" ca="1" si="6"/>
        <v>3115050.6991793378</v>
      </c>
      <c r="AT18" s="96">
        <f t="shared" ca="1" si="6"/>
        <v>3071538.0229888619</v>
      </c>
      <c r="AU18" s="96">
        <f t="shared" ca="1" si="6"/>
        <v>3062752.6247021295</v>
      </c>
      <c r="AV18" s="96">
        <f t="shared" ca="1" si="6"/>
        <v>3263480.2616197737</v>
      </c>
      <c r="AW18" s="96">
        <f t="shared" ca="1" si="6"/>
        <v>3302235.7092633555</v>
      </c>
      <c r="AX18" s="96">
        <f t="shared" ca="1" si="6"/>
        <v>3380714.2759300224</v>
      </c>
      <c r="AY18" s="96">
        <f t="shared" ca="1" si="6"/>
        <v>3326114.8276432902</v>
      </c>
      <c r="AZ18" s="96">
        <f t="shared" ca="1" si="6"/>
        <v>3343332.6555773104</v>
      </c>
      <c r="BA18" s="96">
        <f t="shared" ca="1" si="6"/>
        <v>3400751.9186970829</v>
      </c>
      <c r="BB18" s="96">
        <f t="shared" ca="1" si="6"/>
        <v>3457897.5472685113</v>
      </c>
      <c r="BC18" s="96">
        <f t="shared" ca="1" si="6"/>
        <v>3458881.065293578</v>
      </c>
      <c r="BD18" s="96">
        <f t="shared" ca="1" si="6"/>
        <v>2767708.6927287523</v>
      </c>
      <c r="BE18" s="96">
        <f t="shared" ca="1" si="6"/>
        <v>2967713.5757480296</v>
      </c>
      <c r="BF18" s="96">
        <f t="shared" ca="1" si="6"/>
        <v>3110807.9402857968</v>
      </c>
      <c r="BG18" s="96">
        <f t="shared" ca="1" si="6"/>
        <v>3458881.065293578</v>
      </c>
      <c r="BH18" s="96">
        <f t="shared" ca="1" si="6"/>
        <v>3458881.065293578</v>
      </c>
    </row>
    <row r="19" spans="1:60" s="10" customFormat="1" ht="16.149999999999999" customHeight="1" thickTop="1" x14ac:dyDescent="0.25">
      <c r="A19" s="165"/>
      <c r="B19" s="2" t="s">
        <v>189</v>
      </c>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row>
    <row r="20" spans="1:60" ht="16.149999999999999" customHeight="1" x14ac:dyDescent="0.3">
      <c r="B20" s="2" t="s">
        <v>190</v>
      </c>
      <c r="C20" s="51"/>
      <c r="D20" s="51"/>
      <c r="E20" s="51"/>
      <c r="F20" s="51"/>
      <c r="G20" s="51"/>
      <c r="H20" s="51"/>
      <c r="I20" s="51"/>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4"/>
      <c r="BE20" s="64"/>
      <c r="BF20" s="64"/>
      <c r="BG20" s="64"/>
      <c r="BH20" s="64"/>
    </row>
    <row r="21" spans="1:60" ht="16.149999999999999" customHeight="1" x14ac:dyDescent="0.3">
      <c r="A21" s="164" t="s">
        <v>152</v>
      </c>
      <c r="B21" s="12" t="s">
        <v>0</v>
      </c>
      <c r="C21" s="51">
        <f ca="1">-SUMIF(Assumptions!$A$81:$C$104,$A21,Assumptions!$C$81:$C$104)</f>
        <v>1000</v>
      </c>
      <c r="D21" s="51">
        <f ca="1">OFFSET(D$4,ROW($B21)-ROW($B$4),-1,1,1)+OFFSET(CashFlow!$B33,0,COLUMN(D$4)-COLUMN($C$4),1,1)</f>
        <v>1000</v>
      </c>
      <c r="E21" s="51">
        <f ca="1">OFFSET(E$4,ROW($B21)-ROW($B$4),-1,1,1)+OFFSET(CashFlow!$B33,0,COLUMN(E$4)-COLUMN($C$4),1,1)</f>
        <v>1000</v>
      </c>
      <c r="F21" s="51">
        <f ca="1">OFFSET(F$4,ROW($B21)-ROW($B$4),-1,1,1)+OFFSET(CashFlow!$B33,0,COLUMN(F$4)-COLUMN($C$4),1,1)</f>
        <v>1000</v>
      </c>
      <c r="G21" s="51">
        <f ca="1">OFFSET(G$4,ROW($B21)-ROW($B$4),-1,1,1)+OFFSET(CashFlow!$B33,0,COLUMN(G$4)-COLUMN($C$4),1,1)</f>
        <v>1000</v>
      </c>
      <c r="H21" s="51">
        <f ca="1">OFFSET(H$4,ROW($B21)-ROW($B$4),-1,1,1)+OFFSET(CashFlow!$B33,0,COLUMN(H$4)-COLUMN($C$4),1,1)</f>
        <v>1000</v>
      </c>
      <c r="I21" s="51">
        <f ca="1">OFFSET(I$4,ROW($B21)-ROW($B$4),-1,1,1)+OFFSET(CashFlow!$B33,0,COLUMN(I$4)-COLUMN($C$4),1,1)</f>
        <v>1000</v>
      </c>
      <c r="J21" s="51">
        <f ca="1">OFFSET(J$4,ROW($B21)-ROW($B$4),-1,1,1)+OFFSET(CashFlow!$B33,0,COLUMN(J$4)-COLUMN($C$4),1,1)</f>
        <v>1000</v>
      </c>
      <c r="K21" s="51">
        <f ca="1">OFFSET(K$4,ROW($B21)-ROW($B$4),-1,1,1)+OFFSET(CashFlow!$B33,0,COLUMN(K$4)-COLUMN($C$4),1,1)</f>
        <v>1000</v>
      </c>
      <c r="L21" s="51">
        <f ca="1">OFFSET(L$4,ROW($B21)-ROW($B$4),-1,1,1)+OFFSET(CashFlow!$B33,0,COLUMN(L$4)-COLUMN($C$4),1,1)</f>
        <v>1000</v>
      </c>
      <c r="M21" s="51">
        <f ca="1">OFFSET(M$4,ROW($B21)-ROW($B$4),-1,1,1)+OFFSET(CashFlow!$B33,0,COLUMN(M$4)-COLUMN($C$4),1,1)</f>
        <v>1000</v>
      </c>
      <c r="N21" s="51">
        <f ca="1">OFFSET(N$4,ROW($B21)-ROW($B$4),-1,1,1)+OFFSET(CashFlow!$B33,0,COLUMN(N$4)-COLUMN($C$4),1,1)</f>
        <v>1000</v>
      </c>
      <c r="O21" s="51">
        <f ca="1">OFFSET(O$4,ROW($B21)-ROW($B$4),-1,1,1)+OFFSET(CashFlow!$B33,0,COLUMN(O$4)-COLUMN($C$4),1,1)</f>
        <v>1000</v>
      </c>
      <c r="P21" s="51">
        <f ca="1">OFFSET(P$4,ROW($B21)-ROW($B$4),-1,1,1)+OFFSET(CashFlow!$B33,0,COLUMN(P$4)-COLUMN($C$4),1,1)</f>
        <v>1000</v>
      </c>
      <c r="Q21" s="51">
        <f ca="1">OFFSET(Q$4,ROW($B21)-ROW($B$4),-1,1,1)+OFFSET(CashFlow!$B33,0,COLUMN(Q$4)-COLUMN($C$4),1,1)</f>
        <v>1000</v>
      </c>
      <c r="R21" s="51">
        <f ca="1">OFFSET(R$4,ROW($B21)-ROW($B$4),-1,1,1)+OFFSET(CashFlow!$B33,0,COLUMN(R$4)-COLUMN($C$4),1,1)</f>
        <v>1000</v>
      </c>
      <c r="S21" s="51">
        <f ca="1">OFFSET(S$4,ROW($B21)-ROW($B$4),-1,1,1)+OFFSET(CashFlow!$B33,0,COLUMN(S$4)-COLUMN($C$4),1,1)</f>
        <v>1000</v>
      </c>
      <c r="T21" s="51">
        <f ca="1">OFFSET(T$4,ROW($B21)-ROW($B$4),-1,1,1)+OFFSET(CashFlow!$B33,0,COLUMN(T$4)-COLUMN($C$4),1,1)</f>
        <v>1000</v>
      </c>
      <c r="U21" s="51">
        <f ca="1">OFFSET(U$4,ROW($B21)-ROW($B$4),-1,1,1)+OFFSET(CashFlow!$B33,0,COLUMN(U$4)-COLUMN($C$4),1,1)</f>
        <v>1000</v>
      </c>
      <c r="V21" s="51">
        <f ca="1">OFFSET(V$4,ROW($B21)-ROW($B$4),-1,1,1)+OFFSET(CashFlow!$B33,0,COLUMN(V$4)-COLUMN($C$4),1,1)</f>
        <v>1000</v>
      </c>
      <c r="W21" s="51">
        <f ca="1">OFFSET(W$4,ROW($B21)-ROW($B$4),-1,1,1)+OFFSET(CashFlow!$B33,0,COLUMN(W$4)-COLUMN($C$4),1,1)</f>
        <v>1000</v>
      </c>
      <c r="X21" s="51">
        <f ca="1">OFFSET(X$4,ROW($B21)-ROW($B$4),-1,1,1)+OFFSET(CashFlow!$B33,0,COLUMN(X$4)-COLUMN($C$4),1,1)</f>
        <v>1000</v>
      </c>
      <c r="Y21" s="51">
        <f ca="1">OFFSET(Y$4,ROW($B21)-ROW($B$4),-1,1,1)+OFFSET(CashFlow!$B33,0,COLUMN(Y$4)-COLUMN($C$4),1,1)</f>
        <v>1000</v>
      </c>
      <c r="Z21" s="51">
        <f ca="1">OFFSET(Z$4,ROW($B21)-ROW($B$4),-1,1,1)+OFFSET(CashFlow!$B33,0,COLUMN(Z$4)-COLUMN($C$4),1,1)</f>
        <v>1000</v>
      </c>
      <c r="AA21" s="51">
        <f ca="1">OFFSET(AA$4,ROW($B21)-ROW($B$4),-1,1,1)+OFFSET(CashFlow!$B33,0,COLUMN(AA$4)-COLUMN($C$4),1,1)</f>
        <v>1000</v>
      </c>
      <c r="AB21" s="51">
        <f ca="1">OFFSET(AB$4,ROW($B21)-ROW($B$4),-1,1,1)+OFFSET(CashFlow!$B33,0,COLUMN(AB$4)-COLUMN($C$4),1,1)</f>
        <v>1000</v>
      </c>
      <c r="AC21" s="51">
        <f ca="1">OFFSET(AC$4,ROW($B21)-ROW($B$4),-1,1,1)+OFFSET(CashFlow!$B33,0,COLUMN(AC$4)-COLUMN($C$4),1,1)</f>
        <v>1000</v>
      </c>
      <c r="AD21" s="51">
        <f ca="1">OFFSET(AD$4,ROW($B21)-ROW($B$4),-1,1,1)+OFFSET(CashFlow!$B33,0,COLUMN(AD$4)-COLUMN($C$4),1,1)</f>
        <v>1000</v>
      </c>
      <c r="AE21" s="51">
        <f ca="1">OFFSET(AE$4,ROW($B21)-ROW($B$4),-1,1,1)+OFFSET(CashFlow!$B33,0,COLUMN(AE$4)-COLUMN($C$4),1,1)</f>
        <v>1000</v>
      </c>
      <c r="AF21" s="51">
        <f ca="1">OFFSET(AF$4,ROW($B21)-ROW($B$4),-1,1,1)+OFFSET(CashFlow!$B33,0,COLUMN(AF$4)-COLUMN($C$4),1,1)</f>
        <v>1000</v>
      </c>
      <c r="AG21" s="51">
        <f ca="1">OFFSET(AG$4,ROW($B21)-ROW($B$4),-1,1,1)+OFFSET(CashFlow!$B33,0,COLUMN(AG$4)-COLUMN($C$4),1,1)</f>
        <v>1000</v>
      </c>
      <c r="AH21" s="51">
        <f ca="1">OFFSET(AH$4,ROW($B21)-ROW($B$4),-1,1,1)+OFFSET(CashFlow!$B33,0,COLUMN(AH$4)-COLUMN($C$4),1,1)</f>
        <v>1000</v>
      </c>
      <c r="AI21" s="51">
        <f ca="1">OFFSET(AI$4,ROW($B21)-ROW($B$4),-1,1,1)+OFFSET(CashFlow!$B33,0,COLUMN(AI$4)-COLUMN($C$4),1,1)</f>
        <v>1000</v>
      </c>
      <c r="AJ21" s="51">
        <f ca="1">OFFSET(AJ$4,ROW($B21)-ROW($B$4),-1,1,1)+OFFSET(CashFlow!$B33,0,COLUMN(AJ$4)-COLUMN($C$4),1,1)</f>
        <v>1000</v>
      </c>
      <c r="AK21" s="51">
        <f ca="1">OFFSET(AK$4,ROW($B21)-ROW($B$4),-1,1,1)+OFFSET(CashFlow!$B33,0,COLUMN(AK$4)-COLUMN($C$4),1,1)</f>
        <v>1000</v>
      </c>
      <c r="AL21" s="51">
        <f ca="1">OFFSET(AL$4,ROW($B21)-ROW($B$4),-1,1,1)+OFFSET(CashFlow!$B33,0,COLUMN(AL$4)-COLUMN($C$4),1,1)</f>
        <v>1000</v>
      </c>
      <c r="AM21" s="51">
        <f ca="1">OFFSET(AM$4,ROW($B21)-ROW($B$4),-1,1,1)+OFFSET(CashFlow!$B33,0,COLUMN(AM$4)-COLUMN($C$4),1,1)</f>
        <v>1000</v>
      </c>
      <c r="AN21" s="51">
        <f ca="1">OFFSET(AN$4,ROW($B21)-ROW($B$4),-1,1,1)+OFFSET(CashFlow!$B33,0,COLUMN(AN$4)-COLUMN($C$4),1,1)</f>
        <v>1000</v>
      </c>
      <c r="AO21" s="51">
        <f ca="1">OFFSET(AO$4,ROW($B21)-ROW($B$4),-1,1,1)+OFFSET(CashFlow!$B33,0,COLUMN(AO$4)-COLUMN($C$4),1,1)</f>
        <v>1000</v>
      </c>
      <c r="AP21" s="51">
        <f ca="1">OFFSET(AP$4,ROW($B21)-ROW($B$4),-1,1,1)+OFFSET(CashFlow!$B33,0,COLUMN(AP$4)-COLUMN($C$4),1,1)</f>
        <v>1000</v>
      </c>
      <c r="AQ21" s="51">
        <f ca="1">OFFSET(AQ$4,ROW($B21)-ROW($B$4),-1,1,1)+OFFSET(CashFlow!$B33,0,COLUMN(AQ$4)-COLUMN($C$4),1,1)</f>
        <v>1000</v>
      </c>
      <c r="AR21" s="51">
        <f ca="1">OFFSET(AR$4,ROW($B21)-ROW($B$4),-1,1,1)+OFFSET(CashFlow!$B33,0,COLUMN(AR$4)-COLUMN($C$4),1,1)</f>
        <v>1000</v>
      </c>
      <c r="AS21" s="51">
        <f ca="1">OFFSET(AS$4,ROW($B21)-ROW($B$4),-1,1,1)+OFFSET(CashFlow!$B33,0,COLUMN(AS$4)-COLUMN($C$4),1,1)</f>
        <v>1000</v>
      </c>
      <c r="AT21" s="51">
        <f ca="1">OFFSET(AT$4,ROW($B21)-ROW($B$4),-1,1,1)+OFFSET(CashFlow!$B33,0,COLUMN(AT$4)-COLUMN($C$4),1,1)</f>
        <v>1000</v>
      </c>
      <c r="AU21" s="51">
        <f ca="1">OFFSET(AU$4,ROW($B21)-ROW($B$4),-1,1,1)+OFFSET(CashFlow!$B33,0,COLUMN(AU$4)-COLUMN($C$4),1,1)</f>
        <v>1000</v>
      </c>
      <c r="AV21" s="51">
        <f ca="1">OFFSET(AV$4,ROW($B21)-ROW($B$4),-1,1,1)+OFFSET(CashFlow!$B33,0,COLUMN(AV$4)-COLUMN($C$4),1,1)</f>
        <v>1000</v>
      </c>
      <c r="AW21" s="51">
        <f ca="1">OFFSET(AW$4,ROW($B21)-ROW($B$4),-1,1,1)+OFFSET(CashFlow!$B33,0,COLUMN(AW$4)-COLUMN($C$4),1,1)</f>
        <v>1000</v>
      </c>
      <c r="AX21" s="51">
        <f ca="1">OFFSET(AX$4,ROW($B21)-ROW($B$4),-1,1,1)+OFFSET(CashFlow!$B33,0,COLUMN(AX$4)-COLUMN($C$4),1,1)</f>
        <v>1000</v>
      </c>
      <c r="AY21" s="51">
        <f ca="1">OFFSET(AY$4,ROW($B21)-ROW($B$4),-1,1,1)+OFFSET(CashFlow!$B33,0,COLUMN(AY$4)-COLUMN($C$4),1,1)</f>
        <v>1000</v>
      </c>
      <c r="AZ21" s="51">
        <f ca="1">OFFSET(AZ$4,ROW($B21)-ROW($B$4),-1,1,1)+OFFSET(CashFlow!$B33,0,COLUMN(AZ$4)-COLUMN($C$4),1,1)</f>
        <v>1000</v>
      </c>
      <c r="BA21" s="51">
        <f ca="1">OFFSET(BA$4,ROW($B21)-ROW($B$4),-1,1,1)+OFFSET(CashFlow!$B33,0,COLUMN(BA$4)-COLUMN($C$4),1,1)</f>
        <v>1000</v>
      </c>
      <c r="BB21" s="51">
        <f ca="1">OFFSET(BB$4,ROW($B21)-ROW($B$4),-1,1,1)+OFFSET(CashFlow!$B33,0,COLUMN(BB$4)-COLUMN($C$4),1,1)</f>
        <v>1000</v>
      </c>
      <c r="BC21" s="51">
        <f ca="1">OFFSET(BC$4,ROW($B21)-ROW($B$4),-1,1,1)+OFFSET(CashFlow!$B33,0,COLUMN(BC$4)-COLUMN($C$4),1,1)</f>
        <v>1000</v>
      </c>
      <c r="BD21" s="52">
        <f ca="1">OFFSET($B21,0,Assumptions!$C$8+1,1,1)</f>
        <v>1000</v>
      </c>
      <c r="BE21" s="52">
        <f ca="1">OFFSET($B21,0,SUM(Assumptions!$C$8:$C$9)+1,1,1)</f>
        <v>1000</v>
      </c>
      <c r="BF21" s="52">
        <f ca="1">OFFSET($B21,0,SUM(Assumptions!$C$8:$C$10)+1,1,1)</f>
        <v>1000</v>
      </c>
      <c r="BG21" s="52">
        <f ca="1">OFFSET($B21,0,SUM(Assumptions!$C$8:$C$11)+1,1,1)</f>
        <v>1000</v>
      </c>
      <c r="BH21" s="52">
        <f ca="1">BG21</f>
        <v>1000</v>
      </c>
    </row>
    <row r="22" spans="1:60" ht="16.149999999999999" customHeight="1" x14ac:dyDescent="0.3">
      <c r="A22" s="164" t="s">
        <v>153</v>
      </c>
      <c r="B22" s="12" t="s">
        <v>154</v>
      </c>
      <c r="C22" s="51">
        <f ca="1">-SUMIF(Assumptions!$A$81:$C$104,$A22,Assumptions!$C$81:$C$104)</f>
        <v>0</v>
      </c>
      <c r="D22" s="51">
        <f ca="1">OFFSET(D$4,ROW($B22)-ROW($B$4),-1,1,1)+OFFSET(CashFlow!$B12,0,COLUMN(D$4)-COLUMN($C$4),1,1)</f>
        <v>0</v>
      </c>
      <c r="E22" s="51">
        <f ca="1">OFFSET(E$4,ROW($B22)-ROW($B$4),-1,1,1)+OFFSET(CashFlow!$B12,0,COLUMN(E$4)-COLUMN($C$4),1,1)</f>
        <v>0</v>
      </c>
      <c r="F22" s="51">
        <f ca="1">OFFSET(F$4,ROW($B22)-ROW($B$4),-1,1,1)+OFFSET(CashFlow!$B12,0,COLUMN(F$4)-COLUMN($C$4),1,1)</f>
        <v>0</v>
      </c>
      <c r="G22" s="51">
        <f ca="1">OFFSET(G$4,ROW($B22)-ROW($B$4),-1,1,1)+OFFSET(CashFlow!$B12,0,COLUMN(G$4)-COLUMN($C$4),1,1)</f>
        <v>0</v>
      </c>
      <c r="H22" s="51">
        <f ca="1">OFFSET(H$4,ROW($B22)-ROW($B$4),-1,1,1)+OFFSET(CashFlow!$B12,0,COLUMN(H$4)-COLUMN($C$4),1,1)</f>
        <v>0</v>
      </c>
      <c r="I22" s="51">
        <f ca="1">OFFSET(I$4,ROW($B22)-ROW($B$4),-1,1,1)+OFFSET(CashFlow!$B12,0,COLUMN(I$4)-COLUMN($C$4),1,1)</f>
        <v>0</v>
      </c>
      <c r="J22" s="51">
        <f ca="1">OFFSET(J$4,ROW($B22)-ROW($B$4),-1,1,1)+OFFSET(CashFlow!$B12,0,COLUMN(J$4)-COLUMN($C$4),1,1)</f>
        <v>0</v>
      </c>
      <c r="K22" s="51">
        <f ca="1">OFFSET(K$4,ROW($B22)-ROW($B$4),-1,1,1)+OFFSET(CashFlow!$B12,0,COLUMN(K$4)-COLUMN($C$4),1,1)</f>
        <v>0</v>
      </c>
      <c r="L22" s="51">
        <f ca="1">OFFSET(L$4,ROW($B22)-ROW($B$4),-1,1,1)+OFFSET(CashFlow!$B12,0,COLUMN(L$4)-COLUMN($C$4),1,1)</f>
        <v>0</v>
      </c>
      <c r="M22" s="51">
        <f ca="1">OFFSET(M$4,ROW($B22)-ROW($B$4),-1,1,1)+OFFSET(CashFlow!$B12,0,COLUMN(M$4)-COLUMN($C$4),1,1)</f>
        <v>0</v>
      </c>
      <c r="N22" s="51">
        <f ca="1">OFFSET(N$4,ROW($B22)-ROW($B$4),-1,1,1)+OFFSET(CashFlow!$B12,0,COLUMN(N$4)-COLUMN($C$4),1,1)</f>
        <v>0</v>
      </c>
      <c r="O22" s="51">
        <f ca="1">OFFSET(O$4,ROW($B22)-ROW($B$4),-1,1,1)+OFFSET(CashFlow!$B12,0,COLUMN(O$4)-COLUMN($C$4),1,1)</f>
        <v>0</v>
      </c>
      <c r="P22" s="51">
        <f ca="1">OFFSET(P$4,ROW($B22)-ROW($B$4),-1,1,1)+OFFSET(CashFlow!$B12,0,COLUMN(P$4)-COLUMN($C$4),1,1)</f>
        <v>0</v>
      </c>
      <c r="Q22" s="51">
        <f ca="1">OFFSET(Q$4,ROW($B22)-ROW($B$4),-1,1,1)+OFFSET(CashFlow!$B12,0,COLUMN(Q$4)-COLUMN($C$4),1,1)</f>
        <v>0</v>
      </c>
      <c r="R22" s="51">
        <f ca="1">OFFSET(R$4,ROW($B22)-ROW($B$4),-1,1,1)+OFFSET(CashFlow!$B12,0,COLUMN(R$4)-COLUMN($C$4),1,1)</f>
        <v>0</v>
      </c>
      <c r="S22" s="51">
        <f ca="1">OFFSET(S$4,ROW($B22)-ROW($B$4),-1,1,1)+OFFSET(CashFlow!$B12,0,COLUMN(S$4)-COLUMN($C$4),1,1)</f>
        <v>0</v>
      </c>
      <c r="T22" s="51">
        <f ca="1">OFFSET(T$4,ROW($B22)-ROW($B$4),-1,1,1)+OFFSET(CashFlow!$B12,0,COLUMN(T$4)-COLUMN($C$4),1,1)</f>
        <v>0</v>
      </c>
      <c r="U22" s="51">
        <f ca="1">OFFSET(U$4,ROW($B22)-ROW($B$4),-1,1,1)+OFFSET(CashFlow!$B12,0,COLUMN(U$4)-COLUMN($C$4),1,1)</f>
        <v>0</v>
      </c>
      <c r="V22" s="51">
        <f ca="1">OFFSET(V$4,ROW($B22)-ROW($B$4),-1,1,1)+OFFSET(CashFlow!$B12,0,COLUMN(V$4)-COLUMN($C$4),1,1)</f>
        <v>0</v>
      </c>
      <c r="W22" s="51">
        <f ca="1">OFFSET(W$4,ROW($B22)-ROW($B$4),-1,1,1)+OFFSET(CashFlow!$B12,0,COLUMN(W$4)-COLUMN($C$4),1,1)</f>
        <v>0</v>
      </c>
      <c r="X22" s="51">
        <f ca="1">OFFSET(X$4,ROW($B22)-ROW($B$4),-1,1,1)+OFFSET(CashFlow!$B12,0,COLUMN(X$4)-COLUMN($C$4),1,1)</f>
        <v>0</v>
      </c>
      <c r="Y22" s="51">
        <f ca="1">OFFSET(Y$4,ROW($B22)-ROW($B$4),-1,1,1)+OFFSET(CashFlow!$B12,0,COLUMN(Y$4)-COLUMN($C$4),1,1)</f>
        <v>0</v>
      </c>
      <c r="Z22" s="51">
        <f ca="1">OFFSET(Z$4,ROW($B22)-ROW($B$4),-1,1,1)+OFFSET(CashFlow!$B12,0,COLUMN(Z$4)-COLUMN($C$4),1,1)</f>
        <v>0</v>
      </c>
      <c r="AA22" s="51">
        <f ca="1">OFFSET(AA$4,ROW($B22)-ROW($B$4),-1,1,1)+OFFSET(CashFlow!$B12,0,COLUMN(AA$4)-COLUMN($C$4),1,1)</f>
        <v>0</v>
      </c>
      <c r="AB22" s="51">
        <f ca="1">OFFSET(AB$4,ROW($B22)-ROW($B$4),-1,1,1)+OFFSET(CashFlow!$B12,0,COLUMN(AB$4)-COLUMN($C$4),1,1)</f>
        <v>0</v>
      </c>
      <c r="AC22" s="51">
        <f ca="1">OFFSET(AC$4,ROW($B22)-ROW($B$4),-1,1,1)+OFFSET(CashFlow!$B12,0,COLUMN(AC$4)-COLUMN($C$4),1,1)</f>
        <v>0</v>
      </c>
      <c r="AD22" s="51">
        <f ca="1">OFFSET(AD$4,ROW($B22)-ROW($B$4),-1,1,1)+OFFSET(CashFlow!$B12,0,COLUMN(AD$4)-COLUMN($C$4),1,1)</f>
        <v>0</v>
      </c>
      <c r="AE22" s="51">
        <f ca="1">OFFSET(AE$4,ROW($B22)-ROW($B$4),-1,1,1)+OFFSET(CashFlow!$B12,0,COLUMN(AE$4)-COLUMN($C$4),1,1)</f>
        <v>0</v>
      </c>
      <c r="AF22" s="51">
        <f ca="1">OFFSET(AF$4,ROW($B22)-ROW($B$4),-1,1,1)+OFFSET(CashFlow!$B12,0,COLUMN(AF$4)-COLUMN($C$4),1,1)</f>
        <v>0</v>
      </c>
      <c r="AG22" s="51">
        <f ca="1">OFFSET(AG$4,ROW($B22)-ROW($B$4),-1,1,1)+OFFSET(CashFlow!$B12,0,COLUMN(AG$4)-COLUMN($C$4),1,1)</f>
        <v>0</v>
      </c>
      <c r="AH22" s="51">
        <f ca="1">OFFSET(AH$4,ROW($B22)-ROW($B$4),-1,1,1)+OFFSET(CashFlow!$B12,0,COLUMN(AH$4)-COLUMN($C$4),1,1)</f>
        <v>0</v>
      </c>
      <c r="AI22" s="51">
        <f ca="1">OFFSET(AI$4,ROW($B22)-ROW($B$4),-1,1,1)+OFFSET(CashFlow!$B12,0,COLUMN(AI$4)-COLUMN($C$4),1,1)</f>
        <v>0</v>
      </c>
      <c r="AJ22" s="51">
        <f ca="1">OFFSET(AJ$4,ROW($B22)-ROW($B$4),-1,1,1)+OFFSET(CashFlow!$B12,0,COLUMN(AJ$4)-COLUMN($C$4),1,1)</f>
        <v>0</v>
      </c>
      <c r="AK22" s="51">
        <f ca="1">OFFSET(AK$4,ROW($B22)-ROW($B$4),-1,1,1)+OFFSET(CashFlow!$B12,0,COLUMN(AK$4)-COLUMN($C$4),1,1)</f>
        <v>0</v>
      </c>
      <c r="AL22" s="51">
        <f ca="1">OFFSET(AL$4,ROW($B22)-ROW($B$4),-1,1,1)+OFFSET(CashFlow!$B12,0,COLUMN(AL$4)-COLUMN($C$4),1,1)</f>
        <v>0</v>
      </c>
      <c r="AM22" s="51">
        <f ca="1">OFFSET(AM$4,ROW($B22)-ROW($B$4),-1,1,1)+OFFSET(CashFlow!$B12,0,COLUMN(AM$4)-COLUMN($C$4),1,1)</f>
        <v>0</v>
      </c>
      <c r="AN22" s="51">
        <f ca="1">OFFSET(AN$4,ROW($B22)-ROW($B$4),-1,1,1)+OFFSET(CashFlow!$B12,0,COLUMN(AN$4)-COLUMN($C$4),1,1)</f>
        <v>0</v>
      </c>
      <c r="AO22" s="51">
        <f ca="1">OFFSET(AO$4,ROW($B22)-ROW($B$4),-1,1,1)+OFFSET(CashFlow!$B12,0,COLUMN(AO$4)-COLUMN($C$4),1,1)</f>
        <v>0</v>
      </c>
      <c r="AP22" s="51">
        <f ca="1">OFFSET(AP$4,ROW($B22)-ROW($B$4),-1,1,1)+OFFSET(CashFlow!$B12,0,COLUMN(AP$4)-COLUMN($C$4),1,1)</f>
        <v>0</v>
      </c>
      <c r="AQ22" s="51">
        <f ca="1">OFFSET(AQ$4,ROW($B22)-ROW($B$4),-1,1,1)+OFFSET(CashFlow!$B12,0,COLUMN(AQ$4)-COLUMN($C$4),1,1)</f>
        <v>0</v>
      </c>
      <c r="AR22" s="51">
        <f ca="1">OFFSET(AR$4,ROW($B22)-ROW($B$4),-1,1,1)+OFFSET(CashFlow!$B12,0,COLUMN(AR$4)-COLUMN($C$4),1,1)</f>
        <v>0</v>
      </c>
      <c r="AS22" s="51">
        <f ca="1">OFFSET(AS$4,ROW($B22)-ROW($B$4),-1,1,1)+OFFSET(CashFlow!$B12,0,COLUMN(AS$4)-COLUMN($C$4),1,1)</f>
        <v>0</v>
      </c>
      <c r="AT22" s="51">
        <f ca="1">OFFSET(AT$4,ROW($B22)-ROW($B$4),-1,1,1)+OFFSET(CashFlow!$B12,0,COLUMN(AT$4)-COLUMN($C$4),1,1)</f>
        <v>0</v>
      </c>
      <c r="AU22" s="51">
        <f ca="1">OFFSET(AU$4,ROW($B22)-ROW($B$4),-1,1,1)+OFFSET(CashFlow!$B12,0,COLUMN(AU$4)-COLUMN($C$4),1,1)</f>
        <v>0</v>
      </c>
      <c r="AV22" s="51">
        <f ca="1">OFFSET(AV$4,ROW($B22)-ROW($B$4),-1,1,1)+OFFSET(CashFlow!$B12,0,COLUMN(AV$4)-COLUMN($C$4),1,1)</f>
        <v>0</v>
      </c>
      <c r="AW22" s="51">
        <f ca="1">OFFSET(AW$4,ROW($B22)-ROW($B$4),-1,1,1)+OFFSET(CashFlow!$B12,0,COLUMN(AW$4)-COLUMN($C$4),1,1)</f>
        <v>0</v>
      </c>
      <c r="AX22" s="51">
        <f ca="1">OFFSET(AX$4,ROW($B22)-ROW($B$4),-1,1,1)+OFFSET(CashFlow!$B12,0,COLUMN(AX$4)-COLUMN($C$4),1,1)</f>
        <v>0</v>
      </c>
      <c r="AY22" s="51">
        <f ca="1">OFFSET(AY$4,ROW($B22)-ROW($B$4),-1,1,1)+OFFSET(CashFlow!$B12,0,COLUMN(AY$4)-COLUMN($C$4),1,1)</f>
        <v>0</v>
      </c>
      <c r="AZ22" s="51">
        <f ca="1">OFFSET(AZ$4,ROW($B22)-ROW($B$4),-1,1,1)+OFFSET(CashFlow!$B12,0,COLUMN(AZ$4)-COLUMN($C$4),1,1)</f>
        <v>0</v>
      </c>
      <c r="BA22" s="51">
        <f ca="1">OFFSET(BA$4,ROW($B22)-ROW($B$4),-1,1,1)+OFFSET(CashFlow!$B12,0,COLUMN(BA$4)-COLUMN($C$4),1,1)</f>
        <v>0</v>
      </c>
      <c r="BB22" s="51">
        <f ca="1">OFFSET(BB$4,ROW($B22)-ROW($B$4),-1,1,1)+OFFSET(CashFlow!$B12,0,COLUMN(BB$4)-COLUMN($C$4),1,1)</f>
        <v>0</v>
      </c>
      <c r="BC22" s="51">
        <f ca="1">OFFSET(BC$4,ROW($B22)-ROW($B$4),-1,1,1)+OFFSET(CashFlow!$B12,0,COLUMN(BC$4)-COLUMN($C$4),1,1)</f>
        <v>0</v>
      </c>
      <c r="BD22" s="52">
        <f ca="1">OFFSET($B22,0,Assumptions!$C$8+1,1,1)</f>
        <v>0</v>
      </c>
      <c r="BE22" s="52">
        <f ca="1">OFFSET($B22,0,SUM(Assumptions!$C$8:$C$9)+1,1,1)</f>
        <v>0</v>
      </c>
      <c r="BF22" s="52">
        <f ca="1">OFFSET($B22,0,SUM(Assumptions!$C$8:$C$10)+1,1,1)</f>
        <v>0</v>
      </c>
      <c r="BG22" s="52">
        <f ca="1">OFFSET($B22,0,SUM(Assumptions!$C$8:$C$11)+1,1,1)</f>
        <v>0</v>
      </c>
      <c r="BH22" s="52">
        <f ca="1">BG22</f>
        <v>0</v>
      </c>
    </row>
    <row r="23" spans="1:60" ht="16.149999999999999" customHeight="1" x14ac:dyDescent="0.3">
      <c r="A23" s="164" t="s">
        <v>155</v>
      </c>
      <c r="B23" s="12" t="s">
        <v>35</v>
      </c>
      <c r="C23" s="51">
        <f ca="1">-SUMIF(Assumptions!$A$81:$C$104,$A23,Assumptions!$C$81:$C$104)</f>
        <v>400000</v>
      </c>
      <c r="D23" s="51">
        <f ca="1">OFFSET(D$4,ROW($B23)-ROW($B$4),-1,1,1)+OFFSET(IncState!$B$61,0,COLUMN(D$4)-COLUMN($C$4),1,1)</f>
        <v>404824</v>
      </c>
      <c r="E23" s="51">
        <f ca="1">OFFSET(E$4,ROW($B23)-ROW($B$4),-1,1,1)+OFFSET(IncState!$B$61,0,COLUMN(E$4)-COLUMN($C$4),1,1)</f>
        <v>426172.10800000001</v>
      </c>
      <c r="F23" s="51">
        <f ca="1">OFFSET(F$4,ROW($B23)-ROW($B$4),-1,1,1)+OFFSET(IncState!$B$61,0,COLUMN(F$4)-COLUMN($C$4),1,1)</f>
        <v>452716.10800000001</v>
      </c>
      <c r="G23" s="51">
        <f ca="1">OFFSET(G$4,ROW($B23)-ROW($B$4),-1,1,1)+OFFSET(IncState!$B$61,0,COLUMN(G$4)-COLUMN($C$4),1,1)</f>
        <v>433760.908</v>
      </c>
      <c r="H23" s="51">
        <f ca="1">OFFSET(H$4,ROW($B23)-ROW($B$4),-1,1,1)+OFFSET(IncState!$B$61,0,COLUMN(H$4)-COLUMN($C$4),1,1)</f>
        <v>441700.94799999997</v>
      </c>
      <c r="I23" s="51">
        <f ca="1">OFFSET(I$4,ROW($B23)-ROW($B$4),-1,1,1)+OFFSET(IncState!$B$61,0,COLUMN(I$4)-COLUMN($C$4),1,1)</f>
        <v>441893.76517700148</v>
      </c>
      <c r="J23" s="51">
        <f ca="1">OFFSET(J$4,ROW($B23)-ROW($B$4),-1,1,1)+OFFSET(IncState!$B$61,0,COLUMN(J$4)-COLUMN($C$4),1,1)</f>
        <v>457535.40517700149</v>
      </c>
      <c r="K23" s="51">
        <f ca="1">OFFSET(K$4,ROW($B23)-ROW($B$4),-1,1,1)+OFFSET(IncState!$B$61,0,COLUMN(K$4)-COLUMN($C$4),1,1)</f>
        <v>488261.40517700149</v>
      </c>
      <c r="L23" s="51">
        <f ca="1">OFFSET(L$4,ROW($B23)-ROW($B$4),-1,1,1)+OFFSET(IncState!$B$61,0,COLUMN(L$4)-COLUMN($C$4),1,1)</f>
        <v>444584.82966294669</v>
      </c>
      <c r="M23" s="51">
        <f ca="1">OFFSET(M$4,ROW($B23)-ROW($B$4),-1,1,1)+OFFSET(IncState!$B$61,0,COLUMN(M$4)-COLUMN($C$4),1,1)</f>
        <v>448685.76158088743</v>
      </c>
      <c r="N23" s="51">
        <f ca="1">OFFSET(N$4,ROW($B23)-ROW($B$4),-1,1,1)+OFFSET(IncState!$B$61,0,COLUMN(N$4)-COLUMN($C$4),1,1)</f>
        <v>479277.2512291841</v>
      </c>
      <c r="O23" s="51">
        <f ca="1">OFFSET(O$4,ROW($B23)-ROW($B$4),-1,1,1)+OFFSET(IncState!$B$61,0,COLUMN(O$4)-COLUMN($C$4),1,1)</f>
        <v>513634.6912291841</v>
      </c>
      <c r="P23" s="51">
        <f ca="1">OFFSET(P$4,ROW($B23)-ROW($B$4),-1,1,1)+OFFSET(IncState!$B$61,0,COLUMN(P$4)-COLUMN($C$4),1,1)</f>
        <v>459284.69147315365</v>
      </c>
      <c r="Q23" s="51">
        <f ca="1">OFFSET(Q$4,ROW($B23)-ROW($B$4),-1,1,1)+OFFSET(IncState!$B$61,0,COLUMN(Q$4)-COLUMN($C$4),1,1)</f>
        <v>473744.14696794515</v>
      </c>
      <c r="R23" s="51">
        <f ca="1">OFFSET(R$4,ROW($B23)-ROW($B$4),-1,1,1)+OFFSET(IncState!$B$61,0,COLUMN(R$4)-COLUMN($C$4),1,1)</f>
        <v>502191.85167732107</v>
      </c>
      <c r="S23" s="51">
        <f ca="1">OFFSET(S$4,ROW($B23)-ROW($B$4),-1,1,1)+OFFSET(IncState!$B$61,0,COLUMN(S$4)-COLUMN($C$4),1,1)</f>
        <v>532392.49167732103</v>
      </c>
      <c r="T23" s="51">
        <f ca="1">OFFSET(T$4,ROW($B23)-ROW($B$4),-1,1,1)+OFFSET(IncState!$B$61,0,COLUMN(T$4)-COLUMN($C$4),1,1)</f>
        <v>508051.091677321</v>
      </c>
      <c r="U23" s="51">
        <f ca="1">OFFSET(U$4,ROW($B23)-ROW($B$4),-1,1,1)+OFFSET(IncState!$B$61,0,COLUMN(U$4)-COLUMN($C$4),1,1)</f>
        <v>520139.34011744964</v>
      </c>
      <c r="V23" s="51">
        <f ca="1">OFFSET(V$4,ROW($B23)-ROW($B$4),-1,1,1)+OFFSET(IncState!$B$61,0,COLUMN(V$4)-COLUMN($C$4),1,1)</f>
        <v>530924.86030943482</v>
      </c>
      <c r="W23" s="51">
        <f ca="1">OFFSET(W$4,ROW($B23)-ROW($B$4),-1,1,1)+OFFSET(IncState!$B$61,0,COLUMN(W$4)-COLUMN($C$4),1,1)</f>
        <v>559518.4603094348</v>
      </c>
      <c r="X23" s="51">
        <f ca="1">OFFSET(X$4,ROW($B23)-ROW($B$4),-1,1,1)+OFFSET(IncState!$B$61,0,COLUMN(X$4)-COLUMN($C$4),1,1)</f>
        <v>586133.26030943485</v>
      </c>
      <c r="Y23" s="51">
        <f ca="1">OFFSET(Y$4,ROW($B23)-ROW($B$4),-1,1,1)+OFFSET(IncState!$B$61,0,COLUMN(Y$4)-COLUMN($C$4),1,1)</f>
        <v>551294.47055890132</v>
      </c>
      <c r="Z23" s="51">
        <f ca="1">OFFSET(Z$4,ROW($B23)-ROW($B$4),-1,1,1)+OFFSET(IncState!$B$61,0,COLUMN(Z$4)-COLUMN($C$4),1,1)</f>
        <v>564071.2615096299</v>
      </c>
      <c r="AA23" s="51">
        <f ca="1">OFFSET(AA$4,ROW($B23)-ROW($B$4),-1,1,1)+OFFSET(IncState!$B$61,0,COLUMN(AA$4)-COLUMN($C$4),1,1)</f>
        <v>588955.69925511617</v>
      </c>
      <c r="AB23" s="51">
        <f ca="1">OFFSET(AB$4,ROW($B23)-ROW($B$4),-1,1,1)+OFFSET(IncState!$B$61,0,COLUMN(AB$4)-COLUMN($C$4),1,1)</f>
        <v>624161.53925511613</v>
      </c>
      <c r="AC23" s="51">
        <f ca="1">OFFSET(AC$4,ROW($B23)-ROW($B$4),-1,1,1)+OFFSET(IncState!$B$61,0,COLUMN(AC$4)-COLUMN($C$4),1,1)</f>
        <v>582645.61925511609</v>
      </c>
      <c r="AD23" s="51">
        <f ca="1">OFFSET(AD$4,ROW($B23)-ROW($B$4),-1,1,1)+OFFSET(IncState!$B$61,0,COLUMN(AD$4)-COLUMN($C$4),1,1)</f>
        <v>594085.75423468521</v>
      </c>
      <c r="AE23" s="51">
        <f ca="1">OFFSET(AE$4,ROW($B23)-ROW($B$4),-1,1,1)+OFFSET(IncState!$B$61,0,COLUMN(AE$4)-COLUMN($C$4),1,1)</f>
        <v>627349.91906051547</v>
      </c>
      <c r="AF23" s="51">
        <f ca="1">OFFSET(AF$4,ROW($B23)-ROW($B$4),-1,1,1)+OFFSET(IncState!$B$61,0,COLUMN(AF$4)-COLUMN($C$4),1,1)</f>
        <v>664833.11906051543</v>
      </c>
      <c r="AG23" s="51">
        <f ca="1">OFFSET(AG$4,ROW($B23)-ROW($B$4),-1,1,1)+OFFSET(IncState!$B$61,0,COLUMN(AG$4)-COLUMN($C$4),1,1)</f>
        <v>701843.63906051544</v>
      </c>
      <c r="AH23" s="51">
        <f ca="1">OFFSET(AH$4,ROW($B23)-ROW($B$4),-1,1,1)+OFFSET(IncState!$B$61,0,COLUMN(AH$4)-COLUMN($C$4),1,1)</f>
        <v>669230.40341091657</v>
      </c>
      <c r="AI23" s="51">
        <f ca="1">OFFSET(AI$4,ROW($B23)-ROW($B$4),-1,1,1)+OFFSET(IncState!$B$61,0,COLUMN(AI$4)-COLUMN($C$4),1,1)</f>
        <v>677008.08366120176</v>
      </c>
      <c r="AJ23" s="51">
        <f ca="1">OFFSET(AJ$4,ROW($B23)-ROW($B$4),-1,1,1)+OFFSET(IncState!$B$61,0,COLUMN(AJ$4)-COLUMN($C$4),1,1)</f>
        <v>714744.0036612018</v>
      </c>
      <c r="AK23" s="51">
        <f ca="1">OFFSET(AK$4,ROW($B23)-ROW($B$4),-1,1,1)+OFFSET(IncState!$B$61,0,COLUMN(AK$4)-COLUMN($C$4),1,1)</f>
        <v>741120.0036612018</v>
      </c>
      <c r="AL23" s="51">
        <f ca="1">OFFSET(AL$4,ROW($B23)-ROW($B$4),-1,1,1)+OFFSET(IncState!$B$61,0,COLUMN(AL$4)-COLUMN($C$4),1,1)</f>
        <v>705498.87295327149</v>
      </c>
      <c r="AM23" s="51">
        <f ca="1">OFFSET(AM$4,ROW($B23)-ROW($B$4),-1,1,1)+OFFSET(IncState!$B$61,0,COLUMN(AM$4)-COLUMN($C$4),1,1)</f>
        <v>719075.62771601346</v>
      </c>
      <c r="AN23" s="51">
        <f ca="1">OFFSET(AN$4,ROW($B23)-ROW($B$4),-1,1,1)+OFFSET(IncState!$B$61,0,COLUMN(AN$4)-COLUMN($C$4),1,1)</f>
        <v>757133.59091855434</v>
      </c>
      <c r="AO23" s="51">
        <f ca="1">OFFSET(AO$4,ROW($B23)-ROW($B$4),-1,1,1)+OFFSET(IncState!$B$61,0,COLUMN(AO$4)-COLUMN($C$4),1,1)</f>
        <v>792201.19091855432</v>
      </c>
      <c r="AP23" s="51">
        <f ca="1">OFFSET(AP$4,ROW($B23)-ROW($B$4),-1,1,1)+OFFSET(IncState!$B$61,0,COLUMN(AP$4)-COLUMN($C$4),1,1)</f>
        <v>754699.99091855437</v>
      </c>
      <c r="AQ23" s="51">
        <f ca="1">OFFSET(AQ$4,ROW($B23)-ROW($B$4),-1,1,1)+OFFSET(IncState!$B$61,0,COLUMN(AQ$4)-COLUMN($C$4),1,1)</f>
        <v>779614.08370427683</v>
      </c>
      <c r="AR23" s="51">
        <f ca="1">OFFSET(AR$4,ROW($B23)-ROW($B$4),-1,1,1)+OFFSET(IncState!$B$61,0,COLUMN(AR$4)-COLUMN($C$4),1,1)</f>
        <v>793445.88757279178</v>
      </c>
      <c r="AS23" s="51">
        <f ca="1">OFFSET(AS$4,ROW($B23)-ROW($B$4),-1,1,1)+OFFSET(IncState!$B$61,0,COLUMN(AS$4)-COLUMN($C$4),1,1)</f>
        <v>810041.88757279178</v>
      </c>
      <c r="AT23" s="51">
        <f ca="1">OFFSET(AT$4,ROW($B23)-ROW($B$4),-1,1,1)+OFFSET(IncState!$B$61,0,COLUMN(AT$4)-COLUMN($C$4),1,1)</f>
        <v>773741.4075727918</v>
      </c>
      <c r="AU23" s="51">
        <f ca="1">OFFSET(AU$4,ROW($B23)-ROW($B$4),-1,1,1)+OFFSET(IncState!$B$61,0,COLUMN(AU$4)-COLUMN($C$4),1,1)</f>
        <v>769002.03088101931</v>
      </c>
      <c r="AV23" s="51">
        <f ca="1">OFFSET(AV$4,ROW($B23)-ROW($B$4),-1,1,1)+OFFSET(IncState!$B$61,0,COLUMN(AV$4)-COLUMN($C$4),1,1)</f>
        <v>766082.75614830665</v>
      </c>
      <c r="AW23" s="51">
        <f ca="1">OFFSET(AW$4,ROW($B23)-ROW($B$4),-1,1,1)+OFFSET(IncState!$B$61,0,COLUMN(AW$4)-COLUMN($C$4),1,1)</f>
        <v>791327.10132251133</v>
      </c>
      <c r="AX23" s="51">
        <f ca="1">OFFSET(AX$4,ROW($B23)-ROW($B$4),-1,1,1)+OFFSET(IncState!$B$61,0,COLUMN(AX$4)-COLUMN($C$4),1,1)</f>
        <v>830024.7013225113</v>
      </c>
      <c r="AY23" s="51">
        <f ca="1">OFFSET(AY$4,ROW($B23)-ROW($B$4),-1,1,1)+OFFSET(IncState!$B$61,0,COLUMN(AY$4)-COLUMN($C$4),1,1)</f>
        <v>790688.62462854059</v>
      </c>
      <c r="AZ23" s="51">
        <f ca="1">OFFSET(AZ$4,ROW($B23)-ROW($B$4),-1,1,1)+OFFSET(IncState!$B$61,0,COLUMN(AZ$4)-COLUMN($C$4),1,1)</f>
        <v>808206.00098753779</v>
      </c>
      <c r="BA23" s="51">
        <f ca="1">OFFSET(BA$4,ROW($B23)-ROW($B$4),-1,1,1)+OFFSET(IncState!$B$61,0,COLUMN(BA$4)-COLUMN($C$4),1,1)</f>
        <v>843641.79290494509</v>
      </c>
      <c r="BB23" s="51">
        <f ca="1">OFFSET(BB$4,ROW($B23)-ROW($B$4),-1,1,1)+OFFSET(IncState!$B$61,0,COLUMN(BB$4)-COLUMN($C$4),1,1)</f>
        <v>871210.59290494514</v>
      </c>
      <c r="BC23" s="51">
        <f ca="1">OFFSET(BC$4,ROW($B23)-ROW($B$4),-1,1,1)+OFFSET(IncState!$B$61,0,COLUMN(BC$4)-COLUMN($C$4),1,1)</f>
        <v>827672.19290494511</v>
      </c>
      <c r="BD23" s="52">
        <f ca="1">OFFSET($B23,0,Assumptions!$C$8+1,1,1)</f>
        <v>459284.69147315365</v>
      </c>
      <c r="BE23" s="52">
        <f ca="1">OFFSET($B23,0,SUM(Assumptions!$C$8:$C$9)+1,1,1)</f>
        <v>582645.61925511609</v>
      </c>
      <c r="BF23" s="52">
        <f ca="1">OFFSET($B23,0,SUM(Assumptions!$C$8:$C$10)+1,1,1)</f>
        <v>754699.99091855437</v>
      </c>
      <c r="BG23" s="52">
        <f ca="1">OFFSET($B23,0,SUM(Assumptions!$C$8:$C$11)+1,1,1)</f>
        <v>827672.19290494511</v>
      </c>
      <c r="BH23" s="52">
        <f ca="1">BG23</f>
        <v>827672.19290494511</v>
      </c>
    </row>
    <row r="24" spans="1:60" ht="16.149999999999999" customHeight="1" thickBot="1" x14ac:dyDescent="0.35">
      <c r="C24" s="93">
        <f ca="1">SUM(C21:C23)</f>
        <v>401000</v>
      </c>
      <c r="D24" s="93">
        <f t="shared" ref="D24:BH24" ca="1" si="7">SUM(D21:D23)</f>
        <v>405824</v>
      </c>
      <c r="E24" s="93">
        <f t="shared" ca="1" si="7"/>
        <v>427172.10800000001</v>
      </c>
      <c r="F24" s="93">
        <f t="shared" ca="1" si="7"/>
        <v>453716.10800000001</v>
      </c>
      <c r="G24" s="93">
        <f t="shared" ca="1" si="7"/>
        <v>434760.908</v>
      </c>
      <c r="H24" s="93">
        <f t="shared" ca="1" si="7"/>
        <v>442700.94799999997</v>
      </c>
      <c r="I24" s="93">
        <f t="shared" ca="1" si="7"/>
        <v>442893.76517700148</v>
      </c>
      <c r="J24" s="93">
        <f t="shared" ca="1" si="7"/>
        <v>458535.40517700149</v>
      </c>
      <c r="K24" s="93">
        <f t="shared" ca="1" si="7"/>
        <v>489261.40517700149</v>
      </c>
      <c r="L24" s="93">
        <f t="shared" ca="1" si="7"/>
        <v>445584.82966294669</v>
      </c>
      <c r="M24" s="93">
        <f t="shared" ca="1" si="7"/>
        <v>449685.76158088743</v>
      </c>
      <c r="N24" s="93">
        <f t="shared" ca="1" si="7"/>
        <v>480277.2512291841</v>
      </c>
      <c r="O24" s="93">
        <f t="shared" ca="1" si="7"/>
        <v>514634.6912291841</v>
      </c>
      <c r="P24" s="93">
        <f t="shared" ca="1" si="7"/>
        <v>460284.69147315365</v>
      </c>
      <c r="Q24" s="93">
        <f t="shared" ca="1" si="7"/>
        <v>474744.14696794515</v>
      </c>
      <c r="R24" s="93">
        <f t="shared" ca="1" si="7"/>
        <v>503191.85167732107</v>
      </c>
      <c r="S24" s="93">
        <f t="shared" ca="1" si="7"/>
        <v>533392.49167732103</v>
      </c>
      <c r="T24" s="93">
        <f t="shared" ca="1" si="7"/>
        <v>509051.091677321</v>
      </c>
      <c r="U24" s="93">
        <f t="shared" ca="1" si="7"/>
        <v>521139.34011744964</v>
      </c>
      <c r="V24" s="93">
        <f t="shared" ca="1" si="7"/>
        <v>531924.86030943482</v>
      </c>
      <c r="W24" s="93">
        <f t="shared" ca="1" si="7"/>
        <v>560518.4603094348</v>
      </c>
      <c r="X24" s="93">
        <f t="shared" ca="1" si="7"/>
        <v>587133.26030943485</v>
      </c>
      <c r="Y24" s="93">
        <f t="shared" ca="1" si="7"/>
        <v>552294.47055890132</v>
      </c>
      <c r="Z24" s="93">
        <f t="shared" ca="1" si="7"/>
        <v>565071.2615096299</v>
      </c>
      <c r="AA24" s="93">
        <f t="shared" ca="1" si="7"/>
        <v>589955.69925511617</v>
      </c>
      <c r="AB24" s="93">
        <f t="shared" ca="1" si="7"/>
        <v>625161.53925511613</v>
      </c>
      <c r="AC24" s="93">
        <f t="shared" ca="1" si="7"/>
        <v>583645.61925511609</v>
      </c>
      <c r="AD24" s="93">
        <f t="shared" ca="1" si="7"/>
        <v>595085.75423468521</v>
      </c>
      <c r="AE24" s="93">
        <f t="shared" ca="1" si="7"/>
        <v>628349.91906051547</v>
      </c>
      <c r="AF24" s="93">
        <f t="shared" ca="1" si="7"/>
        <v>665833.11906051543</v>
      </c>
      <c r="AG24" s="93">
        <f t="shared" ca="1" si="7"/>
        <v>702843.63906051544</v>
      </c>
      <c r="AH24" s="93">
        <f t="shared" ca="1" si="7"/>
        <v>670230.40341091657</v>
      </c>
      <c r="AI24" s="93">
        <f t="shared" ca="1" si="7"/>
        <v>678008.08366120176</v>
      </c>
      <c r="AJ24" s="93">
        <f t="shared" ca="1" si="7"/>
        <v>715744.0036612018</v>
      </c>
      <c r="AK24" s="93">
        <f t="shared" ca="1" si="7"/>
        <v>742120.0036612018</v>
      </c>
      <c r="AL24" s="93">
        <f t="shared" ca="1" si="7"/>
        <v>706498.87295327149</v>
      </c>
      <c r="AM24" s="93">
        <f t="shared" ca="1" si="7"/>
        <v>720075.62771601346</v>
      </c>
      <c r="AN24" s="93">
        <f t="shared" ca="1" si="7"/>
        <v>758133.59091855434</v>
      </c>
      <c r="AO24" s="93">
        <f t="shared" ca="1" si="7"/>
        <v>793201.19091855432</v>
      </c>
      <c r="AP24" s="93">
        <f t="shared" ca="1" si="7"/>
        <v>755699.99091855437</v>
      </c>
      <c r="AQ24" s="93">
        <f t="shared" ca="1" si="7"/>
        <v>780614.08370427683</v>
      </c>
      <c r="AR24" s="93">
        <f t="shared" ca="1" si="7"/>
        <v>794445.88757279178</v>
      </c>
      <c r="AS24" s="93">
        <f t="shared" ca="1" si="7"/>
        <v>811041.88757279178</v>
      </c>
      <c r="AT24" s="93">
        <f t="shared" ca="1" si="7"/>
        <v>774741.4075727918</v>
      </c>
      <c r="AU24" s="93">
        <f t="shared" ca="1" si="7"/>
        <v>770002.03088101931</v>
      </c>
      <c r="AV24" s="93">
        <f t="shared" ca="1" si="7"/>
        <v>767082.75614830665</v>
      </c>
      <c r="AW24" s="93">
        <f t="shared" ca="1" si="7"/>
        <v>792327.10132251133</v>
      </c>
      <c r="AX24" s="93">
        <f t="shared" ca="1" si="7"/>
        <v>831024.7013225113</v>
      </c>
      <c r="AY24" s="93">
        <f t="shared" ca="1" si="7"/>
        <v>791688.62462854059</v>
      </c>
      <c r="AZ24" s="93">
        <f t="shared" ca="1" si="7"/>
        <v>809206.00098753779</v>
      </c>
      <c r="BA24" s="93">
        <f t="shared" ca="1" si="7"/>
        <v>844641.79290494509</v>
      </c>
      <c r="BB24" s="93">
        <f t="shared" ca="1" si="7"/>
        <v>872210.59290494514</v>
      </c>
      <c r="BC24" s="93">
        <f t="shared" ca="1" si="7"/>
        <v>828672.19290494511</v>
      </c>
      <c r="BD24" s="57">
        <f t="shared" ca="1" si="7"/>
        <v>460284.69147315365</v>
      </c>
      <c r="BE24" s="57">
        <f t="shared" ca="1" si="7"/>
        <v>583645.61925511609</v>
      </c>
      <c r="BF24" s="57">
        <f t="shared" ca="1" si="7"/>
        <v>755699.99091855437</v>
      </c>
      <c r="BG24" s="57">
        <f t="shared" ca="1" si="7"/>
        <v>828672.19290494511</v>
      </c>
      <c r="BH24" s="57">
        <f t="shared" ca="1" si="7"/>
        <v>828672.19290494511</v>
      </c>
    </row>
    <row r="25" spans="1:60" s="10" customFormat="1" ht="16.149999999999999" customHeight="1" x14ac:dyDescent="0.25">
      <c r="A25" s="165"/>
      <c r="B25" s="2" t="s">
        <v>191</v>
      </c>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row>
    <row r="26" spans="1:60" s="100" customFormat="1" ht="16.149999999999999" customHeight="1" x14ac:dyDescent="0.3">
      <c r="A26" s="164" t="s">
        <v>156</v>
      </c>
      <c r="B26" s="97" t="s">
        <v>157</v>
      </c>
      <c r="C26" s="51">
        <f ca="1">-SUMIF(Assumptions!$A$81:$C$104,$A26,Assumptions!$C$81:$C$104)</f>
        <v>1200000</v>
      </c>
      <c r="D26" s="98">
        <f ca="1">OFFSET(D$4,ROW($B26)-ROW($B$4),-1,1,1)+OFFSET(CashFlow!$B35,0,COLUMN(D$4)-COLUMN($C$4),1,1)+OFFSET(CashFlow!$B39,0,COLUMN(D$4)-COLUMN($C$4),1,1)</f>
        <v>1194225.3197747867</v>
      </c>
      <c r="E26" s="98">
        <f ca="1">OFFSET(E$4,ROW($B26)-ROW($B$4),-1,1,1)+OFFSET(CashFlow!$B35,0,COLUMN(E$4)-COLUMN($C$4),1,1)+OFFSET(CashFlow!$B39,0,COLUMN(E$4)-COLUMN($C$4),1,1)</f>
        <v>1194225.3197747867</v>
      </c>
      <c r="F26" s="98">
        <f ca="1">OFFSET(F$4,ROW($B26)-ROW($B$4),-1,1,1)+OFFSET(CashFlow!$B35,0,COLUMN(F$4)-COLUMN($C$4),1,1)+OFFSET(CashFlow!$B39,0,COLUMN(F$4)-COLUMN($C$4),1,1)</f>
        <v>1194225.3197747867</v>
      </c>
      <c r="G26" s="98">
        <f ca="1">OFFSET(G$4,ROW($B26)-ROW($B$4),-1,1,1)+OFFSET(CashFlow!$B35,0,COLUMN(G$4)-COLUMN($C$4),1,1)+OFFSET(CashFlow!$B39,0,COLUMN(G$4)-COLUMN($C$4),1,1)</f>
        <v>1194225.3197747867</v>
      </c>
      <c r="H26" s="98">
        <f ca="1">OFFSET(H$4,ROW($B26)-ROW($B$4),-1,1,1)+OFFSET(CashFlow!$B35,0,COLUMN(H$4)-COLUMN($C$4),1,1)+OFFSET(CashFlow!$B39,0,COLUMN(H$4)-COLUMN($C$4),1,1)</f>
        <v>1194225.3197747867</v>
      </c>
      <c r="I26" s="98">
        <f ca="1">OFFSET(I$4,ROW($B26)-ROW($B$4),-1,1,1)+OFFSET(CashFlow!$B35,0,COLUMN(I$4)-COLUMN($C$4),1,1)+OFFSET(CashFlow!$B39,0,COLUMN(I$4)-COLUMN($C$4),1,1)</f>
        <v>1188401.314155983</v>
      </c>
      <c r="J26" s="98">
        <f ca="1">OFFSET(J$4,ROW($B26)-ROW($B$4),-1,1,1)+OFFSET(CashFlow!$B35,0,COLUMN(J$4)-COLUMN($C$4),1,1)+OFFSET(CashFlow!$B39,0,COLUMN(J$4)-COLUMN($C$4),1,1)</f>
        <v>1188401.314155983</v>
      </c>
      <c r="K26" s="98">
        <f ca="1">OFFSET(K$4,ROW($B26)-ROW($B$4),-1,1,1)+OFFSET(CashFlow!$B35,0,COLUMN(K$4)-COLUMN($C$4),1,1)+OFFSET(CashFlow!$B39,0,COLUMN(K$4)-COLUMN($C$4),1,1)</f>
        <v>1188401.314155983</v>
      </c>
      <c r="L26" s="98">
        <f ca="1">OFFSET(L$4,ROW($B26)-ROW($B$4),-1,1,1)+OFFSET(CashFlow!$B35,0,COLUMN(L$4)-COLUMN($C$4),1,1)+OFFSET(CashFlow!$B39,0,COLUMN(L$4)-COLUMN($C$4),1,1)</f>
        <v>1188401.314155983</v>
      </c>
      <c r="M26" s="98">
        <f ca="1">OFFSET(M$4,ROW($B26)-ROW($B$4),-1,1,1)+OFFSET(CashFlow!$B35,0,COLUMN(M$4)-COLUMN($C$4),1,1)+OFFSET(CashFlow!$B39,0,COLUMN(M$4)-COLUMN($C$4),1,1)</f>
        <v>1182527.5618225189</v>
      </c>
      <c r="N26" s="98">
        <f ca="1">OFFSET(N$4,ROW($B26)-ROW($B$4),-1,1,1)+OFFSET(CashFlow!$B35,0,COLUMN(N$4)-COLUMN($C$4),1,1)+OFFSET(CashFlow!$B39,0,COLUMN(N$4)-COLUMN($C$4),1,1)</f>
        <v>1182527.5618225189</v>
      </c>
      <c r="O26" s="98">
        <f ca="1">OFFSET(O$4,ROW($B26)-ROW($B$4),-1,1,1)+OFFSET(CashFlow!$B35,0,COLUMN(O$4)-COLUMN($C$4),1,1)+OFFSET(CashFlow!$B39,0,COLUMN(O$4)-COLUMN($C$4),1,1)</f>
        <v>1182527.5618225189</v>
      </c>
      <c r="P26" s="98">
        <f ca="1">OFFSET(P$4,ROW($B26)-ROW($B$4),-1,1,1)+OFFSET(CashFlow!$B35,0,COLUMN(P$4)-COLUMN($C$4),1,1)+OFFSET(CashFlow!$B39,0,COLUMN(P$4)-COLUMN($C$4),1,1)</f>
        <v>1182527.5618225189</v>
      </c>
      <c r="Q26" s="98">
        <f ca="1">OFFSET(Q$4,ROW($B26)-ROW($B$4),-1,1,1)+OFFSET(CashFlow!$B35,0,COLUMN(Q$4)-COLUMN($C$4),1,1)+OFFSET(CashFlow!$B39,0,COLUMN(Q$4)-COLUMN($C$4),1,1)</f>
        <v>1176603.6378545398</v>
      </c>
      <c r="R26" s="98">
        <f ca="1">OFFSET(R$4,ROW($B26)-ROW($B$4),-1,1,1)+OFFSET(CashFlow!$B35,0,COLUMN(R$4)-COLUMN($C$4),1,1)+OFFSET(CashFlow!$B39,0,COLUMN(R$4)-COLUMN($C$4),1,1)</f>
        <v>1176603.6378545398</v>
      </c>
      <c r="S26" s="98">
        <f ca="1">OFFSET(S$4,ROW($B26)-ROW($B$4),-1,1,1)+OFFSET(CashFlow!$B35,0,COLUMN(S$4)-COLUMN($C$4),1,1)+OFFSET(CashFlow!$B39,0,COLUMN(S$4)-COLUMN($C$4),1,1)</f>
        <v>1176603.6378545398</v>
      </c>
      <c r="T26" s="98">
        <f ca="1">OFFSET(T$4,ROW($B26)-ROW($B$4),-1,1,1)+OFFSET(CashFlow!$B35,0,COLUMN(T$4)-COLUMN($C$4),1,1)+OFFSET(CashFlow!$B39,0,COLUMN(T$4)-COLUMN($C$4),1,1)</f>
        <v>1176603.6378545398</v>
      </c>
      <c r="U26" s="98">
        <f ca="1">OFFSET(U$4,ROW($B26)-ROW($B$4),-1,1,1)+OFFSET(CashFlow!$B35,0,COLUMN(U$4)-COLUMN($C$4),1,1)+OFFSET(CashFlow!$B39,0,COLUMN(U$4)-COLUMN($C$4),1,1)</f>
        <v>1176603.6378545398</v>
      </c>
      <c r="V26" s="98">
        <f ca="1">OFFSET(V$4,ROW($B26)-ROW($B$4),-1,1,1)+OFFSET(CashFlow!$B35,0,COLUMN(V$4)-COLUMN($C$4),1,1)+OFFSET(CashFlow!$B39,0,COLUMN(V$4)-COLUMN($C$4),1,1)</f>
        <v>1170629.1137026674</v>
      </c>
      <c r="W26" s="98">
        <f ca="1">OFFSET(W$4,ROW($B26)-ROW($B$4),-1,1,1)+OFFSET(CashFlow!$B35,0,COLUMN(W$4)-COLUMN($C$4),1,1)+OFFSET(CashFlow!$B39,0,COLUMN(W$4)-COLUMN($C$4),1,1)</f>
        <v>1170629.1137026674</v>
      </c>
      <c r="X26" s="98">
        <f ca="1">OFFSET(X$4,ROW($B26)-ROW($B$4),-1,1,1)+OFFSET(CashFlow!$B35,0,COLUMN(X$4)-COLUMN($C$4),1,1)+OFFSET(CashFlow!$B39,0,COLUMN(X$4)-COLUMN($C$4),1,1)</f>
        <v>1170629.1137026674</v>
      </c>
      <c r="Y26" s="98">
        <f ca="1">OFFSET(Y$4,ROW($B26)-ROW($B$4),-1,1,1)+OFFSET(CashFlow!$B35,0,COLUMN(Y$4)-COLUMN($C$4),1,1)+OFFSET(CashFlow!$B39,0,COLUMN(Y$4)-COLUMN($C$4),1,1)</f>
        <v>1170629.1137026674</v>
      </c>
      <c r="Z26" s="98">
        <f ca="1">OFFSET(Z$4,ROW($B26)-ROW($B$4),-1,1,1)+OFFSET(CashFlow!$B35,0,COLUMN(Z$4)-COLUMN($C$4),1,1)+OFFSET(CashFlow!$B39,0,COLUMN(Z$4)-COLUMN($C$4),1,1)</f>
        <v>1164603.5571569977</v>
      </c>
      <c r="AA26" s="98">
        <f ca="1">OFFSET(AA$4,ROW($B26)-ROW($B$4),-1,1,1)+OFFSET(CashFlow!$B35,0,COLUMN(AA$4)-COLUMN($C$4),1,1)+OFFSET(CashFlow!$B39,0,COLUMN(AA$4)-COLUMN($C$4),1,1)</f>
        <v>1164603.5571569977</v>
      </c>
      <c r="AB26" s="98">
        <f ca="1">OFFSET(AB$4,ROW($B26)-ROW($B$4),-1,1,1)+OFFSET(CashFlow!$B35,0,COLUMN(AB$4)-COLUMN($C$4),1,1)+OFFSET(CashFlow!$B39,0,COLUMN(AB$4)-COLUMN($C$4),1,1)</f>
        <v>1164603.5571569977</v>
      </c>
      <c r="AC26" s="98">
        <f ca="1">OFFSET(AC$4,ROW($B26)-ROW($B$4),-1,1,1)+OFFSET(CashFlow!$B35,0,COLUMN(AC$4)-COLUMN($C$4),1,1)+OFFSET(CashFlow!$B39,0,COLUMN(AC$4)-COLUMN($C$4),1,1)</f>
        <v>1164603.5571569977</v>
      </c>
      <c r="AD26" s="98">
        <f ca="1">OFFSET(AD$4,ROW($B26)-ROW($B$4),-1,1,1)+OFFSET(CashFlow!$B35,0,COLUMN(AD$4)-COLUMN($C$4),1,1)+OFFSET(CashFlow!$B39,0,COLUMN(AD$4)-COLUMN($C$4),1,1)</f>
        <v>1158526.532315834</v>
      </c>
      <c r="AE26" s="98">
        <f ca="1">OFFSET(AE$4,ROW($B26)-ROW($B$4),-1,1,1)+OFFSET(CashFlow!$B35,0,COLUMN(AE$4)-COLUMN($C$4),1,1)+OFFSET(CashFlow!$B39,0,COLUMN(AE$4)-COLUMN($C$4),1,1)</f>
        <v>1158526.532315834</v>
      </c>
      <c r="AF26" s="98">
        <f ca="1">OFFSET(AF$4,ROW($B26)-ROW($B$4),-1,1,1)+OFFSET(CashFlow!$B35,0,COLUMN(AF$4)-COLUMN($C$4),1,1)+OFFSET(CashFlow!$B39,0,COLUMN(AF$4)-COLUMN($C$4),1,1)</f>
        <v>1158526.532315834</v>
      </c>
      <c r="AG26" s="98">
        <f ca="1">OFFSET(AG$4,ROW($B26)-ROW($B$4),-1,1,1)+OFFSET(CashFlow!$B35,0,COLUMN(AG$4)-COLUMN($C$4),1,1)+OFFSET(CashFlow!$B39,0,COLUMN(AG$4)-COLUMN($C$4),1,1)</f>
        <v>1158526.532315834</v>
      </c>
      <c r="AH26" s="98">
        <f ca="1">OFFSET(AH$4,ROW($B26)-ROW($B$4),-1,1,1)+OFFSET(CashFlow!$B35,0,COLUMN(AH$4)-COLUMN($C$4),1,1)+OFFSET(CashFlow!$B39,0,COLUMN(AH$4)-COLUMN($C$4),1,1)</f>
        <v>1158526.532315834</v>
      </c>
      <c r="AI26" s="98">
        <f ca="1">OFFSET(AI$4,ROW($B26)-ROW($B$4),-1,1,1)+OFFSET(CashFlow!$B35,0,COLUMN(AI$4)-COLUMN($C$4),1,1)+OFFSET(CashFlow!$B39,0,COLUMN(AI$4)-COLUMN($C$4),1,1)</f>
        <v>1152397.5995541518</v>
      </c>
      <c r="AJ26" s="98">
        <f ca="1">OFFSET(AJ$4,ROW($B26)-ROW($B$4),-1,1,1)+OFFSET(CashFlow!$B35,0,COLUMN(AJ$4)-COLUMN($C$4),1,1)+OFFSET(CashFlow!$B39,0,COLUMN(AJ$4)-COLUMN($C$4),1,1)</f>
        <v>1152397.5995541518</v>
      </c>
      <c r="AK26" s="98">
        <f ca="1">OFFSET(AK$4,ROW($B26)-ROW($B$4),-1,1,1)+OFFSET(CashFlow!$B35,0,COLUMN(AK$4)-COLUMN($C$4),1,1)+OFFSET(CashFlow!$B39,0,COLUMN(AK$4)-COLUMN($C$4),1,1)</f>
        <v>1152397.5995541518</v>
      </c>
      <c r="AL26" s="98">
        <f ca="1">OFFSET(AL$4,ROW($B26)-ROW($B$4),-1,1,1)+OFFSET(CashFlow!$B35,0,COLUMN(AL$4)-COLUMN($C$4),1,1)+OFFSET(CashFlow!$B39,0,COLUMN(AL$4)-COLUMN($C$4),1,1)</f>
        <v>1152397.5995541518</v>
      </c>
      <c r="AM26" s="98">
        <f ca="1">OFFSET(AM$4,ROW($B26)-ROW($B$4),-1,1,1)+OFFSET(CashFlow!$B35,0,COLUMN(AM$4)-COLUMN($C$4),1,1)+OFFSET(CashFlow!$B39,0,COLUMN(AM$4)-COLUMN($C$4),1,1)</f>
        <v>1146216.3154917969</v>
      </c>
      <c r="AN26" s="98">
        <f ca="1">OFFSET(AN$4,ROW($B26)-ROW($B$4),-1,1,1)+OFFSET(CashFlow!$B35,0,COLUMN(AN$4)-COLUMN($C$4),1,1)+OFFSET(CashFlow!$B39,0,COLUMN(AN$4)-COLUMN($C$4),1,1)</f>
        <v>1146216.3154917969</v>
      </c>
      <c r="AO26" s="98">
        <f ca="1">OFFSET(AO$4,ROW($B26)-ROW($B$4),-1,1,1)+OFFSET(CashFlow!$B35,0,COLUMN(AO$4)-COLUMN($C$4),1,1)+OFFSET(CashFlow!$B39,0,COLUMN(AO$4)-COLUMN($C$4),1,1)</f>
        <v>1146216.3154917969</v>
      </c>
      <c r="AP26" s="98">
        <f ca="1">OFFSET(AP$4,ROW($B26)-ROW($B$4),-1,1,1)+OFFSET(CashFlow!$B35,0,COLUMN(AP$4)-COLUMN($C$4),1,1)+OFFSET(CashFlow!$B39,0,COLUMN(AP$4)-COLUMN($C$4),1,1)</f>
        <v>1146216.3154917969</v>
      </c>
      <c r="AQ26" s="98">
        <f ca="1">OFFSET(AQ$4,ROW($B26)-ROW($B$4),-1,1,1)+OFFSET(CashFlow!$B35,0,COLUMN(AQ$4)-COLUMN($C$4),1,1)+OFFSET(CashFlow!$B39,0,COLUMN(AQ$4)-COLUMN($C$4),1,1)</f>
        <v>1139982.2329614095</v>
      </c>
      <c r="AR26" s="98">
        <f ca="1">OFFSET(AR$4,ROW($B26)-ROW($B$4),-1,1,1)+OFFSET(CashFlow!$B35,0,COLUMN(AR$4)-COLUMN($C$4),1,1)+OFFSET(CashFlow!$B39,0,COLUMN(AR$4)-COLUMN($C$4),1,1)</f>
        <v>1139982.2329614095</v>
      </c>
      <c r="AS26" s="98">
        <f ca="1">OFFSET(AS$4,ROW($B26)-ROW($B$4),-1,1,1)+OFFSET(CashFlow!$B35,0,COLUMN(AS$4)-COLUMN($C$4),1,1)+OFFSET(CashFlow!$B39,0,COLUMN(AS$4)-COLUMN($C$4),1,1)</f>
        <v>1139982.2329614095</v>
      </c>
      <c r="AT26" s="98">
        <f ca="1">OFFSET(AT$4,ROW($B26)-ROW($B$4),-1,1,1)+OFFSET(CashFlow!$B35,0,COLUMN(AT$4)-COLUMN($C$4),1,1)+OFFSET(CashFlow!$B39,0,COLUMN(AT$4)-COLUMN($C$4),1,1)</f>
        <v>1139982.2329614095</v>
      </c>
      <c r="AU26" s="98">
        <f ca="1">OFFSET(AU$4,ROW($B26)-ROW($B$4),-1,1,1)+OFFSET(CashFlow!$B35,0,COLUMN(AU$4)-COLUMN($C$4),1,1)+OFFSET(CashFlow!$B39,0,COLUMN(AU$4)-COLUMN($C$4),1,1)</f>
        <v>1139982.2329614095</v>
      </c>
      <c r="AV26" s="98">
        <f ca="1">OFFSET(AV$4,ROW($B26)-ROW($B$4),-1,1,1)+OFFSET(CashFlow!$B35,0,COLUMN(AV$4)-COLUMN($C$4),1,1)+OFFSET(CashFlow!$B39,0,COLUMN(AV$4)-COLUMN($C$4),1,1)</f>
        <v>1133694.9009760751</v>
      </c>
      <c r="AW26" s="98">
        <f ca="1">OFFSET(AW$4,ROW($B26)-ROW($B$4),-1,1,1)+OFFSET(CashFlow!$B35,0,COLUMN(AW$4)-COLUMN($C$4),1,1)+OFFSET(CashFlow!$B39,0,COLUMN(AW$4)-COLUMN($C$4),1,1)</f>
        <v>1133694.9009760751</v>
      </c>
      <c r="AX26" s="98">
        <f ca="1">OFFSET(AX$4,ROW($B26)-ROW($B$4),-1,1,1)+OFFSET(CashFlow!$B35,0,COLUMN(AX$4)-COLUMN($C$4),1,1)+OFFSET(CashFlow!$B39,0,COLUMN(AX$4)-COLUMN($C$4),1,1)</f>
        <v>1133694.9009760751</v>
      </c>
      <c r="AY26" s="98">
        <f ca="1">OFFSET(AY$4,ROW($B26)-ROW($B$4),-1,1,1)+OFFSET(CashFlow!$B35,0,COLUMN(AY$4)-COLUMN($C$4),1,1)+OFFSET(CashFlow!$B39,0,COLUMN(AY$4)-COLUMN($C$4),1,1)</f>
        <v>1133694.9009760751</v>
      </c>
      <c r="AZ26" s="98">
        <f ca="1">OFFSET(AZ$4,ROW($B26)-ROW($B$4),-1,1,1)+OFFSET(CashFlow!$B35,0,COLUMN(AZ$4)-COLUMN($C$4),1,1)+OFFSET(CashFlow!$B39,0,COLUMN(AZ$4)-COLUMN($C$4),1,1)</f>
        <v>1127353.8646966992</v>
      </c>
      <c r="BA26" s="98">
        <f ca="1">OFFSET(BA$4,ROW($B26)-ROW($B$4),-1,1,1)+OFFSET(CashFlow!$B35,0,COLUMN(BA$4)-COLUMN($C$4),1,1)+OFFSET(CashFlow!$B39,0,COLUMN(BA$4)-COLUMN($C$4),1,1)</f>
        <v>1127353.8646966992</v>
      </c>
      <c r="BB26" s="98">
        <f ca="1">OFFSET(BB$4,ROW($B26)-ROW($B$4),-1,1,1)+OFFSET(CashFlow!$B35,0,COLUMN(BB$4)-COLUMN($C$4),1,1)+OFFSET(CashFlow!$B39,0,COLUMN(BB$4)-COLUMN($C$4),1,1)</f>
        <v>1127353.8646966992</v>
      </c>
      <c r="BC26" s="98">
        <f ca="1">OFFSET(BC$4,ROW($B26)-ROW($B$4),-1,1,1)+OFFSET(CashFlow!$B35,0,COLUMN(BC$4)-COLUMN($C$4),1,1)+OFFSET(CashFlow!$B39,0,COLUMN(BC$4)-COLUMN($C$4),1,1)</f>
        <v>1127353.8646966992</v>
      </c>
      <c r="BD26" s="99">
        <f ca="1">OFFSET($B26,0,Assumptions!$C$8+1,1,1)</f>
        <v>1182527.5618225189</v>
      </c>
      <c r="BE26" s="99">
        <f ca="1">OFFSET($B26,0,SUM(Assumptions!$C$8:$C$9)+1,1,1)</f>
        <v>1164603.5571569977</v>
      </c>
      <c r="BF26" s="99">
        <f ca="1">OFFSET($B26,0,SUM(Assumptions!$C$8:$C$10)+1,1,1)</f>
        <v>1146216.3154917969</v>
      </c>
      <c r="BG26" s="99">
        <f ca="1">OFFSET($B26,0,SUM(Assumptions!$C$8:$C$11)+1,1,1)</f>
        <v>1127353.8646966992</v>
      </c>
      <c r="BH26" s="99">
        <f ca="1">BG26</f>
        <v>1127353.8646966992</v>
      </c>
    </row>
    <row r="27" spans="1:60" s="100" customFormat="1" ht="16.149999999999999" customHeight="1" x14ac:dyDescent="0.3">
      <c r="A27" s="164" t="s">
        <v>158</v>
      </c>
      <c r="B27" s="97" t="s">
        <v>159</v>
      </c>
      <c r="C27" s="51">
        <f ca="1">-SUMIF(Assumptions!$A$81:$C$104,$A27,Assumptions!$C$81:$C$104)</f>
        <v>500000</v>
      </c>
      <c r="D27" s="98">
        <f ca="1">OFFSET(D$4,ROW($B27)-ROW($B$4),-1,1,1)+OFFSET(CashFlow!$B36,0,COLUMN(D$4)-COLUMN($C$4),1,1)+OFFSET(CashFlow!$B40,0,COLUMN(D$4)-COLUMN($C$4),1,1)</f>
        <v>500000</v>
      </c>
      <c r="E27" s="98">
        <f ca="1">OFFSET(E$4,ROW($B27)-ROW($B$4),-1,1,1)+OFFSET(CashFlow!$B36,0,COLUMN(E$4)-COLUMN($C$4),1,1)+OFFSET(CashFlow!$B40,0,COLUMN(E$4)-COLUMN($C$4),1,1)</f>
        <v>500000</v>
      </c>
      <c r="F27" s="98">
        <f ca="1">OFFSET(F$4,ROW($B27)-ROW($B$4),-1,1,1)+OFFSET(CashFlow!$B36,0,COLUMN(F$4)-COLUMN($C$4),1,1)+OFFSET(CashFlow!$B40,0,COLUMN(F$4)-COLUMN($C$4),1,1)</f>
        <v>500000</v>
      </c>
      <c r="G27" s="98">
        <f ca="1">OFFSET(G$4,ROW($B27)-ROW($B$4),-1,1,1)+OFFSET(CashFlow!$B36,0,COLUMN(G$4)-COLUMN($C$4),1,1)+OFFSET(CashFlow!$B40,0,COLUMN(G$4)-COLUMN($C$4),1,1)</f>
        <v>500000</v>
      </c>
      <c r="H27" s="98">
        <f ca="1">OFFSET(H$4,ROW($B27)-ROW($B$4),-1,1,1)+OFFSET(CashFlow!$B36,0,COLUMN(H$4)-COLUMN($C$4),1,1)+OFFSET(CashFlow!$B40,0,COLUMN(H$4)-COLUMN($C$4),1,1)</f>
        <v>496464.05658645334</v>
      </c>
      <c r="I27" s="98">
        <f ca="1">OFFSET(I$4,ROW($B27)-ROW($B$4),-1,1,1)+OFFSET(CashFlow!$B36,0,COLUMN(I$4)-COLUMN($C$4),1,1)+OFFSET(CashFlow!$B40,0,COLUMN(I$4)-COLUMN($C$4),1,1)</f>
        <v>496464.05658645334</v>
      </c>
      <c r="J27" s="98">
        <f ca="1">OFFSET(J$4,ROW($B27)-ROW($B$4),-1,1,1)+OFFSET(CashFlow!$B36,0,COLUMN(J$4)-COLUMN($C$4),1,1)+OFFSET(CashFlow!$B40,0,COLUMN(J$4)-COLUMN($C$4),1,1)</f>
        <v>496464.05658645334</v>
      </c>
      <c r="K27" s="98">
        <f ca="1">OFFSET(K$4,ROW($B27)-ROW($B$4),-1,1,1)+OFFSET(CashFlow!$B36,0,COLUMN(K$4)-COLUMN($C$4),1,1)+OFFSET(CashFlow!$B40,0,COLUMN(K$4)-COLUMN($C$4),1,1)</f>
        <v>496464.05658645334</v>
      </c>
      <c r="L27" s="98">
        <f ca="1">OFFSET(L$4,ROW($B27)-ROW($B$4),-1,1,1)+OFFSET(CashFlow!$B36,0,COLUMN(L$4)-COLUMN($C$4),1,1)+OFFSET(CashFlow!$B40,0,COLUMN(L$4)-COLUMN($C$4),1,1)</f>
        <v>492900.85694242723</v>
      </c>
      <c r="M27" s="98">
        <f ca="1">OFFSET(M$4,ROW($B27)-ROW($B$4),-1,1,1)+OFFSET(CashFlow!$B36,0,COLUMN(M$4)-COLUMN($C$4),1,1)+OFFSET(CashFlow!$B40,0,COLUMN(M$4)-COLUMN($C$4),1,1)</f>
        <v>492900.85694242723</v>
      </c>
      <c r="N27" s="98">
        <f ca="1">OFFSET(N$4,ROW($B27)-ROW($B$4),-1,1,1)+OFFSET(CashFlow!$B36,0,COLUMN(N$4)-COLUMN($C$4),1,1)+OFFSET(CashFlow!$B40,0,COLUMN(N$4)-COLUMN($C$4),1,1)</f>
        <v>492900.85694242723</v>
      </c>
      <c r="O27" s="98">
        <f ca="1">OFFSET(O$4,ROW($B27)-ROW($B$4),-1,1,1)+OFFSET(CashFlow!$B36,0,COLUMN(O$4)-COLUMN($C$4),1,1)+OFFSET(CashFlow!$B40,0,COLUMN(O$4)-COLUMN($C$4),1,1)</f>
        <v>492900.85694242723</v>
      </c>
      <c r="P27" s="98">
        <f ca="1">OFFSET(P$4,ROW($B27)-ROW($B$4),-1,1,1)+OFFSET(CashFlow!$B36,0,COLUMN(P$4)-COLUMN($C$4),1,1)+OFFSET(CashFlow!$B40,0,COLUMN(P$4)-COLUMN($C$4),1,1)</f>
        <v>489310.19096781174</v>
      </c>
      <c r="Q27" s="98">
        <f ca="1">OFFSET(Q$4,ROW($B27)-ROW($B$4),-1,1,1)+OFFSET(CashFlow!$B36,0,COLUMN(Q$4)-COLUMN($C$4),1,1)+OFFSET(CashFlow!$B40,0,COLUMN(Q$4)-COLUMN($C$4),1,1)</f>
        <v>489310.19096781174</v>
      </c>
      <c r="R27" s="98">
        <f ca="1">OFFSET(R$4,ROW($B27)-ROW($B$4),-1,1,1)+OFFSET(CashFlow!$B36,0,COLUMN(R$4)-COLUMN($C$4),1,1)+OFFSET(CashFlow!$B40,0,COLUMN(R$4)-COLUMN($C$4),1,1)</f>
        <v>489310.19096781174</v>
      </c>
      <c r="S27" s="98">
        <f ca="1">OFFSET(S$4,ROW($B27)-ROW($B$4),-1,1,1)+OFFSET(CashFlow!$B36,0,COLUMN(S$4)-COLUMN($C$4),1,1)+OFFSET(CashFlow!$B40,0,COLUMN(S$4)-COLUMN($C$4),1,1)</f>
        <v>489310.19096781174</v>
      </c>
      <c r="T27" s="98">
        <f ca="1">OFFSET(T$4,ROW($B27)-ROW($B$4),-1,1,1)+OFFSET(CashFlow!$B36,0,COLUMN(T$4)-COLUMN($C$4),1,1)+OFFSET(CashFlow!$B40,0,COLUMN(T$4)-COLUMN($C$4),1,1)</f>
        <v>489310.19096781174</v>
      </c>
      <c r="U27" s="98">
        <f ca="1">OFFSET(U$4,ROW($B27)-ROW($B$4),-1,1,1)+OFFSET(CashFlow!$B36,0,COLUMN(U$4)-COLUMN($C$4),1,1)+OFFSET(CashFlow!$B40,0,COLUMN(U$4)-COLUMN($C$4),1,1)</f>
        <v>485691.84694297524</v>
      </c>
      <c r="V27" s="98">
        <f ca="1">OFFSET(V$4,ROW($B27)-ROW($B$4),-1,1,1)+OFFSET(CashFlow!$B36,0,COLUMN(V$4)-COLUMN($C$4),1,1)+OFFSET(CashFlow!$B40,0,COLUMN(V$4)-COLUMN($C$4),1,1)</f>
        <v>485691.84694297524</v>
      </c>
      <c r="W27" s="98">
        <f ca="1">OFFSET(W$4,ROW($B27)-ROW($B$4),-1,1,1)+OFFSET(CashFlow!$B36,0,COLUMN(W$4)-COLUMN($C$4),1,1)+OFFSET(CashFlow!$B40,0,COLUMN(W$4)-COLUMN($C$4),1,1)</f>
        <v>485691.84694297524</v>
      </c>
      <c r="X27" s="98">
        <f ca="1">OFFSET(X$4,ROW($B27)-ROW($B$4),-1,1,1)+OFFSET(CashFlow!$B36,0,COLUMN(X$4)-COLUMN($C$4),1,1)+OFFSET(CashFlow!$B40,0,COLUMN(X$4)-COLUMN($C$4),1,1)</f>
        <v>485691.84694297524</v>
      </c>
      <c r="Y27" s="98">
        <f ca="1">OFFSET(Y$4,ROW($B27)-ROW($B$4),-1,1,1)+OFFSET(CashFlow!$B36,0,COLUMN(Y$4)-COLUMN($C$4),1,1)+OFFSET(CashFlow!$B40,0,COLUMN(Y$4)-COLUMN($C$4),1,1)</f>
        <v>482045.61151628068</v>
      </c>
      <c r="Z27" s="98">
        <f ca="1">OFFSET(Z$4,ROW($B27)-ROW($B$4),-1,1,1)+OFFSET(CashFlow!$B36,0,COLUMN(Z$4)-COLUMN($C$4),1,1)+OFFSET(CashFlow!$B40,0,COLUMN(Z$4)-COLUMN($C$4),1,1)</f>
        <v>582045.61151628068</v>
      </c>
      <c r="AA27" s="98">
        <f ca="1">OFFSET(AA$4,ROW($B27)-ROW($B$4),-1,1,1)+OFFSET(CashFlow!$B36,0,COLUMN(AA$4)-COLUMN($C$4),1,1)+OFFSET(CashFlow!$B40,0,COLUMN(AA$4)-COLUMN($C$4),1,1)</f>
        <v>582045.61151628068</v>
      </c>
      <c r="AB27" s="98">
        <f ca="1">OFFSET(AB$4,ROW($B27)-ROW($B$4),-1,1,1)+OFFSET(CashFlow!$B36,0,COLUMN(AB$4)-COLUMN($C$4),1,1)+OFFSET(CashFlow!$B40,0,COLUMN(AB$4)-COLUMN($C$4),1,1)</f>
        <v>582045.61151628068</v>
      </c>
      <c r="AC27" s="98">
        <f ca="1">OFFSET(AC$4,ROW($B27)-ROW($B$4),-1,1,1)+OFFSET(CashFlow!$B36,0,COLUMN(AC$4)-COLUMN($C$4),1,1)+OFFSET(CashFlow!$B40,0,COLUMN(AC$4)-COLUMN($C$4),1,1)</f>
        <v>582045.61151628068</v>
      </c>
      <c r="AD27" s="98">
        <f ca="1">OFFSET(AD$4,ROW($B27)-ROW($B$4),-1,1,1)+OFFSET(CashFlow!$B36,0,COLUMN(AD$4)-COLUMN($C$4),1,1)+OFFSET(CashFlow!$B40,0,COLUMN(AD$4)-COLUMN($C$4),1,1)</f>
        <v>577664.081008796</v>
      </c>
      <c r="AE27" s="98">
        <f ca="1">OFFSET(AE$4,ROW($B27)-ROW($B$4),-1,1,1)+OFFSET(CashFlow!$B36,0,COLUMN(AE$4)-COLUMN($C$4),1,1)+OFFSET(CashFlow!$B40,0,COLUMN(AE$4)-COLUMN($C$4),1,1)</f>
        <v>577664.081008796</v>
      </c>
      <c r="AF27" s="98">
        <f ca="1">OFFSET(AF$4,ROW($B27)-ROW($B$4),-1,1,1)+OFFSET(CashFlow!$B36,0,COLUMN(AF$4)-COLUMN($C$4),1,1)+OFFSET(CashFlow!$B40,0,COLUMN(AF$4)-COLUMN($C$4),1,1)</f>
        <v>577664.081008796</v>
      </c>
      <c r="AG27" s="98">
        <f ca="1">OFFSET(AG$4,ROW($B27)-ROW($B$4),-1,1,1)+OFFSET(CashFlow!$B36,0,COLUMN(AG$4)-COLUMN($C$4),1,1)+OFFSET(CashFlow!$B40,0,COLUMN(AG$4)-COLUMN($C$4),1,1)</f>
        <v>577664.081008796</v>
      </c>
      <c r="AH27" s="98">
        <f ca="1">OFFSET(AH$4,ROW($B27)-ROW($B$4),-1,1,1)+OFFSET(CashFlow!$B36,0,COLUMN(AH$4)-COLUMN($C$4),1,1)+OFFSET(CashFlow!$B40,0,COLUMN(AH$4)-COLUMN($C$4),1,1)</f>
        <v>573248.77620364947</v>
      </c>
      <c r="AI27" s="98">
        <f ca="1">OFFSET(AI$4,ROW($B27)-ROW($B$4),-1,1,1)+OFFSET(CashFlow!$B36,0,COLUMN(AI$4)-COLUMN($C$4),1,1)+OFFSET(CashFlow!$B40,0,COLUMN(AI$4)-COLUMN($C$4),1,1)</f>
        <v>573248.77620364947</v>
      </c>
      <c r="AJ27" s="98">
        <f ca="1">OFFSET(AJ$4,ROW($B27)-ROW($B$4),-1,1,1)+OFFSET(CashFlow!$B36,0,COLUMN(AJ$4)-COLUMN($C$4),1,1)+OFFSET(CashFlow!$B40,0,COLUMN(AJ$4)-COLUMN($C$4),1,1)</f>
        <v>573248.77620364947</v>
      </c>
      <c r="AK27" s="98">
        <f ca="1">OFFSET(AK$4,ROW($B27)-ROW($B$4),-1,1,1)+OFFSET(CashFlow!$B36,0,COLUMN(AK$4)-COLUMN($C$4),1,1)+OFFSET(CashFlow!$B40,0,COLUMN(AK$4)-COLUMN($C$4),1,1)</f>
        <v>573248.77620364947</v>
      </c>
      <c r="AL27" s="98">
        <f ca="1">OFFSET(AL$4,ROW($B27)-ROW($B$4),-1,1,1)+OFFSET(CashFlow!$B36,0,COLUMN(AL$4)-COLUMN($C$4),1,1)+OFFSET(CashFlow!$B40,0,COLUMN(AL$4)-COLUMN($C$4),1,1)</f>
        <v>568799.43675729656</v>
      </c>
      <c r="AM27" s="98">
        <f ca="1">OFFSET(AM$4,ROW($B27)-ROW($B$4),-1,1,1)+OFFSET(CashFlow!$B36,0,COLUMN(AM$4)-COLUMN($C$4),1,1)+OFFSET(CashFlow!$B40,0,COLUMN(AM$4)-COLUMN($C$4),1,1)</f>
        <v>568799.43675729656</v>
      </c>
      <c r="AN27" s="98">
        <f ca="1">OFFSET(AN$4,ROW($B27)-ROW($B$4),-1,1,1)+OFFSET(CashFlow!$B36,0,COLUMN(AN$4)-COLUMN($C$4),1,1)+OFFSET(CashFlow!$B40,0,COLUMN(AN$4)-COLUMN($C$4),1,1)</f>
        <v>568799.43675729656</v>
      </c>
      <c r="AO27" s="98">
        <f ca="1">OFFSET(AO$4,ROW($B27)-ROW($B$4),-1,1,1)+OFFSET(CashFlow!$B36,0,COLUMN(AO$4)-COLUMN($C$4),1,1)+OFFSET(CashFlow!$B40,0,COLUMN(AO$4)-COLUMN($C$4),1,1)</f>
        <v>568799.43675729656</v>
      </c>
      <c r="AP27" s="98">
        <f ca="1">OFFSET(AP$4,ROW($B27)-ROW($B$4),-1,1,1)+OFFSET(CashFlow!$B36,0,COLUMN(AP$4)-COLUMN($C$4),1,1)+OFFSET(CashFlow!$B40,0,COLUMN(AP$4)-COLUMN($C$4),1,1)</f>
        <v>568799.43675729656</v>
      </c>
      <c r="AQ27" s="98">
        <f ca="1">OFFSET(AQ$4,ROW($B27)-ROW($B$4),-1,1,1)+OFFSET(CashFlow!$B36,0,COLUMN(AQ$4)-COLUMN($C$4),1,1)+OFFSET(CashFlow!$B40,0,COLUMN(AQ$4)-COLUMN($C$4),1,1)</f>
        <v>564315.80031937803</v>
      </c>
      <c r="AR27" s="98">
        <f ca="1">OFFSET(AR$4,ROW($B27)-ROW($B$4),-1,1,1)+OFFSET(CashFlow!$B36,0,COLUMN(AR$4)-COLUMN($C$4),1,1)+OFFSET(CashFlow!$B40,0,COLUMN(AR$4)-COLUMN($C$4),1,1)</f>
        <v>564315.80031937803</v>
      </c>
      <c r="AS27" s="98">
        <f ca="1">OFFSET(AS$4,ROW($B27)-ROW($B$4),-1,1,1)+OFFSET(CashFlow!$B36,0,COLUMN(AS$4)-COLUMN($C$4),1,1)+OFFSET(CashFlow!$B40,0,COLUMN(AS$4)-COLUMN($C$4),1,1)</f>
        <v>564315.80031937803</v>
      </c>
      <c r="AT27" s="98">
        <f ca="1">OFFSET(AT$4,ROW($B27)-ROW($B$4),-1,1,1)+OFFSET(CashFlow!$B36,0,COLUMN(AT$4)-COLUMN($C$4),1,1)+OFFSET(CashFlow!$B40,0,COLUMN(AT$4)-COLUMN($C$4),1,1)</f>
        <v>564315.80031937803</v>
      </c>
      <c r="AU27" s="98">
        <f ca="1">OFFSET(AU$4,ROW($B27)-ROW($B$4),-1,1,1)+OFFSET(CashFlow!$B36,0,COLUMN(AU$4)-COLUMN($C$4),1,1)+OFFSET(CashFlow!$B40,0,COLUMN(AU$4)-COLUMN($C$4),1,1)</f>
        <v>559797.60251725058</v>
      </c>
      <c r="AV27" s="98">
        <f ca="1">OFFSET(AV$4,ROW($B27)-ROW($B$4),-1,1,1)+OFFSET(CashFlow!$B36,0,COLUMN(AV$4)-COLUMN($C$4),1,1)+OFFSET(CashFlow!$B40,0,COLUMN(AV$4)-COLUMN($C$4),1,1)</f>
        <v>559797.60251725058</v>
      </c>
      <c r="AW27" s="98">
        <f ca="1">OFFSET(AW$4,ROW($B27)-ROW($B$4),-1,1,1)+OFFSET(CashFlow!$B36,0,COLUMN(AW$4)-COLUMN($C$4),1,1)+OFFSET(CashFlow!$B40,0,COLUMN(AW$4)-COLUMN($C$4),1,1)</f>
        <v>559797.60251725058</v>
      </c>
      <c r="AX27" s="98">
        <f ca="1">OFFSET(AX$4,ROW($B27)-ROW($B$4),-1,1,1)+OFFSET(CashFlow!$B36,0,COLUMN(AX$4)-COLUMN($C$4),1,1)+OFFSET(CashFlow!$B40,0,COLUMN(AX$4)-COLUMN($C$4),1,1)</f>
        <v>559797.60251725058</v>
      </c>
      <c r="AY27" s="98">
        <f ca="1">OFFSET(AY$4,ROW($B27)-ROW($B$4),-1,1,1)+OFFSET(CashFlow!$B36,0,COLUMN(AY$4)-COLUMN($C$4),1,1)+OFFSET(CashFlow!$B40,0,COLUMN(AY$4)-COLUMN($C$4),1,1)</f>
        <v>555244.57694039831</v>
      </c>
      <c r="AZ27" s="98">
        <f ca="1">OFFSET(AZ$4,ROW($B27)-ROW($B$4),-1,1,1)+OFFSET(CashFlow!$B36,0,COLUMN(AZ$4)-COLUMN($C$4),1,1)+OFFSET(CashFlow!$B40,0,COLUMN(AZ$4)-COLUMN($C$4),1,1)</f>
        <v>555244.57694039831</v>
      </c>
      <c r="BA27" s="98">
        <f ca="1">OFFSET(BA$4,ROW($B27)-ROW($B$4),-1,1,1)+OFFSET(CashFlow!$B36,0,COLUMN(BA$4)-COLUMN($C$4),1,1)+OFFSET(CashFlow!$B40,0,COLUMN(BA$4)-COLUMN($C$4),1,1)</f>
        <v>555244.57694039831</v>
      </c>
      <c r="BB27" s="98">
        <f ca="1">OFFSET(BB$4,ROW($B27)-ROW($B$4),-1,1,1)+OFFSET(CashFlow!$B36,0,COLUMN(BB$4)-COLUMN($C$4),1,1)+OFFSET(CashFlow!$B40,0,COLUMN(BB$4)-COLUMN($C$4),1,1)</f>
        <v>555244.57694039831</v>
      </c>
      <c r="BC27" s="98">
        <f ca="1">OFFSET(BC$4,ROW($B27)-ROW($B$4),-1,1,1)+OFFSET(CashFlow!$B36,0,COLUMN(BC$4)-COLUMN($C$4),1,1)+OFFSET(CashFlow!$B40,0,COLUMN(BC$4)-COLUMN($C$4),1,1)</f>
        <v>555244.57694039831</v>
      </c>
      <c r="BD27" s="99">
        <f ca="1">OFFSET($B27,0,Assumptions!$C$8+1,1,1)</f>
        <v>489310.19096781174</v>
      </c>
      <c r="BE27" s="99">
        <f ca="1">OFFSET($B27,0,SUM(Assumptions!$C$8:$C$9)+1,1,1)</f>
        <v>582045.61151628068</v>
      </c>
      <c r="BF27" s="99">
        <f ca="1">OFFSET($B27,0,SUM(Assumptions!$C$8:$C$10)+1,1,1)</f>
        <v>568799.43675729656</v>
      </c>
      <c r="BG27" s="99">
        <f ca="1">OFFSET($B27,0,SUM(Assumptions!$C$8:$C$11)+1,1,1)</f>
        <v>555244.57694039831</v>
      </c>
      <c r="BH27" s="99">
        <f t="shared" ref="BH27:BH29" ca="1" si="8">BG27</f>
        <v>555244.57694039831</v>
      </c>
    </row>
    <row r="28" spans="1:60" s="100" customFormat="1" ht="16.149999999999999" customHeight="1" x14ac:dyDescent="0.3">
      <c r="A28" s="164" t="s">
        <v>160</v>
      </c>
      <c r="B28" s="97" t="s">
        <v>161</v>
      </c>
      <c r="C28" s="51">
        <f ca="1">-SUMIF(Assumptions!$A$81:$C$104,$A28,Assumptions!$C$81:$C$104)</f>
        <v>0</v>
      </c>
      <c r="D28" s="98">
        <f ca="1">OFFSET(D$4,ROW($B28)-ROW($B$4),-1,1,1)+OFFSET(CashFlow!$B37,0,COLUMN(D$4)-COLUMN($C$4),1,1)+OFFSET(CashFlow!$B41,0,COLUMN(D$4)-COLUMN($C$4),1,1)</f>
        <v>0</v>
      </c>
      <c r="E28" s="98">
        <f ca="1">OFFSET(E$4,ROW($B28)-ROW($B$4),-1,1,1)+OFFSET(CashFlow!$B37,0,COLUMN(E$4)-COLUMN($C$4),1,1)+OFFSET(CashFlow!$B41,0,COLUMN(E$4)-COLUMN($C$4),1,1)</f>
        <v>0</v>
      </c>
      <c r="F28" s="98">
        <f ca="1">OFFSET(F$4,ROW($B28)-ROW($B$4),-1,1,1)+OFFSET(CashFlow!$B37,0,COLUMN(F$4)-COLUMN($C$4),1,1)+OFFSET(CashFlow!$B41,0,COLUMN(F$4)-COLUMN($C$4),1,1)</f>
        <v>0</v>
      </c>
      <c r="G28" s="98">
        <f ca="1">OFFSET(G$4,ROW($B28)-ROW($B$4),-1,1,1)+OFFSET(CashFlow!$B37,0,COLUMN(G$4)-COLUMN($C$4),1,1)+OFFSET(CashFlow!$B41,0,COLUMN(G$4)-COLUMN($C$4),1,1)</f>
        <v>0</v>
      </c>
      <c r="H28" s="98">
        <f ca="1">OFFSET(H$4,ROW($B28)-ROW($B$4),-1,1,1)+OFFSET(CashFlow!$B37,0,COLUMN(H$4)-COLUMN($C$4),1,1)+OFFSET(CashFlow!$B41,0,COLUMN(H$4)-COLUMN($C$4),1,1)</f>
        <v>0</v>
      </c>
      <c r="I28" s="98">
        <f ca="1">OFFSET(I$4,ROW($B28)-ROW($B$4),-1,1,1)+OFFSET(CashFlow!$B37,0,COLUMN(I$4)-COLUMN($C$4),1,1)+OFFSET(CashFlow!$B41,0,COLUMN(I$4)-COLUMN($C$4),1,1)</f>
        <v>0</v>
      </c>
      <c r="J28" s="98">
        <f ca="1">OFFSET(J$4,ROW($B28)-ROW($B$4),-1,1,1)+OFFSET(CashFlow!$B37,0,COLUMN(J$4)-COLUMN($C$4),1,1)+OFFSET(CashFlow!$B41,0,COLUMN(J$4)-COLUMN($C$4),1,1)</f>
        <v>0</v>
      </c>
      <c r="K28" s="98">
        <f ca="1">OFFSET(K$4,ROW($B28)-ROW($B$4),-1,1,1)+OFFSET(CashFlow!$B37,0,COLUMN(K$4)-COLUMN($C$4),1,1)+OFFSET(CashFlow!$B41,0,COLUMN(K$4)-COLUMN($C$4),1,1)</f>
        <v>0</v>
      </c>
      <c r="L28" s="98">
        <f ca="1">OFFSET(L$4,ROW($B28)-ROW($B$4),-1,1,1)+OFFSET(CashFlow!$B37,0,COLUMN(L$4)-COLUMN($C$4),1,1)+OFFSET(CashFlow!$B41,0,COLUMN(L$4)-COLUMN($C$4),1,1)</f>
        <v>0</v>
      </c>
      <c r="M28" s="98">
        <f ca="1">OFFSET(M$4,ROW($B28)-ROW($B$4),-1,1,1)+OFFSET(CashFlow!$B37,0,COLUMN(M$4)-COLUMN($C$4),1,1)+OFFSET(CashFlow!$B41,0,COLUMN(M$4)-COLUMN($C$4),1,1)</f>
        <v>0</v>
      </c>
      <c r="N28" s="98">
        <f ca="1">OFFSET(N$4,ROW($B28)-ROW($B$4),-1,1,1)+OFFSET(CashFlow!$B37,0,COLUMN(N$4)-COLUMN($C$4),1,1)+OFFSET(CashFlow!$B41,0,COLUMN(N$4)-COLUMN($C$4),1,1)</f>
        <v>0</v>
      </c>
      <c r="O28" s="98">
        <f ca="1">OFFSET(O$4,ROW($B28)-ROW($B$4),-1,1,1)+OFFSET(CashFlow!$B37,0,COLUMN(O$4)-COLUMN($C$4),1,1)+OFFSET(CashFlow!$B41,0,COLUMN(O$4)-COLUMN($C$4),1,1)</f>
        <v>0</v>
      </c>
      <c r="P28" s="98">
        <f ca="1">OFFSET(P$4,ROW($B28)-ROW($B$4),-1,1,1)+OFFSET(CashFlow!$B37,0,COLUMN(P$4)-COLUMN($C$4),1,1)+OFFSET(CashFlow!$B41,0,COLUMN(P$4)-COLUMN($C$4),1,1)</f>
        <v>0</v>
      </c>
      <c r="Q28" s="98">
        <f ca="1">OFFSET(Q$4,ROW($B28)-ROW($B$4),-1,1,1)+OFFSET(CashFlow!$B37,0,COLUMN(Q$4)-COLUMN($C$4),1,1)+OFFSET(CashFlow!$B41,0,COLUMN(Q$4)-COLUMN($C$4),1,1)</f>
        <v>0</v>
      </c>
      <c r="R28" s="98">
        <f ca="1">OFFSET(R$4,ROW($B28)-ROW($B$4),-1,1,1)+OFFSET(CashFlow!$B37,0,COLUMN(R$4)-COLUMN($C$4),1,1)+OFFSET(CashFlow!$B41,0,COLUMN(R$4)-COLUMN($C$4),1,1)</f>
        <v>0</v>
      </c>
      <c r="S28" s="98">
        <f ca="1">OFFSET(S$4,ROW($B28)-ROW($B$4),-1,1,1)+OFFSET(CashFlow!$B37,0,COLUMN(S$4)-COLUMN($C$4),1,1)+OFFSET(CashFlow!$B41,0,COLUMN(S$4)-COLUMN($C$4),1,1)</f>
        <v>0</v>
      </c>
      <c r="T28" s="98">
        <f ca="1">OFFSET(T$4,ROW($B28)-ROW($B$4),-1,1,1)+OFFSET(CashFlow!$B37,0,COLUMN(T$4)-COLUMN($C$4),1,1)+OFFSET(CashFlow!$B41,0,COLUMN(T$4)-COLUMN($C$4),1,1)</f>
        <v>0</v>
      </c>
      <c r="U28" s="98">
        <f ca="1">OFFSET(U$4,ROW($B28)-ROW($B$4),-1,1,1)+OFFSET(CashFlow!$B37,0,COLUMN(U$4)-COLUMN($C$4),1,1)+OFFSET(CashFlow!$B41,0,COLUMN(U$4)-COLUMN($C$4),1,1)</f>
        <v>0</v>
      </c>
      <c r="V28" s="98">
        <f ca="1">OFFSET(V$4,ROW($B28)-ROW($B$4),-1,1,1)+OFFSET(CashFlow!$B37,0,COLUMN(V$4)-COLUMN($C$4),1,1)+OFFSET(CashFlow!$B41,0,COLUMN(V$4)-COLUMN($C$4),1,1)</f>
        <v>0</v>
      </c>
      <c r="W28" s="98">
        <f ca="1">OFFSET(W$4,ROW($B28)-ROW($B$4),-1,1,1)+OFFSET(CashFlow!$B37,0,COLUMN(W$4)-COLUMN($C$4),1,1)+OFFSET(CashFlow!$B41,0,COLUMN(W$4)-COLUMN($C$4),1,1)</f>
        <v>0</v>
      </c>
      <c r="X28" s="98">
        <f ca="1">OFFSET(X$4,ROW($B28)-ROW($B$4),-1,1,1)+OFFSET(CashFlow!$B37,0,COLUMN(X$4)-COLUMN($C$4),1,1)+OFFSET(CashFlow!$B41,0,COLUMN(X$4)-COLUMN($C$4),1,1)</f>
        <v>0</v>
      </c>
      <c r="Y28" s="98">
        <f ca="1">OFFSET(Y$4,ROW($B28)-ROW($B$4),-1,1,1)+OFFSET(CashFlow!$B37,0,COLUMN(Y$4)-COLUMN($C$4),1,1)+OFFSET(CashFlow!$B41,0,COLUMN(Y$4)-COLUMN($C$4),1,1)</f>
        <v>0</v>
      </c>
      <c r="Z28" s="98">
        <f ca="1">OFFSET(Z$4,ROW($B28)-ROW($B$4),-1,1,1)+OFFSET(CashFlow!$B37,0,COLUMN(Z$4)-COLUMN($C$4),1,1)+OFFSET(CashFlow!$B41,0,COLUMN(Z$4)-COLUMN($C$4),1,1)</f>
        <v>0</v>
      </c>
      <c r="AA28" s="98">
        <f ca="1">OFFSET(AA$4,ROW($B28)-ROW($B$4),-1,1,1)+OFFSET(CashFlow!$B37,0,COLUMN(AA$4)-COLUMN($C$4),1,1)+OFFSET(CashFlow!$B41,0,COLUMN(AA$4)-COLUMN($C$4),1,1)</f>
        <v>0</v>
      </c>
      <c r="AB28" s="98">
        <f ca="1">OFFSET(AB$4,ROW($B28)-ROW($B$4),-1,1,1)+OFFSET(CashFlow!$B37,0,COLUMN(AB$4)-COLUMN($C$4),1,1)+OFFSET(CashFlow!$B41,0,COLUMN(AB$4)-COLUMN($C$4),1,1)</f>
        <v>0</v>
      </c>
      <c r="AC28" s="98">
        <f ca="1">OFFSET(AC$4,ROW($B28)-ROW($B$4),-1,1,1)+OFFSET(CashFlow!$B37,0,COLUMN(AC$4)-COLUMN($C$4),1,1)+OFFSET(CashFlow!$B41,0,COLUMN(AC$4)-COLUMN($C$4),1,1)</f>
        <v>0</v>
      </c>
      <c r="AD28" s="98">
        <f ca="1">OFFSET(AD$4,ROW($B28)-ROW($B$4),-1,1,1)+OFFSET(CashFlow!$B37,0,COLUMN(AD$4)-COLUMN($C$4),1,1)+OFFSET(CashFlow!$B41,0,COLUMN(AD$4)-COLUMN($C$4),1,1)</f>
        <v>0</v>
      </c>
      <c r="AE28" s="98">
        <f ca="1">OFFSET(AE$4,ROW($B28)-ROW($B$4),-1,1,1)+OFFSET(CashFlow!$B37,0,COLUMN(AE$4)-COLUMN($C$4),1,1)+OFFSET(CashFlow!$B41,0,COLUMN(AE$4)-COLUMN($C$4),1,1)</f>
        <v>0</v>
      </c>
      <c r="AF28" s="98">
        <f ca="1">OFFSET(AF$4,ROW($B28)-ROW($B$4),-1,1,1)+OFFSET(CashFlow!$B37,0,COLUMN(AF$4)-COLUMN($C$4),1,1)+OFFSET(CashFlow!$B41,0,COLUMN(AF$4)-COLUMN($C$4),1,1)</f>
        <v>0</v>
      </c>
      <c r="AG28" s="98">
        <f ca="1">OFFSET(AG$4,ROW($B28)-ROW($B$4),-1,1,1)+OFFSET(CashFlow!$B37,0,COLUMN(AG$4)-COLUMN($C$4),1,1)+OFFSET(CashFlow!$B41,0,COLUMN(AG$4)-COLUMN($C$4),1,1)</f>
        <v>0</v>
      </c>
      <c r="AH28" s="98">
        <f ca="1">OFFSET(AH$4,ROW($B28)-ROW($B$4),-1,1,1)+OFFSET(CashFlow!$B37,0,COLUMN(AH$4)-COLUMN($C$4),1,1)+OFFSET(CashFlow!$B41,0,COLUMN(AH$4)-COLUMN($C$4),1,1)</f>
        <v>0</v>
      </c>
      <c r="AI28" s="98">
        <f ca="1">OFFSET(AI$4,ROW($B28)-ROW($B$4),-1,1,1)+OFFSET(CashFlow!$B37,0,COLUMN(AI$4)-COLUMN($C$4),1,1)+OFFSET(CashFlow!$B41,0,COLUMN(AI$4)-COLUMN($C$4),1,1)</f>
        <v>0</v>
      </c>
      <c r="AJ28" s="98">
        <f ca="1">OFFSET(AJ$4,ROW($B28)-ROW($B$4),-1,1,1)+OFFSET(CashFlow!$B37,0,COLUMN(AJ$4)-COLUMN($C$4),1,1)+OFFSET(CashFlow!$B41,0,COLUMN(AJ$4)-COLUMN($C$4),1,1)</f>
        <v>0</v>
      </c>
      <c r="AK28" s="98">
        <f ca="1">OFFSET(AK$4,ROW($B28)-ROW($B$4),-1,1,1)+OFFSET(CashFlow!$B37,0,COLUMN(AK$4)-COLUMN($C$4),1,1)+OFFSET(CashFlow!$B41,0,COLUMN(AK$4)-COLUMN($C$4),1,1)</f>
        <v>0</v>
      </c>
      <c r="AL28" s="98">
        <f ca="1">OFFSET(AL$4,ROW($B28)-ROW($B$4),-1,1,1)+OFFSET(CashFlow!$B37,0,COLUMN(AL$4)-COLUMN($C$4),1,1)+OFFSET(CashFlow!$B41,0,COLUMN(AL$4)-COLUMN($C$4),1,1)</f>
        <v>0</v>
      </c>
      <c r="AM28" s="98">
        <f ca="1">OFFSET(AM$4,ROW($B28)-ROW($B$4),-1,1,1)+OFFSET(CashFlow!$B37,0,COLUMN(AM$4)-COLUMN($C$4),1,1)+OFFSET(CashFlow!$B41,0,COLUMN(AM$4)-COLUMN($C$4),1,1)</f>
        <v>0</v>
      </c>
      <c r="AN28" s="98">
        <f ca="1">OFFSET(AN$4,ROW($B28)-ROW($B$4),-1,1,1)+OFFSET(CashFlow!$B37,0,COLUMN(AN$4)-COLUMN($C$4),1,1)+OFFSET(CashFlow!$B41,0,COLUMN(AN$4)-COLUMN($C$4),1,1)</f>
        <v>0</v>
      </c>
      <c r="AO28" s="98">
        <f ca="1">OFFSET(AO$4,ROW($B28)-ROW($B$4),-1,1,1)+OFFSET(CashFlow!$B37,0,COLUMN(AO$4)-COLUMN($C$4),1,1)+OFFSET(CashFlow!$B41,0,COLUMN(AO$4)-COLUMN($C$4),1,1)</f>
        <v>0</v>
      </c>
      <c r="AP28" s="98">
        <f ca="1">OFFSET(AP$4,ROW($B28)-ROW($B$4),-1,1,1)+OFFSET(CashFlow!$B37,0,COLUMN(AP$4)-COLUMN($C$4),1,1)+OFFSET(CashFlow!$B41,0,COLUMN(AP$4)-COLUMN($C$4),1,1)</f>
        <v>0</v>
      </c>
      <c r="AQ28" s="98">
        <f ca="1">OFFSET(AQ$4,ROW($B28)-ROW($B$4),-1,1,1)+OFFSET(CashFlow!$B37,0,COLUMN(AQ$4)-COLUMN($C$4),1,1)+OFFSET(CashFlow!$B41,0,COLUMN(AQ$4)-COLUMN($C$4),1,1)</f>
        <v>0</v>
      </c>
      <c r="AR28" s="98">
        <f ca="1">OFFSET(AR$4,ROW($B28)-ROW($B$4),-1,1,1)+OFFSET(CashFlow!$B37,0,COLUMN(AR$4)-COLUMN($C$4),1,1)+OFFSET(CashFlow!$B41,0,COLUMN(AR$4)-COLUMN($C$4),1,1)</f>
        <v>0</v>
      </c>
      <c r="AS28" s="98">
        <f ca="1">OFFSET(AS$4,ROW($B28)-ROW($B$4),-1,1,1)+OFFSET(CashFlow!$B37,0,COLUMN(AS$4)-COLUMN($C$4),1,1)+OFFSET(CashFlow!$B41,0,COLUMN(AS$4)-COLUMN($C$4),1,1)</f>
        <v>0</v>
      </c>
      <c r="AT28" s="98">
        <f ca="1">OFFSET(AT$4,ROW($B28)-ROW($B$4),-1,1,1)+OFFSET(CashFlow!$B37,0,COLUMN(AT$4)-COLUMN($C$4),1,1)+OFFSET(CashFlow!$B41,0,COLUMN(AT$4)-COLUMN($C$4),1,1)</f>
        <v>0</v>
      </c>
      <c r="AU28" s="98">
        <f ca="1">OFFSET(AU$4,ROW($B28)-ROW($B$4),-1,1,1)+OFFSET(CashFlow!$B37,0,COLUMN(AU$4)-COLUMN($C$4),1,1)+OFFSET(CashFlow!$B41,0,COLUMN(AU$4)-COLUMN($C$4),1,1)</f>
        <v>0</v>
      </c>
      <c r="AV28" s="98">
        <f ca="1">OFFSET(AV$4,ROW($B28)-ROW($B$4),-1,1,1)+OFFSET(CashFlow!$B37,0,COLUMN(AV$4)-COLUMN($C$4),1,1)+OFFSET(CashFlow!$B41,0,COLUMN(AV$4)-COLUMN($C$4),1,1)</f>
        <v>240000</v>
      </c>
      <c r="AW28" s="98">
        <f ca="1">OFFSET(AW$4,ROW($B28)-ROW($B$4),-1,1,1)+OFFSET(CashFlow!$B37,0,COLUMN(AW$4)-COLUMN($C$4),1,1)+OFFSET(CashFlow!$B41,0,COLUMN(AW$4)-COLUMN($C$4),1,1)</f>
        <v>240000</v>
      </c>
      <c r="AX28" s="98">
        <f ca="1">OFFSET(AX$4,ROW($B28)-ROW($B$4),-1,1,1)+OFFSET(CashFlow!$B37,0,COLUMN(AX$4)-COLUMN($C$4),1,1)+OFFSET(CashFlow!$B41,0,COLUMN(AX$4)-COLUMN($C$4),1,1)</f>
        <v>240000</v>
      </c>
      <c r="AY28" s="98">
        <f ca="1">OFFSET(AY$4,ROW($B28)-ROW($B$4),-1,1,1)+OFFSET(CashFlow!$B37,0,COLUMN(AY$4)-COLUMN($C$4),1,1)+OFFSET(CashFlow!$B41,0,COLUMN(AY$4)-COLUMN($C$4),1,1)</f>
        <v>240000</v>
      </c>
      <c r="AZ28" s="98">
        <f ca="1">OFFSET(AZ$4,ROW($B28)-ROW($B$4),-1,1,1)+OFFSET(CashFlow!$B37,0,COLUMN(AZ$4)-COLUMN($C$4),1,1)+OFFSET(CashFlow!$B41,0,COLUMN(AZ$4)-COLUMN($C$4),1,1)</f>
        <v>237100.49482590021</v>
      </c>
      <c r="BA28" s="98">
        <f ca="1">OFFSET(BA$4,ROW($B28)-ROW($B$4),-1,1,1)+OFFSET(CashFlow!$B37,0,COLUMN(BA$4)-COLUMN($C$4),1,1)+OFFSET(CashFlow!$B41,0,COLUMN(BA$4)-COLUMN($C$4),1,1)</f>
        <v>237100.49482590021</v>
      </c>
      <c r="BB28" s="98">
        <f ca="1">OFFSET(BB$4,ROW($B28)-ROW($B$4),-1,1,1)+OFFSET(CashFlow!$B37,0,COLUMN(BB$4)-COLUMN($C$4),1,1)+OFFSET(CashFlow!$B41,0,COLUMN(BB$4)-COLUMN($C$4),1,1)</f>
        <v>237100.49482590021</v>
      </c>
      <c r="BC28" s="98">
        <f ca="1">OFFSET(BC$4,ROW($B28)-ROW($B$4),-1,1,1)+OFFSET(CashFlow!$B37,0,COLUMN(BC$4)-COLUMN($C$4),1,1)+OFFSET(CashFlow!$B41,0,COLUMN(BC$4)-COLUMN($C$4),1,1)</f>
        <v>237100.49482590021</v>
      </c>
      <c r="BD28" s="99">
        <f ca="1">OFFSET($B28,0,Assumptions!$C$8+1,1,1)</f>
        <v>0</v>
      </c>
      <c r="BE28" s="99">
        <f ca="1">OFFSET($B28,0,SUM(Assumptions!$C$8:$C$9)+1,1,1)</f>
        <v>0</v>
      </c>
      <c r="BF28" s="99">
        <f ca="1">OFFSET($B28,0,SUM(Assumptions!$C$8:$C$10)+1,1,1)</f>
        <v>0</v>
      </c>
      <c r="BG28" s="99">
        <f ca="1">OFFSET($B28,0,SUM(Assumptions!$C$8:$C$11)+1,1,1)</f>
        <v>237100.49482590021</v>
      </c>
      <c r="BH28" s="99">
        <f t="shared" ca="1" si="8"/>
        <v>237100.49482590021</v>
      </c>
    </row>
    <row r="29" spans="1:60" s="100" customFormat="1" ht="16.149999999999999" customHeight="1" x14ac:dyDescent="0.3">
      <c r="A29" s="164" t="s">
        <v>162</v>
      </c>
      <c r="B29" s="97" t="s">
        <v>163</v>
      </c>
      <c r="C29" s="51">
        <f ca="1">-SUMIF(Assumptions!$A$81:$C$104,$A29,Assumptions!$C$81:$C$104)</f>
        <v>425000</v>
      </c>
      <c r="D29" s="98">
        <f ca="1">OFFSET(D$4,ROW($B29)-ROW($B$4),-1,1,1)+OFFSET(CashFlow!$B38,0,COLUMN(D$4)-COLUMN($C$4),1,1)+OFFSET(CashFlow!$B42,0,COLUMN(D$4)-COLUMN($C$4),1,1)</f>
        <v>425000</v>
      </c>
      <c r="E29" s="98">
        <f ca="1">OFFSET(E$4,ROW($B29)-ROW($B$4),-1,1,1)+OFFSET(CashFlow!$B38,0,COLUMN(E$4)-COLUMN($C$4),1,1)+OFFSET(CashFlow!$B42,0,COLUMN(E$4)-COLUMN($C$4),1,1)</f>
        <v>417985.08788167726</v>
      </c>
      <c r="F29" s="98">
        <f ca="1">OFFSET(F$4,ROW($B29)-ROW($B$4),-1,1,1)+OFFSET(CashFlow!$B38,0,COLUMN(F$4)-COLUMN($C$4),1,1)+OFFSET(CashFlow!$B42,0,COLUMN(F$4)-COLUMN($C$4),1,1)</f>
        <v>417985.08788167726</v>
      </c>
      <c r="G29" s="98">
        <f ca="1">OFFSET(G$4,ROW($B29)-ROW($B$4),-1,1,1)+OFFSET(CashFlow!$B38,0,COLUMN(G$4)-COLUMN($C$4),1,1)+OFFSET(CashFlow!$B42,0,COLUMN(G$4)-COLUMN($C$4),1,1)</f>
        <v>417985.08788167726</v>
      </c>
      <c r="H29" s="98">
        <f ca="1">OFFSET(H$4,ROW($B29)-ROW($B$4),-1,1,1)+OFFSET(CashFlow!$B38,0,COLUMN(H$4)-COLUMN($C$4),1,1)+OFFSET(CashFlow!$B42,0,COLUMN(H$4)-COLUMN($C$4),1,1)</f>
        <v>417985.08788167726</v>
      </c>
      <c r="I29" s="98">
        <f ca="1">OFFSET(I$4,ROW($B29)-ROW($B$4),-1,1,1)+OFFSET(CashFlow!$B38,0,COLUMN(I$4)-COLUMN($C$4),1,1)+OFFSET(CashFlow!$B42,0,COLUMN(I$4)-COLUMN($C$4),1,1)</f>
        <v>410902.94952222059</v>
      </c>
      <c r="J29" s="98">
        <f ca="1">OFFSET(J$4,ROW($B29)-ROW($B$4),-1,1,1)+OFFSET(CashFlow!$B38,0,COLUMN(J$4)-COLUMN($C$4),1,1)+OFFSET(CashFlow!$B42,0,COLUMN(J$4)-COLUMN($C$4),1,1)</f>
        <v>410902.94952222059</v>
      </c>
      <c r="K29" s="98">
        <f ca="1">OFFSET(K$4,ROW($B29)-ROW($B$4),-1,1,1)+OFFSET(CashFlow!$B38,0,COLUMN(K$4)-COLUMN($C$4),1,1)+OFFSET(CashFlow!$B42,0,COLUMN(K$4)-COLUMN($C$4),1,1)</f>
        <v>410902.94952222059</v>
      </c>
      <c r="L29" s="98">
        <f ca="1">OFFSET(L$4,ROW($B29)-ROW($B$4),-1,1,1)+OFFSET(CashFlow!$B38,0,COLUMN(L$4)-COLUMN($C$4),1,1)+OFFSET(CashFlow!$B42,0,COLUMN(L$4)-COLUMN($C$4),1,1)</f>
        <v>410902.94952222059</v>
      </c>
      <c r="M29" s="98">
        <f ca="1">OFFSET(M$4,ROW($B29)-ROW($B$4),-1,1,1)+OFFSET(CashFlow!$B38,0,COLUMN(M$4)-COLUMN($C$4),1,1)+OFFSET(CashFlow!$B42,0,COLUMN(M$4)-COLUMN($C$4),1,1)</f>
        <v>410902.94952222059</v>
      </c>
      <c r="N29" s="98">
        <f ca="1">OFFSET(N$4,ROW($B29)-ROW($B$4),-1,1,1)+OFFSET(CashFlow!$B38,0,COLUMN(N$4)-COLUMN($C$4),1,1)+OFFSET(CashFlow!$B42,0,COLUMN(N$4)-COLUMN($C$4),1,1)</f>
        <v>403752.94067015249</v>
      </c>
      <c r="O29" s="98">
        <f ca="1">OFFSET(O$4,ROW($B29)-ROW($B$4),-1,1,1)+OFFSET(CashFlow!$B38,0,COLUMN(O$4)-COLUMN($C$4),1,1)+OFFSET(CashFlow!$B42,0,COLUMN(O$4)-COLUMN($C$4),1,1)</f>
        <v>403752.94067015249</v>
      </c>
      <c r="P29" s="98">
        <f ca="1">OFFSET(P$4,ROW($B29)-ROW($B$4),-1,1,1)+OFFSET(CashFlow!$B38,0,COLUMN(P$4)-COLUMN($C$4),1,1)+OFFSET(CashFlow!$B42,0,COLUMN(P$4)-COLUMN($C$4),1,1)</f>
        <v>403752.94067015249</v>
      </c>
      <c r="Q29" s="98">
        <f ca="1">OFFSET(Q$4,ROW($B29)-ROW($B$4),-1,1,1)+OFFSET(CashFlow!$B38,0,COLUMN(Q$4)-COLUMN($C$4),1,1)+OFFSET(CashFlow!$B42,0,COLUMN(Q$4)-COLUMN($C$4),1,1)</f>
        <v>403752.94067015249</v>
      </c>
      <c r="R29" s="98">
        <f ca="1">OFFSET(R$4,ROW($B29)-ROW($B$4),-1,1,1)+OFFSET(CashFlow!$B38,0,COLUMN(R$4)-COLUMN($C$4),1,1)+OFFSET(CashFlow!$B42,0,COLUMN(R$4)-COLUMN($C$4),1,1)</f>
        <v>396534.4108999187</v>
      </c>
      <c r="S29" s="98">
        <f ca="1">OFFSET(S$4,ROW($B29)-ROW($B$4),-1,1,1)+OFFSET(CashFlow!$B38,0,COLUMN(S$4)-COLUMN($C$4),1,1)+OFFSET(CashFlow!$B42,0,COLUMN(S$4)-COLUMN($C$4),1,1)</f>
        <v>396534.4108999187</v>
      </c>
      <c r="T29" s="98">
        <f ca="1">OFFSET(T$4,ROW($B29)-ROW($B$4),-1,1,1)+OFFSET(CashFlow!$B38,0,COLUMN(T$4)-COLUMN($C$4),1,1)+OFFSET(CashFlow!$B42,0,COLUMN(T$4)-COLUMN($C$4),1,1)</f>
        <v>396534.4108999187</v>
      </c>
      <c r="U29" s="98">
        <f ca="1">OFFSET(U$4,ROW($B29)-ROW($B$4),-1,1,1)+OFFSET(CashFlow!$B38,0,COLUMN(U$4)-COLUMN($C$4),1,1)+OFFSET(CashFlow!$B42,0,COLUMN(U$4)-COLUMN($C$4),1,1)</f>
        <v>396534.4108999187</v>
      </c>
      <c r="V29" s="98">
        <f ca="1">OFFSET(V$4,ROW($B29)-ROW($B$4),-1,1,1)+OFFSET(CashFlow!$B38,0,COLUMN(V$4)-COLUMN($C$4),1,1)+OFFSET(CashFlow!$B42,0,COLUMN(V$4)-COLUMN($C$4),1,1)</f>
        <v>389246.7035527202</v>
      </c>
      <c r="W29" s="98">
        <f ca="1">OFFSET(W$4,ROW($B29)-ROW($B$4),-1,1,1)+OFFSET(CashFlow!$B38,0,COLUMN(W$4)-COLUMN($C$4),1,1)+OFFSET(CashFlow!$B42,0,COLUMN(W$4)-COLUMN($C$4),1,1)</f>
        <v>389246.7035527202</v>
      </c>
      <c r="X29" s="98">
        <f ca="1">OFFSET(X$4,ROW($B29)-ROW($B$4),-1,1,1)+OFFSET(CashFlow!$B38,0,COLUMN(X$4)-COLUMN($C$4),1,1)+OFFSET(CashFlow!$B42,0,COLUMN(X$4)-COLUMN($C$4),1,1)</f>
        <v>389246.7035527202</v>
      </c>
      <c r="Y29" s="98">
        <f ca="1">OFFSET(Y$4,ROW($B29)-ROW($B$4),-1,1,1)+OFFSET(CashFlow!$B38,0,COLUMN(Y$4)-COLUMN($C$4),1,1)+OFFSET(CashFlow!$B42,0,COLUMN(Y$4)-COLUMN($C$4),1,1)</f>
        <v>389246.7035527202</v>
      </c>
      <c r="Z29" s="98">
        <f ca="1">OFFSET(Z$4,ROW($B29)-ROW($B$4),-1,1,1)+OFFSET(CashFlow!$B38,0,COLUMN(Z$4)-COLUMN($C$4),1,1)+OFFSET(CashFlow!$B42,0,COLUMN(Z$4)-COLUMN($C$4),1,1)</f>
        <v>389246.7035527202</v>
      </c>
      <c r="AA29" s="98">
        <f ca="1">OFFSET(AA$4,ROW($B29)-ROW($B$4),-1,1,1)+OFFSET(CashFlow!$B38,0,COLUMN(AA$4)-COLUMN($C$4),1,1)+OFFSET(CashFlow!$B42,0,COLUMN(AA$4)-COLUMN($C$4),1,1)</f>
        <v>381889.15567677771</v>
      </c>
      <c r="AB29" s="98">
        <f ca="1">OFFSET(AB$4,ROW($B29)-ROW($B$4),-1,1,1)+OFFSET(CashFlow!$B38,0,COLUMN(AB$4)-COLUMN($C$4),1,1)+OFFSET(CashFlow!$B42,0,COLUMN(AB$4)-COLUMN($C$4),1,1)</f>
        <v>381889.15567677771</v>
      </c>
      <c r="AC29" s="98">
        <f ca="1">OFFSET(AC$4,ROW($B29)-ROW($B$4),-1,1,1)+OFFSET(CashFlow!$B38,0,COLUMN(AC$4)-COLUMN($C$4),1,1)+OFFSET(CashFlow!$B42,0,COLUMN(AC$4)-COLUMN($C$4),1,1)</f>
        <v>381889.15567677771</v>
      </c>
      <c r="AD29" s="98">
        <f ca="1">OFFSET(AD$4,ROW($B29)-ROW($B$4),-1,1,1)+OFFSET(CashFlow!$B38,0,COLUMN(AD$4)-COLUMN($C$4),1,1)+OFFSET(CashFlow!$B42,0,COLUMN(AD$4)-COLUMN($C$4),1,1)</f>
        <v>381889.15567677771</v>
      </c>
      <c r="AE29" s="98">
        <f ca="1">OFFSET(AE$4,ROW($B29)-ROW($B$4),-1,1,1)+OFFSET(CashFlow!$B38,0,COLUMN(AE$4)-COLUMN($C$4),1,1)+OFFSET(CashFlow!$B42,0,COLUMN(AE$4)-COLUMN($C$4),1,1)</f>
        <v>374461.09796702408</v>
      </c>
      <c r="AF29" s="98">
        <f ca="1">OFFSET(AF$4,ROW($B29)-ROW($B$4),-1,1,1)+OFFSET(CashFlow!$B38,0,COLUMN(AF$4)-COLUMN($C$4),1,1)+OFFSET(CashFlow!$B42,0,COLUMN(AF$4)-COLUMN($C$4),1,1)</f>
        <v>374461.09796702408</v>
      </c>
      <c r="AG29" s="98">
        <f ca="1">OFFSET(AG$4,ROW($B29)-ROW($B$4),-1,1,1)+OFFSET(CashFlow!$B38,0,COLUMN(AG$4)-COLUMN($C$4),1,1)+OFFSET(CashFlow!$B42,0,COLUMN(AG$4)-COLUMN($C$4),1,1)</f>
        <v>374461.09796702408</v>
      </c>
      <c r="AH29" s="98">
        <f ca="1">OFFSET(AH$4,ROW($B29)-ROW($B$4),-1,1,1)+OFFSET(CashFlow!$B38,0,COLUMN(AH$4)-COLUMN($C$4),1,1)+OFFSET(CashFlow!$B42,0,COLUMN(AH$4)-COLUMN($C$4),1,1)</f>
        <v>374461.09796702408</v>
      </c>
      <c r="AI29" s="98">
        <f ca="1">OFFSET(AI$4,ROW($B29)-ROW($B$4),-1,1,1)+OFFSET(CashFlow!$B38,0,COLUMN(AI$4)-COLUMN($C$4),1,1)+OFFSET(CashFlow!$B42,0,COLUMN(AI$4)-COLUMN($C$4),1,1)</f>
        <v>366961.85470421868</v>
      </c>
      <c r="AJ29" s="98">
        <f ca="1">OFFSET(AJ$4,ROW($B29)-ROW($B$4),-1,1,1)+OFFSET(CashFlow!$B38,0,COLUMN(AJ$4)-COLUMN($C$4),1,1)+OFFSET(CashFlow!$B42,0,COLUMN(AJ$4)-COLUMN($C$4),1,1)</f>
        <v>366961.85470421868</v>
      </c>
      <c r="AK29" s="98">
        <f ca="1">OFFSET(AK$4,ROW($B29)-ROW($B$4),-1,1,1)+OFFSET(CashFlow!$B38,0,COLUMN(AK$4)-COLUMN($C$4),1,1)+OFFSET(CashFlow!$B42,0,COLUMN(AK$4)-COLUMN($C$4),1,1)</f>
        <v>366961.85470421868</v>
      </c>
      <c r="AL29" s="98">
        <f ca="1">OFFSET(AL$4,ROW($B29)-ROW($B$4),-1,1,1)+OFFSET(CashFlow!$B38,0,COLUMN(AL$4)-COLUMN($C$4),1,1)+OFFSET(CashFlow!$B42,0,COLUMN(AL$4)-COLUMN($C$4),1,1)</f>
        <v>366961.85470421868</v>
      </c>
      <c r="AM29" s="98">
        <f ca="1">OFFSET(AM$4,ROW($B29)-ROW($B$4),-1,1,1)+OFFSET(CashFlow!$B38,0,COLUMN(AM$4)-COLUMN($C$4),1,1)+OFFSET(CashFlow!$B42,0,COLUMN(AM$4)-COLUMN($C$4),1,1)</f>
        <v>366961.85470421868</v>
      </c>
      <c r="AN29" s="98">
        <f ca="1">OFFSET(AN$4,ROW($B29)-ROW($B$4),-1,1,1)+OFFSET(CashFlow!$B38,0,COLUMN(AN$4)-COLUMN($C$4),1,1)+OFFSET(CashFlow!$B42,0,COLUMN(AN$4)-COLUMN($C$4),1,1)</f>
        <v>359390.74369347806</v>
      </c>
      <c r="AO29" s="98">
        <f ca="1">OFFSET(AO$4,ROW($B29)-ROW($B$4),-1,1,1)+OFFSET(CashFlow!$B38,0,COLUMN(AO$4)-COLUMN($C$4),1,1)+OFFSET(CashFlow!$B42,0,COLUMN(AO$4)-COLUMN($C$4),1,1)</f>
        <v>359390.74369347806</v>
      </c>
      <c r="AP29" s="98">
        <f ca="1">OFFSET(AP$4,ROW($B29)-ROW($B$4),-1,1,1)+OFFSET(CashFlow!$B38,0,COLUMN(AP$4)-COLUMN($C$4),1,1)+OFFSET(CashFlow!$B42,0,COLUMN(AP$4)-COLUMN($C$4),1,1)</f>
        <v>359390.74369347806</v>
      </c>
      <c r="AQ29" s="98">
        <f ca="1">OFFSET(AQ$4,ROW($B29)-ROW($B$4),-1,1,1)+OFFSET(CashFlow!$B38,0,COLUMN(AQ$4)-COLUMN($C$4),1,1)+OFFSET(CashFlow!$B42,0,COLUMN(AQ$4)-COLUMN($C$4),1,1)</f>
        <v>359390.74369347806</v>
      </c>
      <c r="AR29" s="98">
        <f ca="1">OFFSET(AR$4,ROW($B29)-ROW($B$4),-1,1,1)+OFFSET(CashFlow!$B38,0,COLUMN(AR$4)-COLUMN($C$4),1,1)+OFFSET(CashFlow!$B42,0,COLUMN(AR$4)-COLUMN($C$4),1,1)</f>
        <v>351747.07620221784</v>
      </c>
      <c r="AS29" s="98">
        <f ca="1">OFFSET(AS$4,ROW($B29)-ROW($B$4),-1,1,1)+OFFSET(CashFlow!$B38,0,COLUMN(AS$4)-COLUMN($C$4),1,1)+OFFSET(CashFlow!$B42,0,COLUMN(AS$4)-COLUMN($C$4),1,1)</f>
        <v>351747.07620221784</v>
      </c>
      <c r="AT29" s="98">
        <f ca="1">OFFSET(AT$4,ROW($B29)-ROW($B$4),-1,1,1)+OFFSET(CashFlow!$B38,0,COLUMN(AT$4)-COLUMN($C$4),1,1)+OFFSET(CashFlow!$B42,0,COLUMN(AT$4)-COLUMN($C$4),1,1)</f>
        <v>351747.07620221784</v>
      </c>
      <c r="AU29" s="98">
        <f ca="1">OFFSET(AU$4,ROW($B29)-ROW($B$4),-1,1,1)+OFFSET(CashFlow!$B38,0,COLUMN(AU$4)-COLUMN($C$4),1,1)+OFFSET(CashFlow!$B42,0,COLUMN(AU$4)-COLUMN($C$4),1,1)</f>
        <v>351747.07620221784</v>
      </c>
      <c r="AV29" s="98">
        <f ca="1">OFFSET(AV$4,ROW($B29)-ROW($B$4),-1,1,1)+OFFSET(CashFlow!$B38,0,COLUMN(AV$4)-COLUMN($C$4),1,1)+OFFSET(CashFlow!$B42,0,COLUMN(AV$4)-COLUMN($C$4),1,1)</f>
        <v>351747.07620221784</v>
      </c>
      <c r="AW29" s="98">
        <f ca="1">OFFSET(AW$4,ROW($B29)-ROW($B$4),-1,1,1)+OFFSET(CashFlow!$B38,0,COLUMN(AW$4)-COLUMN($C$4),1,1)+OFFSET(CashFlow!$B42,0,COLUMN(AW$4)-COLUMN($C$4),1,1)</f>
        <v>344030.15689749969</v>
      </c>
      <c r="AX29" s="98">
        <f ca="1">OFFSET(AX$4,ROW($B29)-ROW($B$4),-1,1,1)+OFFSET(CashFlow!$B38,0,COLUMN(AX$4)-COLUMN($C$4),1,1)+OFFSET(CashFlow!$B42,0,COLUMN(AX$4)-COLUMN($C$4),1,1)</f>
        <v>344030.15689749969</v>
      </c>
      <c r="AY29" s="98">
        <f ca="1">OFFSET(AY$4,ROW($B29)-ROW($B$4),-1,1,1)+OFFSET(CashFlow!$B38,0,COLUMN(AY$4)-COLUMN($C$4),1,1)+OFFSET(CashFlow!$B42,0,COLUMN(AY$4)-COLUMN($C$4),1,1)</f>
        <v>344030.15689749969</v>
      </c>
      <c r="AZ29" s="98">
        <f ca="1">OFFSET(AZ$4,ROW($B29)-ROW($B$4),-1,1,1)+OFFSET(CashFlow!$B38,0,COLUMN(AZ$4)-COLUMN($C$4),1,1)+OFFSET(CashFlow!$B42,0,COLUMN(AZ$4)-COLUMN($C$4),1,1)</f>
        <v>344030.15689749969</v>
      </c>
      <c r="BA29" s="98">
        <f ca="1">OFFSET(BA$4,ROW($B29)-ROW($B$4),-1,1,1)+OFFSET(CashFlow!$B38,0,COLUMN(BA$4)-COLUMN($C$4),1,1)+OFFSET(CashFlow!$B42,0,COLUMN(BA$4)-COLUMN($C$4),1,1)</f>
        <v>336239.28378277802</v>
      </c>
      <c r="BB29" s="98">
        <f ca="1">OFFSET(BB$4,ROW($B29)-ROW($B$4),-1,1,1)+OFFSET(CashFlow!$B38,0,COLUMN(BB$4)-COLUMN($C$4),1,1)+OFFSET(CashFlow!$B42,0,COLUMN(BB$4)-COLUMN($C$4),1,1)</f>
        <v>336239.28378277802</v>
      </c>
      <c r="BC29" s="98">
        <f ca="1">OFFSET(BC$4,ROW($B29)-ROW($B$4),-1,1,1)+OFFSET(CashFlow!$B38,0,COLUMN(BC$4)-COLUMN($C$4),1,1)+OFFSET(CashFlow!$B42,0,COLUMN(BC$4)-COLUMN($C$4),1,1)</f>
        <v>336239.28378277802</v>
      </c>
      <c r="BD29" s="99">
        <f ca="1">OFFSET($B29,0,Assumptions!$C$8+1,1,1)</f>
        <v>403752.94067015249</v>
      </c>
      <c r="BE29" s="99">
        <f ca="1">OFFSET($B29,0,SUM(Assumptions!$C$8:$C$9)+1,1,1)</f>
        <v>381889.15567677771</v>
      </c>
      <c r="BF29" s="99">
        <f ca="1">OFFSET($B29,0,SUM(Assumptions!$C$8:$C$10)+1,1,1)</f>
        <v>359390.74369347806</v>
      </c>
      <c r="BG29" s="99">
        <f ca="1">OFFSET($B29,0,SUM(Assumptions!$C$8:$C$11)+1,1,1)</f>
        <v>336239.28378277802</v>
      </c>
      <c r="BH29" s="99">
        <f t="shared" ca="1" si="8"/>
        <v>336239.28378277802</v>
      </c>
    </row>
    <row r="30" spans="1:60" s="100" customFormat="1" ht="16.149999999999999" customHeight="1" thickBot="1" x14ac:dyDescent="0.35">
      <c r="A30" s="164"/>
      <c r="B30" s="97"/>
      <c r="C30" s="101">
        <f ca="1">SUM(C26:C29)</f>
        <v>2125000</v>
      </c>
      <c r="D30" s="101">
        <f t="shared" ref="D30:BH30" ca="1" si="9">SUM(D26:D29)</f>
        <v>2119225.3197747869</v>
      </c>
      <c r="E30" s="101">
        <f t="shared" ca="1" si="9"/>
        <v>2112210.4076564638</v>
      </c>
      <c r="F30" s="101">
        <f t="shared" ca="1" si="9"/>
        <v>2112210.4076564638</v>
      </c>
      <c r="G30" s="101">
        <f t="shared" ca="1" si="9"/>
        <v>2112210.4076564638</v>
      </c>
      <c r="H30" s="101">
        <f t="shared" ca="1" si="9"/>
        <v>2108674.4642429175</v>
      </c>
      <c r="I30" s="101">
        <f t="shared" ca="1" si="9"/>
        <v>2095768.320264657</v>
      </c>
      <c r="J30" s="101">
        <f t="shared" ca="1" si="9"/>
        <v>2095768.320264657</v>
      </c>
      <c r="K30" s="101">
        <f t="shared" ca="1" si="9"/>
        <v>2095768.320264657</v>
      </c>
      <c r="L30" s="101">
        <f t="shared" ca="1" si="9"/>
        <v>2092205.1206206307</v>
      </c>
      <c r="M30" s="101">
        <f t="shared" ca="1" si="9"/>
        <v>2086331.3682871666</v>
      </c>
      <c r="N30" s="101">
        <f t="shared" ca="1" si="9"/>
        <v>2079181.3594350985</v>
      </c>
      <c r="O30" s="101">
        <f t="shared" ca="1" si="9"/>
        <v>2079181.3594350985</v>
      </c>
      <c r="P30" s="101">
        <f t="shared" ca="1" si="9"/>
        <v>2075590.6934604831</v>
      </c>
      <c r="Q30" s="101">
        <f t="shared" ca="1" si="9"/>
        <v>2069666.769492504</v>
      </c>
      <c r="R30" s="101">
        <f t="shared" ca="1" si="9"/>
        <v>2062448.2397222703</v>
      </c>
      <c r="S30" s="101">
        <f t="shared" ca="1" si="9"/>
        <v>2062448.2397222703</v>
      </c>
      <c r="T30" s="101">
        <f t="shared" ca="1" si="9"/>
        <v>2062448.2397222703</v>
      </c>
      <c r="U30" s="101">
        <f t="shared" ca="1" si="9"/>
        <v>2058829.8956974337</v>
      </c>
      <c r="V30" s="101">
        <f t="shared" ca="1" si="9"/>
        <v>2045567.6641983627</v>
      </c>
      <c r="W30" s="101">
        <f t="shared" ca="1" si="9"/>
        <v>2045567.6641983627</v>
      </c>
      <c r="X30" s="101">
        <f t="shared" ca="1" si="9"/>
        <v>2045567.6641983627</v>
      </c>
      <c r="Y30" s="101">
        <f t="shared" ca="1" si="9"/>
        <v>2041921.4287716681</v>
      </c>
      <c r="Z30" s="101">
        <f t="shared" ca="1" si="9"/>
        <v>2135895.8722259984</v>
      </c>
      <c r="AA30" s="101">
        <f t="shared" ca="1" si="9"/>
        <v>2128538.3243500562</v>
      </c>
      <c r="AB30" s="101">
        <f t="shared" ca="1" si="9"/>
        <v>2128538.3243500562</v>
      </c>
      <c r="AC30" s="101">
        <f t="shared" ca="1" si="9"/>
        <v>2128538.3243500562</v>
      </c>
      <c r="AD30" s="101">
        <f t="shared" ca="1" si="9"/>
        <v>2118079.7690014075</v>
      </c>
      <c r="AE30" s="101">
        <f t="shared" ca="1" si="9"/>
        <v>2110651.711291654</v>
      </c>
      <c r="AF30" s="101">
        <f t="shared" ca="1" si="9"/>
        <v>2110651.711291654</v>
      </c>
      <c r="AG30" s="101">
        <f t="shared" ca="1" si="9"/>
        <v>2110651.711291654</v>
      </c>
      <c r="AH30" s="101">
        <f t="shared" ca="1" si="9"/>
        <v>2106236.4064865075</v>
      </c>
      <c r="AI30" s="101">
        <f t="shared" ca="1" si="9"/>
        <v>2092608.23046202</v>
      </c>
      <c r="AJ30" s="101">
        <f t="shared" ca="1" si="9"/>
        <v>2092608.23046202</v>
      </c>
      <c r="AK30" s="101">
        <f t="shared" ca="1" si="9"/>
        <v>2092608.23046202</v>
      </c>
      <c r="AL30" s="101">
        <f t="shared" ca="1" si="9"/>
        <v>2088158.891015667</v>
      </c>
      <c r="AM30" s="101">
        <f t="shared" ca="1" si="9"/>
        <v>2081977.6069533122</v>
      </c>
      <c r="AN30" s="101">
        <f t="shared" ca="1" si="9"/>
        <v>2074406.4959425717</v>
      </c>
      <c r="AO30" s="101">
        <f t="shared" ca="1" si="9"/>
        <v>2074406.4959425717</v>
      </c>
      <c r="AP30" s="101">
        <f t="shared" ca="1" si="9"/>
        <v>2074406.4959425717</v>
      </c>
      <c r="AQ30" s="101">
        <f t="shared" ca="1" si="9"/>
        <v>2063688.7769742655</v>
      </c>
      <c r="AR30" s="101">
        <f t="shared" ca="1" si="9"/>
        <v>2056045.1094830055</v>
      </c>
      <c r="AS30" s="101">
        <f t="shared" ca="1" si="9"/>
        <v>2056045.1094830055</v>
      </c>
      <c r="AT30" s="101">
        <f t="shared" ca="1" si="9"/>
        <v>2056045.1094830055</v>
      </c>
      <c r="AU30" s="101">
        <f t="shared" ca="1" si="9"/>
        <v>2051526.9116808781</v>
      </c>
      <c r="AV30" s="101">
        <f t="shared" ca="1" si="9"/>
        <v>2285239.5796955437</v>
      </c>
      <c r="AW30" s="101">
        <f t="shared" ca="1" si="9"/>
        <v>2277522.6603908255</v>
      </c>
      <c r="AX30" s="101">
        <f t="shared" ca="1" si="9"/>
        <v>2277522.6603908255</v>
      </c>
      <c r="AY30" s="101">
        <f t="shared" ca="1" si="9"/>
        <v>2272969.6348139732</v>
      </c>
      <c r="AZ30" s="101">
        <f t="shared" ca="1" si="9"/>
        <v>2263729.0933604976</v>
      </c>
      <c r="BA30" s="101">
        <f t="shared" ca="1" si="9"/>
        <v>2255938.2202457758</v>
      </c>
      <c r="BB30" s="101">
        <f t="shared" ca="1" si="9"/>
        <v>2255938.2202457758</v>
      </c>
      <c r="BC30" s="101">
        <f t="shared" ca="1" si="9"/>
        <v>2255938.2202457758</v>
      </c>
      <c r="BD30" s="102">
        <f t="shared" ca="1" si="9"/>
        <v>2075590.6934604831</v>
      </c>
      <c r="BE30" s="102">
        <f t="shared" ca="1" si="9"/>
        <v>2128538.3243500562</v>
      </c>
      <c r="BF30" s="102">
        <f t="shared" ca="1" si="9"/>
        <v>2074406.4959425717</v>
      </c>
      <c r="BG30" s="102">
        <f t="shared" ca="1" si="9"/>
        <v>2255938.2202457758</v>
      </c>
      <c r="BH30" s="102">
        <f t="shared" ca="1" si="9"/>
        <v>2255938.2202457758</v>
      </c>
    </row>
    <row r="31" spans="1:60" s="10" customFormat="1" ht="16.149999999999999" customHeight="1" x14ac:dyDescent="0.25">
      <c r="A31" s="165"/>
      <c r="B31" s="2" t="s">
        <v>36</v>
      </c>
      <c r="C31" s="52"/>
      <c r="D31" s="52"/>
      <c r="E31" s="52"/>
      <c r="F31" s="52"/>
      <c r="G31" s="52"/>
      <c r="H31" s="52"/>
      <c r="I31" s="52"/>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row>
    <row r="32" spans="1:60" s="104" customFormat="1" ht="16.149999999999999" customHeight="1" x14ac:dyDescent="0.3">
      <c r="A32" s="182" t="s">
        <v>164</v>
      </c>
      <c r="B32" s="103" t="s">
        <v>165</v>
      </c>
      <c r="C32" s="51">
        <f ca="1">-SUMIF(Assumptions!$A$81:$C$104,$A32,Assumptions!$C$81:$C$104)</f>
        <v>0</v>
      </c>
      <c r="D32" s="51">
        <f ca="1">IF(OFFSET(CashFlow!$B$46,0,COLUMN(D$4)-COLUMN($C$4),1,1)&lt;0,-OFFSET(CashFlow!$B$46,0,COLUMN(D$4)-COLUMN($C$4),1,1),0)</f>
        <v>0</v>
      </c>
      <c r="E32" s="51">
        <f ca="1">IF(OFFSET(CashFlow!$B$46,0,COLUMN(E$4)-COLUMN($C$4),1,1)&lt;0,-OFFSET(CashFlow!$B$46,0,COLUMN(E$4)-COLUMN($C$4),1,1),0)</f>
        <v>0</v>
      </c>
      <c r="F32" s="51">
        <f ca="1">IF(OFFSET(CashFlow!$B$46,0,COLUMN(F$4)-COLUMN($C$4),1,1)&lt;0,-OFFSET(CashFlow!$B$46,0,COLUMN(F$4)-COLUMN($C$4),1,1),0)</f>
        <v>0</v>
      </c>
      <c r="G32" s="51">
        <f ca="1">IF(OFFSET(CashFlow!$B$46,0,COLUMN(G$4)-COLUMN($C$4),1,1)&lt;0,-OFFSET(CashFlow!$B$46,0,COLUMN(G$4)-COLUMN($C$4),1,1),0)</f>
        <v>0</v>
      </c>
      <c r="H32" s="51">
        <f ca="1">IF(OFFSET(CashFlow!$B$46,0,COLUMN(H$4)-COLUMN($C$4),1,1)&lt;0,-OFFSET(CashFlow!$B$46,0,COLUMN(H$4)-COLUMN($C$4),1,1),0)</f>
        <v>0</v>
      </c>
      <c r="I32" s="51">
        <f ca="1">IF(OFFSET(CashFlow!$B$46,0,COLUMN(I$4)-COLUMN($C$4),1,1)&lt;0,-OFFSET(CashFlow!$B$46,0,COLUMN(I$4)-COLUMN($C$4),1,1),0)</f>
        <v>0</v>
      </c>
      <c r="J32" s="51">
        <f ca="1">IF(OFFSET(CashFlow!$B$46,0,COLUMN(J$4)-COLUMN($C$4),1,1)&lt;0,-OFFSET(CashFlow!$B$46,0,COLUMN(J$4)-COLUMN($C$4),1,1),0)</f>
        <v>0</v>
      </c>
      <c r="K32" s="51">
        <f ca="1">IF(OFFSET(CashFlow!$B$46,0,COLUMN(K$4)-COLUMN($C$4),1,1)&lt;0,-OFFSET(CashFlow!$B$46,0,COLUMN(K$4)-COLUMN($C$4),1,1),0)</f>
        <v>0</v>
      </c>
      <c r="L32" s="51">
        <f ca="1">IF(OFFSET(CashFlow!$B$46,0,COLUMN(L$4)-COLUMN($C$4),1,1)&lt;0,-OFFSET(CashFlow!$B$46,0,COLUMN(L$4)-COLUMN($C$4),1,1),0)</f>
        <v>0</v>
      </c>
      <c r="M32" s="51">
        <f ca="1">IF(OFFSET(CashFlow!$B$46,0,COLUMN(M$4)-COLUMN($C$4),1,1)&lt;0,-OFFSET(CashFlow!$B$46,0,COLUMN(M$4)-COLUMN($C$4),1,1),0)</f>
        <v>0</v>
      </c>
      <c r="N32" s="51">
        <f ca="1">IF(OFFSET(CashFlow!$B$46,0,COLUMN(N$4)-COLUMN($C$4),1,1)&lt;0,-OFFSET(CashFlow!$B$46,0,COLUMN(N$4)-COLUMN($C$4),1,1),0)</f>
        <v>0</v>
      </c>
      <c r="O32" s="51">
        <f ca="1">IF(OFFSET(CashFlow!$B$46,0,COLUMN(O$4)-COLUMN($C$4),1,1)&lt;0,-OFFSET(CashFlow!$B$46,0,COLUMN(O$4)-COLUMN($C$4),1,1),0)</f>
        <v>0</v>
      </c>
      <c r="P32" s="51">
        <f ca="1">IF(OFFSET(CashFlow!$B$46,0,COLUMN(P$4)-COLUMN($C$4),1,1)&lt;0,-OFFSET(CashFlow!$B$46,0,COLUMN(P$4)-COLUMN($C$4),1,1),0)</f>
        <v>0</v>
      </c>
      <c r="Q32" s="51">
        <f ca="1">IF(OFFSET(CashFlow!$B$46,0,COLUMN(Q$4)-COLUMN($C$4),1,1)&lt;0,-OFFSET(CashFlow!$B$46,0,COLUMN(Q$4)-COLUMN($C$4),1,1),0)</f>
        <v>0</v>
      </c>
      <c r="R32" s="51">
        <f ca="1">IF(OFFSET(CashFlow!$B$46,0,COLUMN(R$4)-COLUMN($C$4),1,1)&lt;0,-OFFSET(CashFlow!$B$46,0,COLUMN(R$4)-COLUMN($C$4),1,1),0)</f>
        <v>0</v>
      </c>
      <c r="S32" s="51">
        <f ca="1">IF(OFFSET(CashFlow!$B$46,0,COLUMN(S$4)-COLUMN($C$4),1,1)&lt;0,-OFFSET(CashFlow!$B$46,0,COLUMN(S$4)-COLUMN($C$4),1,1),0)</f>
        <v>0</v>
      </c>
      <c r="T32" s="51">
        <f ca="1">IF(OFFSET(CashFlow!$B$46,0,COLUMN(T$4)-COLUMN($C$4),1,1)&lt;0,-OFFSET(CashFlow!$B$46,0,COLUMN(T$4)-COLUMN($C$4),1,1),0)</f>
        <v>0</v>
      </c>
      <c r="U32" s="51">
        <f ca="1">IF(OFFSET(CashFlow!$B$46,0,COLUMN(U$4)-COLUMN($C$4),1,1)&lt;0,-OFFSET(CashFlow!$B$46,0,COLUMN(U$4)-COLUMN($C$4),1,1),0)</f>
        <v>0</v>
      </c>
      <c r="V32" s="51">
        <f ca="1">IF(OFFSET(CashFlow!$B$46,0,COLUMN(V$4)-COLUMN($C$4),1,1)&lt;0,-OFFSET(CashFlow!$B$46,0,COLUMN(V$4)-COLUMN($C$4),1,1),0)</f>
        <v>0</v>
      </c>
      <c r="W32" s="51">
        <f ca="1">IF(OFFSET(CashFlow!$B$46,0,COLUMN(W$4)-COLUMN($C$4),1,1)&lt;0,-OFFSET(CashFlow!$B$46,0,COLUMN(W$4)-COLUMN($C$4),1,1),0)</f>
        <v>0</v>
      </c>
      <c r="X32" s="51">
        <f ca="1">IF(OFFSET(CashFlow!$B$46,0,COLUMN(X$4)-COLUMN($C$4),1,1)&lt;0,-OFFSET(CashFlow!$B$46,0,COLUMN(X$4)-COLUMN($C$4),1,1),0)</f>
        <v>0</v>
      </c>
      <c r="Y32" s="51">
        <f ca="1">IF(OFFSET(CashFlow!$B$46,0,COLUMN(Y$4)-COLUMN($C$4),1,1)&lt;0,-OFFSET(CashFlow!$B$46,0,COLUMN(Y$4)-COLUMN($C$4),1,1),0)</f>
        <v>0</v>
      </c>
      <c r="Z32" s="51">
        <f ca="1">IF(OFFSET(CashFlow!$B$46,0,COLUMN(Z$4)-COLUMN($C$4),1,1)&lt;0,-OFFSET(CashFlow!$B$46,0,COLUMN(Z$4)-COLUMN($C$4),1,1),0)</f>
        <v>0</v>
      </c>
      <c r="AA32" s="51">
        <f ca="1">IF(OFFSET(CashFlow!$B$46,0,COLUMN(AA$4)-COLUMN($C$4),1,1)&lt;0,-OFFSET(CashFlow!$B$46,0,COLUMN(AA$4)-COLUMN($C$4),1,1),0)</f>
        <v>0</v>
      </c>
      <c r="AB32" s="51">
        <f ca="1">IF(OFFSET(CashFlow!$B$46,0,COLUMN(AB$4)-COLUMN($C$4),1,1)&lt;0,-OFFSET(CashFlow!$B$46,0,COLUMN(AB$4)-COLUMN($C$4),1,1),0)</f>
        <v>0</v>
      </c>
      <c r="AC32" s="51">
        <f ca="1">IF(OFFSET(CashFlow!$B$46,0,COLUMN(AC$4)-COLUMN($C$4),1,1)&lt;0,-OFFSET(CashFlow!$B$46,0,COLUMN(AC$4)-COLUMN($C$4),1,1),0)</f>
        <v>0</v>
      </c>
      <c r="AD32" s="51">
        <f ca="1">IF(OFFSET(CashFlow!$B$46,0,COLUMN(AD$4)-COLUMN($C$4),1,1)&lt;0,-OFFSET(CashFlow!$B$46,0,COLUMN(AD$4)-COLUMN($C$4),1,1),0)</f>
        <v>0</v>
      </c>
      <c r="AE32" s="51">
        <f ca="1">IF(OFFSET(CashFlow!$B$46,0,COLUMN(AE$4)-COLUMN($C$4),1,1)&lt;0,-OFFSET(CashFlow!$B$46,0,COLUMN(AE$4)-COLUMN($C$4),1,1),0)</f>
        <v>0</v>
      </c>
      <c r="AF32" s="51">
        <f ca="1">IF(OFFSET(CashFlow!$B$46,0,COLUMN(AF$4)-COLUMN($C$4),1,1)&lt;0,-OFFSET(CashFlow!$B$46,0,COLUMN(AF$4)-COLUMN($C$4),1,1),0)</f>
        <v>0</v>
      </c>
      <c r="AG32" s="51">
        <f ca="1">IF(OFFSET(CashFlow!$B$46,0,COLUMN(AG$4)-COLUMN($C$4),1,1)&lt;0,-OFFSET(CashFlow!$B$46,0,COLUMN(AG$4)-COLUMN($C$4),1,1),0)</f>
        <v>0</v>
      </c>
      <c r="AH32" s="51">
        <f ca="1">IF(OFFSET(CashFlow!$B$46,0,COLUMN(AH$4)-COLUMN($C$4),1,1)&lt;0,-OFFSET(CashFlow!$B$46,0,COLUMN(AH$4)-COLUMN($C$4),1,1),0)</f>
        <v>0</v>
      </c>
      <c r="AI32" s="51">
        <f ca="1">IF(OFFSET(CashFlow!$B$46,0,COLUMN(AI$4)-COLUMN($C$4),1,1)&lt;0,-OFFSET(CashFlow!$B$46,0,COLUMN(AI$4)-COLUMN($C$4),1,1),0)</f>
        <v>0</v>
      </c>
      <c r="AJ32" s="51">
        <f ca="1">IF(OFFSET(CashFlow!$B$46,0,COLUMN(AJ$4)-COLUMN($C$4),1,1)&lt;0,-OFFSET(CashFlow!$B$46,0,COLUMN(AJ$4)-COLUMN($C$4),1,1),0)</f>
        <v>0</v>
      </c>
      <c r="AK32" s="51">
        <f ca="1">IF(OFFSET(CashFlow!$B$46,0,COLUMN(AK$4)-COLUMN($C$4),1,1)&lt;0,-OFFSET(CashFlow!$B$46,0,COLUMN(AK$4)-COLUMN($C$4),1,1),0)</f>
        <v>0</v>
      </c>
      <c r="AL32" s="51">
        <f ca="1">IF(OFFSET(CashFlow!$B$46,0,COLUMN(AL$4)-COLUMN($C$4),1,1)&lt;0,-OFFSET(CashFlow!$B$46,0,COLUMN(AL$4)-COLUMN($C$4),1,1),0)</f>
        <v>0</v>
      </c>
      <c r="AM32" s="51">
        <f ca="1">IF(OFFSET(CashFlow!$B$46,0,COLUMN(AM$4)-COLUMN($C$4),1,1)&lt;0,-OFFSET(CashFlow!$B$46,0,COLUMN(AM$4)-COLUMN($C$4),1,1),0)</f>
        <v>0</v>
      </c>
      <c r="AN32" s="51">
        <f ca="1">IF(OFFSET(CashFlow!$B$46,0,COLUMN(AN$4)-COLUMN($C$4),1,1)&lt;0,-OFFSET(CashFlow!$B$46,0,COLUMN(AN$4)-COLUMN($C$4),1,1),0)</f>
        <v>0</v>
      </c>
      <c r="AO32" s="51">
        <f ca="1">IF(OFFSET(CashFlow!$B$46,0,COLUMN(AO$4)-COLUMN($C$4),1,1)&lt;0,-OFFSET(CashFlow!$B$46,0,COLUMN(AO$4)-COLUMN($C$4),1,1),0)</f>
        <v>0</v>
      </c>
      <c r="AP32" s="51">
        <f ca="1">IF(OFFSET(CashFlow!$B$46,0,COLUMN(AP$4)-COLUMN($C$4),1,1)&lt;0,-OFFSET(CashFlow!$B$46,0,COLUMN(AP$4)-COLUMN($C$4),1,1),0)</f>
        <v>0</v>
      </c>
      <c r="AQ32" s="51">
        <f ca="1">IF(OFFSET(CashFlow!$B$46,0,COLUMN(AQ$4)-COLUMN($C$4),1,1)&lt;0,-OFFSET(CashFlow!$B$46,0,COLUMN(AQ$4)-COLUMN($C$4),1,1),0)</f>
        <v>0</v>
      </c>
      <c r="AR32" s="51">
        <f ca="1">IF(OFFSET(CashFlow!$B$46,0,COLUMN(AR$4)-COLUMN($C$4),1,1)&lt;0,-OFFSET(CashFlow!$B$46,0,COLUMN(AR$4)-COLUMN($C$4),1,1),0)</f>
        <v>0</v>
      </c>
      <c r="AS32" s="51">
        <f ca="1">IF(OFFSET(CashFlow!$B$46,0,COLUMN(AS$4)-COLUMN($C$4),1,1)&lt;0,-OFFSET(CashFlow!$B$46,0,COLUMN(AS$4)-COLUMN($C$4),1,1),0)</f>
        <v>0</v>
      </c>
      <c r="AT32" s="51">
        <f ca="1">IF(OFFSET(CashFlow!$B$46,0,COLUMN(AT$4)-COLUMN($C$4),1,1)&lt;0,-OFFSET(CashFlow!$B$46,0,COLUMN(AT$4)-COLUMN($C$4),1,1),0)</f>
        <v>0</v>
      </c>
      <c r="AU32" s="51">
        <f ca="1">IF(OFFSET(CashFlow!$B$46,0,COLUMN(AU$4)-COLUMN($C$4),1,1)&lt;0,-OFFSET(CashFlow!$B$46,0,COLUMN(AU$4)-COLUMN($C$4),1,1),0)</f>
        <v>0</v>
      </c>
      <c r="AV32" s="51">
        <f ca="1">IF(OFFSET(CashFlow!$B$46,0,COLUMN(AV$4)-COLUMN($C$4),1,1)&lt;0,-OFFSET(CashFlow!$B$46,0,COLUMN(AV$4)-COLUMN($C$4),1,1),0)</f>
        <v>0</v>
      </c>
      <c r="AW32" s="51">
        <f ca="1">IF(OFFSET(CashFlow!$B$46,0,COLUMN(AW$4)-COLUMN($C$4),1,1)&lt;0,-OFFSET(CashFlow!$B$46,0,COLUMN(AW$4)-COLUMN($C$4),1,1),0)</f>
        <v>0</v>
      </c>
      <c r="AX32" s="51">
        <f ca="1">IF(OFFSET(CashFlow!$B$46,0,COLUMN(AX$4)-COLUMN($C$4),1,1)&lt;0,-OFFSET(CashFlow!$B$46,0,COLUMN(AX$4)-COLUMN($C$4),1,1),0)</f>
        <v>0</v>
      </c>
      <c r="AY32" s="51">
        <f ca="1">IF(OFFSET(CashFlow!$B$46,0,COLUMN(AY$4)-COLUMN($C$4),1,1)&lt;0,-OFFSET(CashFlow!$B$46,0,COLUMN(AY$4)-COLUMN($C$4),1,1),0)</f>
        <v>0</v>
      </c>
      <c r="AZ32" s="51">
        <f ca="1">IF(OFFSET(CashFlow!$B$46,0,COLUMN(AZ$4)-COLUMN($C$4),1,1)&lt;0,-OFFSET(CashFlow!$B$46,0,COLUMN(AZ$4)-COLUMN($C$4),1,1),0)</f>
        <v>0</v>
      </c>
      <c r="BA32" s="51">
        <f ca="1">IF(OFFSET(CashFlow!$B$46,0,COLUMN(BA$4)-COLUMN($C$4),1,1)&lt;0,-OFFSET(CashFlow!$B$46,0,COLUMN(BA$4)-COLUMN($C$4),1,1),0)</f>
        <v>0</v>
      </c>
      <c r="BB32" s="51">
        <f ca="1">IF(OFFSET(CashFlow!$B$46,0,COLUMN(BB$4)-COLUMN($C$4),1,1)&lt;0,-OFFSET(CashFlow!$B$46,0,COLUMN(BB$4)-COLUMN($C$4),1,1),0)</f>
        <v>0</v>
      </c>
      <c r="BC32" s="51">
        <f ca="1">IF(OFFSET(CashFlow!$B$46,0,COLUMN(BC$4)-COLUMN($C$4),1,1)&lt;0,-OFFSET(CashFlow!$B$46,0,COLUMN(BC$4)-COLUMN($C$4),1,1),0)</f>
        <v>0</v>
      </c>
      <c r="BD32" s="52">
        <f ca="1">OFFSET($B32,0,Assumptions!$C$8+1,1,1)</f>
        <v>0</v>
      </c>
      <c r="BE32" s="52">
        <f ca="1">OFFSET($B32,0,SUM(Assumptions!$C$8:$C$9)+1,1,1)</f>
        <v>0</v>
      </c>
      <c r="BF32" s="52">
        <f ca="1">OFFSET($B32,0,SUM(Assumptions!$C$8:$C$10)+1,1,1)</f>
        <v>0</v>
      </c>
      <c r="BG32" s="52">
        <f ca="1">OFFSET($B32,0,SUM(Assumptions!$C$8:$C$11)+1,1,1)</f>
        <v>0</v>
      </c>
      <c r="BH32" s="52">
        <f ca="1">BG32</f>
        <v>0</v>
      </c>
    </row>
    <row r="33" spans="1:60" ht="16.149999999999999" customHeight="1" x14ac:dyDescent="0.3">
      <c r="A33" s="164" t="s">
        <v>166</v>
      </c>
      <c r="B33" s="12" t="s">
        <v>167</v>
      </c>
      <c r="C33" s="51">
        <f ca="1">-SUMIF(Assumptions!$A$81:$C$104,$A33,Assumptions!$C$81:$C$104)</f>
        <v>130000</v>
      </c>
      <c r="D33" s="95">
        <f ca="1">(IF(D$50&lt;=D$43,0,IF(ISNA(MATCH(D$4-D$50,$A$4:$BH$4,1)),SUM($D$51:D$51),SUM(OFFSET($A$51,0,MATCH(D$4-D$50,$A$4:$BH$4,1)+1,1,COLUMN(D$4)-MATCH(D$4-D$50,$A$4:$BH$4,1)-1)))))+(IF(D$4-D$50=D$4,0,IF(D$4-D$50&lt;$C$4,0,IF(ISNA(MATCH(D$4-D$50,$A$4:$BH$4,1)),0,OFFSET($A$51,0,MATCH(D$4-D$50,$A$4:$BH$4,1),1,1)/7*(OFFSET($A$4,0,MATCH(D$4-D$50,$A$4:$BH$4,1),1,1)-(D$4-D$50))))))+IF(C$50=0,0,($C$33/$C$50*IF($C$4&gt;(D$4-D$50),$C$4-(D$4-D$50),0)))</f>
        <v>129350</v>
      </c>
      <c r="E33" s="95">
        <f ca="1">(IF(E$50&lt;=E$43,0,IF(ISNA(MATCH(E$4-E$50,$A$4:$BH$4,1)),SUM($D$51:E$51),SUM(OFFSET($A$51,0,MATCH(E$4-E$50,$A$4:$BH$4,1)+1,1,COLUMN(E$4)-MATCH(E$4-E$50,$A$4:$BH$4,1)-1)))))+(IF(E$4-E$50=E$4,0,IF(E$4-E$50&lt;$C$4,0,IF(ISNA(MATCH(E$4-E$50,$A$4:$BH$4,1)),0,OFFSET($A$51,0,MATCH(E$4-E$50,$A$4:$BH$4,1),1,1)/7*(OFFSET($A$4,0,MATCH(E$4-E$50,$A$4:$BH$4,1),1,1)-(E$4-E$50))))))+IF(D$50=0,0,($C$33/$C$50*IF($C$4&gt;(E$4-E$50),$C$4-(E$4-E$50),0)))</f>
        <v>121709.84</v>
      </c>
      <c r="F33" s="95">
        <f ca="1">(IF(F$50&lt;=F$43,0,IF(ISNA(MATCH(F$4-F$50,$A$4:$BH$4,1)),SUM($D$51:F$51),SUM(OFFSET($A$51,0,MATCH(F$4-F$50,$A$4:$BH$4,1)+1,1,COLUMN(F$4)-MATCH(F$4-F$50,$A$4:$BH$4,1)-1)))))+(IF(F$4-F$50=F$4,0,IF(F$4-F$50&lt;$C$4,0,IF(ISNA(MATCH(F$4-F$50,$A$4:$BH$4,1)),0,OFFSET($A$51,0,MATCH(F$4-F$50,$A$4:$BH$4,1),1,1)/7*(OFFSET($A$4,0,MATCH(F$4-F$50,$A$4:$BH$4,1),1,1)-(F$4-F$50))))))+IF(E$50=0,0,($C$33/$C$50*IF($C$4&gt;(F$4-F$50),$C$4-(F$4-F$50),0)))</f>
        <v>128742.69714285714</v>
      </c>
      <c r="G33" s="95">
        <f ca="1">(IF(G$50&lt;=G$43,0,IF(ISNA(MATCH(G$4-G$50,$A$4:$BH$4,1)),SUM($D$51:G$51),SUM(OFFSET($A$51,0,MATCH(G$4-G$50,$A$4:$BH$4,1)+1,1,COLUMN(G$4)-MATCH(G$4-G$50,$A$4:$BH$4,1)-1)))))+(IF(G$4-G$50=G$4,0,IF(G$4-G$50&lt;$C$4,0,IF(ISNA(MATCH(G$4-G$50,$A$4:$BH$4,1)),0,OFFSET($A$51,0,MATCH(G$4-G$50,$A$4:$BH$4,1),1,1)/7*(OFFSET($A$4,0,MATCH(G$4-G$50,$A$4:$BH$4,1),1,1)-(G$4-G$50))))))+IF(F$50=0,0,($C$33/$C$50*IF($C$4&gt;(G$4-G$50),$C$4-(G$4-G$50),0)))</f>
        <v>133927.29142857142</v>
      </c>
      <c r="H33" s="95">
        <f ca="1">(IF(H$50&lt;=H$43,0,IF(ISNA(MATCH(H$4-H$50,$A$4:$BH$4,1)),SUM($D$51:H$51),SUM(OFFSET($A$51,0,MATCH(H$4-H$50,$A$4:$BH$4,1)+1,1,COLUMN(H$4)-MATCH(H$4-H$50,$A$4:$BH$4,1)-1)))))+(IF(H$4-H$50=H$4,0,IF(H$4-H$50&lt;$C$4,0,IF(ISNA(MATCH(H$4-H$50,$A$4:$BH$4,1)),0,OFFSET($A$51,0,MATCH(H$4-H$50,$A$4:$BH$4,1),1,1)/7*(OFFSET($A$4,0,MATCH(H$4-H$50,$A$4:$BH$4,1),1,1)-(H$4-H$50))))))+IF(G$50=0,0,($C$33/$C$50*IF($C$4&gt;(H$4-H$50),$C$4-(H$4-H$50),0)))</f>
        <v>152891.0214285714</v>
      </c>
      <c r="I33" s="95">
        <f ca="1">(IF(I$50&lt;=I$43,0,IF(ISNA(MATCH(I$4-I$50,$A$4:$BH$4,1)),SUM($D$51:I$51),SUM(OFFSET($A$51,0,MATCH(I$4-I$50,$A$4:$BH$4,1)+1,1,COLUMN(I$4)-MATCH(I$4-I$50,$A$4:$BH$4,1)-1)))))+(IF(I$4-I$50=I$4,0,IF(I$4-I$50&lt;$C$4,0,IF(ISNA(MATCH(I$4-I$50,$A$4:$BH$4,1)),0,OFFSET($A$51,0,MATCH(I$4-I$50,$A$4:$BH$4,1),1,1)/7*(OFFSET($A$4,0,MATCH(I$4-I$50,$A$4:$BH$4,1),1,1)-(I$4-I$50))))))+IF(H$50=0,0,($C$33/$C$50*IF($C$4&gt;(I$4-I$50),$C$4-(I$4-I$50),0)))</f>
        <v>154331.80714285711</v>
      </c>
      <c r="J33" s="95">
        <f ca="1">(IF(J$50&lt;=J$43,0,IF(ISNA(MATCH(J$4-J$50,$A$4:$BH$4,1)),SUM($D$51:J$51),SUM(OFFSET($A$51,0,MATCH(J$4-J$50,$A$4:$BH$4,1)+1,1,COLUMN(J$4)-MATCH(J$4-J$50,$A$4:$BH$4,1)-1)))))+(IF(J$4-J$50=J$4,0,IF(J$4-J$50&lt;$C$4,0,IF(ISNA(MATCH(J$4-J$50,$A$4:$BH$4,1)),0,OFFSET($A$51,0,MATCH(J$4-J$50,$A$4:$BH$4,1),1,1)/7*(OFFSET($A$4,0,MATCH(J$4-J$50,$A$4:$BH$4,1),1,1)-(J$4-J$50))))))+IF(I$50=0,0,($C$33/$C$50*IF($C$4&gt;(J$4-J$50),$C$4-(J$4-J$50),0)))</f>
        <v>157243.44285714283</v>
      </c>
      <c r="K33" s="95">
        <f ca="1">(IF(K$50&lt;=K$43,0,IF(ISNA(MATCH(K$4-K$50,$A$4:$BH$4,1)),SUM($D$51:K$51),SUM(OFFSET($A$51,0,MATCH(K$4-K$50,$A$4:$BH$4,1)+1,1,COLUMN(K$4)-MATCH(K$4-K$50,$A$4:$BH$4,1)-1)))))+(IF(K$4-K$50=K$4,0,IF(K$4-K$50&lt;$C$4,0,IF(ISNA(MATCH(K$4-K$50,$A$4:$BH$4,1)),0,OFFSET($A$51,0,MATCH(K$4-K$50,$A$4:$BH$4,1),1,1)/7*(OFFSET($A$4,0,MATCH(K$4-K$50,$A$4:$BH$4,1),1,1)-(K$4-K$50))))))+IF(J$50=0,0,($C$33/$C$50*IF($C$4&gt;(K$4-K$50),$C$4-(K$4-K$50),0)))</f>
        <v>144767.91428571427</v>
      </c>
      <c r="L33" s="95">
        <f ca="1">(IF(L$50&lt;=L$43,0,IF(ISNA(MATCH(L$4-L$50,$A$4:$BH$4,1)),SUM($D$51:L$51),SUM(OFFSET($A$51,0,MATCH(L$4-L$50,$A$4:$BH$4,1)+1,1,COLUMN(L$4)-MATCH(L$4-L$50,$A$4:$BH$4,1)-1)))))+(IF(L$4-L$50=L$4,0,IF(L$4-L$50&lt;$C$4,0,IF(ISNA(MATCH(L$4-L$50,$A$4:$BH$4,1)),0,OFFSET($A$51,0,MATCH(L$4-L$50,$A$4:$BH$4,1),1,1)/7*(OFFSET($A$4,0,MATCH(L$4-L$50,$A$4:$BH$4,1),1,1)-(L$4-L$50))))))+IF(K$50=0,0,($C$33/$C$50*IF($C$4&gt;(L$4-L$50),$C$4-(L$4-L$50),0)))</f>
        <v>146503.92142857143</v>
      </c>
      <c r="M33" s="95">
        <f ca="1">(IF(M$50&lt;=M$43,0,IF(ISNA(MATCH(M$4-M$50,$A$4:$BH$4,1)),SUM($D$51:M$51),SUM(OFFSET($A$51,0,MATCH(M$4-M$50,$A$4:$BH$4,1)+1,1,COLUMN(M$4)-MATCH(M$4-M$50,$A$4:$BH$4,1)-1)))))+(IF(M$4-M$50=M$4,0,IF(M$4-M$50&lt;$C$4,0,IF(ISNA(MATCH(M$4-M$50,$A$4:$BH$4,1)),0,OFFSET($A$51,0,MATCH(M$4-M$50,$A$4:$BH$4,1),1,1)/7*(OFFSET($A$4,0,MATCH(M$4-M$50,$A$4:$BH$4,1),1,1)-(M$4-M$50))))))+IF(L$50=0,0,($C$33/$C$50*IF($C$4&gt;(M$4-M$50),$C$4-(M$4-M$50),0)))</f>
        <v>140616.25</v>
      </c>
      <c r="N33" s="95">
        <f ca="1">(IF(N$50&lt;=N$43,0,IF(ISNA(MATCH(N$4-N$50,$A$4:$BH$4,1)),SUM($D$51:N$51),SUM(OFFSET($A$51,0,MATCH(N$4-N$50,$A$4:$BH$4,1)+1,1,COLUMN(N$4)-MATCH(N$4-N$50,$A$4:$BH$4,1)-1)))))+(IF(N$4-N$50=N$4,0,IF(N$4-N$50&lt;$C$4,0,IF(ISNA(MATCH(N$4-N$50,$A$4:$BH$4,1)),0,OFFSET($A$51,0,MATCH(N$4-N$50,$A$4:$BH$4,1),1,1)/7*(OFFSET($A$4,0,MATCH(N$4-N$50,$A$4:$BH$4,1),1,1)-(N$4-N$50))))))+IF(M$50=0,0,($C$33/$C$50*IF($C$4&gt;(N$4-N$50),$C$4-(N$4-N$50),0)))</f>
        <v>141435.21428571426</v>
      </c>
      <c r="O33" s="95">
        <f ca="1">(IF(O$50&lt;=O$43,0,IF(ISNA(MATCH(O$4-O$50,$A$4:$BH$4,1)),SUM($D$51:O$51),SUM(OFFSET($A$51,0,MATCH(O$4-O$50,$A$4:$BH$4,1)+1,1,COLUMN(O$4)-MATCH(O$4-O$50,$A$4:$BH$4,1)-1)))))+(IF(O$4-O$50=O$4,0,IF(O$4-O$50&lt;$C$4,0,IF(ISNA(MATCH(O$4-O$50,$A$4:$BH$4,1)),0,OFFSET($A$51,0,MATCH(O$4-O$50,$A$4:$BH$4,1),1,1)/7*(OFFSET($A$4,0,MATCH(O$4-O$50,$A$4:$BH$4,1),1,1)-(O$4-O$50))))))+IF(N$50=0,0,($C$33/$C$50*IF($C$4&gt;(O$4-O$50),$C$4-(O$4-O$50),0)))</f>
        <v>135088.19999999998</v>
      </c>
      <c r="P33" s="95">
        <f ca="1">(IF(P$50&lt;=P$43,0,IF(ISNA(MATCH(P$4-P$50,$A$4:$BH$4,1)),SUM($D$51:P$51),SUM(OFFSET($A$51,0,MATCH(P$4-P$50,$A$4:$BH$4,1)+1,1,COLUMN(P$4)-MATCH(P$4-P$50,$A$4:$BH$4,1)-1)))))+(IF(P$4-P$50=P$4,0,IF(P$4-P$50&lt;$C$4,0,IF(ISNA(MATCH(P$4-P$50,$A$4:$BH$4,1)),0,OFFSET($A$51,0,MATCH(P$4-P$50,$A$4:$BH$4,1),1,1)/7*(OFFSET($A$4,0,MATCH(P$4-P$50,$A$4:$BH$4,1),1,1)-(P$4-P$50))))))+IF(O$50=0,0,($C$33/$C$50*IF($C$4&gt;(P$4-P$50),$C$4-(P$4-P$50),0)))</f>
        <v>168087.44999999998</v>
      </c>
      <c r="Q33" s="95">
        <f ca="1">(IF(Q$50&lt;=Q$43,0,IF(ISNA(MATCH(Q$4-Q$50,$A$4:$BH$4,1)),SUM($D$51:Q$51),SUM(OFFSET($A$51,0,MATCH(Q$4-Q$50,$A$4:$BH$4,1)+1,1,COLUMN(Q$4)-MATCH(Q$4-Q$50,$A$4:$BH$4,1)-1)))))+(IF(Q$4-Q$50=Q$4,0,IF(Q$4-Q$50&lt;$C$4,0,IF(ISNA(MATCH(Q$4-Q$50,$A$4:$BH$4,1)),0,OFFSET($A$51,0,MATCH(Q$4-Q$50,$A$4:$BH$4,1),1,1)/7*(OFFSET($A$4,0,MATCH(Q$4-Q$50,$A$4:$BH$4,1),1,1)-(Q$4-Q$50))))))+IF(P$50=0,0,($C$33/$C$50*IF($C$4&gt;(Q$4-Q$50),$C$4-(Q$4-Q$50),0)))</f>
        <v>171026.85</v>
      </c>
      <c r="R33" s="95">
        <f ca="1">(IF(R$50&lt;=R$43,0,IF(ISNA(MATCH(R$4-R$50,$A$4:$BH$4,1)),SUM($D$51:R$51),SUM(OFFSET($A$51,0,MATCH(R$4-R$50,$A$4:$BH$4,1)+1,1,COLUMN(R$4)-MATCH(R$4-R$50,$A$4:$BH$4,1)-1)))))+(IF(R$4-R$50=R$4,0,IF(R$4-R$50&lt;$C$4,0,IF(ISNA(MATCH(R$4-R$50,$A$4:$BH$4,1)),0,OFFSET($A$51,0,MATCH(R$4-R$50,$A$4:$BH$4,1),1,1)/7*(OFFSET($A$4,0,MATCH(R$4-R$50,$A$4:$BH$4,1),1,1)-(R$4-R$50))))))+IF(Q$50=0,0,($C$33/$C$50*IF($C$4&gt;(R$4-R$50),$C$4-(R$4-R$50),0)))</f>
        <v>168164.5</v>
      </c>
      <c r="S33" s="95">
        <f ca="1">(IF(S$50&lt;=S$43,0,IF(ISNA(MATCH(S$4-S$50,$A$4:$BH$4,1)),SUM($D$51:S$51),SUM(OFFSET($A$51,0,MATCH(S$4-S$50,$A$4:$BH$4,1)+1,1,COLUMN(S$4)-MATCH(S$4-S$50,$A$4:$BH$4,1)-1)))))+(IF(S$4-S$50=S$4,0,IF(S$4-S$50&lt;$C$4,0,IF(ISNA(MATCH(S$4-S$50,$A$4:$BH$4,1)),0,OFFSET($A$51,0,MATCH(S$4-S$50,$A$4:$BH$4,1),1,1)/7*(OFFSET($A$4,0,MATCH(S$4-S$50,$A$4:$BH$4,1),1,1)-(S$4-S$50))))))+IF(R$50=0,0,($C$33/$C$50*IF($C$4&gt;(S$4-S$50),$C$4-(S$4-S$50),0)))</f>
        <v>139515.69999999998</v>
      </c>
      <c r="T33" s="95">
        <f ca="1">(IF(T$50&lt;=T$43,0,IF(ISNA(MATCH(T$4-T$50,$A$4:$BH$4,1)),SUM($D$51:T$51),SUM(OFFSET($A$51,0,MATCH(T$4-T$50,$A$4:$BH$4,1)+1,1,COLUMN(T$4)-MATCH(T$4-T$50,$A$4:$BH$4,1)-1)))))+(IF(T$4-T$50=T$4,0,IF(T$4-T$50&lt;$C$4,0,IF(ISNA(MATCH(T$4-T$50,$A$4:$BH$4,1)),0,OFFSET($A$51,0,MATCH(T$4-T$50,$A$4:$BH$4,1),1,1)/7*(OFFSET($A$4,0,MATCH(T$4-T$50,$A$4:$BH$4,1),1,1)-(T$4-T$50))))))+IF(S$50=0,0,($C$33/$C$50*IF($C$4&gt;(T$4-T$50),$C$4-(T$4-T$50),0)))</f>
        <v>139001.48571428569</v>
      </c>
      <c r="U33" s="95">
        <f ca="1">(IF(U$50&lt;=U$43,0,IF(ISNA(MATCH(U$4-U$50,$A$4:$BH$4,1)),SUM($D$51:U$51),SUM(OFFSET($A$51,0,MATCH(U$4-U$50,$A$4:$BH$4,1)+1,1,COLUMN(U$4)-MATCH(U$4-U$50,$A$4:$BH$4,1)-1)))))+(IF(U$4-U$50=U$4,0,IF(U$4-U$50&lt;$C$4,0,IF(ISNA(MATCH(U$4-U$50,$A$4:$BH$4,1)),0,OFFSET($A$51,0,MATCH(U$4-U$50,$A$4:$BH$4,1),1,1)/7*(OFFSET($A$4,0,MATCH(U$4-U$50,$A$4:$BH$4,1),1,1)-(U$4-U$50))))))+IF(T$50=0,0,($C$33/$C$50*IF($C$4&gt;(U$4-U$50),$C$4-(U$4-U$50),0)))</f>
        <v>153056.94999999998</v>
      </c>
      <c r="V33" s="95">
        <f ca="1">(IF(V$50&lt;=V$43,0,IF(ISNA(MATCH(V$4-V$50,$A$4:$BH$4,1)),SUM($D$51:V$51),SUM(OFFSET($A$51,0,MATCH(V$4-V$50,$A$4:$BH$4,1)+1,1,COLUMN(V$4)-MATCH(V$4-V$50,$A$4:$BH$4,1)-1)))))+(IF(V$4-V$50=V$4,0,IF(V$4-V$50&lt;$C$4,0,IF(ISNA(MATCH(V$4-V$50,$A$4:$BH$4,1)),0,OFFSET($A$51,0,MATCH(V$4-V$50,$A$4:$BH$4,1),1,1)/7*(OFFSET($A$4,0,MATCH(V$4-V$50,$A$4:$BH$4,1),1,1)-(V$4-V$50))))))+IF(U$50=0,0,($C$33/$C$50*IF($C$4&gt;(V$4-V$50),$C$4-(V$4-V$50),0)))</f>
        <v>156079.15</v>
      </c>
      <c r="W33" s="95">
        <f ca="1">(IF(W$50&lt;=W$43,0,IF(ISNA(MATCH(W$4-W$50,$A$4:$BH$4,1)),SUM($D$51:W$51),SUM(OFFSET($A$51,0,MATCH(W$4-W$50,$A$4:$BH$4,1)+1,1,COLUMN(W$4)-MATCH(W$4-W$50,$A$4:$BH$4,1)-1)))))+(IF(W$4-W$50=W$4,0,IF(W$4-W$50&lt;$C$4,0,IF(ISNA(MATCH(W$4-W$50,$A$4:$BH$4,1)),0,OFFSET($A$51,0,MATCH(W$4-W$50,$A$4:$BH$4,1),1,1)/7*(OFFSET($A$4,0,MATCH(W$4-W$50,$A$4:$BH$4,1),1,1)-(W$4-W$50))))))+IF(V$50=0,0,($C$33/$C$50*IF($C$4&gt;(W$4-W$50),$C$4-(W$4-W$50),0)))</f>
        <v>153043.3142857143</v>
      </c>
      <c r="X33" s="95">
        <f ca="1">(IF(X$50&lt;=X$43,0,IF(ISNA(MATCH(X$4-X$50,$A$4:$BH$4,1)),SUM($D$51:X$51),SUM(OFFSET($A$51,0,MATCH(X$4-X$50,$A$4:$BH$4,1)+1,1,COLUMN(X$4)-MATCH(X$4-X$50,$A$4:$BH$4,1)-1)))))+(IF(X$4-X$50=X$4,0,IF(X$4-X$50&lt;$C$4,0,IF(ISNA(MATCH(X$4-X$50,$A$4:$BH$4,1)),0,OFFSET($A$51,0,MATCH(X$4-X$50,$A$4:$BH$4,1),1,1)/7*(OFFSET($A$4,0,MATCH(X$4-X$50,$A$4:$BH$4,1),1,1)-(X$4-X$50))))))+IF(W$50=0,0,($C$33/$C$50*IF($C$4&gt;(X$4-X$50),$C$4-(X$4-X$50),0)))</f>
        <v>136822.39999999999</v>
      </c>
      <c r="Y33" s="95">
        <f ca="1">(IF(Y$50&lt;=Y$43,0,IF(ISNA(MATCH(Y$4-Y$50,$A$4:$BH$4,1)),SUM($D$51:Y$51),SUM(OFFSET($A$51,0,MATCH(Y$4-Y$50,$A$4:$BH$4,1)+1,1,COLUMN(Y$4)-MATCH(Y$4-Y$50,$A$4:$BH$4,1)-1)))))+(IF(Y$4-Y$50=Y$4,0,IF(Y$4-Y$50&lt;$C$4,0,IF(ISNA(MATCH(Y$4-Y$50,$A$4:$BH$4,1)),0,OFFSET($A$51,0,MATCH(Y$4-Y$50,$A$4:$BH$4,1),1,1)/7*(OFFSET($A$4,0,MATCH(Y$4-Y$50,$A$4:$BH$4,1),1,1)-(Y$4-Y$50))))))+IF(X$50=0,0,($C$33/$C$50*IF($C$4&gt;(Y$4-Y$50),$C$4-(Y$4-Y$50),0)))</f>
        <v>148317.96428571426</v>
      </c>
      <c r="Z33" s="95">
        <f ca="1">(IF(Z$50&lt;=Z$43,0,IF(ISNA(MATCH(Z$4-Z$50,$A$4:$BH$4,1)),SUM($D$51:Z$51),SUM(OFFSET($A$51,0,MATCH(Z$4-Z$50,$A$4:$BH$4,1)+1,1,COLUMN(Z$4)-MATCH(Z$4-Z$50,$A$4:$BH$4,1)-1)))))+(IF(Z$4-Z$50=Z$4,0,IF(Z$4-Z$50&lt;$C$4,0,IF(ISNA(MATCH(Z$4-Z$50,$A$4:$BH$4,1)),0,OFFSET($A$51,0,MATCH(Z$4-Z$50,$A$4:$BH$4,1),1,1)/7*(OFFSET($A$4,0,MATCH(Z$4-Z$50,$A$4:$BH$4,1),1,1)-(Z$4-Z$50))))))+IF(Y$50=0,0,($C$33/$C$50*IF($C$4&gt;(Z$4-Z$50),$C$4-(Z$4-Z$50),0)))</f>
        <v>148266.04999999999</v>
      </c>
      <c r="AA33" s="95">
        <f ca="1">(IF(AA$50&lt;=AA$43,0,IF(ISNA(MATCH(AA$4-AA$50,$A$4:$BH$4,1)),SUM($D$51:AA$51),SUM(OFFSET($A$51,0,MATCH(AA$4-AA$50,$A$4:$BH$4,1)+1,1,COLUMN(AA$4)-MATCH(AA$4-AA$50,$A$4:$BH$4,1)-1)))))+(IF(AA$4-AA$50=AA$4,0,IF(AA$4-AA$50&lt;$C$4,0,IF(ISNA(MATCH(AA$4-AA$50,$A$4:$BH$4,1)),0,OFFSET($A$51,0,MATCH(AA$4-AA$50,$A$4:$BH$4,1),1,1)/7*(OFFSET($A$4,0,MATCH(AA$4-AA$50,$A$4:$BH$4,1),1,1)-(AA$4-AA$50))))))+IF(Z$50=0,0,($C$33/$C$50*IF($C$4&gt;(AA$4-AA$50),$C$4-(AA$4-AA$50),0)))</f>
        <v>166781.21428571429</v>
      </c>
      <c r="AB33" s="95">
        <f ca="1">(IF(AB$50&lt;=AB$43,0,IF(ISNA(MATCH(AB$4-AB$50,$A$4:$BH$4,1)),SUM($D$51:AB$51),SUM(OFFSET($A$51,0,MATCH(AB$4-AB$50,$A$4:$BH$4,1)+1,1,COLUMN(AB$4)-MATCH(AB$4-AB$50,$A$4:$BH$4,1)-1)))))+(IF(AB$4-AB$50=AB$4,0,IF(AB$4-AB$50&lt;$C$4,0,IF(ISNA(MATCH(AB$4-AB$50,$A$4:$BH$4,1)),0,OFFSET($A$51,0,MATCH(AB$4-AB$50,$A$4:$BH$4,1),1,1)/7*(OFFSET($A$4,0,MATCH(AB$4-AB$50,$A$4:$BH$4,1),1,1)-(AB$4-AB$50))))))+IF(AA$50=0,0,($C$33/$C$50*IF($C$4&gt;(AB$4-AB$50),$C$4-(AB$4-AB$50),0)))</f>
        <v>158033.65714285715</v>
      </c>
      <c r="AC33" s="95">
        <f ca="1">(IF(AC$50&lt;=AC$43,0,IF(ISNA(MATCH(AC$4-AC$50,$A$4:$BH$4,1)),SUM($D$51:AC$51),SUM(OFFSET($A$51,0,MATCH(AC$4-AC$50,$A$4:$BH$4,1)+1,1,COLUMN(AC$4)-MATCH(AC$4-AC$50,$A$4:$BH$4,1)-1)))))+(IF(AC$4-AC$50=AC$4,0,IF(AC$4-AC$50&lt;$C$4,0,IF(ISNA(MATCH(AC$4-AC$50,$A$4:$BH$4,1)),0,OFFSET($A$51,0,MATCH(AC$4-AC$50,$A$4:$BH$4,1),1,1)/7*(OFFSET($A$4,0,MATCH(AC$4-AC$50,$A$4:$BH$4,1),1,1)-(AC$4-AC$50))))))+IF(AB$50=0,0,($C$33/$C$50*IF($C$4&gt;(AC$4-AC$50),$C$4-(AC$4-AC$50),0)))</f>
        <v>179999.80714285714</v>
      </c>
      <c r="AD33" s="95">
        <f ca="1">(IF(AD$50&lt;=AD$43,0,IF(ISNA(MATCH(AD$4-AD$50,$A$4:$BH$4,1)),SUM($D$51:AD$51),SUM(OFFSET($A$51,0,MATCH(AD$4-AD$50,$A$4:$BH$4,1)+1,1,COLUMN(AD$4)-MATCH(AD$4-AD$50,$A$4:$BH$4,1)-1)))))+(IF(AD$4-AD$50=AD$4,0,IF(AD$4-AD$50&lt;$C$4,0,IF(ISNA(MATCH(AD$4-AD$50,$A$4:$BH$4,1)),0,OFFSET($A$51,0,MATCH(AD$4-AD$50,$A$4:$BH$4,1),1,1)/7*(OFFSET($A$4,0,MATCH(AD$4-AD$50,$A$4:$BH$4,1),1,1)-(AD$4-AD$50))))))+IF(AC$50=0,0,($C$33/$C$50*IF($C$4&gt;(AD$4-AD$50),$C$4-(AD$4-AD$50),0)))</f>
        <v>166272.75</v>
      </c>
      <c r="AE33" s="95">
        <f ca="1">(IF(AE$50&lt;=AE$43,0,IF(ISNA(MATCH(AE$4-AE$50,$A$4:$BH$4,1)),SUM($D$51:AE$51),SUM(OFFSET($A$51,0,MATCH(AE$4-AE$50,$A$4:$BH$4,1)+1,1,COLUMN(AE$4)-MATCH(AE$4-AE$50,$A$4:$BH$4,1)-1)))))+(IF(AE$4-AE$50=AE$4,0,IF(AE$4-AE$50&lt;$C$4,0,IF(ISNA(MATCH(AE$4-AE$50,$A$4:$BH$4,1)),0,OFFSET($A$51,0,MATCH(AE$4-AE$50,$A$4:$BH$4,1),1,1)/7*(OFFSET($A$4,0,MATCH(AE$4-AE$50,$A$4:$BH$4,1),1,1)-(AE$4-AE$50))))))+IF(AD$50=0,0,($C$33/$C$50*IF($C$4&gt;(AE$4-AE$50),$C$4-(AE$4-AE$50),0)))</f>
        <v>163038.12857142856</v>
      </c>
      <c r="AF33" s="95">
        <f ca="1">(IF(AF$50&lt;=AF$43,0,IF(ISNA(MATCH(AF$4-AF$50,$A$4:$BH$4,1)),SUM($D$51:AF$51),SUM(OFFSET($A$51,0,MATCH(AF$4-AF$50,$A$4:$BH$4,1)+1,1,COLUMN(AF$4)-MATCH(AF$4-AF$50,$A$4:$BH$4,1)-1)))))+(IF(AF$4-AF$50=AF$4,0,IF(AF$4-AF$50&lt;$C$4,0,IF(ISNA(MATCH(AF$4-AF$50,$A$4:$BH$4,1)),0,OFFSET($A$51,0,MATCH(AF$4-AF$50,$A$4:$BH$4,1),1,1)/7*(OFFSET($A$4,0,MATCH(AF$4-AF$50,$A$4:$BH$4,1),1,1)-(AF$4-AF$50))))))+IF(AE$50=0,0,($C$33/$C$50*IF($C$4&gt;(AF$4-AF$50),$C$4-(AF$4-AF$50),0)))</f>
        <v>144939.42857142855</v>
      </c>
      <c r="AG33" s="95">
        <f ca="1">(IF(AG$50&lt;=AG$43,0,IF(ISNA(MATCH(AG$4-AG$50,$A$4:$BH$4,1)),SUM($D$51:AG$51),SUM(OFFSET($A$51,0,MATCH(AG$4-AG$50,$A$4:$BH$4,1)+1,1,COLUMN(AG$4)-MATCH(AG$4-AG$50,$A$4:$BH$4,1)-1)))))+(IF(AG$4-AG$50=AG$4,0,IF(AG$4-AG$50&lt;$C$4,0,IF(ISNA(MATCH(AG$4-AG$50,$A$4:$BH$4,1)),0,OFFSET($A$51,0,MATCH(AG$4-AG$50,$A$4:$BH$4,1),1,1)/7*(OFFSET($A$4,0,MATCH(AG$4-AG$50,$A$4:$BH$4,1),1,1)-(AG$4-AG$50))))))+IF(AF$50=0,0,($C$33/$C$50*IF($C$4&gt;(AG$4-AG$50),$C$4-(AG$4-AG$50),0)))</f>
        <v>143027.14285714284</v>
      </c>
      <c r="AH33" s="95">
        <f ca="1">(IF(AH$50&lt;=AH$43,0,IF(ISNA(MATCH(AH$4-AH$50,$A$4:$BH$4,1)),SUM($D$51:AH$51),SUM(OFFSET($A$51,0,MATCH(AH$4-AH$50,$A$4:$BH$4,1)+1,1,COLUMN(AH$4)-MATCH(AH$4-AH$50,$A$4:$BH$4,1)-1)))))+(IF(AH$4-AH$50=AH$4,0,IF(AH$4-AH$50&lt;$C$4,0,IF(ISNA(MATCH(AH$4-AH$50,$A$4:$BH$4,1)),0,OFFSET($A$51,0,MATCH(AH$4-AH$50,$A$4:$BH$4,1),1,1)/7*(OFFSET($A$4,0,MATCH(AH$4-AH$50,$A$4:$BH$4,1),1,1)-(AH$4-AH$50))))))+IF(AG$50=0,0,($C$33/$C$50*IF($C$4&gt;(AH$4-AH$50),$C$4-(AH$4-AH$50),0)))</f>
        <v>154879.53571428568</v>
      </c>
      <c r="AI33" s="95">
        <f ca="1">(IF(AI$50&lt;=AI$43,0,IF(ISNA(MATCH(AI$4-AI$50,$A$4:$BH$4,1)),SUM($D$51:AI$51),SUM(OFFSET($A$51,0,MATCH(AI$4-AI$50,$A$4:$BH$4,1)+1,1,COLUMN(AI$4)-MATCH(AI$4-AI$50,$A$4:$BH$4,1)-1)))))+(IF(AI$4-AI$50=AI$4,0,IF(AI$4-AI$50&lt;$C$4,0,IF(ISNA(MATCH(AI$4-AI$50,$A$4:$BH$4,1)),0,OFFSET($A$51,0,MATCH(AI$4-AI$50,$A$4:$BH$4,1),1,1)/7*(OFFSET($A$4,0,MATCH(AI$4-AI$50,$A$4:$BH$4,1),1,1)-(AI$4-AI$50))))))+IF(AH$50=0,0,($C$33/$C$50*IF($C$4&gt;(AI$4-AI$50),$C$4-(AI$4-AI$50),0)))</f>
        <v>165728.96428571426</v>
      </c>
      <c r="AJ33" s="95">
        <f ca="1">(IF(AJ$50&lt;=AJ$43,0,IF(ISNA(MATCH(AJ$4-AJ$50,$A$4:$BH$4,1)),SUM($D$51:AJ$51),SUM(OFFSET($A$51,0,MATCH(AJ$4-AJ$50,$A$4:$BH$4,1)+1,1,COLUMN(AJ$4)-MATCH(AJ$4-AJ$50,$A$4:$BH$4,1)-1)))))+(IF(AJ$4-AJ$50=AJ$4,0,IF(AJ$4-AJ$50&lt;$C$4,0,IF(ISNA(MATCH(AJ$4-AJ$50,$A$4:$BH$4,1)),0,OFFSET($A$51,0,MATCH(AJ$4-AJ$50,$A$4:$BH$4,1),1,1)/7*(OFFSET($A$4,0,MATCH(AJ$4-AJ$50,$A$4:$BH$4,1),1,1)-(AJ$4-AJ$50))))))+IF(AI$50=0,0,($C$33/$C$50*IF($C$4&gt;(AJ$4-AJ$50),$C$4-(AJ$4-AJ$50),0)))</f>
        <v>168065.92857142855</v>
      </c>
      <c r="AK33" s="95">
        <f ca="1">(IF(AK$50&lt;=AK$43,0,IF(ISNA(MATCH(AK$4-AK$50,$A$4:$BH$4,1)),SUM($D$51:AK$51),SUM(OFFSET($A$51,0,MATCH(AK$4-AK$50,$A$4:$BH$4,1)+1,1,COLUMN(AK$4)-MATCH(AK$4-AK$50,$A$4:$BH$4,1)-1)))))+(IF(AK$4-AK$50=AK$4,0,IF(AK$4-AK$50&lt;$C$4,0,IF(ISNA(MATCH(AK$4-AK$50,$A$4:$BH$4,1)),0,OFFSET($A$51,0,MATCH(AK$4-AK$50,$A$4:$BH$4,1),1,1)/7*(OFFSET($A$4,0,MATCH(AK$4-AK$50,$A$4:$BH$4,1),1,1)-(AK$4-AK$50))))))+IF(AJ$50=0,0,($C$33/$C$50*IF($C$4&gt;(AK$4-AK$50),$C$4-(AK$4-AK$50),0)))</f>
        <v>184473.14285714284</v>
      </c>
      <c r="AL33" s="95">
        <f ca="1">(IF(AL$50&lt;=AL$43,0,IF(ISNA(MATCH(AL$4-AL$50,$A$4:$BH$4,1)),SUM($D$51:AL$51),SUM(OFFSET($A$51,0,MATCH(AL$4-AL$50,$A$4:$BH$4,1)+1,1,COLUMN(AL$4)-MATCH(AL$4-AL$50,$A$4:$BH$4,1)-1)))))+(IF(AL$4-AL$50=AL$4,0,IF(AL$4-AL$50&lt;$C$4,0,IF(ISNA(MATCH(AL$4-AL$50,$A$4:$BH$4,1)),0,OFFSET($A$51,0,MATCH(AL$4-AL$50,$A$4:$BH$4,1),1,1)/7*(OFFSET($A$4,0,MATCH(AL$4-AL$50,$A$4:$BH$4,1),1,1)-(AL$4-AL$50))))))+IF(AK$50=0,0,($C$33/$C$50*IF($C$4&gt;(AL$4-AL$50),$C$4-(AL$4-AL$50),0)))</f>
        <v>190490.10714285713</v>
      </c>
      <c r="AM33" s="95">
        <f ca="1">(IF(AM$50&lt;=AM$43,0,IF(ISNA(MATCH(AM$4-AM$50,$A$4:$BH$4,1)),SUM($D$51:AM$51),SUM(OFFSET($A$51,0,MATCH(AM$4-AM$50,$A$4:$BH$4,1)+1,1,COLUMN(AM$4)-MATCH(AM$4-AM$50,$A$4:$BH$4,1)-1)))))+(IF(AM$4-AM$50=AM$4,0,IF(AM$4-AM$50&lt;$C$4,0,IF(ISNA(MATCH(AM$4-AM$50,$A$4:$BH$4,1)),0,OFFSET($A$51,0,MATCH(AM$4-AM$50,$A$4:$BH$4,1),1,1)/7*(OFFSET($A$4,0,MATCH(AM$4-AM$50,$A$4:$BH$4,1),1,1)-(AM$4-AM$50))))))+IF(AL$50=0,0,($C$33/$C$50*IF($C$4&gt;(AM$4-AM$50),$C$4-(AM$4-AM$50),0)))</f>
        <v>191065.10714285716</v>
      </c>
      <c r="AN33" s="95">
        <f ca="1">(IF(AN$50&lt;=AN$43,0,IF(ISNA(MATCH(AN$4-AN$50,$A$4:$BH$4,1)),SUM($D$51:AN$51),SUM(OFFSET($A$51,0,MATCH(AN$4-AN$50,$A$4:$BH$4,1)+1,1,COLUMN(AN$4)-MATCH(AN$4-AN$50,$A$4:$BH$4,1)-1)))))+(IF(AN$4-AN$50=AN$4,0,IF(AN$4-AN$50&lt;$C$4,0,IF(ISNA(MATCH(AN$4-AN$50,$A$4:$BH$4,1)),0,OFFSET($A$51,0,MATCH(AN$4-AN$50,$A$4:$BH$4,1),1,1)/7*(OFFSET($A$4,0,MATCH(AN$4-AN$50,$A$4:$BH$4,1),1,1)-(AN$4-AN$50))))))+IF(AM$50=0,0,($C$33/$C$50*IF($C$4&gt;(AN$4-AN$50),$C$4-(AN$4-AN$50),0)))</f>
        <v>167004.64285714284</v>
      </c>
      <c r="AO33" s="95">
        <f ca="1">(IF(AO$50&lt;=AO$43,0,IF(ISNA(MATCH(AO$4-AO$50,$A$4:$BH$4,1)),SUM($D$51:AO$51),SUM(OFFSET($A$51,0,MATCH(AO$4-AO$50,$A$4:$BH$4,1)+1,1,COLUMN(AO$4)-MATCH(AO$4-AO$50,$A$4:$BH$4,1)-1)))))+(IF(AO$4-AO$50=AO$4,0,IF(AO$4-AO$50&lt;$C$4,0,IF(ISNA(MATCH(AO$4-AO$50,$A$4:$BH$4,1)),0,OFFSET($A$51,0,MATCH(AO$4-AO$50,$A$4:$BH$4,1),1,1)/7*(OFFSET($A$4,0,MATCH(AO$4-AO$50,$A$4:$BH$4,1),1,1)-(AO$4-AO$50))))))+IF(AN$50=0,0,($C$33/$C$50*IF($C$4&gt;(AO$4-AO$50),$C$4-(AO$4-AO$50),0)))</f>
        <v>158134.85714285713</v>
      </c>
      <c r="AP33" s="95">
        <f ca="1">(IF(AP$50&lt;=AP$43,0,IF(ISNA(MATCH(AP$4-AP$50,$A$4:$BH$4,1)),SUM($D$51:AP$51),SUM(OFFSET($A$51,0,MATCH(AP$4-AP$50,$A$4:$BH$4,1)+1,1,COLUMN(AP$4)-MATCH(AP$4-AP$50,$A$4:$BH$4,1)-1)))))+(IF(AP$4-AP$50=AP$4,0,IF(AP$4-AP$50&lt;$C$4,0,IF(ISNA(MATCH(AP$4-AP$50,$A$4:$BH$4,1)),0,OFFSET($A$51,0,MATCH(AP$4-AP$50,$A$4:$BH$4,1),1,1)/7*(OFFSET($A$4,0,MATCH(AP$4-AP$50,$A$4:$BH$4,1),1,1)-(AP$4-AP$50))))))+IF(AO$50=0,0,($C$33/$C$50*IF($C$4&gt;(AP$4-AP$50),$C$4-(AP$4-AP$50),0)))</f>
        <v>182177.25</v>
      </c>
      <c r="AQ33" s="95">
        <f ca="1">(IF(AQ$50&lt;=AQ$43,0,IF(ISNA(MATCH(AQ$4-AQ$50,$A$4:$BH$4,1)),SUM($D$51:AQ$51),SUM(OFFSET($A$51,0,MATCH(AQ$4-AQ$50,$A$4:$BH$4,1)+1,1,COLUMN(AQ$4)-MATCH(AQ$4-AQ$50,$A$4:$BH$4,1)-1)))))+(IF(AQ$4-AQ$50=AQ$4,0,IF(AQ$4-AQ$50&lt;$C$4,0,IF(ISNA(MATCH(AQ$4-AQ$50,$A$4:$BH$4,1)),0,OFFSET($A$51,0,MATCH(AQ$4-AQ$50,$A$4:$BH$4,1),1,1)/7*(OFFSET($A$4,0,MATCH(AQ$4-AQ$50,$A$4:$BH$4,1),1,1)-(AQ$4-AQ$50))))))+IF(AP$50=0,0,($C$33/$C$50*IF($C$4&gt;(AQ$4-AQ$50),$C$4-(AQ$4-AQ$50),0)))</f>
        <v>177293.36428571428</v>
      </c>
      <c r="AR33" s="95">
        <f ca="1">(IF(AR$50&lt;=AR$43,0,IF(ISNA(MATCH(AR$4-AR$50,$A$4:$BH$4,1)),SUM($D$51:AR$51),SUM(OFFSET($A$51,0,MATCH(AR$4-AR$50,$A$4:$BH$4,1)+1,1,COLUMN(AR$4)-MATCH(AR$4-AR$50,$A$4:$BH$4,1)-1)))))+(IF(AR$4-AR$50=AR$4,0,IF(AR$4-AR$50&lt;$C$4,0,IF(ISNA(MATCH(AR$4-AR$50,$A$4:$BH$4,1)),0,OFFSET($A$51,0,MATCH(AR$4-AR$50,$A$4:$BH$4,1),1,1)/7*(OFFSET($A$4,0,MATCH(AR$4-AR$50,$A$4:$BH$4,1),1,1)-(AR$4-AR$50))))))+IF(AQ$50=0,0,($C$33/$C$50*IF($C$4&gt;(AR$4-AR$50),$C$4-(AR$4-AR$50),0)))</f>
        <v>159187.92857142858</v>
      </c>
      <c r="AS33" s="95">
        <f ca="1">(IF(AS$50&lt;=AS$43,0,IF(ISNA(MATCH(AS$4-AS$50,$A$4:$BH$4,1)),SUM($D$51:AS$51),SUM(OFFSET($A$51,0,MATCH(AS$4-AS$50,$A$4:$BH$4,1)+1,1,COLUMN(AS$4)-MATCH(AS$4-AS$50,$A$4:$BH$4,1)-1)))))+(IF(AS$4-AS$50=AS$4,0,IF(AS$4-AS$50&lt;$C$4,0,IF(ISNA(MATCH(AS$4-AS$50,$A$4:$BH$4,1)),0,OFFSET($A$51,0,MATCH(AS$4-AS$50,$A$4:$BH$4,1),1,1)/7*(OFFSET($A$4,0,MATCH(AS$4-AS$50,$A$4:$BH$4,1),1,1)-(AS$4-AS$50))))))+IF(AR$50=0,0,($C$33/$C$50*IF($C$4&gt;(AS$4-AS$50),$C$4-(AS$4-AS$50),0)))</f>
        <v>127015.2</v>
      </c>
      <c r="AT33" s="95">
        <f ca="1">(IF(AT$50&lt;=AT$43,0,IF(ISNA(MATCH(AT$4-AT$50,$A$4:$BH$4,1)),SUM($D$51:AT$51),SUM(OFFSET($A$51,0,MATCH(AT$4-AT$50,$A$4:$BH$4,1)+1,1,COLUMN(AT$4)-MATCH(AT$4-AT$50,$A$4:$BH$4,1)-1)))))+(IF(AT$4-AT$50=AT$4,0,IF(AT$4-AT$50&lt;$C$4,0,IF(ISNA(MATCH(AT$4-AT$50,$A$4:$BH$4,1)),0,OFFSET($A$51,0,MATCH(AT$4-AT$50,$A$4:$BH$4,1),1,1)/7*(OFFSET($A$4,0,MATCH(AT$4-AT$50,$A$4:$BH$4,1),1,1)-(AT$4-AT$50))))))+IF(AS$50=0,0,($C$33/$C$50*IF($C$4&gt;(AT$4-AT$50),$C$4-(AT$4-AT$50),0)))</f>
        <v>112852.45714285714</v>
      </c>
      <c r="AU33" s="95">
        <f ca="1">(IF(AU$50&lt;=AU$43,0,IF(ISNA(MATCH(AU$4-AU$50,$A$4:$BH$4,1)),SUM($D$51:AU$51),SUM(OFFSET($A$51,0,MATCH(AU$4-AU$50,$A$4:$BH$4,1)+1,1,COLUMN(AU$4)-MATCH(AU$4-AU$50,$A$4:$BH$4,1)-1)))))+(IF(AU$4-AU$50=AU$4,0,IF(AU$4-AU$50&lt;$C$4,0,IF(ISNA(MATCH(AU$4-AU$50,$A$4:$BH$4,1)),0,OFFSET($A$51,0,MATCH(AU$4-AU$50,$A$4:$BH$4,1),1,1)/7*(OFFSET($A$4,0,MATCH(AU$4-AU$50,$A$4:$BH$4,1),1,1)-(AU$4-AU$50))))))+IF(AT$50=0,0,($C$33/$C$50*IF($C$4&gt;(AU$4-AU$50),$C$4-(AU$4-AU$50),0)))</f>
        <v>110797.60428571427</v>
      </c>
      <c r="AV33" s="95">
        <f ca="1">(IF(AV$50&lt;=AV$43,0,IF(ISNA(MATCH(AV$4-AV$50,$A$4:$BH$4,1)),SUM($D$51:AV$51),SUM(OFFSET($A$51,0,MATCH(AV$4-AV$50,$A$4:$BH$4,1)+1,1,COLUMN(AV$4)-MATCH(AV$4-AV$50,$A$4:$BH$4,1)-1)))))+(IF(AV$4-AV$50=AV$4,0,IF(AV$4-AV$50&lt;$C$4,0,IF(ISNA(MATCH(AV$4-AV$50,$A$4:$BH$4,1)),0,OFFSET($A$51,0,MATCH(AV$4-AV$50,$A$4:$BH$4,1),1,1)/7*(OFFSET($A$4,0,MATCH(AV$4-AV$50,$A$4:$BH$4,1),1,1)-(AV$4-AV$50))))))+IF(AU$50=0,0,($C$33/$C$50*IF($C$4&gt;(AV$4-AV$50),$C$4-(AV$4-AV$50),0)))</f>
        <v>99074.701428571425</v>
      </c>
      <c r="AW33" s="95">
        <f ca="1">(IF(AW$50&lt;=AW$43,0,IF(ISNA(MATCH(AW$4-AW$50,$A$4:$BH$4,1)),SUM($D$51:AW$51),SUM(OFFSET($A$51,0,MATCH(AW$4-AW$50,$A$4:$BH$4,1)+1,1,COLUMN(AW$4)-MATCH(AW$4-AW$50,$A$4:$BH$4,1)-1)))))+(IF(AW$4-AW$50=AW$4,0,IF(AW$4-AW$50&lt;$C$4,0,IF(ISNA(MATCH(AW$4-AW$50,$A$4:$BH$4,1)),0,OFFSET($A$51,0,MATCH(AW$4-AW$50,$A$4:$BH$4,1),1,1)/7*(OFFSET($A$4,0,MATCH(AW$4-AW$50,$A$4:$BH$4,1),1,1)-(AW$4-AW$50))))))+IF(AV$50=0,0,($C$33/$C$50*IF($C$4&gt;(AW$4-AW$50),$C$4-(AW$4-AW$50),0)))</f>
        <v>102340.60285714285</v>
      </c>
      <c r="AX33" s="95">
        <f ca="1">(IF(AX$50&lt;=AX$43,0,IF(ISNA(MATCH(AX$4-AX$50,$A$4:$BH$4,1)),SUM($D$51:AX$51),SUM(OFFSET($A$51,0,MATCH(AX$4-AX$50,$A$4:$BH$4,1)+1,1,COLUMN(AX$4)-MATCH(AX$4-AX$50,$A$4:$BH$4,1)-1)))))+(IF(AX$4-AX$50=AX$4,0,IF(AX$4-AX$50&lt;$C$4,0,IF(ISNA(MATCH(AX$4-AX$50,$A$4:$BH$4,1)),0,OFFSET($A$51,0,MATCH(AX$4-AX$50,$A$4:$BH$4,1),1,1)/7*(OFFSET($A$4,0,MATCH(AX$4-AX$50,$A$4:$BH$4,1),1,1)-(AX$4-AX$50))))))+IF(AW$50=0,0,($C$33/$C$50*IF($C$4&gt;(AX$4-AX$50),$C$4-(AX$4-AX$50),0)))</f>
        <v>116630.50285714286</v>
      </c>
      <c r="AY33" s="95">
        <f ca="1">(IF(AY$50&lt;=AY$43,0,IF(ISNA(MATCH(AY$4-AY$50,$A$4:$BH$4,1)),SUM($D$51:AY$51),SUM(OFFSET($A$51,0,MATCH(AY$4-AY$50,$A$4:$BH$4,1)+1,1,COLUMN(AY$4)-MATCH(AY$4-AY$50,$A$4:$BH$4,1)-1)))))+(IF(AY$4-AY$50=AY$4,0,IF(AY$4-AY$50&lt;$C$4,0,IF(ISNA(MATCH(AY$4-AY$50,$A$4:$BH$4,1)),0,OFFSET($A$51,0,MATCH(AY$4-AY$50,$A$4:$BH$4,1),1,1)/7*(OFFSET($A$4,0,MATCH(AY$4-AY$50,$A$4:$BH$4,1),1,1)-(AY$4-AY$50))))))+IF(AX$50=0,0,($C$33/$C$50*IF($C$4&gt;(AY$4-AY$50),$C$4-(AY$4-AY$50),0)))</f>
        <v>152619.49</v>
      </c>
      <c r="AZ33" s="95">
        <f ca="1">(IF(AZ$50&lt;=AZ$43,0,IF(ISNA(MATCH(AZ$4-AZ$50,$A$4:$BH$4,1)),SUM($D$51:AZ$51),SUM(OFFSET($A$51,0,MATCH(AZ$4-AZ$50,$A$4:$BH$4,1)+1,1,COLUMN(AZ$4)-MATCH(AZ$4-AZ$50,$A$4:$BH$4,1)-1)))))+(IF(AZ$4-AZ$50=AZ$4,0,IF(AZ$4-AZ$50&lt;$C$4,0,IF(ISNA(MATCH(AZ$4-AZ$50,$A$4:$BH$4,1)),0,OFFSET($A$51,0,MATCH(AZ$4-AZ$50,$A$4:$BH$4,1),1,1)/7*(OFFSET($A$4,0,MATCH(AZ$4-AZ$50,$A$4:$BH$4,1),1,1)-(AZ$4-AZ$50))))))+IF(AY$50=0,0,($C$33/$C$50*IF($C$4&gt;(AZ$4-AZ$50),$C$4-(AZ$4-AZ$50),0)))</f>
        <v>166331.16999999998</v>
      </c>
      <c r="BA33" s="95">
        <f ca="1">(IF(BA$50&lt;=BA$43,0,IF(ISNA(MATCH(BA$4-BA$50,$A$4:$BH$4,1)),SUM($D$51:BA$51),SUM(OFFSET($A$51,0,MATCH(BA$4-BA$50,$A$4:$BH$4,1)+1,1,COLUMN(BA$4)-MATCH(BA$4-BA$50,$A$4:$BH$4,1)-1)))))+(IF(BA$4-BA$50=BA$4,0,IF(BA$4-BA$50&lt;$C$4,0,IF(ISNA(MATCH(BA$4-BA$50,$A$4:$BH$4,1)),0,OFFSET($A$51,0,MATCH(BA$4-BA$50,$A$4:$BH$4,1),1,1)/7*(OFFSET($A$4,0,MATCH(BA$4-BA$50,$A$4:$BH$4,1),1,1)-(BA$4-BA$50))))))+IF(AZ$50=0,0,($C$33/$C$50*IF($C$4&gt;(BA$4-BA$50),$C$4-(BA$4-BA$50),0)))</f>
        <v>172067.92857142858</v>
      </c>
      <c r="BB33" s="95">
        <f ca="1">(IF(BB$50&lt;=BB$43,0,IF(ISNA(MATCH(BB$4-BB$50,$A$4:$BH$4,1)),SUM($D$51:BB$51),SUM(OFFSET($A$51,0,MATCH(BB$4-BB$50,$A$4:$BH$4,1)+1,1,COLUMN(BB$4)-MATCH(BB$4-BB$50,$A$4:$BH$4,1)-1)))))+(IF(BB$4-BB$50=BB$4,0,IF(BB$4-BB$50&lt;$C$4,0,IF(ISNA(MATCH(BB$4-BB$50,$A$4:$BH$4,1)),0,OFFSET($A$51,0,MATCH(BB$4-BB$50,$A$4:$BH$4,1),1,1)/7*(OFFSET($A$4,0,MATCH(BB$4-BB$50,$A$4:$BH$4,1),1,1)-(BB$4-BB$50))))))+IF(BA$50=0,0,($C$33/$C$50*IF($C$4&gt;(BB$4-BB$50),$C$4-(BB$4-BB$50),0)))</f>
        <v>182800.05714285711</v>
      </c>
      <c r="BC33" s="95">
        <f ca="1">(IF(BC$50&lt;=BC$43,0,IF(ISNA(MATCH(BC$4-BC$50,$A$4:$BH$4,1)),SUM($D$51:BC$51),SUM(OFFSET($A$51,0,MATCH(BC$4-BC$50,$A$4:$BH$4,1)+1,1,COLUMN(BC$4)-MATCH(BC$4-BC$50,$A$4:$BH$4,1)-1)))))+(IF(BC$4-BC$50=BC$4,0,IF(BC$4-BC$50&lt;$C$4,0,IF(ISNA(MATCH(BC$4-BC$50,$A$4:$BH$4,1)),0,OFFSET($A$51,0,MATCH(BC$4-BC$50,$A$4:$BH$4,1),1,1)/7*(OFFSET($A$4,0,MATCH(BC$4-BC$50,$A$4:$BH$4,1),1,1)-(BC$4-BC$50))))))+IF(BB$50=0,0,($C$33/$C$50*IF($C$4&gt;(BC$4-BC$50),$C$4-(BC$4-BC$50),0)))</f>
        <v>212662.10714285716</v>
      </c>
      <c r="BD33" s="52">
        <f ca="1">OFFSET($B33,0,Assumptions!$C$8+1,1,1)</f>
        <v>168087.44999999998</v>
      </c>
      <c r="BE33" s="52">
        <f ca="1">OFFSET($B33,0,SUM(Assumptions!$C$8:$C$9)+1,1,1)</f>
        <v>179999.80714285714</v>
      </c>
      <c r="BF33" s="52">
        <f ca="1">OFFSET($B33,0,SUM(Assumptions!$C$8:$C$10)+1,1,1)</f>
        <v>182177.25</v>
      </c>
      <c r="BG33" s="52">
        <f ca="1">OFFSET($B33,0,SUM(Assumptions!$C$8:$C$11)+1,1,1)</f>
        <v>212662.10714285716</v>
      </c>
      <c r="BH33" s="52">
        <f t="shared" ref="BH33:BH39" ca="1" si="10">BG33</f>
        <v>212662.10714285716</v>
      </c>
    </row>
    <row r="34" spans="1:60" ht="16.149999999999999" customHeight="1" x14ac:dyDescent="0.3">
      <c r="A34" s="164" t="s">
        <v>168</v>
      </c>
      <c r="B34" s="12" t="s">
        <v>169</v>
      </c>
      <c r="C34" s="51">
        <f ca="1">-SUMIF(Assumptions!$A$81:$C$104,$A34,Assumptions!$C$81:$C$104)</f>
        <v>16000</v>
      </c>
      <c r="D34" s="95">
        <f ca="1">IF(AND(Assumptions!$C$65="Current",D54=1),0,SUM(OFFSET(D55,0,0,1,-MIN(D54,COLUMN(D$4)-COLUMN($B$4))))-SUM(OFFSET(D56,0,0,1,-MIN(D54,COLUMN(D$4)-COLUMN($B$4)))))</f>
        <v>19412.5</v>
      </c>
      <c r="E34" s="95">
        <f ca="1">IF(AND(Assumptions!$C$65="Current",E54=1),0,SUM(OFFSET(E55,0,0,1,-MIN(E54,COLUMN(E$4)-COLUMN($B$4))))-SUM(OFFSET(E56,0,0,1,-MIN(E54,COLUMN(E$4)-COLUMN($B$4)))))</f>
        <v>25340.959999999995</v>
      </c>
      <c r="F34" s="95">
        <f ca="1">IF(AND(Assumptions!$C$65="Current",F54=1),0,SUM(OFFSET(F55,0,0,1,-MIN(F54,COLUMN(F$4)-COLUMN($B$4))))-SUM(OFFSET(F56,0,0,1,-MIN(F54,COLUMN(F$4)-COLUMN($B$4)))))</f>
        <v>31740.959999999995</v>
      </c>
      <c r="G34" s="95">
        <f ca="1">IF(AND(Assumptions!$C$65="Current",G54=1),0,SUM(OFFSET(G55,0,0,1,-MIN(G54,COLUMN(G$4)-COLUMN($B$4))))-SUM(OFFSET(G56,0,0,1,-MIN(G54,COLUMN(G$4)-COLUMN($B$4)))))</f>
        <v>23161.959999999995</v>
      </c>
      <c r="H34" s="95">
        <f ca="1">IF(AND(Assumptions!$C$65="Current",H54=1),0,SUM(OFFSET(H55,0,0,1,-MIN(H54,COLUMN(H$4)-COLUMN($B$4))))-SUM(OFFSET(H56,0,0,1,-MIN(H54,COLUMN(H$4)-COLUMN($B$4)))))</f>
        <v>28589.259999999995</v>
      </c>
      <c r="I34" s="95">
        <f ca="1">IF(AND(Assumptions!$C$65="Current",I54=1),0,SUM(OFFSET(I55,0,0,1,-MIN(I54,COLUMN(I$4)-COLUMN($B$4))))-SUM(OFFSET(I56,0,0,1,-MIN(I54,COLUMN(I$4)-COLUMN($B$4)))))</f>
        <v>31630.384999999995</v>
      </c>
      <c r="J34" s="95">
        <f ca="1">IF(AND(Assumptions!$C$65="Current",J54=1),0,SUM(OFFSET(J55,0,0,1,-MIN(J54,COLUMN(J$4)-COLUMN($B$4))))-SUM(OFFSET(J56,0,0,1,-MIN(J54,COLUMN(J$4)-COLUMN($B$4)))))</f>
        <v>35759.06</v>
      </c>
      <c r="K34" s="95">
        <f ca="1">IF(AND(Assumptions!$C$65="Current",K54=1),0,SUM(OFFSET(K55,0,0,1,-MIN(K54,COLUMN(K$4)-COLUMN($B$4))))-SUM(OFFSET(K56,0,0,1,-MIN(K54,COLUMN(K$4)-COLUMN($B$4)))))</f>
        <v>43030.31</v>
      </c>
      <c r="L34" s="95">
        <f ca="1">IF(AND(Assumptions!$C$65="Current",L54=1),0,SUM(OFFSET(L55,0,0,1,-MIN(L54,COLUMN(L$4)-COLUMN($B$4))))-SUM(OFFSET(L56,0,0,1,-MIN(L54,COLUMN(L$4)-COLUMN($B$4)))))</f>
        <v>48200.06</v>
      </c>
      <c r="M34" s="95">
        <f ca="1">IF(AND(Assumptions!$C$65="Current",M54=1),0,SUM(OFFSET(M55,0,0,1,-MIN(M54,COLUMN(M$4)-COLUMN($B$4))))-SUM(OFFSET(M56,0,0,1,-MIN(M54,COLUMN(M$4)-COLUMN($B$4)))))</f>
        <v>51447.06</v>
      </c>
      <c r="N34" s="95">
        <f ca="1">IF(AND(Assumptions!$C$65="Current",N54=1),0,SUM(OFFSET(N55,0,0,1,-MIN(N54,COLUMN(N$4)-COLUMN($B$4))))-SUM(OFFSET(N56,0,0,1,-MIN(N54,COLUMN(N$4)-COLUMN($B$4)))))</f>
        <v>59280.960000000006</v>
      </c>
      <c r="O34" s="95">
        <f ca="1">IF(AND(Assumptions!$C$65="Current",O54=1),0,SUM(OFFSET(O55,0,0,1,-MIN(O54,COLUMN(O$4)-COLUMN($B$4))))-SUM(OFFSET(O56,0,0,1,-MIN(O54,COLUMN(O$4)-COLUMN($B$4)))))</f>
        <v>67308.760000000009</v>
      </c>
      <c r="P34" s="95">
        <f ca="1">IF(AND(Assumptions!$C$65="Current",P54=1),0,SUM(OFFSET(P55,0,0,1,-MIN(P54,COLUMN(P$4)-COLUMN($B$4))))-SUM(OFFSET(P56,0,0,1,-MIN(P54,COLUMN(P$4)-COLUMN($B$4)))))</f>
        <v>22050.699999999997</v>
      </c>
      <c r="Q34" s="95">
        <f ca="1">IF(AND(Assumptions!$C$65="Current",Q54=1),0,SUM(OFFSET(Q55,0,0,1,-MIN(Q54,COLUMN(Q$4)-COLUMN($B$4))))-SUM(OFFSET(Q56,0,0,1,-MIN(Q54,COLUMN(Q$4)-COLUMN($B$4)))))</f>
        <v>27448.199999999997</v>
      </c>
      <c r="R34" s="95">
        <f ca="1">IF(AND(Assumptions!$C$65="Current",R54=1),0,SUM(OFFSET(R55,0,0,1,-MIN(R54,COLUMN(R$4)-COLUMN($B$4))))-SUM(OFFSET(R56,0,0,1,-MIN(R54,COLUMN(R$4)-COLUMN($B$4)))))</f>
        <v>34825.199999999997</v>
      </c>
      <c r="S34" s="95">
        <f ca="1">IF(AND(Assumptions!$C$65="Current",S54=1),0,SUM(OFFSET(S55,0,0,1,-MIN(S54,COLUMN(S$4)-COLUMN($B$4))))-SUM(OFFSET(S56,0,0,1,-MIN(S54,COLUMN(S$4)-COLUMN($B$4)))))</f>
        <v>41987</v>
      </c>
      <c r="T34" s="95">
        <f ca="1">IF(AND(Assumptions!$C$65="Current",T54=1),0,SUM(OFFSET(T55,0,0,1,-MIN(T54,COLUMN(T$4)-COLUMN($B$4))))-SUM(OFFSET(T56,0,0,1,-MIN(T54,COLUMN(T$4)-COLUMN($B$4)))))</f>
        <v>48285.875</v>
      </c>
      <c r="U34" s="95">
        <f ca="1">IF(AND(Assumptions!$C$65="Current",U54=1),0,SUM(OFFSET(U55,0,0,1,-MIN(U54,COLUMN(U$4)-COLUMN($B$4))))-SUM(OFFSET(U56,0,0,1,-MIN(U54,COLUMN(U$4)-COLUMN($B$4)))))</f>
        <v>54565.024999999994</v>
      </c>
      <c r="V34" s="95">
        <f ca="1">IF(AND(Assumptions!$C$65="Current",V54=1),0,SUM(OFFSET(V55,0,0,1,-MIN(V54,COLUMN(V$4)-COLUMN($B$4))))-SUM(OFFSET(V56,0,0,1,-MIN(V54,COLUMN(V$4)-COLUMN($B$4)))))</f>
        <v>59759.549999999988</v>
      </c>
      <c r="W34" s="95">
        <f ca="1">IF(AND(Assumptions!$C$65="Current",W54=1),0,SUM(OFFSET(W55,0,0,1,-MIN(W54,COLUMN(W$4)-COLUMN($B$4))))-SUM(OFFSET(W56,0,0,1,-MIN(W54,COLUMN(W$4)-COLUMN($B$4)))))</f>
        <v>66586.549999999988</v>
      </c>
      <c r="X34" s="95">
        <f ca="1">IF(AND(Assumptions!$C$65="Current",X54=1),0,SUM(OFFSET(X55,0,0,1,-MIN(X54,COLUMN(X$4)-COLUMN($B$4))))-SUM(OFFSET(X56,0,0,1,-MIN(X54,COLUMN(X$4)-COLUMN($B$4)))))</f>
        <v>24715.424999999999</v>
      </c>
      <c r="Y34" s="95">
        <f ca="1">IF(AND(Assumptions!$C$65="Current",Y54=1),0,SUM(OFFSET(Y55,0,0,1,-MIN(Y54,COLUMN(Y$4)-COLUMN($B$4))))-SUM(OFFSET(Y56,0,0,1,-MIN(Y54,COLUMN(Y$4)-COLUMN($B$4)))))</f>
        <v>31713.925000000003</v>
      </c>
      <c r="Z34" s="95">
        <f ca="1">IF(AND(Assumptions!$C$65="Current",Z54=1),0,SUM(OFFSET(Z55,0,0,1,-MIN(Z54,COLUMN(Z$4)-COLUMN($B$4))))-SUM(OFFSET(Z56,0,0,1,-MIN(Z54,COLUMN(Z$4)-COLUMN($B$4)))))</f>
        <v>36745.625</v>
      </c>
      <c r="AA34" s="95">
        <f ca="1">IF(AND(Assumptions!$C$65="Current",AA54=1),0,SUM(OFFSET(AA55,0,0,1,-MIN(AA54,COLUMN(AA$4)-COLUMN($B$4))))-SUM(OFFSET(AA56,0,0,1,-MIN(AA54,COLUMN(AA$4)-COLUMN($B$4)))))</f>
        <v>43359.425000000003</v>
      </c>
      <c r="AB34" s="95">
        <f ca="1">IF(AND(Assumptions!$C$65="Current",AB54=1),0,SUM(OFFSET(AB55,0,0,1,-MIN(AB54,COLUMN(AB$4)-COLUMN($B$4))))-SUM(OFFSET(AB56,0,0,1,-MIN(AB54,COLUMN(AB$4)-COLUMN($B$4)))))</f>
        <v>51623.975000000006</v>
      </c>
      <c r="AC34" s="95">
        <f ca="1">IF(AND(Assumptions!$C$65="Current",AC54=1),0,SUM(OFFSET(AC55,0,0,1,-MIN(AC54,COLUMN(AC$4)-COLUMN($B$4))))-SUM(OFFSET(AC56,0,0,1,-MIN(AC54,COLUMN(AC$4)-COLUMN($B$4)))))</f>
        <v>56729.825000000012</v>
      </c>
      <c r="AD34" s="95">
        <f ca="1">IF(AND(Assumptions!$C$65="Current",AD54=1),0,SUM(OFFSET(AD55,0,0,1,-MIN(AD54,COLUMN(AD$4)-COLUMN($B$4))))-SUM(OFFSET(AD56,0,0,1,-MIN(AD54,COLUMN(AD$4)-COLUMN($B$4)))))</f>
        <v>62208.325000000012</v>
      </c>
      <c r="AE34" s="95">
        <f ca="1">IF(AND(Assumptions!$C$65="Current",AE54=1),0,SUM(OFFSET(AE55,0,0,1,-MIN(AE54,COLUMN(AE$4)-COLUMN($B$4))))-SUM(OFFSET(AE56,0,0,1,-MIN(AE54,COLUMN(AE$4)-COLUMN($B$4)))))</f>
        <v>70617.325000000012</v>
      </c>
      <c r="AF34" s="95">
        <f ca="1">IF(AND(Assumptions!$C$65="Current",AF54=1),0,SUM(OFFSET(AF55,0,0,1,-MIN(AF54,COLUMN(AF$4)-COLUMN($B$4))))-SUM(OFFSET(AF56,0,0,1,-MIN(AF54,COLUMN(AF$4)-COLUMN($B$4)))))</f>
        <v>79356.325000000012</v>
      </c>
      <c r="AG34" s="95">
        <f ca="1">IF(AND(Assumptions!$C$65="Current",AG54=1),0,SUM(OFFSET(AG55,0,0,1,-MIN(AG54,COLUMN(AG$4)-COLUMN($B$4))))-SUM(OFFSET(AG56,0,0,1,-MIN(AG54,COLUMN(AG$4)-COLUMN($B$4)))))</f>
        <v>31267.025000000001</v>
      </c>
      <c r="AH34" s="95">
        <f ca="1">IF(AND(Assumptions!$C$65="Current",AH54=1),0,SUM(OFFSET(AH55,0,0,1,-MIN(AH54,COLUMN(AH$4)-COLUMN($B$4))))-SUM(OFFSET(AH56,0,0,1,-MIN(AH54,COLUMN(AH$4)-COLUMN($B$4)))))</f>
        <v>38895.525000000001</v>
      </c>
      <c r="AI34" s="95">
        <f ca="1">IF(AND(Assumptions!$C$65="Current",AI54=1),0,SUM(OFFSET(AI55,0,0,1,-MIN(AI54,COLUMN(AI$4)-COLUMN($B$4))))-SUM(OFFSET(AI56,0,0,1,-MIN(AI54,COLUMN(AI$4)-COLUMN($B$4)))))</f>
        <v>43468.525000000001</v>
      </c>
      <c r="AJ34" s="95">
        <f ca="1">IF(AND(Assumptions!$C$65="Current",AJ54=1),0,SUM(OFFSET(AJ55,0,0,1,-MIN(AJ54,COLUMN(AJ$4)-COLUMN($B$4))))-SUM(OFFSET(AJ56,0,0,1,-MIN(AJ54,COLUMN(AJ$4)-COLUMN($B$4)))))</f>
        <v>52260.175000000003</v>
      </c>
      <c r="AK34" s="95">
        <f ca="1">IF(AND(Assumptions!$C$65="Current",AK54=1),0,SUM(OFFSET(AK55,0,0,1,-MIN(AK54,COLUMN(AK$4)-COLUMN($B$4))))-SUM(OFFSET(AK56,0,0,1,-MIN(AK54,COLUMN(AK$4)-COLUMN($B$4)))))</f>
        <v>58685.175000000003</v>
      </c>
      <c r="AL34" s="95">
        <f ca="1">IF(AND(Assumptions!$C$65="Current",AL54=1),0,SUM(OFFSET(AL55,0,0,1,-MIN(AL54,COLUMN(AL$4)-COLUMN($B$4))))-SUM(OFFSET(AL56,0,0,1,-MIN(AL54,COLUMN(AL$4)-COLUMN($B$4)))))</f>
        <v>65681.925000000003</v>
      </c>
      <c r="AM34" s="95">
        <f ca="1">IF(AND(Assumptions!$C$65="Current",AM54=1),0,SUM(OFFSET(AM55,0,0,1,-MIN(AM54,COLUMN(AM$4)-COLUMN($B$4))))-SUM(OFFSET(AM56,0,0,1,-MIN(AM54,COLUMN(AM$4)-COLUMN($B$4)))))</f>
        <v>70916.925000000003</v>
      </c>
      <c r="AN34" s="95">
        <f ca="1">IF(AND(Assumptions!$C$65="Current",AN54=1),0,SUM(OFFSET(AN55,0,0,1,-MIN(AN54,COLUMN(AN$4)-COLUMN($B$4))))-SUM(OFFSET(AN56,0,0,1,-MIN(AN54,COLUMN(AN$4)-COLUMN($B$4)))))</f>
        <v>80303.175000000003</v>
      </c>
      <c r="AO34" s="95">
        <f ca="1">IF(AND(Assumptions!$C$65="Current",AO54=1),0,SUM(OFFSET(AO55,0,0,1,-MIN(AO54,COLUMN(AO$4)-COLUMN($B$4))))-SUM(OFFSET(AO56,0,0,1,-MIN(AO54,COLUMN(AO$4)-COLUMN($B$4)))))</f>
        <v>88538.925000000003</v>
      </c>
      <c r="AP34" s="95">
        <f ca="1">IF(AND(Assumptions!$C$65="Current",AP54=1),0,SUM(OFFSET(AP55,0,0,1,-MIN(AP54,COLUMN(AP$4)-COLUMN($B$4))))-SUM(OFFSET(AP56,0,0,1,-MIN(AP54,COLUMN(AP$4)-COLUMN($B$4)))))</f>
        <v>28799.25</v>
      </c>
      <c r="AQ34" s="95">
        <f ca="1">IF(AND(Assumptions!$C$65="Current",AQ54=1),0,SUM(OFFSET(AQ55,0,0,1,-MIN(AQ54,COLUMN(AQ$4)-COLUMN($B$4))))-SUM(OFFSET(AQ56,0,0,1,-MIN(AQ54,COLUMN(AQ$4)-COLUMN($B$4)))))</f>
        <v>37045.950000000004</v>
      </c>
      <c r="AR34" s="95">
        <f ca="1">IF(AND(Assumptions!$C$65="Current",AR54=1),0,SUM(OFFSET(AR55,0,0,1,-MIN(AR54,COLUMN(AR$4)-COLUMN($B$4))))-SUM(OFFSET(AR56,0,0,1,-MIN(AR54,COLUMN(AR$4)-COLUMN($B$4)))))</f>
        <v>41464.200000000012</v>
      </c>
      <c r="AS34" s="95">
        <f ca="1">IF(AND(Assumptions!$C$65="Current",AS54=1),0,SUM(OFFSET(AS55,0,0,1,-MIN(AS54,COLUMN(AS$4)-COLUMN($B$4))))-SUM(OFFSET(AS56,0,0,1,-MIN(AS54,COLUMN(AS$4)-COLUMN($B$4)))))</f>
        <v>45941.700000000004</v>
      </c>
      <c r="AT34" s="95">
        <f ca="1">IF(AND(Assumptions!$C$65="Current",AT54=1),0,SUM(OFFSET(AT55,0,0,1,-MIN(AT54,COLUMN(AT$4)-COLUMN($B$4))))-SUM(OFFSET(AT56,0,0,1,-MIN(AT54,COLUMN(AT$4)-COLUMN($B$4)))))</f>
        <v>50649.1</v>
      </c>
      <c r="AU34" s="95">
        <f ca="1">IF(AND(Assumptions!$C$65="Current",AU54=1),0,SUM(OFFSET(AU55,0,0,1,-MIN(AU54,COLUMN(AU$4)-COLUMN($B$4))))-SUM(OFFSET(AU56,0,0,1,-MIN(AU54,COLUMN(AU$4)-COLUMN($B$4)))))</f>
        <v>53659.22</v>
      </c>
      <c r="AV34" s="95">
        <f ca="1">IF(AND(Assumptions!$C$65="Current",AV54=1),0,SUM(OFFSET(AV55,0,0,1,-MIN(AV54,COLUMN(AV$4)-COLUMN($B$4))))-SUM(OFFSET(AV56,0,0,1,-MIN(AV54,COLUMN(AV$4)-COLUMN($B$4)))))</f>
        <v>55531.640000000014</v>
      </c>
      <c r="AW34" s="95">
        <f ca="1">IF(AND(Assumptions!$C$65="Current",AW54=1),0,SUM(OFFSET(AW55,0,0,1,-MIN(AW54,COLUMN(AW$4)-COLUMN($B$4))))-SUM(OFFSET(AW56,0,0,1,-MIN(AW54,COLUMN(AW$4)-COLUMN($B$4)))))</f>
        <v>62316.515000000014</v>
      </c>
      <c r="AX34" s="95">
        <f ca="1">IF(AND(Assumptions!$C$65="Current",AX54=1),0,SUM(OFFSET(AX55,0,0,1,-MIN(AX54,COLUMN(AX$4)-COLUMN($B$4))))-SUM(OFFSET(AX56,0,0,1,-MIN(AX54,COLUMN(AX$4)-COLUMN($B$4)))))</f>
        <v>71398.515000000029</v>
      </c>
      <c r="AY34" s="95">
        <f ca="1">IF(AND(Assumptions!$C$65="Current",AY54=1),0,SUM(OFFSET(AY55,0,0,1,-MIN(AY54,COLUMN(AY$4)-COLUMN($B$4))))-SUM(OFFSET(AY56,0,0,1,-MIN(AY54,COLUMN(AY$4)-COLUMN($B$4)))))</f>
        <v>24636.544999999998</v>
      </c>
      <c r="AZ34" s="95">
        <f ca="1">IF(AND(Assumptions!$C$65="Current",AZ54=1),0,SUM(OFFSET(AZ55,0,0,1,-MIN(AZ54,COLUMN(AZ$4)-COLUMN($B$4))))-SUM(OFFSET(AZ56,0,0,1,-MIN(AZ54,COLUMN(AZ$4)-COLUMN($B$4)))))</f>
        <v>31133.545000000006</v>
      </c>
      <c r="BA34" s="95">
        <f ca="1">IF(AND(Assumptions!$C$65="Current",BA54=1),0,SUM(OFFSET(BA55,0,0,1,-MIN(BA54,COLUMN(BA$4)-COLUMN($B$4))))-SUM(OFFSET(BA56,0,0,1,-MIN(BA54,COLUMN(BA$4)-COLUMN($B$4)))))</f>
        <v>40030.545000000006</v>
      </c>
      <c r="BB34" s="95">
        <f ca="1">IF(AND(Assumptions!$C$65="Current",BB54=1),0,SUM(OFFSET(BB55,0,0,1,-MIN(BB54,COLUMN(BB$4)-COLUMN($B$4))))-SUM(OFFSET(BB56,0,0,1,-MIN(BB54,COLUMN(BB$4)-COLUMN($B$4)))))</f>
        <v>46794.045000000006</v>
      </c>
      <c r="BC34" s="95">
        <f ca="1">IF(AND(Assumptions!$C$65="Current",BC54=1),0,SUM(OFFSET(BC55,0,0,1,-MIN(BC54,COLUMN(BC$4)-COLUMN($B$4))))-SUM(OFFSET(BC56,0,0,1,-MIN(BC54,COLUMN(BC$4)-COLUMN($B$4)))))</f>
        <v>52168.544999999998</v>
      </c>
      <c r="BD34" s="52">
        <f ca="1">OFFSET($B34,0,Assumptions!$C$8+1,1,1)</f>
        <v>22050.699999999997</v>
      </c>
      <c r="BE34" s="52">
        <f ca="1">OFFSET($B34,0,SUM(Assumptions!$C$8:$C$9)+1,1,1)</f>
        <v>56729.825000000012</v>
      </c>
      <c r="BF34" s="52">
        <f ca="1">OFFSET($B34,0,SUM(Assumptions!$C$8:$C$10)+1,1,1)</f>
        <v>28799.25</v>
      </c>
      <c r="BG34" s="52">
        <f ca="1">OFFSET($B34,0,SUM(Assumptions!$C$8:$C$11)+1,1,1)</f>
        <v>52168.544999999998</v>
      </c>
      <c r="BH34" s="52">
        <f t="shared" ca="1" si="10"/>
        <v>52168.544999999998</v>
      </c>
    </row>
    <row r="35" spans="1:60" ht="16.149999999999999" customHeight="1" x14ac:dyDescent="0.3">
      <c r="A35" s="164" t="s">
        <v>118</v>
      </c>
      <c r="B35" s="12" t="s">
        <v>170</v>
      </c>
      <c r="C35" s="51">
        <f ca="1">-SUMIF(Assumptions!$A$81:$C$104,$A35,Assumptions!$C$81:$C$104)</f>
        <v>20000</v>
      </c>
      <c r="D35" s="95">
        <f ca="1">IF(AND(Assumptions!$C$55="Current",D66=1),0,SUM(OFFSET(D67,0,0,1,-MIN(D66,COLUMN(D$4)-COLUMN($B$4)))))</f>
        <v>1160</v>
      </c>
      <c r="E35" s="95">
        <f ca="1">IF(AND(Assumptions!$C$55="Current",E66=1),0,SUM(OFFSET(E67,0,0,1,-MIN(E66,COLUMN(E$4)-COLUMN($B$4)))))</f>
        <v>2320</v>
      </c>
      <c r="F35" s="95">
        <f ca="1">IF(AND(Assumptions!$C$55="Current",F66=1),0,SUM(OFFSET(F67,0,0,1,-MIN(F66,COLUMN(F$4)-COLUMN($B$4)))))</f>
        <v>3480</v>
      </c>
      <c r="G35" s="95">
        <f ca="1">IF(AND(Assumptions!$C$55="Current",G66=1),0,SUM(OFFSET(G67,0,0,1,-MIN(G66,COLUMN(G$4)-COLUMN($B$4)))))</f>
        <v>18640</v>
      </c>
      <c r="H35" s="95">
        <f ca="1">IF(AND(Assumptions!$C$55="Current",H66=1),0,SUM(OFFSET(H67,0,0,1,-MIN(H66,COLUMN(H$4)-COLUMN($B$4)))))</f>
        <v>19800</v>
      </c>
      <c r="I35" s="95">
        <f ca="1">IF(AND(Assumptions!$C$55="Current",I66=1),0,SUM(OFFSET(I67,0,0,1,-MIN(I66,COLUMN(I$4)-COLUMN($B$4)))))</f>
        <v>1160</v>
      </c>
      <c r="J35" s="95">
        <f ca="1">IF(AND(Assumptions!$C$55="Current",J66=1),0,SUM(OFFSET(J67,0,0,1,-MIN(J66,COLUMN(J$4)-COLUMN($B$4)))))</f>
        <v>2320</v>
      </c>
      <c r="K35" s="95">
        <f ca="1">IF(AND(Assumptions!$C$55="Current",K66=1),0,SUM(OFFSET(K67,0,0,1,-MIN(K66,COLUMN(K$4)-COLUMN($B$4)))))</f>
        <v>3480</v>
      </c>
      <c r="L35" s="95">
        <f ca="1">IF(AND(Assumptions!$C$55="Current",L66=1),0,SUM(OFFSET(L67,0,0,1,-MIN(L66,COLUMN(L$4)-COLUMN($B$4)))))</f>
        <v>18640</v>
      </c>
      <c r="M35" s="95">
        <f ca="1">IF(AND(Assumptions!$C$55="Current",M66=1),0,SUM(OFFSET(M67,0,0,1,-MIN(M66,COLUMN(M$4)-COLUMN($B$4)))))</f>
        <v>1160</v>
      </c>
      <c r="N35" s="95">
        <f ca="1">IF(AND(Assumptions!$C$55="Current",N66=1),0,SUM(OFFSET(N67,0,0,1,-MIN(N66,COLUMN(N$4)-COLUMN($B$4)))))</f>
        <v>2320</v>
      </c>
      <c r="O35" s="95">
        <f ca="1">IF(AND(Assumptions!$C$55="Current",O66=1),0,SUM(OFFSET(O67,0,0,1,-MIN(O66,COLUMN(O$4)-COLUMN($B$4)))))</f>
        <v>3480</v>
      </c>
      <c r="P35" s="95">
        <f ca="1">IF(AND(Assumptions!$C$55="Current",P66=1),0,SUM(OFFSET(P67,0,0,1,-MIN(P66,COLUMN(P$4)-COLUMN($B$4)))))</f>
        <v>18640</v>
      </c>
      <c r="Q35" s="95">
        <f ca="1">IF(AND(Assumptions!$C$55="Current",Q66=1),0,SUM(OFFSET(Q67,0,0,1,-MIN(Q66,COLUMN(Q$4)-COLUMN($B$4)))))</f>
        <v>1160</v>
      </c>
      <c r="R35" s="95">
        <f ca="1">IF(AND(Assumptions!$C$55="Current",R66=1),0,SUM(OFFSET(R67,0,0,1,-MIN(R66,COLUMN(R$4)-COLUMN($B$4)))))</f>
        <v>2320</v>
      </c>
      <c r="S35" s="95">
        <f ca="1">IF(AND(Assumptions!$C$55="Current",S66=1),0,SUM(OFFSET(S67,0,0,1,-MIN(S66,COLUMN(S$4)-COLUMN($B$4)))))</f>
        <v>3480</v>
      </c>
      <c r="T35" s="95">
        <f ca="1">IF(AND(Assumptions!$C$55="Current",T66=1),0,SUM(OFFSET(T67,0,0,1,-MIN(T66,COLUMN(T$4)-COLUMN($B$4)))))</f>
        <v>18640</v>
      </c>
      <c r="U35" s="95">
        <f ca="1">IF(AND(Assumptions!$C$55="Current",U66=1),0,SUM(OFFSET(U67,0,0,1,-MIN(U66,COLUMN(U$4)-COLUMN($B$4)))))</f>
        <v>19800</v>
      </c>
      <c r="V35" s="95">
        <f ca="1">IF(AND(Assumptions!$C$55="Current",V66=1),0,SUM(OFFSET(V67,0,0,1,-MIN(V66,COLUMN(V$4)-COLUMN($B$4)))))</f>
        <v>1160</v>
      </c>
      <c r="W35" s="95">
        <f ca="1">IF(AND(Assumptions!$C$55="Current",W66=1),0,SUM(OFFSET(W67,0,0,1,-MIN(W66,COLUMN(W$4)-COLUMN($B$4)))))</f>
        <v>2320</v>
      </c>
      <c r="X35" s="95">
        <f ca="1">IF(AND(Assumptions!$C$55="Current",X66=1),0,SUM(OFFSET(X67,0,0,1,-MIN(X66,COLUMN(X$4)-COLUMN($B$4)))))</f>
        <v>3480</v>
      </c>
      <c r="Y35" s="95">
        <f ca="1">IF(AND(Assumptions!$C$55="Current",Y66=1),0,SUM(OFFSET(Y67,0,0,1,-MIN(Y66,COLUMN(Y$4)-COLUMN($B$4)))))</f>
        <v>18640</v>
      </c>
      <c r="Z35" s="95">
        <f ca="1">IF(AND(Assumptions!$C$55="Current",Z66=1),0,SUM(OFFSET(Z67,0,0,1,-MIN(Z66,COLUMN(Z$4)-COLUMN($B$4)))))</f>
        <v>1160</v>
      </c>
      <c r="AA35" s="95">
        <f ca="1">IF(AND(Assumptions!$C$55="Current",AA66=1),0,SUM(OFFSET(AA67,0,0,1,-MIN(AA66,COLUMN(AA$4)-COLUMN($B$4)))))</f>
        <v>2320</v>
      </c>
      <c r="AB35" s="95">
        <f ca="1">IF(AND(Assumptions!$C$55="Current",AB66=1),0,SUM(OFFSET(AB67,0,0,1,-MIN(AB66,COLUMN(AB$4)-COLUMN($B$4)))))</f>
        <v>3560</v>
      </c>
      <c r="AC35" s="95">
        <f ca="1">IF(AND(Assumptions!$C$55="Current",AC66=1),0,SUM(OFFSET(AC67,0,0,1,-MIN(AC66,COLUMN(AC$4)-COLUMN($B$4)))))</f>
        <v>18800</v>
      </c>
      <c r="AD35" s="95">
        <f ca="1">IF(AND(Assumptions!$C$55="Current",AD66=1),0,SUM(OFFSET(AD67,0,0,1,-MIN(AD66,COLUMN(AD$4)-COLUMN($B$4)))))</f>
        <v>20040</v>
      </c>
      <c r="AE35" s="95">
        <f ca="1">IF(AND(Assumptions!$C$55="Current",AE66=1),0,SUM(OFFSET(AE67,0,0,1,-MIN(AE66,COLUMN(AE$4)-COLUMN($B$4)))))</f>
        <v>1240</v>
      </c>
      <c r="AF35" s="95">
        <f ca="1">IF(AND(Assumptions!$C$55="Current",AF66=1),0,SUM(OFFSET(AF67,0,0,1,-MIN(AF66,COLUMN(AF$4)-COLUMN($B$4)))))</f>
        <v>2480</v>
      </c>
      <c r="AG35" s="95">
        <f ca="1">IF(AND(Assumptions!$C$55="Current",AG66=1),0,SUM(OFFSET(AG67,0,0,1,-MIN(AG66,COLUMN(AG$4)-COLUMN($B$4)))))</f>
        <v>3720</v>
      </c>
      <c r="AH35" s="95">
        <f ca="1">IF(AND(Assumptions!$C$55="Current",AH66=1),0,SUM(OFFSET(AH67,0,0,1,-MIN(AH66,COLUMN(AH$4)-COLUMN($B$4)))))</f>
        <v>18960</v>
      </c>
      <c r="AI35" s="95">
        <f ca="1">IF(AND(Assumptions!$C$55="Current",AI66=1),0,SUM(OFFSET(AI67,0,0,1,-MIN(AI66,COLUMN(AI$4)-COLUMN($B$4)))))</f>
        <v>1240</v>
      </c>
      <c r="AJ35" s="95">
        <f ca="1">IF(AND(Assumptions!$C$55="Current",AJ66=1),0,SUM(OFFSET(AJ67,0,0,1,-MIN(AJ66,COLUMN(AJ$4)-COLUMN($B$4)))))</f>
        <v>2480</v>
      </c>
      <c r="AK35" s="95">
        <f ca="1">IF(AND(Assumptions!$C$55="Current",AK66=1),0,SUM(OFFSET(AK67,0,0,1,-MIN(AK66,COLUMN(AK$4)-COLUMN($B$4)))))</f>
        <v>3720</v>
      </c>
      <c r="AL35" s="95">
        <f ca="1">IF(AND(Assumptions!$C$55="Current",AL66=1),0,SUM(OFFSET(AL67,0,0,1,-MIN(AL66,COLUMN(AL$4)-COLUMN($B$4)))))</f>
        <v>18960</v>
      </c>
      <c r="AM35" s="95">
        <f ca="1">IF(AND(Assumptions!$C$55="Current",AM66=1),0,SUM(OFFSET(AM67,0,0,1,-MIN(AM66,COLUMN(AM$4)-COLUMN($B$4)))))</f>
        <v>1240</v>
      </c>
      <c r="AN35" s="95">
        <f ca="1">IF(AND(Assumptions!$C$55="Current",AN66=1),0,SUM(OFFSET(AN67,0,0,1,-MIN(AN66,COLUMN(AN$4)-COLUMN($B$4)))))</f>
        <v>2480</v>
      </c>
      <c r="AO35" s="95">
        <f ca="1">IF(AND(Assumptions!$C$55="Current",AO66=1),0,SUM(OFFSET(AO67,0,0,1,-MIN(AO66,COLUMN(AO$4)-COLUMN($B$4)))))</f>
        <v>3720</v>
      </c>
      <c r="AP35" s="95">
        <f ca="1">IF(AND(Assumptions!$C$55="Current",AP66=1),0,SUM(OFFSET(AP67,0,0,1,-MIN(AP66,COLUMN(AP$4)-COLUMN($B$4)))))</f>
        <v>18960</v>
      </c>
      <c r="AQ35" s="95">
        <f ca="1">IF(AND(Assumptions!$C$55="Current",AQ66=1),0,SUM(OFFSET(AQ67,0,0,1,-MIN(AQ66,COLUMN(AQ$4)-COLUMN($B$4)))))</f>
        <v>20200</v>
      </c>
      <c r="AR35" s="95">
        <f ca="1">IF(AND(Assumptions!$C$55="Current",AR66=1),0,SUM(OFFSET(AR67,0,0,1,-MIN(AR66,COLUMN(AR$4)-COLUMN($B$4)))))</f>
        <v>1360</v>
      </c>
      <c r="AS35" s="95">
        <f ca="1">IF(AND(Assumptions!$C$55="Current",AS66=1),0,SUM(OFFSET(AS67,0,0,1,-MIN(AS66,COLUMN(AS$4)-COLUMN($B$4)))))</f>
        <v>2720</v>
      </c>
      <c r="AT35" s="95">
        <f ca="1">IF(AND(Assumptions!$C$55="Current",AT66=1),0,SUM(OFFSET(AT67,0,0,1,-MIN(AT66,COLUMN(AT$4)-COLUMN($B$4)))))</f>
        <v>19080</v>
      </c>
      <c r="AU35" s="95">
        <f ca="1">IF(AND(Assumptions!$C$55="Current",AU66=1),0,SUM(OFFSET(AU67,0,0,1,-MIN(AU66,COLUMN(AU$4)-COLUMN($B$4)))))</f>
        <v>20440</v>
      </c>
      <c r="AV35" s="95">
        <f ca="1">IF(AND(Assumptions!$C$55="Current",AV66=1),0,SUM(OFFSET(AV67,0,0,1,-MIN(AV66,COLUMN(AV$4)-COLUMN($B$4)))))</f>
        <v>1360</v>
      </c>
      <c r="AW35" s="95">
        <f ca="1">IF(AND(Assumptions!$C$55="Current",AW66=1),0,SUM(OFFSET(AW67,0,0,1,-MIN(AW66,COLUMN(AW$4)-COLUMN($B$4)))))</f>
        <v>2720</v>
      </c>
      <c r="AX35" s="95">
        <f ca="1">IF(AND(Assumptions!$C$55="Current",AX66=1),0,SUM(OFFSET(AX67,0,0,1,-MIN(AX66,COLUMN(AX$4)-COLUMN($B$4)))))</f>
        <v>4080</v>
      </c>
      <c r="AY35" s="95">
        <f ca="1">IF(AND(Assumptions!$C$55="Current",AY66=1),0,SUM(OFFSET(AY67,0,0,1,-MIN(AY66,COLUMN(AY$4)-COLUMN($B$4)))))</f>
        <v>19440</v>
      </c>
      <c r="AZ35" s="95">
        <f ca="1">IF(AND(Assumptions!$C$55="Current",AZ66=1),0,SUM(OFFSET(AZ67,0,0,1,-MIN(AZ66,COLUMN(AZ$4)-COLUMN($B$4)))))</f>
        <v>1360</v>
      </c>
      <c r="BA35" s="95">
        <f ca="1">IF(AND(Assumptions!$C$55="Current",BA66=1),0,SUM(OFFSET(BA67,0,0,1,-MIN(BA66,COLUMN(BA$4)-COLUMN($B$4)))))</f>
        <v>2720</v>
      </c>
      <c r="BB35" s="95">
        <f ca="1">IF(AND(Assumptions!$C$55="Current",BB66=1),0,SUM(OFFSET(BB67,0,0,1,-MIN(BB66,COLUMN(BB$4)-COLUMN($B$4)))))</f>
        <v>4080</v>
      </c>
      <c r="BC35" s="95">
        <f ca="1">IF(AND(Assumptions!$C$55="Current",BC66=1),0,SUM(OFFSET(BC67,0,0,1,-MIN(BC66,COLUMN(BC$4)-COLUMN($B$4)))))</f>
        <v>19440</v>
      </c>
      <c r="BD35" s="52">
        <f ca="1">OFFSET($B35,0,Assumptions!$C$8+1,1,1)</f>
        <v>18640</v>
      </c>
      <c r="BE35" s="52">
        <f ca="1">OFFSET($B35,0,SUM(Assumptions!$C$8:$C$9)+1,1,1)</f>
        <v>18800</v>
      </c>
      <c r="BF35" s="52">
        <f ca="1">OFFSET($B35,0,SUM(Assumptions!$C$8:$C$10)+1,1,1)</f>
        <v>18960</v>
      </c>
      <c r="BG35" s="52">
        <f ca="1">OFFSET($B35,0,SUM(Assumptions!$C$8:$C$11)+1,1,1)</f>
        <v>19440</v>
      </c>
      <c r="BH35" s="52">
        <f t="shared" ca="1" si="10"/>
        <v>19440</v>
      </c>
    </row>
    <row r="36" spans="1:60" ht="16.149999999999999" customHeight="1" x14ac:dyDescent="0.3">
      <c r="A36" s="164" t="s">
        <v>171</v>
      </c>
      <c r="B36" s="12" t="s">
        <v>192</v>
      </c>
      <c r="C36" s="51">
        <f ca="1">-SUMIF(Assumptions!$A$81:$C$104,$A36,Assumptions!$C$81:$C$104)</f>
        <v>55000</v>
      </c>
      <c r="D36" s="51">
        <f ca="1">OFFSET(D$4,ROW($B36)-ROW($B$4),-1,1,1)+OFFSET(CashFlow!$B21,0,COLUMN(D$4)-COLUMN($C$4),1,1)</f>
        <v>0</v>
      </c>
      <c r="E36" s="51">
        <f ca="1">OFFSET(E$4,ROW($B36)-ROW($B$4),-1,1,1)+OFFSET(CashFlow!$B21,0,COLUMN(E$4)-COLUMN($C$4),1,1)</f>
        <v>0</v>
      </c>
      <c r="F36" s="51">
        <f ca="1">OFFSET(F$4,ROW($B36)-ROW($B$4),-1,1,1)+OFFSET(CashFlow!$B21,0,COLUMN(F$4)-COLUMN($C$4),1,1)</f>
        <v>0</v>
      </c>
      <c r="G36" s="51">
        <f ca="1">OFFSET(G$4,ROW($B36)-ROW($B$4),-1,1,1)+OFFSET(CashFlow!$B21,0,COLUMN(G$4)-COLUMN($C$4),1,1)</f>
        <v>0</v>
      </c>
      <c r="H36" s="51">
        <f ca="1">OFFSET(H$4,ROW($B36)-ROW($B$4),-1,1,1)+OFFSET(CashFlow!$B21,0,COLUMN(H$4)-COLUMN($C$4),1,1)</f>
        <v>0</v>
      </c>
      <c r="I36" s="51">
        <f ca="1">OFFSET(I$4,ROW($B36)-ROW($B$4),-1,1,1)+OFFSET(CashFlow!$B21,0,COLUMN(I$4)-COLUMN($C$4),1,1)</f>
        <v>0</v>
      </c>
      <c r="J36" s="51">
        <f ca="1">OFFSET(J$4,ROW($B36)-ROW($B$4),-1,1,1)+OFFSET(CashFlow!$B21,0,COLUMN(J$4)-COLUMN($C$4),1,1)</f>
        <v>0</v>
      </c>
      <c r="K36" s="51">
        <f ca="1">OFFSET(K$4,ROW($B36)-ROW($B$4),-1,1,1)+OFFSET(CashFlow!$B21,0,COLUMN(K$4)-COLUMN($C$4),1,1)</f>
        <v>0</v>
      </c>
      <c r="L36" s="51">
        <f ca="1">OFFSET(L$4,ROW($B36)-ROW($B$4),-1,1,1)+OFFSET(CashFlow!$B21,0,COLUMN(L$4)-COLUMN($C$4),1,1)</f>
        <v>0</v>
      </c>
      <c r="M36" s="51">
        <f ca="1">OFFSET(M$4,ROW($B36)-ROW($B$4),-1,1,1)+OFFSET(CashFlow!$B21,0,COLUMN(M$4)-COLUMN($C$4),1,1)</f>
        <v>0</v>
      </c>
      <c r="N36" s="51">
        <f ca="1">OFFSET(N$4,ROW($B36)-ROW($B$4),-1,1,1)+OFFSET(CashFlow!$B21,0,COLUMN(N$4)-COLUMN($C$4),1,1)</f>
        <v>0</v>
      </c>
      <c r="O36" s="51">
        <f ca="1">OFFSET(O$4,ROW($B36)-ROW($B$4),-1,1,1)+OFFSET(CashFlow!$B21,0,COLUMN(O$4)-COLUMN($C$4),1,1)</f>
        <v>0</v>
      </c>
      <c r="P36" s="51">
        <f ca="1">OFFSET(P$4,ROW($B36)-ROW($B$4),-1,1,1)+OFFSET(CashFlow!$B21,0,COLUMN(P$4)-COLUMN($C$4),1,1)</f>
        <v>0</v>
      </c>
      <c r="Q36" s="51">
        <f ca="1">OFFSET(Q$4,ROW($B36)-ROW($B$4),-1,1,1)+OFFSET(CashFlow!$B21,0,COLUMN(Q$4)-COLUMN($C$4),1,1)</f>
        <v>0</v>
      </c>
      <c r="R36" s="51">
        <f ca="1">OFFSET(R$4,ROW($B36)-ROW($B$4),-1,1,1)+OFFSET(CashFlow!$B21,0,COLUMN(R$4)-COLUMN($C$4),1,1)</f>
        <v>0</v>
      </c>
      <c r="S36" s="51">
        <f ca="1">OFFSET(S$4,ROW($B36)-ROW($B$4),-1,1,1)+OFFSET(CashFlow!$B21,0,COLUMN(S$4)-COLUMN($C$4),1,1)</f>
        <v>0</v>
      </c>
      <c r="T36" s="51">
        <f ca="1">OFFSET(T$4,ROW($B36)-ROW($B$4),-1,1,1)+OFFSET(CashFlow!$B21,0,COLUMN(T$4)-COLUMN($C$4),1,1)</f>
        <v>0</v>
      </c>
      <c r="U36" s="51">
        <f ca="1">OFFSET(U$4,ROW($B36)-ROW($B$4),-1,1,1)+OFFSET(CashFlow!$B21,0,COLUMN(U$4)-COLUMN($C$4),1,1)</f>
        <v>0</v>
      </c>
      <c r="V36" s="51">
        <f ca="1">OFFSET(V$4,ROW($B36)-ROW($B$4),-1,1,1)+OFFSET(CashFlow!$B21,0,COLUMN(V$4)-COLUMN($C$4),1,1)</f>
        <v>0</v>
      </c>
      <c r="W36" s="51">
        <f ca="1">OFFSET(W$4,ROW($B36)-ROW($B$4),-1,1,1)+OFFSET(CashFlow!$B21,0,COLUMN(W$4)-COLUMN($C$4),1,1)</f>
        <v>0</v>
      </c>
      <c r="X36" s="51">
        <f ca="1">OFFSET(X$4,ROW($B36)-ROW($B$4),-1,1,1)+OFFSET(CashFlow!$B21,0,COLUMN(X$4)-COLUMN($C$4),1,1)</f>
        <v>0</v>
      </c>
      <c r="Y36" s="51">
        <f ca="1">OFFSET(Y$4,ROW($B36)-ROW($B$4),-1,1,1)+OFFSET(CashFlow!$B21,0,COLUMN(Y$4)-COLUMN($C$4),1,1)</f>
        <v>0</v>
      </c>
      <c r="Z36" s="51">
        <f ca="1">OFFSET(Z$4,ROW($B36)-ROW($B$4),-1,1,1)+OFFSET(CashFlow!$B21,0,COLUMN(Z$4)-COLUMN($C$4),1,1)</f>
        <v>0</v>
      </c>
      <c r="AA36" s="51">
        <f ca="1">OFFSET(AA$4,ROW($B36)-ROW($B$4),-1,1,1)+OFFSET(CashFlow!$B21,0,COLUMN(AA$4)-COLUMN($C$4),1,1)</f>
        <v>0</v>
      </c>
      <c r="AB36" s="51">
        <f ca="1">OFFSET(AB$4,ROW($B36)-ROW($B$4),-1,1,1)+OFFSET(CashFlow!$B21,0,COLUMN(AB$4)-COLUMN($C$4),1,1)</f>
        <v>0</v>
      </c>
      <c r="AC36" s="51">
        <f ca="1">OFFSET(AC$4,ROW($B36)-ROW($B$4),-1,1,1)+OFFSET(CashFlow!$B21,0,COLUMN(AC$4)-COLUMN($C$4),1,1)</f>
        <v>0</v>
      </c>
      <c r="AD36" s="51">
        <f ca="1">OFFSET(AD$4,ROW($B36)-ROW($B$4),-1,1,1)+OFFSET(CashFlow!$B21,0,COLUMN(AD$4)-COLUMN($C$4),1,1)</f>
        <v>0</v>
      </c>
      <c r="AE36" s="51">
        <f ca="1">OFFSET(AE$4,ROW($B36)-ROW($B$4),-1,1,1)+OFFSET(CashFlow!$B21,0,COLUMN(AE$4)-COLUMN($C$4),1,1)</f>
        <v>0</v>
      </c>
      <c r="AF36" s="51">
        <f ca="1">OFFSET(AF$4,ROW($B36)-ROW($B$4),-1,1,1)+OFFSET(CashFlow!$B21,0,COLUMN(AF$4)-COLUMN($C$4),1,1)</f>
        <v>0</v>
      </c>
      <c r="AG36" s="51">
        <f ca="1">OFFSET(AG$4,ROW($B36)-ROW($B$4),-1,1,1)+OFFSET(CashFlow!$B21,0,COLUMN(AG$4)-COLUMN($C$4),1,1)</f>
        <v>0</v>
      </c>
      <c r="AH36" s="51">
        <f ca="1">OFFSET(AH$4,ROW($B36)-ROW($B$4),-1,1,1)+OFFSET(CashFlow!$B21,0,COLUMN(AH$4)-COLUMN($C$4),1,1)</f>
        <v>0</v>
      </c>
      <c r="AI36" s="51">
        <f ca="1">OFFSET(AI$4,ROW($B36)-ROW($B$4),-1,1,1)+OFFSET(CashFlow!$B21,0,COLUMN(AI$4)-COLUMN($C$4),1,1)</f>
        <v>0</v>
      </c>
      <c r="AJ36" s="51">
        <f ca="1">OFFSET(AJ$4,ROW($B36)-ROW($B$4),-1,1,1)+OFFSET(CashFlow!$B21,0,COLUMN(AJ$4)-COLUMN($C$4),1,1)</f>
        <v>0</v>
      </c>
      <c r="AK36" s="51">
        <f ca="1">OFFSET(AK$4,ROW($B36)-ROW($B$4),-1,1,1)+OFFSET(CashFlow!$B21,0,COLUMN(AK$4)-COLUMN($C$4),1,1)</f>
        <v>0</v>
      </c>
      <c r="AL36" s="51">
        <f ca="1">OFFSET(AL$4,ROW($B36)-ROW($B$4),-1,1,1)+OFFSET(CashFlow!$B21,0,COLUMN(AL$4)-COLUMN($C$4),1,1)</f>
        <v>0</v>
      </c>
      <c r="AM36" s="51">
        <f ca="1">OFFSET(AM$4,ROW($B36)-ROW($B$4),-1,1,1)+OFFSET(CashFlow!$B21,0,COLUMN(AM$4)-COLUMN($C$4),1,1)</f>
        <v>0</v>
      </c>
      <c r="AN36" s="51">
        <f ca="1">OFFSET(AN$4,ROW($B36)-ROW($B$4),-1,1,1)+OFFSET(CashFlow!$B21,0,COLUMN(AN$4)-COLUMN($C$4),1,1)</f>
        <v>0</v>
      </c>
      <c r="AO36" s="51">
        <f ca="1">OFFSET(AO$4,ROW($B36)-ROW($B$4),-1,1,1)+OFFSET(CashFlow!$B21,0,COLUMN(AO$4)-COLUMN($C$4),1,1)</f>
        <v>0</v>
      </c>
      <c r="AP36" s="51">
        <f ca="1">OFFSET(AP$4,ROW($B36)-ROW($B$4),-1,1,1)+OFFSET(CashFlow!$B21,0,COLUMN(AP$4)-COLUMN($C$4),1,1)</f>
        <v>0</v>
      </c>
      <c r="AQ36" s="51">
        <f ca="1">OFFSET(AQ$4,ROW($B36)-ROW($B$4),-1,1,1)+OFFSET(CashFlow!$B21,0,COLUMN(AQ$4)-COLUMN($C$4),1,1)</f>
        <v>0</v>
      </c>
      <c r="AR36" s="51">
        <f ca="1">OFFSET(AR$4,ROW($B36)-ROW($B$4),-1,1,1)+OFFSET(CashFlow!$B21,0,COLUMN(AR$4)-COLUMN($C$4),1,1)</f>
        <v>0</v>
      </c>
      <c r="AS36" s="51">
        <f ca="1">OFFSET(AS$4,ROW($B36)-ROW($B$4),-1,1,1)+OFFSET(CashFlow!$B21,0,COLUMN(AS$4)-COLUMN($C$4),1,1)</f>
        <v>0</v>
      </c>
      <c r="AT36" s="51">
        <f ca="1">OFFSET(AT$4,ROW($B36)-ROW($B$4),-1,1,1)+OFFSET(CashFlow!$B21,0,COLUMN(AT$4)-COLUMN($C$4),1,1)</f>
        <v>0</v>
      </c>
      <c r="AU36" s="51">
        <f ca="1">OFFSET(AU$4,ROW($B36)-ROW($B$4),-1,1,1)+OFFSET(CashFlow!$B21,0,COLUMN(AU$4)-COLUMN($C$4),1,1)</f>
        <v>0</v>
      </c>
      <c r="AV36" s="51">
        <f ca="1">OFFSET(AV$4,ROW($B36)-ROW($B$4),-1,1,1)+OFFSET(CashFlow!$B21,0,COLUMN(AV$4)-COLUMN($C$4),1,1)</f>
        <v>0</v>
      </c>
      <c r="AW36" s="51">
        <f ca="1">OFFSET(AW$4,ROW($B36)-ROW($B$4),-1,1,1)+OFFSET(CashFlow!$B21,0,COLUMN(AW$4)-COLUMN($C$4),1,1)</f>
        <v>0</v>
      </c>
      <c r="AX36" s="51">
        <f ca="1">OFFSET(AX$4,ROW($B36)-ROW($B$4),-1,1,1)+OFFSET(CashFlow!$B21,0,COLUMN(AX$4)-COLUMN($C$4),1,1)</f>
        <v>0</v>
      </c>
      <c r="AY36" s="51">
        <f ca="1">OFFSET(AY$4,ROW($B36)-ROW($B$4),-1,1,1)+OFFSET(CashFlow!$B21,0,COLUMN(AY$4)-COLUMN($C$4),1,1)</f>
        <v>0</v>
      </c>
      <c r="AZ36" s="51">
        <f ca="1">OFFSET(AZ$4,ROW($B36)-ROW($B$4),-1,1,1)+OFFSET(CashFlow!$B21,0,COLUMN(AZ$4)-COLUMN($C$4),1,1)</f>
        <v>0</v>
      </c>
      <c r="BA36" s="51">
        <f ca="1">OFFSET(BA$4,ROW($B36)-ROW($B$4),-1,1,1)+OFFSET(CashFlow!$B21,0,COLUMN(BA$4)-COLUMN($C$4),1,1)</f>
        <v>0</v>
      </c>
      <c r="BB36" s="51">
        <f ca="1">OFFSET(BB$4,ROW($B36)-ROW($B$4),-1,1,1)+OFFSET(CashFlow!$B21,0,COLUMN(BB$4)-COLUMN($C$4),1,1)</f>
        <v>0</v>
      </c>
      <c r="BC36" s="51">
        <f ca="1">OFFSET(BC$4,ROW($B36)-ROW($B$4),-1,1,1)+OFFSET(CashFlow!$B21,0,COLUMN(BC$4)-COLUMN($C$4),1,1)</f>
        <v>60000</v>
      </c>
      <c r="BD36" s="52">
        <f ca="1">OFFSET($B36,0,Assumptions!$C$8+1,1,1)</f>
        <v>0</v>
      </c>
      <c r="BE36" s="52">
        <f ca="1">OFFSET($B36,0,SUM(Assumptions!$C$8:$C$9)+1,1,1)</f>
        <v>0</v>
      </c>
      <c r="BF36" s="52">
        <f ca="1">OFFSET($B36,0,SUM(Assumptions!$C$8:$C$10)+1,1,1)</f>
        <v>0</v>
      </c>
      <c r="BG36" s="52">
        <f ca="1">OFFSET($B36,0,SUM(Assumptions!$C$8:$C$11)+1,1,1)</f>
        <v>60000</v>
      </c>
      <c r="BH36" s="52">
        <f t="shared" ca="1" si="10"/>
        <v>60000</v>
      </c>
    </row>
    <row r="37" spans="1:60" ht="16.149999999999999" customHeight="1" x14ac:dyDescent="0.3">
      <c r="A37" s="164" t="s">
        <v>132</v>
      </c>
      <c r="B37" s="12" t="s">
        <v>173</v>
      </c>
      <c r="C37" s="51">
        <f ca="1">-SUMIF(Assumptions!$A$81:$C$104,$A37,Assumptions!$C$81:$C$104)</f>
        <v>0</v>
      </c>
      <c r="D37" s="95">
        <f ca="1">IF(AND(Assumptions!$C$72="Current",D60=1),0,SUM(OFFSET(D61,0,0,1,-MIN(D60,COLUMN(D$4)-COLUMN($B$4)))))</f>
        <v>1876.0000000000007</v>
      </c>
      <c r="E37" s="95">
        <f ca="1">IF(AND(Assumptions!$C$72="Current",E60=1),0,SUM(OFFSET(E61,0,0,1,-MIN(E60,COLUMN(E$4)-COLUMN($B$4)))))</f>
        <v>10178.042000000001</v>
      </c>
      <c r="F37" s="95">
        <f ca="1">IF(AND(Assumptions!$C$72="Current",F60=1),0,SUM(OFFSET(F61,0,0,1,-MIN(F60,COLUMN(F$4)-COLUMN($B$4)))))</f>
        <v>20500.708666666673</v>
      </c>
      <c r="G37" s="95">
        <f ca="1">IF(AND(Assumptions!$C$72="Current",G60=1),0,SUM(OFFSET(G61,0,0,1,-MIN(G60,COLUMN(G$4)-COLUMN($B$4)))))</f>
        <v>13129.242000000004</v>
      </c>
      <c r="H37" s="95">
        <f ca="1">IF(AND(Assumptions!$C$72="Current",H60=1),0,SUM(OFFSET(H61,0,0,1,-MIN(H60,COLUMN(H$4)-COLUMN($B$4)))))</f>
        <v>16217.035333333339</v>
      </c>
      <c r="I37" s="95">
        <f ca="1">IF(AND(Assumptions!$C$72="Current",I60=1),0,SUM(OFFSET(I61,0,0,1,-MIN(I60,COLUMN(I$4)-COLUMN($B$4)))))</f>
        <v>16292.01979105614</v>
      </c>
      <c r="J37" s="95">
        <f ca="1">IF(AND(Assumptions!$C$72="Current",J60=1),0,SUM(OFFSET(J61,0,0,1,-MIN(J60,COLUMN(J$4)-COLUMN($B$4)))))</f>
        <v>22374.879791056144</v>
      </c>
      <c r="K37" s="95">
        <f ca="1">IF(AND(Assumptions!$C$72="Current",K60=1),0,SUM(OFFSET(K61,0,0,1,-MIN(K60,COLUMN(K$4)-COLUMN($B$4)))))</f>
        <v>34323.879791056148</v>
      </c>
      <c r="L37" s="95">
        <f ca="1">IF(AND(Assumptions!$C$72="Current",L60=1),0,SUM(OFFSET(L61,0,0,1,-MIN(L60,COLUMN(L$4)-COLUMN($B$4)))))</f>
        <v>17338.544868923713</v>
      </c>
      <c r="M37" s="95">
        <f ca="1">IF(AND(Assumptions!$C$72="Current",M60=1),0,SUM(OFFSET(M61,0,0,1,-MIN(M60,COLUMN(M$4)-COLUMN($B$4)))))</f>
        <v>18933.351725900658</v>
      </c>
      <c r="N37" s="95">
        <f ca="1">IF(AND(Assumptions!$C$72="Current",N60=1),0,SUM(OFFSET(N61,0,0,1,-MIN(N60,COLUMN(N$4)-COLUMN($B$4)))))</f>
        <v>30830.042144682702</v>
      </c>
      <c r="O37" s="95">
        <f ca="1">IF(AND(Assumptions!$C$72="Current",O60=1),0,SUM(OFFSET(O61,0,0,1,-MIN(O60,COLUMN(O$4)-COLUMN($B$4)))))</f>
        <v>44191.268811349371</v>
      </c>
      <c r="P37" s="95">
        <f ca="1">IF(AND(Assumptions!$C$72="Current",P60=1),0,SUM(OFFSET(P61,0,0,1,-MIN(P60,COLUMN(P$4)-COLUMN($B$4)))))</f>
        <v>23055.157795115298</v>
      </c>
      <c r="Q37" s="95">
        <f ca="1">IF(AND(Assumptions!$C$72="Current",Q60=1),0,SUM(OFFSET(Q61,0,0,1,-MIN(Q60,COLUMN(Q$4)-COLUMN($B$4)))))</f>
        <v>28678.279376423106</v>
      </c>
      <c r="R37" s="95">
        <f ca="1">IF(AND(Assumptions!$C$72="Current",R60=1),0,SUM(OFFSET(R61,0,0,1,-MIN(R60,COLUMN(R$4)-COLUMN($B$4)))))</f>
        <v>39741.275652291537</v>
      </c>
      <c r="S37" s="95">
        <f ca="1">IF(AND(Assumptions!$C$72="Current",S60=1),0,SUM(OFFSET(S61,0,0,1,-MIN(S60,COLUMN(S$4)-COLUMN($B$4)))))</f>
        <v>51485.968985624873</v>
      </c>
      <c r="T37" s="95">
        <f ca="1">IF(AND(Assumptions!$C$72="Current",T60=1),0,SUM(OFFSET(T61,0,0,1,-MIN(T60,COLUMN(T$4)-COLUMN($B$4)))))</f>
        <v>42019.868985624875</v>
      </c>
      <c r="U37" s="95">
        <f ca="1">IF(AND(Assumptions!$C$72="Current",U60=1),0,SUM(OFFSET(U61,0,0,1,-MIN(U60,COLUMN(U$4)-COLUMN($B$4)))))</f>
        <v>46720.854490119345</v>
      </c>
      <c r="V37" s="95">
        <f ca="1">IF(AND(Assumptions!$C$72="Current",V60=1),0,SUM(OFFSET(V61,0,0,1,-MIN(V60,COLUMN(V$4)-COLUMN($B$4)))))</f>
        <v>50915.223453669125</v>
      </c>
      <c r="W37" s="95">
        <f ca="1">IF(AND(Assumptions!$C$72="Current",W60=1),0,SUM(OFFSET(W61,0,0,1,-MIN(W60,COLUMN(W$4)-COLUMN($B$4)))))</f>
        <v>62034.956787002462</v>
      </c>
      <c r="X37" s="95">
        <f ca="1">IF(AND(Assumptions!$C$72="Current",X60=1),0,SUM(OFFSET(X61,0,0,1,-MIN(X60,COLUMN(X$4)-COLUMN($B$4)))))</f>
        <v>72385.156787002459</v>
      </c>
      <c r="Y37" s="95">
        <f ca="1">IF(AND(Assumptions!$C$72="Current",Y60=1),0,SUM(OFFSET(Y61,0,0,1,-MIN(Y60,COLUMN(Y$4)-COLUMN($B$4)))))</f>
        <v>58836.738550683869</v>
      </c>
      <c r="Z37" s="95">
        <f ca="1">IF(AND(Assumptions!$C$72="Current",Z60=1),0,SUM(OFFSET(Z61,0,0,1,-MIN(Z60,COLUMN(Z$4)-COLUMN($B$4)))))</f>
        <v>63805.490587078326</v>
      </c>
      <c r="AA37" s="95">
        <f ca="1">IF(AND(Assumptions!$C$72="Current",AA60=1),0,SUM(OFFSET(AA61,0,0,1,-MIN(AA60,COLUMN(AA$4)-COLUMN($B$4)))))</f>
        <v>73482.771932545205</v>
      </c>
      <c r="AB37" s="95">
        <f ca="1">IF(AND(Assumptions!$C$72="Current",AB60=1),0,SUM(OFFSET(AB61,0,0,1,-MIN(AB60,COLUMN(AB$4)-COLUMN($B$4)))))</f>
        <v>87173.931932545194</v>
      </c>
      <c r="AC37" s="95">
        <f ca="1">IF(AND(Assumptions!$C$72="Current",AC60=1),0,SUM(OFFSET(AC61,0,0,1,-MIN(AC60,COLUMN(AC$4)-COLUMN($B$4)))))</f>
        <v>0</v>
      </c>
      <c r="AD37" s="95">
        <f ca="1">IF(AND(Assumptions!$C$72="Current",AD60=1),0,SUM(OFFSET(AD61,0,0,1,-MIN(AD60,COLUMN(AD$4)-COLUMN($B$4)))))</f>
        <v>-11696.138619056452</v>
      </c>
      <c r="AE37" s="95">
        <f ca="1">IF(AND(Assumptions!$C$72="Current",AE60=1),0,SUM(OFFSET(AE61,0,0,1,-MIN(AE60,COLUMN(AE$4)-COLUMN($B$4)))))</f>
        <v>1239.9254798775219</v>
      </c>
      <c r="AF37" s="95">
        <f ca="1">IF(AND(Assumptions!$C$72="Current",AF60=1),0,SUM(OFFSET(AF61,0,0,1,-MIN(AF60,COLUMN(AF$4)-COLUMN($B$4)))))</f>
        <v>15816.725479877525</v>
      </c>
      <c r="AG37" s="95">
        <f ca="1">IF(AND(Assumptions!$C$72="Current",AG60=1),0,SUM(OFFSET(AG61,0,0,1,-MIN(AG60,COLUMN(AG$4)-COLUMN($B$4)))))</f>
        <v>30209.705479877521</v>
      </c>
      <c r="AH37" s="95">
        <f ca="1">IF(AND(Assumptions!$C$72="Current",AH60=1),0,SUM(OFFSET(AH61,0,0,1,-MIN(AH60,COLUMN(AH$4)-COLUMN($B$4)))))</f>
        <v>17526.780505033545</v>
      </c>
      <c r="AI37" s="95">
        <f ca="1">IF(AND(Assumptions!$C$72="Current",AI60=1),0,SUM(OFFSET(AI61,0,0,1,-MIN(AI60,COLUMN(AI$4)-COLUMN($B$4)))))</f>
        <v>20551.433935699999</v>
      </c>
      <c r="AJ37" s="95">
        <f ca="1">IF(AND(Assumptions!$C$72="Current",AJ60=1),0,SUM(OFFSET(AJ61,0,0,1,-MIN(AJ60,COLUMN(AJ$4)-COLUMN($B$4)))))</f>
        <v>35226.513935700001</v>
      </c>
      <c r="AK37" s="95">
        <f ca="1">IF(AND(Assumptions!$C$72="Current",AK60=1),0,SUM(OFFSET(AK61,0,0,1,-MIN(AK60,COLUMN(AK$4)-COLUMN($B$4)))))</f>
        <v>45483.847269033329</v>
      </c>
      <c r="AL37" s="95">
        <f ca="1">IF(AND(Assumptions!$C$72="Current",AL60=1),0,SUM(OFFSET(AL61,0,0,1,-MIN(AL60,COLUMN(AL$4)-COLUMN($B$4)))))</f>
        <v>31631.185327060462</v>
      </c>
      <c r="AM37" s="95">
        <f ca="1">IF(AND(Assumptions!$C$72="Current",AM60=1),0,SUM(OFFSET(AM61,0,0,1,-MIN(AM60,COLUMN(AM$4)-COLUMN($B$4)))))</f>
        <v>36911.034401460114</v>
      </c>
      <c r="AN37" s="95">
        <f ca="1">IF(AND(Assumptions!$C$72="Current",AN60=1),0,SUM(OFFSET(AN61,0,0,1,-MIN(AN60,COLUMN(AN$4)-COLUMN($B$4)))))</f>
        <v>51711.35342467048</v>
      </c>
      <c r="AO37" s="95">
        <f ca="1">IF(AND(Assumptions!$C$72="Current",AO60=1),0,SUM(OFFSET(AO61,0,0,1,-MIN(AO60,COLUMN(AO$4)-COLUMN($B$4)))))</f>
        <v>65348.753424670445</v>
      </c>
      <c r="AP37" s="95">
        <f ca="1">IF(AND(Assumptions!$C$72="Current",AP60=1),0,SUM(OFFSET(AP61,0,0,1,-MIN(AP60,COLUMN(AP$4)-COLUMN($B$4)))))</f>
        <v>50764.953424670457</v>
      </c>
      <c r="AQ37" s="95">
        <f ca="1">IF(AND(Assumptions!$C$72="Current",AQ60=1),0,SUM(OFFSET(AQ61,0,0,1,-MIN(AQ60,COLUMN(AQ$4)-COLUMN($B$4)))))</f>
        <v>60453.76728578475</v>
      </c>
      <c r="AR37" s="95">
        <f ca="1">IF(AND(Assumptions!$C$72="Current",AR60=1),0,SUM(OFFSET(AR61,0,0,1,-MIN(AR60,COLUMN(AR$4)-COLUMN($B$4)))))</f>
        <v>65832.80212354059</v>
      </c>
      <c r="AS37" s="95">
        <f ca="1">IF(AND(Assumptions!$C$72="Current",AS60=1),0,SUM(OFFSET(AS61,0,0,1,-MIN(AS60,COLUMN(AS$4)-COLUMN($B$4)))))</f>
        <v>72286.80212354059</v>
      </c>
      <c r="AT37" s="95">
        <f ca="1">IF(AND(Assumptions!$C$72="Current",AT60=1),0,SUM(OFFSET(AT61,0,0,1,-MIN(AT60,COLUMN(AT$4)-COLUMN($B$4)))))</f>
        <v>58169.948790207258</v>
      </c>
      <c r="AU37" s="95">
        <f ca="1">IF(AND(Assumptions!$C$72="Current",AU60=1),0,SUM(OFFSET(AU61,0,0,1,-MIN(AU60,COLUMN(AU$4)-COLUMN($B$4)))))</f>
        <v>56326.857854517919</v>
      </c>
      <c r="AV37" s="95">
        <f ca="1">IF(AND(Assumptions!$C$72="Current",AV60=1),0,SUM(OFFSET(AV61,0,0,1,-MIN(AV60,COLUMN(AV$4)-COLUMN($B$4)))))</f>
        <v>55191.584347351876</v>
      </c>
      <c r="AW37" s="95">
        <f ca="1">IF(AND(Assumptions!$C$72="Current",AW60=1),0,SUM(OFFSET(AW61,0,0,1,-MIN(AW60,COLUMN(AW$4)-COLUMN($B$4)))))</f>
        <v>65008.829692875923</v>
      </c>
      <c r="AX37" s="95">
        <f ca="1">IF(AND(Assumptions!$C$72="Current",AX60=1),0,SUM(OFFSET(AX61,0,0,1,-MIN(AX60,COLUMN(AX$4)-COLUMN($B$4)))))</f>
        <v>80057.896359542603</v>
      </c>
      <c r="AY37" s="95">
        <f ca="1">IF(AND(Assumptions!$C$72="Current",AY60=1),0,SUM(OFFSET(AY61,0,0,1,-MIN(AY60,COLUMN(AY$4)-COLUMN($B$4)))))</f>
        <v>64760.53320077619</v>
      </c>
      <c r="AZ37" s="95">
        <f ca="1">IF(AND(Assumptions!$C$72="Current",AZ60=1),0,SUM(OFFSET(AZ61,0,0,1,-MIN(AZ60,COLUMN(AZ$4)-COLUMN($B$4)))))</f>
        <v>71572.846229275063</v>
      </c>
      <c r="BA37" s="95">
        <f ca="1">IF(AND(Assumptions!$C$72="Current",BA60=1),0,SUM(OFFSET(BA61,0,0,1,-MIN(BA60,COLUMN(BA$4)-COLUMN($B$4)))))</f>
        <v>85353.431974933439</v>
      </c>
      <c r="BB37" s="95">
        <f ca="1">IF(AND(Assumptions!$C$72="Current",BB60=1),0,SUM(OFFSET(BB61,0,0,1,-MIN(BB60,COLUMN(BB$4)-COLUMN($B$4)))))</f>
        <v>96074.631974933422</v>
      </c>
      <c r="BC37" s="95">
        <f ca="1">IF(AND(Assumptions!$C$72="Current",BC60=1),0,SUM(OFFSET(BC61,0,0,1,-MIN(BC60,COLUMN(BC$4)-COLUMN($B$4)))))</f>
        <v>0</v>
      </c>
      <c r="BD37" s="52">
        <f ca="1">OFFSET($B37,0,Assumptions!$C$8+1,1,1)</f>
        <v>23055.157795115298</v>
      </c>
      <c r="BE37" s="52">
        <f ca="1">OFFSET($B37,0,SUM(Assumptions!$C$8:$C$9)+1,1,1)</f>
        <v>0</v>
      </c>
      <c r="BF37" s="52">
        <f ca="1">OFFSET($B37,0,SUM(Assumptions!$C$8:$C$10)+1,1,1)</f>
        <v>50764.953424670457</v>
      </c>
      <c r="BG37" s="52">
        <f ca="1">OFFSET($B37,0,SUM(Assumptions!$C$8:$C$11)+1,1,1)</f>
        <v>0</v>
      </c>
      <c r="BH37" s="52">
        <f t="shared" ca="1" si="10"/>
        <v>0</v>
      </c>
    </row>
    <row r="38" spans="1:60" ht="16.149999999999999" customHeight="1" x14ac:dyDescent="0.3">
      <c r="A38" s="168" t="s">
        <v>261</v>
      </c>
      <c r="B38" s="12" t="s">
        <v>265</v>
      </c>
      <c r="C38" s="51">
        <f ca="1">-SUMIF(Assumptions!$A$81:$C$104,$A38,Assumptions!$C$81:$C$104)</f>
        <v>0</v>
      </c>
      <c r="D38" s="95">
        <f ca="1">D76</f>
        <v>0</v>
      </c>
      <c r="E38" s="95">
        <f t="shared" ref="E38:BC38" ca="1" si="11">E76</f>
        <v>0</v>
      </c>
      <c r="F38" s="95">
        <f t="shared" ca="1" si="11"/>
        <v>0</v>
      </c>
      <c r="G38" s="95">
        <f t="shared" ca="1" si="11"/>
        <v>0</v>
      </c>
      <c r="H38" s="95">
        <f t="shared" ca="1" si="11"/>
        <v>0</v>
      </c>
      <c r="I38" s="95">
        <f t="shared" ca="1" si="11"/>
        <v>0</v>
      </c>
      <c r="J38" s="95">
        <f t="shared" ca="1" si="11"/>
        <v>0</v>
      </c>
      <c r="K38" s="95">
        <f t="shared" ca="1" si="11"/>
        <v>0</v>
      </c>
      <c r="L38" s="95">
        <f t="shared" ca="1" si="11"/>
        <v>0</v>
      </c>
      <c r="M38" s="95">
        <f t="shared" ca="1" si="11"/>
        <v>0</v>
      </c>
      <c r="N38" s="95">
        <f t="shared" ca="1" si="11"/>
        <v>0</v>
      </c>
      <c r="O38" s="95">
        <f t="shared" ca="1" si="11"/>
        <v>0</v>
      </c>
      <c r="P38" s="95">
        <f t="shared" ca="1" si="11"/>
        <v>0</v>
      </c>
      <c r="Q38" s="95">
        <f t="shared" ca="1" si="11"/>
        <v>0</v>
      </c>
      <c r="R38" s="95">
        <f t="shared" ca="1" si="11"/>
        <v>0</v>
      </c>
      <c r="S38" s="95">
        <f t="shared" ca="1" si="11"/>
        <v>0</v>
      </c>
      <c r="T38" s="95">
        <f t="shared" ca="1" si="11"/>
        <v>0</v>
      </c>
      <c r="U38" s="95">
        <f t="shared" ca="1" si="11"/>
        <v>0</v>
      </c>
      <c r="V38" s="95">
        <f t="shared" ca="1" si="11"/>
        <v>0</v>
      </c>
      <c r="W38" s="95">
        <f t="shared" ca="1" si="11"/>
        <v>0</v>
      </c>
      <c r="X38" s="95">
        <f t="shared" ca="1" si="11"/>
        <v>0</v>
      </c>
      <c r="Y38" s="95">
        <f t="shared" ca="1" si="11"/>
        <v>0</v>
      </c>
      <c r="Z38" s="95">
        <f t="shared" ca="1" si="11"/>
        <v>0</v>
      </c>
      <c r="AA38" s="95">
        <f t="shared" ca="1" si="11"/>
        <v>0</v>
      </c>
      <c r="AB38" s="95">
        <f t="shared" ca="1" si="11"/>
        <v>0</v>
      </c>
      <c r="AC38" s="95">
        <f t="shared" ca="1" si="11"/>
        <v>0</v>
      </c>
      <c r="AD38" s="95">
        <f t="shared" ca="1" si="11"/>
        <v>0</v>
      </c>
      <c r="AE38" s="95">
        <f t="shared" ca="1" si="11"/>
        <v>0</v>
      </c>
      <c r="AF38" s="95">
        <f t="shared" ca="1" si="11"/>
        <v>0</v>
      </c>
      <c r="AG38" s="95">
        <f t="shared" ca="1" si="11"/>
        <v>0</v>
      </c>
      <c r="AH38" s="95">
        <f t="shared" ca="1" si="11"/>
        <v>0</v>
      </c>
      <c r="AI38" s="95">
        <f t="shared" ca="1" si="11"/>
        <v>0</v>
      </c>
      <c r="AJ38" s="95">
        <f t="shared" ca="1" si="11"/>
        <v>0</v>
      </c>
      <c r="AK38" s="95">
        <f t="shared" ca="1" si="11"/>
        <v>0</v>
      </c>
      <c r="AL38" s="95">
        <f t="shared" ca="1" si="11"/>
        <v>0</v>
      </c>
      <c r="AM38" s="95">
        <f t="shared" ca="1" si="11"/>
        <v>0</v>
      </c>
      <c r="AN38" s="95">
        <f t="shared" ca="1" si="11"/>
        <v>0</v>
      </c>
      <c r="AO38" s="95">
        <f t="shared" ca="1" si="11"/>
        <v>0</v>
      </c>
      <c r="AP38" s="95">
        <f t="shared" ca="1" si="11"/>
        <v>0</v>
      </c>
      <c r="AQ38" s="95">
        <f t="shared" ca="1" si="11"/>
        <v>0</v>
      </c>
      <c r="AR38" s="95">
        <f t="shared" ca="1" si="11"/>
        <v>0</v>
      </c>
      <c r="AS38" s="95">
        <f t="shared" ca="1" si="11"/>
        <v>0</v>
      </c>
      <c r="AT38" s="95">
        <f t="shared" ca="1" si="11"/>
        <v>0</v>
      </c>
      <c r="AU38" s="95">
        <f t="shared" ca="1" si="11"/>
        <v>0</v>
      </c>
      <c r="AV38" s="95">
        <f t="shared" ca="1" si="11"/>
        <v>0</v>
      </c>
      <c r="AW38" s="95">
        <f t="shared" ca="1" si="11"/>
        <v>0</v>
      </c>
      <c r="AX38" s="95">
        <f t="shared" ca="1" si="11"/>
        <v>0</v>
      </c>
      <c r="AY38" s="95">
        <f t="shared" ca="1" si="11"/>
        <v>0</v>
      </c>
      <c r="AZ38" s="95">
        <f t="shared" ca="1" si="11"/>
        <v>0</v>
      </c>
      <c r="BA38" s="95">
        <f t="shared" ca="1" si="11"/>
        <v>0</v>
      </c>
      <c r="BB38" s="95">
        <f t="shared" ca="1" si="11"/>
        <v>0</v>
      </c>
      <c r="BC38" s="95">
        <f t="shared" ca="1" si="11"/>
        <v>0</v>
      </c>
      <c r="BD38" s="52">
        <f ca="1">OFFSET($B38,0,Assumptions!$C$8+1,1,1)</f>
        <v>0</v>
      </c>
      <c r="BE38" s="52">
        <f ca="1">OFFSET($B38,0,SUM(Assumptions!$C$8:$C$9)+1,1,1)</f>
        <v>0</v>
      </c>
      <c r="BF38" s="52">
        <f ca="1">OFFSET($B38,0,SUM(Assumptions!$C$8:$C$10)+1,1,1)</f>
        <v>0</v>
      </c>
      <c r="BG38" s="52">
        <f ca="1">OFFSET($B38,0,SUM(Assumptions!$C$8:$C$11)+1,1,1)</f>
        <v>0</v>
      </c>
      <c r="BH38" s="52">
        <f t="shared" ref="BH38" ca="1" si="12">BG38</f>
        <v>0</v>
      </c>
    </row>
    <row r="39" spans="1:60" ht="16.149999999999999" customHeight="1" x14ac:dyDescent="0.3">
      <c r="A39" s="164" t="s">
        <v>174</v>
      </c>
      <c r="B39" s="12" t="s">
        <v>175</v>
      </c>
      <c r="C39" s="51">
        <f ca="1">-SUMIF(Assumptions!$A$81:$C$104,$A39,Assumptions!$C$81:$C$104)</f>
        <v>42000</v>
      </c>
      <c r="D39" s="51">
        <f ca="1">OFFSET(D$4,ROW($B39)-ROW($B$4),-1,1,1)+OFFSET(CashFlow!$B22,0,COLUMN(D$4)-COLUMN($C$4),1,1)</f>
        <v>0</v>
      </c>
      <c r="E39" s="51">
        <f ca="1">OFFSET(E$4,ROW($B39)-ROW($B$4),-1,1,1)+OFFSET(CashFlow!$B22,0,COLUMN(E$4)-COLUMN($C$4),1,1)</f>
        <v>0</v>
      </c>
      <c r="F39" s="51">
        <f ca="1">OFFSET(F$4,ROW($B39)-ROW($B$4),-1,1,1)+OFFSET(CashFlow!$B22,0,COLUMN(F$4)-COLUMN($C$4),1,1)</f>
        <v>0</v>
      </c>
      <c r="G39" s="51">
        <f ca="1">OFFSET(G$4,ROW($B39)-ROW($B$4),-1,1,1)+OFFSET(CashFlow!$B22,0,COLUMN(G$4)-COLUMN($C$4),1,1)</f>
        <v>0</v>
      </c>
      <c r="H39" s="51">
        <f ca="1">OFFSET(H$4,ROW($B39)-ROW($B$4),-1,1,1)+OFFSET(CashFlow!$B22,0,COLUMN(H$4)-COLUMN($C$4),1,1)</f>
        <v>0</v>
      </c>
      <c r="I39" s="51">
        <f ca="1">OFFSET(I$4,ROW($B39)-ROW($B$4),-1,1,1)+OFFSET(CashFlow!$B22,0,COLUMN(I$4)-COLUMN($C$4),1,1)</f>
        <v>0</v>
      </c>
      <c r="J39" s="51">
        <f ca="1">OFFSET(J$4,ROW($B39)-ROW($B$4),-1,1,1)+OFFSET(CashFlow!$B22,0,COLUMN(J$4)-COLUMN($C$4),1,1)</f>
        <v>0</v>
      </c>
      <c r="K39" s="51">
        <f ca="1">OFFSET(K$4,ROW($B39)-ROW($B$4),-1,1,1)+OFFSET(CashFlow!$B22,0,COLUMN(K$4)-COLUMN($C$4),1,1)</f>
        <v>0</v>
      </c>
      <c r="L39" s="51">
        <f ca="1">OFFSET(L$4,ROW($B39)-ROW($B$4),-1,1,1)+OFFSET(CashFlow!$B22,0,COLUMN(L$4)-COLUMN($C$4),1,1)</f>
        <v>0</v>
      </c>
      <c r="M39" s="51">
        <f ca="1">OFFSET(M$4,ROW($B39)-ROW($B$4),-1,1,1)+OFFSET(CashFlow!$B22,0,COLUMN(M$4)-COLUMN($C$4),1,1)</f>
        <v>0</v>
      </c>
      <c r="N39" s="51">
        <f ca="1">OFFSET(N$4,ROW($B39)-ROW($B$4),-1,1,1)+OFFSET(CashFlow!$B22,0,COLUMN(N$4)-COLUMN($C$4),1,1)</f>
        <v>0</v>
      </c>
      <c r="O39" s="51">
        <f ca="1">OFFSET(O$4,ROW($B39)-ROW($B$4),-1,1,1)+OFFSET(CashFlow!$B22,0,COLUMN(O$4)-COLUMN($C$4),1,1)</f>
        <v>0</v>
      </c>
      <c r="P39" s="51">
        <f ca="1">OFFSET(P$4,ROW($B39)-ROW($B$4),-1,1,1)+OFFSET(CashFlow!$B22,0,COLUMN(P$4)-COLUMN($C$4),1,1)</f>
        <v>0</v>
      </c>
      <c r="Q39" s="51">
        <f ca="1">OFFSET(Q$4,ROW($B39)-ROW($B$4),-1,1,1)+OFFSET(CashFlow!$B22,0,COLUMN(Q$4)-COLUMN($C$4),1,1)</f>
        <v>0</v>
      </c>
      <c r="R39" s="51">
        <f ca="1">OFFSET(R$4,ROW($B39)-ROW($B$4),-1,1,1)+OFFSET(CashFlow!$B22,0,COLUMN(R$4)-COLUMN($C$4),1,1)</f>
        <v>0</v>
      </c>
      <c r="S39" s="51">
        <f ca="1">OFFSET(S$4,ROW($B39)-ROW($B$4),-1,1,1)+OFFSET(CashFlow!$B22,0,COLUMN(S$4)-COLUMN($C$4),1,1)</f>
        <v>0</v>
      </c>
      <c r="T39" s="51">
        <f ca="1">OFFSET(T$4,ROW($B39)-ROW($B$4),-1,1,1)+OFFSET(CashFlow!$B22,0,COLUMN(T$4)-COLUMN($C$4),1,1)</f>
        <v>0</v>
      </c>
      <c r="U39" s="51">
        <f ca="1">OFFSET(U$4,ROW($B39)-ROW($B$4),-1,1,1)+OFFSET(CashFlow!$B22,0,COLUMN(U$4)-COLUMN($C$4),1,1)</f>
        <v>0</v>
      </c>
      <c r="V39" s="51">
        <f ca="1">OFFSET(V$4,ROW($B39)-ROW($B$4),-1,1,1)+OFFSET(CashFlow!$B22,0,COLUMN(V$4)-COLUMN($C$4),1,1)</f>
        <v>0</v>
      </c>
      <c r="W39" s="51">
        <f ca="1">OFFSET(W$4,ROW($B39)-ROW($B$4),-1,1,1)+OFFSET(CashFlow!$B22,0,COLUMN(W$4)-COLUMN($C$4),1,1)</f>
        <v>0</v>
      </c>
      <c r="X39" s="51">
        <f ca="1">OFFSET(X$4,ROW($B39)-ROW($B$4),-1,1,1)+OFFSET(CashFlow!$B22,0,COLUMN(X$4)-COLUMN($C$4),1,1)</f>
        <v>0</v>
      </c>
      <c r="Y39" s="51">
        <f ca="1">OFFSET(Y$4,ROW($B39)-ROW($B$4),-1,1,1)+OFFSET(CashFlow!$B22,0,COLUMN(Y$4)-COLUMN($C$4),1,1)</f>
        <v>0</v>
      </c>
      <c r="Z39" s="51">
        <f ca="1">OFFSET(Z$4,ROW($B39)-ROW($B$4),-1,1,1)+OFFSET(CashFlow!$B22,0,COLUMN(Z$4)-COLUMN($C$4),1,1)</f>
        <v>0</v>
      </c>
      <c r="AA39" s="51">
        <f ca="1">OFFSET(AA$4,ROW($B39)-ROW($B$4),-1,1,1)+OFFSET(CashFlow!$B22,0,COLUMN(AA$4)-COLUMN($C$4),1,1)</f>
        <v>0</v>
      </c>
      <c r="AB39" s="51">
        <f ca="1">OFFSET(AB$4,ROW($B39)-ROW($B$4),-1,1,1)+OFFSET(CashFlow!$B22,0,COLUMN(AB$4)-COLUMN($C$4),1,1)</f>
        <v>0</v>
      </c>
      <c r="AC39" s="51">
        <f ca="1">OFFSET(AC$4,ROW($B39)-ROW($B$4),-1,1,1)+OFFSET(CashFlow!$B22,0,COLUMN(AC$4)-COLUMN($C$4),1,1)</f>
        <v>0</v>
      </c>
      <c r="AD39" s="51">
        <f ca="1">OFFSET(AD$4,ROW($B39)-ROW($B$4),-1,1,1)+OFFSET(CashFlow!$B22,0,COLUMN(AD$4)-COLUMN($C$4),1,1)</f>
        <v>0</v>
      </c>
      <c r="AE39" s="51">
        <f ca="1">OFFSET(AE$4,ROW($B39)-ROW($B$4),-1,1,1)+OFFSET(CashFlow!$B22,0,COLUMN(AE$4)-COLUMN($C$4),1,1)</f>
        <v>0</v>
      </c>
      <c r="AF39" s="51">
        <f ca="1">OFFSET(AF$4,ROW($B39)-ROW($B$4),-1,1,1)+OFFSET(CashFlow!$B22,0,COLUMN(AF$4)-COLUMN($C$4),1,1)</f>
        <v>0</v>
      </c>
      <c r="AG39" s="51">
        <f ca="1">OFFSET(AG$4,ROW($B39)-ROW($B$4),-1,1,1)+OFFSET(CashFlow!$B22,0,COLUMN(AG$4)-COLUMN($C$4),1,1)</f>
        <v>0</v>
      </c>
      <c r="AH39" s="51">
        <f ca="1">OFFSET(AH$4,ROW($B39)-ROW($B$4),-1,1,1)+OFFSET(CashFlow!$B22,0,COLUMN(AH$4)-COLUMN($C$4),1,1)</f>
        <v>0</v>
      </c>
      <c r="AI39" s="51">
        <f ca="1">OFFSET(AI$4,ROW($B39)-ROW($B$4),-1,1,1)+OFFSET(CashFlow!$B22,0,COLUMN(AI$4)-COLUMN($C$4),1,1)</f>
        <v>0</v>
      </c>
      <c r="AJ39" s="51">
        <f ca="1">OFFSET(AJ$4,ROW($B39)-ROW($B$4),-1,1,1)+OFFSET(CashFlow!$B22,0,COLUMN(AJ$4)-COLUMN($C$4),1,1)</f>
        <v>0</v>
      </c>
      <c r="AK39" s="51">
        <f ca="1">OFFSET(AK$4,ROW($B39)-ROW($B$4),-1,1,1)+OFFSET(CashFlow!$B22,0,COLUMN(AK$4)-COLUMN($C$4),1,1)</f>
        <v>0</v>
      </c>
      <c r="AL39" s="51">
        <f ca="1">OFFSET(AL$4,ROW($B39)-ROW($B$4),-1,1,1)+OFFSET(CashFlow!$B22,0,COLUMN(AL$4)-COLUMN($C$4),1,1)</f>
        <v>0</v>
      </c>
      <c r="AM39" s="51">
        <f ca="1">OFFSET(AM$4,ROW($B39)-ROW($B$4),-1,1,1)+OFFSET(CashFlow!$B22,0,COLUMN(AM$4)-COLUMN($C$4),1,1)</f>
        <v>0</v>
      </c>
      <c r="AN39" s="51">
        <f ca="1">OFFSET(AN$4,ROW($B39)-ROW($B$4),-1,1,1)+OFFSET(CashFlow!$B22,0,COLUMN(AN$4)-COLUMN($C$4),1,1)</f>
        <v>0</v>
      </c>
      <c r="AO39" s="51">
        <f ca="1">OFFSET(AO$4,ROW($B39)-ROW($B$4),-1,1,1)+OFFSET(CashFlow!$B22,0,COLUMN(AO$4)-COLUMN($C$4),1,1)</f>
        <v>0</v>
      </c>
      <c r="AP39" s="51">
        <f ca="1">OFFSET(AP$4,ROW($B39)-ROW($B$4),-1,1,1)+OFFSET(CashFlow!$B22,0,COLUMN(AP$4)-COLUMN($C$4),1,1)</f>
        <v>0</v>
      </c>
      <c r="AQ39" s="51">
        <f ca="1">OFFSET(AQ$4,ROW($B39)-ROW($B$4),-1,1,1)+OFFSET(CashFlow!$B22,0,COLUMN(AQ$4)-COLUMN($C$4),1,1)</f>
        <v>0</v>
      </c>
      <c r="AR39" s="51">
        <f ca="1">OFFSET(AR$4,ROW($B39)-ROW($B$4),-1,1,1)+OFFSET(CashFlow!$B22,0,COLUMN(AR$4)-COLUMN($C$4),1,1)</f>
        <v>0</v>
      </c>
      <c r="AS39" s="51">
        <f ca="1">OFFSET(AS$4,ROW($B39)-ROW($B$4),-1,1,1)+OFFSET(CashFlow!$B22,0,COLUMN(AS$4)-COLUMN($C$4),1,1)</f>
        <v>0</v>
      </c>
      <c r="AT39" s="51">
        <f ca="1">OFFSET(AT$4,ROW($B39)-ROW($B$4),-1,1,1)+OFFSET(CashFlow!$B22,0,COLUMN(AT$4)-COLUMN($C$4),1,1)</f>
        <v>0</v>
      </c>
      <c r="AU39" s="51">
        <f ca="1">OFFSET(AU$4,ROW($B39)-ROW($B$4),-1,1,1)+OFFSET(CashFlow!$B22,0,COLUMN(AU$4)-COLUMN($C$4),1,1)</f>
        <v>0</v>
      </c>
      <c r="AV39" s="51">
        <f ca="1">OFFSET(AV$4,ROW($B39)-ROW($B$4),-1,1,1)+OFFSET(CashFlow!$B22,0,COLUMN(AV$4)-COLUMN($C$4),1,1)</f>
        <v>0</v>
      </c>
      <c r="AW39" s="51">
        <f ca="1">OFFSET(AW$4,ROW($B39)-ROW($B$4),-1,1,1)+OFFSET(CashFlow!$B22,0,COLUMN(AW$4)-COLUMN($C$4),1,1)</f>
        <v>0</v>
      </c>
      <c r="AX39" s="51">
        <f ca="1">OFFSET(AX$4,ROW($B39)-ROW($B$4),-1,1,1)+OFFSET(CashFlow!$B22,0,COLUMN(AX$4)-COLUMN($C$4),1,1)</f>
        <v>0</v>
      </c>
      <c r="AY39" s="51">
        <f ca="1">OFFSET(AY$4,ROW($B39)-ROW($B$4),-1,1,1)+OFFSET(CashFlow!$B22,0,COLUMN(AY$4)-COLUMN($C$4),1,1)</f>
        <v>0</v>
      </c>
      <c r="AZ39" s="51">
        <f ca="1">OFFSET(AZ$4,ROW($B39)-ROW($B$4),-1,1,1)+OFFSET(CashFlow!$B22,0,COLUMN(AZ$4)-COLUMN($C$4),1,1)</f>
        <v>0</v>
      </c>
      <c r="BA39" s="51">
        <f ca="1">OFFSET(BA$4,ROW($B39)-ROW($B$4),-1,1,1)+OFFSET(CashFlow!$B22,0,COLUMN(BA$4)-COLUMN($C$4),1,1)</f>
        <v>0</v>
      </c>
      <c r="BB39" s="51">
        <f ca="1">OFFSET(BB$4,ROW($B39)-ROW($B$4),-1,1,1)+OFFSET(CashFlow!$B22,0,COLUMN(BB$4)-COLUMN($C$4),1,1)</f>
        <v>0</v>
      </c>
      <c r="BC39" s="51">
        <f ca="1">OFFSET(BC$4,ROW($B39)-ROW($B$4),-1,1,1)+OFFSET(CashFlow!$B22,0,COLUMN(BC$4)-COLUMN($C$4),1,1)</f>
        <v>30000</v>
      </c>
      <c r="BD39" s="52">
        <f ca="1">OFFSET($B39,0,Assumptions!$C$8+1,1,1)</f>
        <v>0</v>
      </c>
      <c r="BE39" s="52">
        <f ca="1">OFFSET($B39,0,SUM(Assumptions!$C$8:$C$9)+1,1,1)</f>
        <v>0</v>
      </c>
      <c r="BF39" s="52">
        <f ca="1">OFFSET($B39,0,SUM(Assumptions!$C$8:$C$10)+1,1,1)</f>
        <v>0</v>
      </c>
      <c r="BG39" s="52">
        <f ca="1">OFFSET($B39,0,SUM(Assumptions!$C$8:$C$11)+1,1,1)</f>
        <v>30000</v>
      </c>
      <c r="BH39" s="52">
        <f t="shared" ca="1" si="10"/>
        <v>30000</v>
      </c>
    </row>
    <row r="40" spans="1:60" ht="16.149999999999999" customHeight="1" thickBot="1" x14ac:dyDescent="0.35">
      <c r="C40" s="93">
        <f ca="1">SUM(C32:C39)</f>
        <v>263000</v>
      </c>
      <c r="D40" s="93">
        <f t="shared" ref="D40:BH40" ca="1" si="13">SUM(D32:D39)</f>
        <v>151798.5</v>
      </c>
      <c r="E40" s="93">
        <f t="shared" ca="1" si="13"/>
        <v>159548.842</v>
      </c>
      <c r="F40" s="93">
        <f t="shared" ca="1" si="13"/>
        <v>184464.36580952382</v>
      </c>
      <c r="G40" s="93">
        <f t="shared" ca="1" si="13"/>
        <v>188858.49342857141</v>
      </c>
      <c r="H40" s="93">
        <f t="shared" ca="1" si="13"/>
        <v>217497.31676190472</v>
      </c>
      <c r="I40" s="93">
        <f t="shared" ca="1" si="13"/>
        <v>203414.21193391326</v>
      </c>
      <c r="J40" s="93">
        <f t="shared" ca="1" si="13"/>
        <v>217697.38264819898</v>
      </c>
      <c r="K40" s="93">
        <f t="shared" ca="1" si="13"/>
        <v>225602.10407677043</v>
      </c>
      <c r="L40" s="93">
        <f t="shared" ca="1" si="13"/>
        <v>230682.52629749515</v>
      </c>
      <c r="M40" s="93">
        <f t="shared" ca="1" si="13"/>
        <v>212156.66172590066</v>
      </c>
      <c r="N40" s="93">
        <f t="shared" ca="1" si="13"/>
        <v>233866.21643039698</v>
      </c>
      <c r="O40" s="93">
        <f t="shared" ca="1" si="13"/>
        <v>250068.22881134937</v>
      </c>
      <c r="P40" s="93">
        <f t="shared" ca="1" si="13"/>
        <v>231833.30779511525</v>
      </c>
      <c r="Q40" s="93">
        <f t="shared" ca="1" si="13"/>
        <v>228313.32937642309</v>
      </c>
      <c r="R40" s="93">
        <f t="shared" ca="1" si="13"/>
        <v>245050.97565229156</v>
      </c>
      <c r="S40" s="93">
        <f t="shared" ca="1" si="13"/>
        <v>236468.66898562486</v>
      </c>
      <c r="T40" s="93">
        <f t="shared" ca="1" si="13"/>
        <v>247947.22969991056</v>
      </c>
      <c r="U40" s="93">
        <f t="shared" ca="1" si="13"/>
        <v>274142.8294901193</v>
      </c>
      <c r="V40" s="93">
        <f t="shared" ca="1" si="13"/>
        <v>267913.92345366912</v>
      </c>
      <c r="W40" s="93">
        <f t="shared" ca="1" si="13"/>
        <v>283984.82107271673</v>
      </c>
      <c r="X40" s="93">
        <f t="shared" ca="1" si="13"/>
        <v>237402.98178700244</v>
      </c>
      <c r="Y40" s="93">
        <f t="shared" ca="1" si="13"/>
        <v>257508.62783639811</v>
      </c>
      <c r="Z40" s="93">
        <f t="shared" ca="1" si="13"/>
        <v>249977.16558707831</v>
      </c>
      <c r="AA40" s="93">
        <f t="shared" ca="1" si="13"/>
        <v>285943.41121825948</v>
      </c>
      <c r="AB40" s="93">
        <f t="shared" ca="1" si="13"/>
        <v>300391.56407540233</v>
      </c>
      <c r="AC40" s="93">
        <f t="shared" ca="1" si="13"/>
        <v>255529.63214285715</v>
      </c>
      <c r="AD40" s="93">
        <f t="shared" ca="1" si="13"/>
        <v>236824.93638094357</v>
      </c>
      <c r="AE40" s="93">
        <f t="shared" ca="1" si="13"/>
        <v>236135.37905130611</v>
      </c>
      <c r="AF40" s="93">
        <f t="shared" ca="1" si="13"/>
        <v>242592.47905130609</v>
      </c>
      <c r="AG40" s="93">
        <f t="shared" ca="1" si="13"/>
        <v>208223.87333702034</v>
      </c>
      <c r="AH40" s="93">
        <f t="shared" ca="1" si="13"/>
        <v>230261.84121931921</v>
      </c>
      <c r="AI40" s="93">
        <f t="shared" ca="1" si="13"/>
        <v>230988.92322141427</v>
      </c>
      <c r="AJ40" s="93">
        <f t="shared" ca="1" si="13"/>
        <v>258032.61750712857</v>
      </c>
      <c r="AK40" s="93">
        <f t="shared" ca="1" si="13"/>
        <v>292362.16512617614</v>
      </c>
      <c r="AL40" s="93">
        <f t="shared" ca="1" si="13"/>
        <v>306763.21746991761</v>
      </c>
      <c r="AM40" s="93">
        <f t="shared" ca="1" si="13"/>
        <v>300133.06654431729</v>
      </c>
      <c r="AN40" s="93">
        <f t="shared" ca="1" si="13"/>
        <v>301499.17128181329</v>
      </c>
      <c r="AO40" s="93">
        <f t="shared" ca="1" si="13"/>
        <v>315742.53556752758</v>
      </c>
      <c r="AP40" s="93">
        <f t="shared" ca="1" si="13"/>
        <v>280701.45342467044</v>
      </c>
      <c r="AQ40" s="93">
        <f t="shared" ca="1" si="13"/>
        <v>294993.08157149906</v>
      </c>
      <c r="AR40" s="93">
        <f t="shared" ca="1" si="13"/>
        <v>267844.9306949692</v>
      </c>
      <c r="AS40" s="93">
        <f t="shared" ca="1" si="13"/>
        <v>247963.70212354057</v>
      </c>
      <c r="AT40" s="93">
        <f t="shared" ca="1" si="13"/>
        <v>240751.50593306439</v>
      </c>
      <c r="AU40" s="93">
        <f t="shared" ca="1" si="13"/>
        <v>241223.68214023218</v>
      </c>
      <c r="AV40" s="93">
        <f t="shared" ca="1" si="13"/>
        <v>211157.9257759233</v>
      </c>
      <c r="AW40" s="93">
        <f t="shared" ca="1" si="13"/>
        <v>232385.94755001878</v>
      </c>
      <c r="AX40" s="93">
        <f t="shared" ca="1" si="13"/>
        <v>272166.91421668552</v>
      </c>
      <c r="AY40" s="93">
        <f t="shared" ca="1" si="13"/>
        <v>261456.56820077618</v>
      </c>
      <c r="AZ40" s="93">
        <f t="shared" ca="1" si="13"/>
        <v>270397.56122927507</v>
      </c>
      <c r="BA40" s="93">
        <f t="shared" ca="1" si="13"/>
        <v>300171.90554636205</v>
      </c>
      <c r="BB40" s="93">
        <f t="shared" ca="1" si="13"/>
        <v>329748.73411779053</v>
      </c>
      <c r="BC40" s="93">
        <f t="shared" ca="1" si="13"/>
        <v>374270.65214285714</v>
      </c>
      <c r="BD40" s="57">
        <f t="shared" ca="1" si="13"/>
        <v>231833.30779511525</v>
      </c>
      <c r="BE40" s="57">
        <f t="shared" ca="1" si="13"/>
        <v>255529.63214285715</v>
      </c>
      <c r="BF40" s="57">
        <f t="shared" ca="1" si="13"/>
        <v>280701.45342467044</v>
      </c>
      <c r="BG40" s="57">
        <f t="shared" ca="1" si="13"/>
        <v>374270.65214285714</v>
      </c>
      <c r="BH40" s="57">
        <f t="shared" ca="1" si="13"/>
        <v>374270.65214285714</v>
      </c>
    </row>
    <row r="41" spans="1:60" s="10" customFormat="1" ht="16.149999999999999" customHeight="1" thickBot="1" x14ac:dyDescent="0.3">
      <c r="A41" s="165"/>
      <c r="B41" s="2" t="s">
        <v>193</v>
      </c>
      <c r="C41" s="96">
        <f ca="1">SUM(C24,C30,C40)</f>
        <v>2789000</v>
      </c>
      <c r="D41" s="96">
        <f t="shared" ref="D41:BH41" ca="1" si="14">SUM(D24,D30,D40)</f>
        <v>2676847.8197747869</v>
      </c>
      <c r="E41" s="96">
        <f t="shared" ca="1" si="14"/>
        <v>2698931.357656464</v>
      </c>
      <c r="F41" s="96">
        <f t="shared" ca="1" si="14"/>
        <v>2750390.8814659878</v>
      </c>
      <c r="G41" s="96">
        <f t="shared" ca="1" si="14"/>
        <v>2735829.8090850352</v>
      </c>
      <c r="H41" s="96">
        <f t="shared" ca="1" si="14"/>
        <v>2768872.7290048222</v>
      </c>
      <c r="I41" s="96">
        <f t="shared" ca="1" si="14"/>
        <v>2742076.2973755714</v>
      </c>
      <c r="J41" s="96">
        <f t="shared" ca="1" si="14"/>
        <v>2772001.1080898573</v>
      </c>
      <c r="K41" s="96">
        <f t="shared" ca="1" si="14"/>
        <v>2810631.829518429</v>
      </c>
      <c r="L41" s="96">
        <f t="shared" ca="1" si="14"/>
        <v>2768472.4765810724</v>
      </c>
      <c r="M41" s="96">
        <f t="shared" ca="1" si="14"/>
        <v>2748173.7915939544</v>
      </c>
      <c r="N41" s="96">
        <f t="shared" ca="1" si="14"/>
        <v>2793324.8270946792</v>
      </c>
      <c r="O41" s="96">
        <f t="shared" ca="1" si="14"/>
        <v>2843884.2794756317</v>
      </c>
      <c r="P41" s="96">
        <f t="shared" ca="1" si="14"/>
        <v>2767708.6927287518</v>
      </c>
      <c r="Q41" s="96">
        <f t="shared" ca="1" si="14"/>
        <v>2772724.2458368721</v>
      </c>
      <c r="R41" s="96">
        <f t="shared" ca="1" si="14"/>
        <v>2810691.0670518829</v>
      </c>
      <c r="S41" s="96">
        <f t="shared" ca="1" si="14"/>
        <v>2832309.4003852159</v>
      </c>
      <c r="T41" s="96">
        <f t="shared" ca="1" si="14"/>
        <v>2819446.5610995018</v>
      </c>
      <c r="U41" s="96">
        <f t="shared" ca="1" si="14"/>
        <v>2854112.0653050025</v>
      </c>
      <c r="V41" s="96">
        <f t="shared" ca="1" si="14"/>
        <v>2845406.4479614664</v>
      </c>
      <c r="W41" s="96">
        <f t="shared" ca="1" si="14"/>
        <v>2890070.9455805141</v>
      </c>
      <c r="X41" s="96">
        <f t="shared" ca="1" si="14"/>
        <v>2870103.9062948003</v>
      </c>
      <c r="Y41" s="96">
        <f t="shared" ca="1" si="14"/>
        <v>2851724.5271669677</v>
      </c>
      <c r="Z41" s="96">
        <f t="shared" ca="1" si="14"/>
        <v>2950944.2993227066</v>
      </c>
      <c r="AA41" s="96">
        <f t="shared" ca="1" si="14"/>
        <v>3004437.434823432</v>
      </c>
      <c r="AB41" s="96">
        <f t="shared" ca="1" si="14"/>
        <v>3054091.4276805748</v>
      </c>
      <c r="AC41" s="96">
        <f t="shared" ca="1" si="14"/>
        <v>2967713.5757480296</v>
      </c>
      <c r="AD41" s="96">
        <f t="shared" ca="1" si="14"/>
        <v>2949990.4596170364</v>
      </c>
      <c r="AE41" s="96">
        <f t="shared" ca="1" si="14"/>
        <v>2975137.0094034756</v>
      </c>
      <c r="AF41" s="96">
        <f t="shared" ca="1" si="14"/>
        <v>3019077.3094034754</v>
      </c>
      <c r="AG41" s="96">
        <f t="shared" ca="1" si="14"/>
        <v>3021719.2236891896</v>
      </c>
      <c r="AH41" s="96">
        <f t="shared" ca="1" si="14"/>
        <v>3006728.6511167432</v>
      </c>
      <c r="AI41" s="96">
        <f t="shared" ca="1" si="14"/>
        <v>3001605.2373446361</v>
      </c>
      <c r="AJ41" s="96">
        <f t="shared" ca="1" si="14"/>
        <v>3066384.8516303501</v>
      </c>
      <c r="AK41" s="96">
        <f t="shared" ca="1" si="14"/>
        <v>3127090.3992493977</v>
      </c>
      <c r="AL41" s="96">
        <f t="shared" ca="1" si="14"/>
        <v>3101420.9814388561</v>
      </c>
      <c r="AM41" s="96">
        <f t="shared" ca="1" si="14"/>
        <v>3102186.301213643</v>
      </c>
      <c r="AN41" s="96">
        <f t="shared" ca="1" si="14"/>
        <v>3134039.2581429393</v>
      </c>
      <c r="AO41" s="96">
        <f t="shared" ca="1" si="14"/>
        <v>3183350.2224286534</v>
      </c>
      <c r="AP41" s="96">
        <f t="shared" ca="1" si="14"/>
        <v>3110807.9402857963</v>
      </c>
      <c r="AQ41" s="96">
        <f t="shared" ca="1" si="14"/>
        <v>3139295.9422500413</v>
      </c>
      <c r="AR41" s="96">
        <f t="shared" ca="1" si="14"/>
        <v>3118335.9277507667</v>
      </c>
      <c r="AS41" s="96">
        <f t="shared" ca="1" si="14"/>
        <v>3115050.6991793378</v>
      </c>
      <c r="AT41" s="96">
        <f t="shared" ca="1" si="14"/>
        <v>3071538.0229888619</v>
      </c>
      <c r="AU41" s="96">
        <f t="shared" ca="1" si="14"/>
        <v>3062752.6247021295</v>
      </c>
      <c r="AV41" s="96">
        <f t="shared" ca="1" si="14"/>
        <v>3263480.2616197737</v>
      </c>
      <c r="AW41" s="96">
        <f t="shared" ca="1" si="14"/>
        <v>3302235.7092633555</v>
      </c>
      <c r="AX41" s="96">
        <f t="shared" ca="1" si="14"/>
        <v>3380714.2759300224</v>
      </c>
      <c r="AY41" s="96">
        <f t="shared" ca="1" si="14"/>
        <v>3326114.8276432902</v>
      </c>
      <c r="AZ41" s="96">
        <f t="shared" ca="1" si="14"/>
        <v>3343332.6555773104</v>
      </c>
      <c r="BA41" s="96">
        <f t="shared" ca="1" si="14"/>
        <v>3400751.9186970829</v>
      </c>
      <c r="BB41" s="96">
        <f t="shared" ca="1" si="14"/>
        <v>3457897.5472685113</v>
      </c>
      <c r="BC41" s="96">
        <f t="shared" ca="1" si="14"/>
        <v>3458881.065293578</v>
      </c>
      <c r="BD41" s="96">
        <f t="shared" ca="1" si="14"/>
        <v>2767708.6927287518</v>
      </c>
      <c r="BE41" s="96">
        <f t="shared" ca="1" si="14"/>
        <v>2967713.5757480296</v>
      </c>
      <c r="BF41" s="96">
        <f t="shared" ca="1" si="14"/>
        <v>3110807.9402857963</v>
      </c>
      <c r="BG41" s="96">
        <f t="shared" ca="1" si="14"/>
        <v>3458881.065293578</v>
      </c>
      <c r="BH41" s="96">
        <f t="shared" ca="1" si="14"/>
        <v>3458881.065293578</v>
      </c>
    </row>
    <row r="42" spans="1:60" s="107" customFormat="1" ht="16.149999999999999" customHeight="1" thickTop="1" x14ac:dyDescent="0.3">
      <c r="A42" s="166"/>
      <c r="B42" s="18"/>
      <c r="C42" s="105" t="str">
        <f t="shared" ref="C42:BH42" ca="1" si="15">IF(ROUND(C18-C41,0)&lt;&gt;0,ROUND(C18-C41,0),"")</f>
        <v/>
      </c>
      <c r="D42" s="105" t="str">
        <f t="shared" ca="1" si="15"/>
        <v/>
      </c>
      <c r="E42" s="105" t="str">
        <f t="shared" ca="1" si="15"/>
        <v/>
      </c>
      <c r="F42" s="105" t="str">
        <f t="shared" ca="1" si="15"/>
        <v/>
      </c>
      <c r="G42" s="105" t="str">
        <f t="shared" ca="1" si="15"/>
        <v/>
      </c>
      <c r="H42" s="105" t="str">
        <f t="shared" ca="1" si="15"/>
        <v/>
      </c>
      <c r="I42" s="105" t="str">
        <f t="shared" ca="1" si="15"/>
        <v/>
      </c>
      <c r="J42" s="105" t="str">
        <f t="shared" ca="1" si="15"/>
        <v/>
      </c>
      <c r="K42" s="105" t="str">
        <f t="shared" ca="1" si="15"/>
        <v/>
      </c>
      <c r="L42" s="105" t="str">
        <f t="shared" ca="1" si="15"/>
        <v/>
      </c>
      <c r="M42" s="105" t="str">
        <f t="shared" ca="1" si="15"/>
        <v/>
      </c>
      <c r="N42" s="105" t="str">
        <f t="shared" ca="1" si="15"/>
        <v/>
      </c>
      <c r="O42" s="105" t="str">
        <f t="shared" ca="1" si="15"/>
        <v/>
      </c>
      <c r="P42" s="105" t="str">
        <f t="shared" ca="1" si="15"/>
        <v/>
      </c>
      <c r="Q42" s="105" t="str">
        <f t="shared" ca="1" si="15"/>
        <v/>
      </c>
      <c r="R42" s="105" t="str">
        <f t="shared" ca="1" si="15"/>
        <v/>
      </c>
      <c r="S42" s="105" t="str">
        <f t="shared" ca="1" si="15"/>
        <v/>
      </c>
      <c r="T42" s="105" t="str">
        <f t="shared" ca="1" si="15"/>
        <v/>
      </c>
      <c r="U42" s="105" t="str">
        <f t="shared" ca="1" si="15"/>
        <v/>
      </c>
      <c r="V42" s="105" t="str">
        <f t="shared" ca="1" si="15"/>
        <v/>
      </c>
      <c r="W42" s="105" t="str">
        <f t="shared" ca="1" si="15"/>
        <v/>
      </c>
      <c r="X42" s="105" t="str">
        <f t="shared" ca="1" si="15"/>
        <v/>
      </c>
      <c r="Y42" s="105" t="str">
        <f t="shared" ca="1" si="15"/>
        <v/>
      </c>
      <c r="Z42" s="105" t="str">
        <f t="shared" ca="1" si="15"/>
        <v/>
      </c>
      <c r="AA42" s="105" t="str">
        <f t="shared" ca="1" si="15"/>
        <v/>
      </c>
      <c r="AB42" s="105" t="str">
        <f t="shared" ca="1" si="15"/>
        <v/>
      </c>
      <c r="AC42" s="105" t="str">
        <f t="shared" ca="1" si="15"/>
        <v/>
      </c>
      <c r="AD42" s="105" t="str">
        <f t="shared" ca="1" si="15"/>
        <v/>
      </c>
      <c r="AE42" s="105" t="str">
        <f t="shared" ca="1" si="15"/>
        <v/>
      </c>
      <c r="AF42" s="105" t="str">
        <f t="shared" ca="1" si="15"/>
        <v/>
      </c>
      <c r="AG42" s="105" t="str">
        <f t="shared" ca="1" si="15"/>
        <v/>
      </c>
      <c r="AH42" s="105" t="str">
        <f t="shared" ca="1" si="15"/>
        <v/>
      </c>
      <c r="AI42" s="105" t="str">
        <f t="shared" ca="1" si="15"/>
        <v/>
      </c>
      <c r="AJ42" s="105" t="str">
        <f t="shared" ca="1" si="15"/>
        <v/>
      </c>
      <c r="AK42" s="105" t="str">
        <f t="shared" ca="1" si="15"/>
        <v/>
      </c>
      <c r="AL42" s="105" t="str">
        <f t="shared" ca="1" si="15"/>
        <v/>
      </c>
      <c r="AM42" s="105" t="str">
        <f t="shared" ca="1" si="15"/>
        <v/>
      </c>
      <c r="AN42" s="105" t="str">
        <f t="shared" ca="1" si="15"/>
        <v/>
      </c>
      <c r="AO42" s="105" t="str">
        <f t="shared" ca="1" si="15"/>
        <v/>
      </c>
      <c r="AP42" s="105" t="str">
        <f t="shared" ca="1" si="15"/>
        <v/>
      </c>
      <c r="AQ42" s="105" t="str">
        <f t="shared" ca="1" si="15"/>
        <v/>
      </c>
      <c r="AR42" s="105" t="str">
        <f t="shared" ca="1" si="15"/>
        <v/>
      </c>
      <c r="AS42" s="105" t="str">
        <f t="shared" ca="1" si="15"/>
        <v/>
      </c>
      <c r="AT42" s="105" t="str">
        <f t="shared" ca="1" si="15"/>
        <v/>
      </c>
      <c r="AU42" s="105" t="str">
        <f t="shared" ca="1" si="15"/>
        <v/>
      </c>
      <c r="AV42" s="105" t="str">
        <f t="shared" ca="1" si="15"/>
        <v/>
      </c>
      <c r="AW42" s="105" t="str">
        <f t="shared" ca="1" si="15"/>
        <v/>
      </c>
      <c r="AX42" s="105" t="str">
        <f t="shared" ca="1" si="15"/>
        <v/>
      </c>
      <c r="AY42" s="105" t="str">
        <f t="shared" ca="1" si="15"/>
        <v/>
      </c>
      <c r="AZ42" s="105" t="str">
        <f t="shared" ca="1" si="15"/>
        <v/>
      </c>
      <c r="BA42" s="105" t="str">
        <f t="shared" ca="1" si="15"/>
        <v/>
      </c>
      <c r="BB42" s="105" t="str">
        <f t="shared" ca="1" si="15"/>
        <v/>
      </c>
      <c r="BC42" s="105" t="str">
        <f t="shared" ca="1" si="15"/>
        <v/>
      </c>
      <c r="BD42" s="106" t="str">
        <f t="shared" ca="1" si="15"/>
        <v/>
      </c>
      <c r="BE42" s="106" t="str">
        <f t="shared" ca="1" si="15"/>
        <v/>
      </c>
      <c r="BF42" s="106" t="str">
        <f t="shared" ca="1" si="15"/>
        <v/>
      </c>
      <c r="BG42" s="106" t="str">
        <f t="shared" ca="1" si="15"/>
        <v/>
      </c>
      <c r="BH42" s="106" t="str">
        <f t="shared" ca="1" si="15"/>
        <v/>
      </c>
    </row>
    <row r="43" spans="1:60" s="19" customFormat="1" ht="16.149999999999999" customHeight="1" x14ac:dyDescent="0.25">
      <c r="A43" s="180"/>
      <c r="B43" s="6" t="s">
        <v>98</v>
      </c>
      <c r="C43" s="84"/>
      <c r="D43" s="84">
        <v>7</v>
      </c>
      <c r="E43" s="84">
        <v>7</v>
      </c>
      <c r="F43" s="84">
        <v>7</v>
      </c>
      <c r="G43" s="84">
        <v>7</v>
      </c>
      <c r="H43" s="84">
        <v>7</v>
      </c>
      <c r="I43" s="84">
        <v>7</v>
      </c>
      <c r="J43" s="84">
        <v>7</v>
      </c>
      <c r="K43" s="84">
        <v>7</v>
      </c>
      <c r="L43" s="84">
        <v>7</v>
      </c>
      <c r="M43" s="84">
        <v>7</v>
      </c>
      <c r="N43" s="84">
        <v>7</v>
      </c>
      <c r="O43" s="84">
        <v>7</v>
      </c>
      <c r="P43" s="84">
        <v>7</v>
      </c>
      <c r="Q43" s="84">
        <v>7</v>
      </c>
      <c r="R43" s="84">
        <v>7</v>
      </c>
      <c r="S43" s="84">
        <v>7</v>
      </c>
      <c r="T43" s="84">
        <v>7</v>
      </c>
      <c r="U43" s="84">
        <v>7</v>
      </c>
      <c r="V43" s="84">
        <v>7</v>
      </c>
      <c r="W43" s="84">
        <v>7</v>
      </c>
      <c r="X43" s="84">
        <v>7</v>
      </c>
      <c r="Y43" s="84">
        <v>7</v>
      </c>
      <c r="Z43" s="84">
        <v>7</v>
      </c>
      <c r="AA43" s="84">
        <v>7</v>
      </c>
      <c r="AB43" s="84">
        <v>7</v>
      </c>
      <c r="AC43" s="84">
        <v>7</v>
      </c>
      <c r="AD43" s="84">
        <v>7</v>
      </c>
      <c r="AE43" s="84">
        <v>7</v>
      </c>
      <c r="AF43" s="84">
        <v>7</v>
      </c>
      <c r="AG43" s="84">
        <v>7</v>
      </c>
      <c r="AH43" s="84">
        <v>7</v>
      </c>
      <c r="AI43" s="84">
        <v>7</v>
      </c>
      <c r="AJ43" s="84">
        <v>7</v>
      </c>
      <c r="AK43" s="84">
        <v>7</v>
      </c>
      <c r="AL43" s="84">
        <v>7</v>
      </c>
      <c r="AM43" s="84">
        <v>7</v>
      </c>
      <c r="AN43" s="84">
        <v>7</v>
      </c>
      <c r="AO43" s="84">
        <v>7</v>
      </c>
      <c r="AP43" s="84">
        <v>7</v>
      </c>
      <c r="AQ43" s="84">
        <v>7</v>
      </c>
      <c r="AR43" s="84">
        <v>7</v>
      </c>
      <c r="AS43" s="84">
        <v>7</v>
      </c>
      <c r="AT43" s="84">
        <v>7</v>
      </c>
      <c r="AU43" s="84">
        <v>7</v>
      </c>
      <c r="AV43" s="84">
        <v>7</v>
      </c>
      <c r="AW43" s="84">
        <v>7</v>
      </c>
      <c r="AX43" s="84">
        <v>7</v>
      </c>
      <c r="AY43" s="84">
        <v>7</v>
      </c>
      <c r="AZ43" s="84">
        <v>7</v>
      </c>
      <c r="BA43" s="84">
        <v>7</v>
      </c>
      <c r="BB43" s="84">
        <v>7</v>
      </c>
      <c r="BC43" s="84">
        <v>7</v>
      </c>
      <c r="BD43" s="108">
        <f ca="1">SUM(OFFSET($B43,0,2,1,Assumptions!$C$8))</f>
        <v>91</v>
      </c>
      <c r="BE43" s="108">
        <f ca="1">SUM(OFFSET($B43,0,Assumptions!$C$8+1,1,SUM(Assumptions!$C$9)))</f>
        <v>91</v>
      </c>
      <c r="BF43" s="108">
        <f ca="1">SUM(OFFSET($B43,0,SUM(Assumptions!$C$8:$C$9)+1,1,SUM(Assumptions!$C$10)))</f>
        <v>91</v>
      </c>
      <c r="BG43" s="108">
        <f ca="1">SUM(OFFSET($B43,0,SUM(Assumptions!$C$8:$C$10)+1,1,SUM(Assumptions!$C$11)))</f>
        <v>91</v>
      </c>
      <c r="BH43" s="108">
        <f ca="1">SUM(BD43:BG43)</f>
        <v>364</v>
      </c>
    </row>
    <row r="44" spans="1:60" ht="16.149999999999999" customHeight="1" x14ac:dyDescent="0.3">
      <c r="J44" s="16"/>
      <c r="K44" s="16"/>
      <c r="L44" s="16"/>
      <c r="M44" s="16"/>
      <c r="N44" s="16"/>
      <c r="O44" s="16"/>
      <c r="P44" s="16"/>
    </row>
    <row r="45" spans="1:60" s="111" customFormat="1" ht="16.149999999999999" customHeight="1" x14ac:dyDescent="0.25">
      <c r="A45" s="183"/>
      <c r="B45" s="6" t="s">
        <v>235</v>
      </c>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10"/>
      <c r="BE45" s="110"/>
      <c r="BF45" s="110"/>
      <c r="BG45" s="110"/>
      <c r="BH45" s="110"/>
    </row>
    <row r="46" spans="1:60" s="114" customFormat="1" ht="16.149999999999999" customHeight="1" x14ac:dyDescent="0.25">
      <c r="A46" s="184"/>
      <c r="B46" s="87" t="s">
        <v>31</v>
      </c>
      <c r="C46" s="112">
        <f>Assumptions!$C$48</f>
        <v>30</v>
      </c>
      <c r="D46" s="112">
        <f>Assumptions!$C$48</f>
        <v>30</v>
      </c>
      <c r="E46" s="112">
        <f>Assumptions!$C$48</f>
        <v>30</v>
      </c>
      <c r="F46" s="112">
        <f>Assumptions!$C$48</f>
        <v>30</v>
      </c>
      <c r="G46" s="112">
        <f>Assumptions!$C$48</f>
        <v>30</v>
      </c>
      <c r="H46" s="112">
        <f>Assumptions!$C$48</f>
        <v>30</v>
      </c>
      <c r="I46" s="112">
        <f>Assumptions!$C$48</f>
        <v>30</v>
      </c>
      <c r="J46" s="112">
        <f>Assumptions!$C$48</f>
        <v>30</v>
      </c>
      <c r="K46" s="112">
        <f>Assumptions!$C$48</f>
        <v>30</v>
      </c>
      <c r="L46" s="112">
        <f>Assumptions!$C$48</f>
        <v>30</v>
      </c>
      <c r="M46" s="112">
        <f>Assumptions!$C$48</f>
        <v>30</v>
      </c>
      <c r="N46" s="112">
        <f>Assumptions!$C$48</f>
        <v>30</v>
      </c>
      <c r="O46" s="112">
        <f>Assumptions!$C$48</f>
        <v>30</v>
      </c>
      <c r="P46" s="112">
        <f>Assumptions!$C$48</f>
        <v>30</v>
      </c>
      <c r="Q46" s="112">
        <f>Assumptions!$C$48</f>
        <v>30</v>
      </c>
      <c r="R46" s="112">
        <f>Assumptions!$C$48</f>
        <v>30</v>
      </c>
      <c r="S46" s="112">
        <f>Assumptions!$C$48</f>
        <v>30</v>
      </c>
      <c r="T46" s="112">
        <f>Assumptions!$C$48</f>
        <v>30</v>
      </c>
      <c r="U46" s="112">
        <f>Assumptions!$C$48</f>
        <v>30</v>
      </c>
      <c r="V46" s="112">
        <f>Assumptions!$C$48</f>
        <v>30</v>
      </c>
      <c r="W46" s="112">
        <f>Assumptions!$C$48</f>
        <v>30</v>
      </c>
      <c r="X46" s="112">
        <f>Assumptions!$C$48</f>
        <v>30</v>
      </c>
      <c r="Y46" s="112">
        <f>Assumptions!$C$48</f>
        <v>30</v>
      </c>
      <c r="Z46" s="112">
        <f>Assumptions!$C$48</f>
        <v>30</v>
      </c>
      <c r="AA46" s="112">
        <f>Assumptions!$C$48</f>
        <v>30</v>
      </c>
      <c r="AB46" s="112">
        <f>Assumptions!$C$48</f>
        <v>30</v>
      </c>
      <c r="AC46" s="112">
        <f>Assumptions!$C$48</f>
        <v>30</v>
      </c>
      <c r="AD46" s="112">
        <f>Assumptions!$C$48</f>
        <v>30</v>
      </c>
      <c r="AE46" s="112">
        <f>Assumptions!$C$48</f>
        <v>30</v>
      </c>
      <c r="AF46" s="112">
        <f>Assumptions!$C$48</f>
        <v>30</v>
      </c>
      <c r="AG46" s="112">
        <f>Assumptions!$C$48</f>
        <v>30</v>
      </c>
      <c r="AH46" s="112">
        <f>Assumptions!$C$48</f>
        <v>30</v>
      </c>
      <c r="AI46" s="112">
        <f>Assumptions!$C$48</f>
        <v>30</v>
      </c>
      <c r="AJ46" s="112">
        <f>Assumptions!$C$48</f>
        <v>30</v>
      </c>
      <c r="AK46" s="112">
        <f>Assumptions!$C$48</f>
        <v>30</v>
      </c>
      <c r="AL46" s="112">
        <f>Assumptions!$C$48</f>
        <v>30</v>
      </c>
      <c r="AM46" s="112">
        <f>Assumptions!$C$48</f>
        <v>30</v>
      </c>
      <c r="AN46" s="112">
        <f>Assumptions!$C$48</f>
        <v>30</v>
      </c>
      <c r="AO46" s="112">
        <f>Assumptions!$C$48</f>
        <v>30</v>
      </c>
      <c r="AP46" s="112">
        <f>Assumptions!$C$48</f>
        <v>30</v>
      </c>
      <c r="AQ46" s="112">
        <f>Assumptions!$C$48</f>
        <v>30</v>
      </c>
      <c r="AR46" s="112">
        <f>Assumptions!$C$48</f>
        <v>30</v>
      </c>
      <c r="AS46" s="112">
        <f>Assumptions!$C$48</f>
        <v>30</v>
      </c>
      <c r="AT46" s="112">
        <f>Assumptions!$C$48</f>
        <v>30</v>
      </c>
      <c r="AU46" s="112">
        <f>Assumptions!$C$48</f>
        <v>30</v>
      </c>
      <c r="AV46" s="112">
        <f>Assumptions!$C$48</f>
        <v>30</v>
      </c>
      <c r="AW46" s="112">
        <f>Assumptions!$C$48</f>
        <v>30</v>
      </c>
      <c r="AX46" s="112">
        <f>Assumptions!$C$48</f>
        <v>30</v>
      </c>
      <c r="AY46" s="112">
        <f>Assumptions!$C$48</f>
        <v>30</v>
      </c>
      <c r="AZ46" s="112">
        <f>Assumptions!$C$48</f>
        <v>30</v>
      </c>
      <c r="BA46" s="112">
        <f>Assumptions!$C$48</f>
        <v>30</v>
      </c>
      <c r="BB46" s="112">
        <f>Assumptions!$C$48</f>
        <v>30</v>
      </c>
      <c r="BC46" s="112">
        <f>Assumptions!$C$48</f>
        <v>30</v>
      </c>
      <c r="BD46" s="113">
        <f>Assumptions!$C$48</f>
        <v>30</v>
      </c>
      <c r="BE46" s="113">
        <f>Assumptions!$C$48</f>
        <v>30</v>
      </c>
      <c r="BF46" s="113">
        <f>Assumptions!$C$48</f>
        <v>30</v>
      </c>
      <c r="BG46" s="113">
        <f>Assumptions!$C$48</f>
        <v>30</v>
      </c>
      <c r="BH46" s="113">
        <f>Assumptions!$C$48</f>
        <v>30</v>
      </c>
    </row>
    <row r="47" spans="1:60" s="19" customFormat="1" ht="16.149999999999999" customHeight="1" x14ac:dyDescent="0.25">
      <c r="A47" s="183"/>
      <c r="B47" s="6" t="s">
        <v>229</v>
      </c>
      <c r="C47" s="109"/>
      <c r="D47" s="115">
        <f ca="1">IncState!C10</f>
        <v>39000</v>
      </c>
      <c r="E47" s="115">
        <f ca="1">IncState!D10</f>
        <v>32921.600000000006</v>
      </c>
      <c r="F47" s="115">
        <f ca="1">IncState!E10</f>
        <v>41600</v>
      </c>
      <c r="G47" s="115">
        <f ca="1">IncState!F10</f>
        <v>42640</v>
      </c>
      <c r="H47" s="115">
        <f ca="1">IncState!G10</f>
        <v>41088</v>
      </c>
      <c r="I47" s="115">
        <f ca="1">IncState!H10</f>
        <v>38430</v>
      </c>
      <c r="J47" s="115">
        <f ca="1">IncState!I10</f>
        <v>34398</v>
      </c>
      <c r="K47" s="115">
        <f ca="1">IncState!J10</f>
        <v>39690</v>
      </c>
      <c r="L47" s="115">
        <f ca="1">IncState!K10</f>
        <v>37800</v>
      </c>
      <c r="M47" s="115">
        <f ca="1">IncState!L10</f>
        <v>40320</v>
      </c>
      <c r="N47" s="115">
        <f ca="1">IncState!M10</f>
        <v>41580</v>
      </c>
      <c r="O47" s="115">
        <f ca="1">IncState!N10</f>
        <v>41328</v>
      </c>
      <c r="P47" s="115">
        <f ca="1">IncState!O10</f>
        <v>39060</v>
      </c>
      <c r="Q47" s="115">
        <f ca="1">IncState!P10</f>
        <v>44100</v>
      </c>
      <c r="R47" s="115">
        <f ca="1">IncState!Q10</f>
        <v>40320</v>
      </c>
      <c r="S47" s="115">
        <f ca="1">IncState!R10</f>
        <v>40698</v>
      </c>
      <c r="T47" s="115">
        <f ca="1">IncState!S10</f>
        <v>43470</v>
      </c>
      <c r="U47" s="115">
        <f ca="1">IncState!T10</f>
        <v>44604</v>
      </c>
      <c r="V47" s="115">
        <f ca="1">IncState!U10</f>
        <v>43722</v>
      </c>
      <c r="W47" s="115">
        <f ca="1">IncState!V10</f>
        <v>38440</v>
      </c>
      <c r="X47" s="115">
        <f ca="1">IncState!W10</f>
        <v>39060</v>
      </c>
      <c r="Y47" s="115">
        <f ca="1">IncState!X10</f>
        <v>43400</v>
      </c>
      <c r="Z47" s="115">
        <f ca="1">IncState!Y10</f>
        <v>41912</v>
      </c>
      <c r="AA47" s="115">
        <f ca="1">IncState!Z10</f>
        <v>44888</v>
      </c>
      <c r="AB47" s="115">
        <f ca="1">IncState!AA10</f>
        <v>44268</v>
      </c>
      <c r="AC47" s="115">
        <f ca="1">IncState!AB10</f>
        <v>43066</v>
      </c>
      <c r="AD47" s="115">
        <f ca="1">IncState!AC10</f>
        <v>43440</v>
      </c>
      <c r="AE47" s="115">
        <f ca="1">IncState!AD10</f>
        <v>44160</v>
      </c>
      <c r="AF47" s="115">
        <f ca="1">IncState!AE10</f>
        <v>44640</v>
      </c>
      <c r="AG47" s="115">
        <f ca="1">IncState!AF10</f>
        <v>41880</v>
      </c>
      <c r="AH47" s="115">
        <f ca="1">IncState!AG10</f>
        <v>44400</v>
      </c>
      <c r="AI47" s="115">
        <f ca="1">IncState!AH10</f>
        <v>43680</v>
      </c>
      <c r="AJ47" s="115">
        <f ca="1">IncState!AI10</f>
        <v>45720</v>
      </c>
      <c r="AK47" s="115">
        <f ca="1">IncState!AJ10</f>
        <v>46680</v>
      </c>
      <c r="AL47" s="115">
        <f ca="1">IncState!AK10</f>
        <v>44640</v>
      </c>
      <c r="AM47" s="115">
        <f ca="1">IncState!AL10</f>
        <v>45600</v>
      </c>
      <c r="AN47" s="115">
        <f ca="1">IncState!AM10</f>
        <v>46200</v>
      </c>
      <c r="AO47" s="115">
        <f ca="1">IncState!AN10</f>
        <v>44880</v>
      </c>
      <c r="AP47" s="115">
        <f ca="1">IncState!AO10</f>
        <v>46800</v>
      </c>
      <c r="AQ47" s="115">
        <f ca="1">IncState!AP10</f>
        <v>42336</v>
      </c>
      <c r="AR47" s="115">
        <f ca="1">IncState!AQ10</f>
        <v>36144</v>
      </c>
      <c r="AS47" s="115">
        <f ca="1">IncState!AR10</f>
        <v>38016</v>
      </c>
      <c r="AT47" s="115">
        <f ca="1">IncState!AS10</f>
        <v>29136</v>
      </c>
      <c r="AU47" s="115">
        <f ca="1">IncState!AT10</f>
        <v>24489.599999999999</v>
      </c>
      <c r="AV47" s="115">
        <f ca="1">IncState!AU10</f>
        <v>26553.599999999999</v>
      </c>
      <c r="AW47" s="115">
        <f ca="1">IncState!AV10</f>
        <v>32760</v>
      </c>
      <c r="AX47" s="115">
        <f ca="1">IncState!AW10</f>
        <v>45897.599999999999</v>
      </c>
      <c r="AY47" s="115">
        <f ca="1">IncState!AX10</f>
        <v>45600</v>
      </c>
      <c r="AZ47" s="115">
        <f ca="1">IncState!AY10</f>
        <v>46560</v>
      </c>
      <c r="BA47" s="115">
        <f ca="1">IncState!AZ10</f>
        <v>48720</v>
      </c>
      <c r="BB47" s="115">
        <f ca="1">IncState!BA10</f>
        <v>47328</v>
      </c>
      <c r="BC47" s="115">
        <f ca="1">IncState!BB10</f>
        <v>46272</v>
      </c>
      <c r="BD47" s="110"/>
      <c r="BE47" s="110"/>
      <c r="BF47" s="110"/>
      <c r="BG47" s="110"/>
      <c r="BH47" s="110"/>
    </row>
    <row r="48" spans="1:60" s="19" customFormat="1" ht="16.149999999999999" customHeight="1" x14ac:dyDescent="0.25">
      <c r="A48" s="183"/>
      <c r="B48" s="6" t="s">
        <v>29</v>
      </c>
      <c r="C48" s="109">
        <f>Assumptions!$C$49</f>
        <v>25</v>
      </c>
      <c r="D48" s="109">
        <f>Assumptions!$C$49</f>
        <v>25</v>
      </c>
      <c r="E48" s="109">
        <f>Assumptions!$C$49</f>
        <v>25</v>
      </c>
      <c r="F48" s="109">
        <f>Assumptions!$C$49</f>
        <v>25</v>
      </c>
      <c r="G48" s="109">
        <f>Assumptions!$C$49</f>
        <v>25</v>
      </c>
      <c r="H48" s="109">
        <f>Assumptions!$C$49</f>
        <v>25</v>
      </c>
      <c r="I48" s="109">
        <f>Assumptions!$C$49</f>
        <v>25</v>
      </c>
      <c r="J48" s="109">
        <f>Assumptions!$C$49</f>
        <v>25</v>
      </c>
      <c r="K48" s="109">
        <f>Assumptions!$C$49</f>
        <v>25</v>
      </c>
      <c r="L48" s="109">
        <f>Assumptions!$C$49</f>
        <v>25</v>
      </c>
      <c r="M48" s="109">
        <f>Assumptions!$C$49</f>
        <v>25</v>
      </c>
      <c r="N48" s="109">
        <f>Assumptions!$C$49</f>
        <v>25</v>
      </c>
      <c r="O48" s="109">
        <f>Assumptions!$C$49</f>
        <v>25</v>
      </c>
      <c r="P48" s="109">
        <f>Assumptions!$C$49</f>
        <v>25</v>
      </c>
      <c r="Q48" s="109">
        <f>Assumptions!$C$49</f>
        <v>25</v>
      </c>
      <c r="R48" s="109">
        <f>Assumptions!$C$49</f>
        <v>25</v>
      </c>
      <c r="S48" s="109">
        <f>Assumptions!$C$49</f>
        <v>25</v>
      </c>
      <c r="T48" s="109">
        <f>Assumptions!$C$49</f>
        <v>25</v>
      </c>
      <c r="U48" s="109">
        <f>Assumptions!$C$49</f>
        <v>25</v>
      </c>
      <c r="V48" s="109">
        <f>Assumptions!$C$49</f>
        <v>25</v>
      </c>
      <c r="W48" s="109">
        <f>Assumptions!$C$49</f>
        <v>25</v>
      </c>
      <c r="X48" s="109">
        <f>Assumptions!$C$49</f>
        <v>25</v>
      </c>
      <c r="Y48" s="109">
        <f>Assumptions!$C$49</f>
        <v>25</v>
      </c>
      <c r="Z48" s="109">
        <f>Assumptions!$C$49</f>
        <v>25</v>
      </c>
      <c r="AA48" s="109">
        <f>Assumptions!$C$49</f>
        <v>25</v>
      </c>
      <c r="AB48" s="109">
        <f>Assumptions!$C$49</f>
        <v>25</v>
      </c>
      <c r="AC48" s="109">
        <f>Assumptions!$C$49</f>
        <v>25</v>
      </c>
      <c r="AD48" s="109">
        <f>Assumptions!$C$49</f>
        <v>25</v>
      </c>
      <c r="AE48" s="109">
        <f>Assumptions!$C$49</f>
        <v>25</v>
      </c>
      <c r="AF48" s="109">
        <f>Assumptions!$C$49</f>
        <v>25</v>
      </c>
      <c r="AG48" s="109">
        <f>Assumptions!$C$49</f>
        <v>25</v>
      </c>
      <c r="AH48" s="109">
        <f>Assumptions!$C$49</f>
        <v>25</v>
      </c>
      <c r="AI48" s="109">
        <f>Assumptions!$C$49</f>
        <v>25</v>
      </c>
      <c r="AJ48" s="109">
        <f>Assumptions!$C$49</f>
        <v>25</v>
      </c>
      <c r="AK48" s="109">
        <f>Assumptions!$C$49</f>
        <v>25</v>
      </c>
      <c r="AL48" s="109">
        <f>Assumptions!$C$49</f>
        <v>25</v>
      </c>
      <c r="AM48" s="109">
        <f>Assumptions!$C$49</f>
        <v>25</v>
      </c>
      <c r="AN48" s="109">
        <f>Assumptions!$C$49</f>
        <v>25</v>
      </c>
      <c r="AO48" s="109">
        <f>Assumptions!$C$49</f>
        <v>25</v>
      </c>
      <c r="AP48" s="109">
        <f>Assumptions!$C$49</f>
        <v>25</v>
      </c>
      <c r="AQ48" s="109">
        <f>Assumptions!$C$49</f>
        <v>25</v>
      </c>
      <c r="AR48" s="109">
        <f>Assumptions!$C$49</f>
        <v>25</v>
      </c>
      <c r="AS48" s="109">
        <f>Assumptions!$C$49</f>
        <v>25</v>
      </c>
      <c r="AT48" s="109">
        <f>Assumptions!$C$49</f>
        <v>25</v>
      </c>
      <c r="AU48" s="109">
        <f>Assumptions!$C$49</f>
        <v>25</v>
      </c>
      <c r="AV48" s="109">
        <f>Assumptions!$C$49</f>
        <v>25</v>
      </c>
      <c r="AW48" s="109">
        <f>Assumptions!$C$49</f>
        <v>25</v>
      </c>
      <c r="AX48" s="109">
        <f>Assumptions!$C$49</f>
        <v>25</v>
      </c>
      <c r="AY48" s="109">
        <f>Assumptions!$C$49</f>
        <v>25</v>
      </c>
      <c r="AZ48" s="109">
        <f>Assumptions!$C$49</f>
        <v>25</v>
      </c>
      <c r="BA48" s="109">
        <f>Assumptions!$C$49</f>
        <v>25</v>
      </c>
      <c r="BB48" s="109">
        <f>Assumptions!$C$49</f>
        <v>25</v>
      </c>
      <c r="BC48" s="109">
        <f>Assumptions!$C$49</f>
        <v>25</v>
      </c>
      <c r="BD48" s="110">
        <f>Assumptions!$C$49</f>
        <v>25</v>
      </c>
      <c r="BE48" s="110">
        <f>Assumptions!$C$49</f>
        <v>25</v>
      </c>
      <c r="BF48" s="110">
        <f>Assumptions!$C$49</f>
        <v>25</v>
      </c>
      <c r="BG48" s="110">
        <f>Assumptions!$C$49</f>
        <v>25</v>
      </c>
      <c r="BH48" s="110">
        <f>Assumptions!$C$49</f>
        <v>25</v>
      </c>
    </row>
    <row r="49" spans="1:60" s="19" customFormat="1" ht="16.149999999999999" customHeight="1" x14ac:dyDescent="0.25">
      <c r="A49" s="183"/>
      <c r="B49" s="6" t="s">
        <v>230</v>
      </c>
      <c r="C49" s="109"/>
      <c r="D49" s="115">
        <f ca="1">(SUMIF(IncState!$A$4:$BG$7,"V1C1*",IncState!C$4:C$7)*(1+Assumptions!$C$59))+(SUMIF(IncState!$A$4:$BG$7,"V2C1*",IncState!C$4:C$7)*(1+Assumptions!$C$60))+(SUMIF(IncState!$A$4:$BG$7,"V3C1*",IncState!C$4:C$7)*(1+Assumptions!$C$61))+(SUMIF(IncState!$A$4:$BG$7,"V4C1*",IncState!C$4:C$7)*(1+Assumptions!$C$62))</f>
        <v>97749.999999999985</v>
      </c>
      <c r="E49" s="115">
        <f ca="1">(SUMIF(IncState!$A$4:$BG$7,"V1C1*",IncState!D$4:D$7)*(1+Assumptions!$C$59))+(SUMIF(IncState!$A$4:$BG$7,"V2C1*",IncState!D$4:D$7)*(1+Assumptions!$C$60))+(SUMIF(IncState!$A$4:$BG$7,"V3C1*",IncState!D$4:D$7)*(1+Assumptions!$C$61))+(SUMIF(IncState!$A$4:$BG$7,"V4C1*",IncState!D$4:D$7)*(1+Assumptions!$C$62))</f>
        <v>83311.366666666654</v>
      </c>
      <c r="F49" s="115">
        <f ca="1">(SUMIF(IncState!$A$4:$BG$7,"V1C1*",IncState!E$4:E$7)*(1+Assumptions!$C$59))+(SUMIF(IncState!$A$4:$BG$7,"V2C1*",IncState!E$4:E$7)*(1+Assumptions!$C$60))+(SUMIF(IncState!$A$4:$BG$7,"V3C1*",IncState!E$4:E$7)*(1+Assumptions!$C$61))+(SUMIF(IncState!$A$4:$BG$7,"V4C1*",IncState!E$4:E$7)*(1+Assumptions!$C$62))</f>
        <v>102426.66666666667</v>
      </c>
      <c r="G49" s="115">
        <f ca="1">(SUMIF(IncState!$A$4:$BG$7,"V1C1*",IncState!F$4:F$7)*(1+Assumptions!$C$59))+(SUMIF(IncState!$A$4:$BG$7,"V2C1*",IncState!F$4:F$7)*(1+Assumptions!$C$60))+(SUMIF(IncState!$A$4:$BG$7,"V3C1*",IncState!F$4:F$7)*(1+Assumptions!$C$61))+(SUMIF(IncState!$A$4:$BG$7,"V4C1*",IncState!F$4:F$7)*(1+Assumptions!$C$62))</f>
        <v>105930.33333333331</v>
      </c>
      <c r="H49" s="115">
        <f ca="1">(SUMIF(IncState!$A$4:$BG$7,"V1C1*",IncState!G$4:G$7)*(1+Assumptions!$C$59))+(SUMIF(IncState!$A$4:$BG$7,"V2C1*",IncState!G$4:G$7)*(1+Assumptions!$C$60))+(SUMIF(IncState!$A$4:$BG$7,"V3C1*",IncState!G$4:G$7)*(1+Assumptions!$C$61))+(SUMIF(IncState!$A$4:$BG$7,"V4C1*",IncState!G$4:G$7)*(1+Assumptions!$C$62))</f>
        <v>106438.24999999999</v>
      </c>
      <c r="I49" s="115">
        <f ca="1">(SUMIF(IncState!$A$4:$BG$7,"V1C1*",IncState!H$4:H$7)*(1+Assumptions!$C$59))+(SUMIF(IncState!$A$4:$BG$7,"V2C1*",IncState!H$4:H$7)*(1+Assumptions!$C$60))+(SUMIF(IncState!$A$4:$BG$7,"V3C1*",IncState!H$4:H$7)*(1+Assumptions!$C$61))+(SUMIF(IncState!$A$4:$BG$7,"V4C1*",IncState!H$4:H$7)*(1+Assumptions!$C$62))</f>
        <v>102009.79166666667</v>
      </c>
      <c r="J49" s="115">
        <f ca="1">(SUMIF(IncState!$A$4:$BG$7,"V1C1*",IncState!I$4:I$7)*(1+Assumptions!$C$59))+(SUMIF(IncState!$A$4:$BG$7,"V2C1*",IncState!I$4:I$7)*(1+Assumptions!$C$60))+(SUMIF(IncState!$A$4:$BG$7,"V3C1*",IncState!I$4:I$7)*(1+Assumptions!$C$61))+(SUMIF(IncState!$A$4:$BG$7,"V4C1*",IncState!I$4:I$7)*(1+Assumptions!$C$62))</f>
        <v>88690.875</v>
      </c>
      <c r="K49" s="115">
        <f ca="1">(SUMIF(IncState!$A$4:$BG$7,"V1C1*",IncState!J$4:J$7)*(1+Assumptions!$C$59))+(SUMIF(IncState!$A$4:$BG$7,"V2C1*",IncState!J$4:J$7)*(1+Assumptions!$C$60))+(SUMIF(IncState!$A$4:$BG$7,"V3C1*",IncState!J$4:J$7)*(1+Assumptions!$C$61))+(SUMIF(IncState!$A$4:$BG$7,"V4C1*",IncState!J$4:J$7)*(1+Assumptions!$C$62))</f>
        <v>104448.74999999999</v>
      </c>
      <c r="L49" s="115">
        <f ca="1">(SUMIF(IncState!$A$4:$BG$7,"V1C1*",IncState!K$4:K$7)*(1+Assumptions!$C$59))+(SUMIF(IncState!$A$4:$BG$7,"V2C1*",IncState!K$4:K$7)*(1+Assumptions!$C$60))+(SUMIF(IncState!$A$4:$BG$7,"V3C1*",IncState!K$4:K$7)*(1+Assumptions!$C$61))+(SUMIF(IncState!$A$4:$BG$7,"V4C1*",IncState!K$4:K$7)*(1+Assumptions!$C$62))</f>
        <v>96312.499999999985</v>
      </c>
      <c r="M49" s="115">
        <f ca="1">(SUMIF(IncState!$A$4:$BG$7,"V1C1*",IncState!L$4:L$7)*(1+Assumptions!$C$59))+(SUMIF(IncState!$A$4:$BG$7,"V2C1*",IncState!L$4:L$7)*(1+Assumptions!$C$60))+(SUMIF(IncState!$A$4:$BG$7,"V3C1*",IncState!L$4:L$7)*(1+Assumptions!$C$61))+(SUMIF(IncState!$A$4:$BG$7,"V4C1*",IncState!L$4:L$7)*(1+Assumptions!$C$62))</f>
        <v>101506.66666666667</v>
      </c>
      <c r="N49" s="115">
        <f ca="1">(SUMIF(IncState!$A$4:$BG$7,"V1C1*",IncState!M$4:M$7)*(1+Assumptions!$C$59))+(SUMIF(IncState!$A$4:$BG$7,"V2C1*",IncState!M$4:M$7)*(1+Assumptions!$C$60))+(SUMIF(IncState!$A$4:$BG$7,"V3C1*",IncState!M$4:M$7)*(1+Assumptions!$C$61))+(SUMIF(IncState!$A$4:$BG$7,"V4C1*",IncState!M$4:M$7)*(1+Assumptions!$C$62))</f>
        <v>109738.74999999999</v>
      </c>
      <c r="O49" s="115">
        <f ca="1">(SUMIF(IncState!$A$4:$BG$7,"V1C1*",IncState!N$4:N$7)*(1+Assumptions!$C$59))+(SUMIF(IncState!$A$4:$BG$7,"V2C1*",IncState!N$4:N$7)*(1+Assumptions!$C$60))+(SUMIF(IncState!$A$4:$BG$7,"V3C1*",IncState!N$4:N$7)*(1+Assumptions!$C$61))+(SUMIF(IncState!$A$4:$BG$7,"V4C1*",IncState!N$4:N$7)*(1+Assumptions!$C$62))</f>
        <v>109073.66666666666</v>
      </c>
      <c r="P49" s="115">
        <f ca="1">(SUMIF(IncState!$A$4:$BG$7,"V1C1*",IncState!O$4:O$7)*(1+Assumptions!$C$59))+(SUMIF(IncState!$A$4:$BG$7,"V2C1*",IncState!O$4:O$7)*(1+Assumptions!$C$60))+(SUMIF(IncState!$A$4:$BG$7,"V3C1*",IncState!O$4:O$7)*(1+Assumptions!$C$61))+(SUMIF(IncState!$A$4:$BG$7,"V4C1*",IncState!O$4:O$7)*(1+Assumptions!$C$62))</f>
        <v>103682.08333333334</v>
      </c>
      <c r="Q49" s="115">
        <f ca="1">(SUMIF(IncState!$A$4:$BG$7,"V1C1*",IncState!P$4:P$7)*(1+Assumptions!$C$59))+(SUMIF(IncState!$A$4:$BG$7,"V2C1*",IncState!P$4:P$7)*(1+Assumptions!$C$60))+(SUMIF(IncState!$A$4:$BG$7,"V3C1*",IncState!P$4:P$7)*(1+Assumptions!$C$61))+(SUMIF(IncState!$A$4:$BG$7,"V4C1*",IncState!P$4:P$7)*(1+Assumptions!$C$62))</f>
        <v>117395.83333333333</v>
      </c>
      <c r="R49" s="115">
        <f ca="1">(SUMIF(IncState!$A$4:$BG$7,"V1C1*",IncState!Q$4:Q$7)*(1+Assumptions!$C$59))+(SUMIF(IncState!$A$4:$BG$7,"V2C1*",IncState!Q$4:Q$7)*(1+Assumptions!$C$60))+(SUMIF(IncState!$A$4:$BG$7,"V3C1*",IncState!Q$4:Q$7)*(1+Assumptions!$C$61))+(SUMIF(IncState!$A$4:$BG$7,"V4C1*",IncState!Q$4:Q$7)*(1+Assumptions!$C$62))</f>
        <v>105799.99999999999</v>
      </c>
      <c r="S49" s="115">
        <f ca="1">(SUMIF(IncState!$A$4:$BG$7,"V1C1*",IncState!R$4:R$7)*(1+Assumptions!$C$59))+(SUMIF(IncState!$A$4:$BG$7,"V2C1*",IncState!R$4:R$7)*(1+Assumptions!$C$60))+(SUMIF(IncState!$A$4:$BG$7,"V3C1*",IncState!R$4:R$7)*(1+Assumptions!$C$61))+(SUMIF(IncState!$A$4:$BG$7,"V4C1*",IncState!R$4:R$7)*(1+Assumptions!$C$62))</f>
        <v>102767.83333333334</v>
      </c>
      <c r="T49" s="115">
        <f ca="1">(SUMIF(IncState!$A$4:$BG$7,"V1C1*",IncState!S$4:S$7)*(1+Assumptions!$C$59))+(SUMIF(IncState!$A$4:$BG$7,"V2C1*",IncState!S$4:S$7)*(1+Assumptions!$C$60))+(SUMIF(IncState!$A$4:$BG$7,"V3C1*",IncState!S$4:S$7)*(1+Assumptions!$C$61))+(SUMIF(IncState!$A$4:$BG$7,"V4C1*",IncState!S$4:S$7)*(1+Assumptions!$C$62))</f>
        <v>112081.87499999999</v>
      </c>
      <c r="U49" s="115">
        <f ca="1">(SUMIF(IncState!$A$4:$BG$7,"V1C1*",IncState!T$4:T$7)*(1+Assumptions!$C$59))+(SUMIF(IncState!$A$4:$BG$7,"V2C1*",IncState!T$4:T$7)*(1+Assumptions!$C$60))+(SUMIF(IncState!$A$4:$BG$7,"V3C1*",IncState!T$4:T$7)*(1+Assumptions!$C$61))+(SUMIF(IncState!$A$4:$BG$7,"V4C1*",IncState!T$4:T$7)*(1+Assumptions!$C$62))</f>
        <v>115344.99999999999</v>
      </c>
      <c r="V49" s="115">
        <f ca="1">(SUMIF(IncState!$A$4:$BG$7,"V1C1*",IncState!U$4:U$7)*(1+Assumptions!$C$59))+(SUMIF(IncState!$A$4:$BG$7,"V2C1*",IncState!U$4:U$7)*(1+Assumptions!$C$60))+(SUMIF(IncState!$A$4:$BG$7,"V3C1*",IncState!U$4:U$7)*(1+Assumptions!$C$61))+(SUMIF(IncState!$A$4:$BG$7,"V4C1*",IncState!U$4:U$7)*(1+Assumptions!$C$62))</f>
        <v>116057.04166666666</v>
      </c>
      <c r="W49" s="115">
        <f ca="1">(SUMIF(IncState!$A$4:$BG$7,"V1C1*",IncState!V$4:V$7)*(1+Assumptions!$C$59))+(SUMIF(IncState!$A$4:$BG$7,"V2C1*",IncState!V$4:V$7)*(1+Assumptions!$C$60))+(SUMIF(IncState!$A$4:$BG$7,"V3C1*",IncState!V$4:V$7)*(1+Assumptions!$C$61))+(SUMIF(IncState!$A$4:$BG$7,"V4C1*",IncState!V$4:V$7)*(1+Assumptions!$C$62))</f>
        <v>103682.08333333334</v>
      </c>
      <c r="X49" s="115">
        <f ca="1">(SUMIF(IncState!$A$4:$BG$7,"V1C1*",IncState!W$4:W$7)*(1+Assumptions!$C$59))+(SUMIF(IncState!$A$4:$BG$7,"V2C1*",IncState!W$4:W$7)*(1+Assumptions!$C$60))+(SUMIF(IncState!$A$4:$BG$7,"V3C1*",IncState!W$4:W$7)*(1+Assumptions!$C$61))+(SUMIF(IncState!$A$4:$BG$7,"V4C1*",IncState!W$4:W$7)*(1+Assumptions!$C$62))</f>
        <v>104448.74999999999</v>
      </c>
      <c r="Y49" s="115">
        <f ca="1">(SUMIF(IncState!$A$4:$BG$7,"V1C1*",IncState!X$4:X$7)*(1+Assumptions!$C$59))+(SUMIF(IncState!$A$4:$BG$7,"V2C1*",IncState!X$4:X$7)*(1+Assumptions!$C$60))+(SUMIF(IncState!$A$4:$BG$7,"V3C1*",IncState!X$4:X$7)*(1+Assumptions!$C$61))+(SUMIF(IncState!$A$4:$BG$7,"V4C1*",IncState!X$4:X$7)*(1+Assumptions!$C$62))</f>
        <v>117060.41666666666</v>
      </c>
      <c r="Z49" s="115">
        <f ca="1">(SUMIF(IncState!$A$4:$BG$7,"V1C1*",IncState!Y$4:Y$7)*(1+Assumptions!$C$59))+(SUMIF(IncState!$A$4:$BG$7,"V2C1*",IncState!Y$4:Y$7)*(1+Assumptions!$C$60))+(SUMIF(IncState!$A$4:$BG$7,"V3C1*",IncState!Y$4:Y$7)*(1+Assumptions!$C$61))+(SUMIF(IncState!$A$4:$BG$7,"V4C1*",IncState!Y$4:Y$7)*(1+Assumptions!$C$62))</f>
        <v>112075.16666666666</v>
      </c>
      <c r="AA49" s="115">
        <f ca="1">(SUMIF(IncState!$A$4:$BG$7,"V1C1*",IncState!Z$4:Z$7)*(1+Assumptions!$C$59))+(SUMIF(IncState!$A$4:$BG$7,"V2C1*",IncState!Z$4:Z$7)*(1+Assumptions!$C$60))+(SUMIF(IncState!$A$4:$BG$7,"V3C1*",IncState!Z$4:Z$7)*(1+Assumptions!$C$61))+(SUMIF(IncState!$A$4:$BG$7,"V4C1*",IncState!Z$4:Z$7)*(1+Assumptions!$C$62))</f>
        <v>117604.74999999999</v>
      </c>
      <c r="AB49" s="115">
        <f ca="1">(SUMIF(IncState!$A$4:$BG$7,"V1C1*",IncState!AA$4:AA$7)*(1+Assumptions!$C$59))+(SUMIF(IncState!$A$4:$BG$7,"V2C1*",IncState!AA$4:AA$7)*(1+Assumptions!$C$60))+(SUMIF(IncState!$A$4:$BG$7,"V3C1*",IncState!AA$4:AA$7)*(1+Assumptions!$C$61))+(SUMIF(IncState!$A$4:$BG$7,"V4C1*",IncState!AA$4:AA$7)*(1+Assumptions!$C$62))</f>
        <v>114269.74999999999</v>
      </c>
      <c r="AC49" s="115">
        <f ca="1">(SUMIF(IncState!$A$4:$BG$7,"V1C1*",IncState!AB$4:AB$7)*(1+Assumptions!$C$59))+(SUMIF(IncState!$A$4:$BG$7,"V2C1*",IncState!AB$4:AB$7)*(1+Assumptions!$C$60))+(SUMIF(IncState!$A$4:$BG$7,"V3C1*",IncState!AB$4:AB$7)*(1+Assumptions!$C$61))+(SUMIF(IncState!$A$4:$BG$7,"V4C1*",IncState!AB$4:AB$7)*(1+Assumptions!$C$62))</f>
        <v>113665.99999999999</v>
      </c>
      <c r="AD49" s="115">
        <f ca="1">(SUMIF(IncState!$A$4:$BG$7,"V1C1*",IncState!AC$4:AC$7)*(1+Assumptions!$C$59))+(SUMIF(IncState!$A$4:$BG$7,"V2C1*",IncState!AC$4:AC$7)*(1+Assumptions!$C$60))+(SUMIF(IncState!$A$4:$BG$7,"V3C1*",IncState!AC$4:AC$7)*(1+Assumptions!$C$61))+(SUMIF(IncState!$A$4:$BG$7,"V4C1*",IncState!AC$4:AC$7)*(1+Assumptions!$C$62))</f>
        <v>117257.83333333333</v>
      </c>
      <c r="AE49" s="115">
        <f ca="1">(SUMIF(IncState!$A$4:$BG$7,"V1C1*",IncState!AD$4:AD$7)*(1+Assumptions!$C$59))+(SUMIF(IncState!$A$4:$BG$7,"V2C1*",IncState!AD$4:AD$7)*(1+Assumptions!$C$60))+(SUMIF(IncState!$A$4:$BG$7,"V3C1*",IncState!AD$4:AD$7)*(1+Assumptions!$C$61))+(SUMIF(IncState!$A$4:$BG$7,"V4C1*",IncState!AD$4:AD$7)*(1+Assumptions!$C$62))</f>
        <v>117437.99999999999</v>
      </c>
      <c r="AF49" s="115">
        <f ca="1">(SUMIF(IncState!$A$4:$BG$7,"V1C1*",IncState!AE$4:AE$7)*(1+Assumptions!$C$59))+(SUMIF(IncState!$A$4:$BG$7,"V2C1*",IncState!AE$4:AE$7)*(1+Assumptions!$C$60))+(SUMIF(IncState!$A$4:$BG$7,"V3C1*",IncState!AE$4:AE$7)*(1+Assumptions!$C$61))+(SUMIF(IncState!$A$4:$BG$7,"V4C1*",IncState!AE$4:AE$7)*(1+Assumptions!$C$62))</f>
        <v>119427.49999999999</v>
      </c>
      <c r="AG49" s="115">
        <f ca="1">(SUMIF(IncState!$A$4:$BG$7,"V1C1*",IncState!AF$4:AF$7)*(1+Assumptions!$C$59))+(SUMIF(IncState!$A$4:$BG$7,"V2C1*",IncState!AF$4:AF$7)*(1+Assumptions!$C$60))+(SUMIF(IncState!$A$4:$BG$7,"V3C1*",IncState!AF$4:AF$7)*(1+Assumptions!$C$61))+(SUMIF(IncState!$A$4:$BG$7,"V4C1*",IncState!AF$4:AF$7)*(1+Assumptions!$C$62))</f>
        <v>115388.12499999999</v>
      </c>
      <c r="AH49" s="115">
        <f ca="1">(SUMIF(IncState!$A$4:$BG$7,"V1C1*",IncState!AG$4:AG$7)*(1+Assumptions!$C$59))+(SUMIF(IncState!$A$4:$BG$7,"V2C1*",IncState!AG$4:AG$7)*(1+Assumptions!$C$60))+(SUMIF(IncState!$A$4:$BG$7,"V3C1*",IncState!AG$4:AG$7)*(1+Assumptions!$C$61))+(SUMIF(IncState!$A$4:$BG$7,"V4C1*",IncState!AG$4:AG$7)*(1+Assumptions!$C$62))</f>
        <v>123040.41666666664</v>
      </c>
      <c r="AI49" s="115">
        <f ca="1">(SUMIF(IncState!$A$4:$BG$7,"V1C1*",IncState!AH$4:AH$7)*(1+Assumptions!$C$59))+(SUMIF(IncState!$A$4:$BG$7,"V2C1*",IncState!AH$4:AH$7)*(1+Assumptions!$C$60))+(SUMIF(IncState!$A$4:$BG$7,"V3C1*",IncState!AH$4:AH$7)*(1+Assumptions!$C$61))+(SUMIF(IncState!$A$4:$BG$7,"V4C1*",IncState!AH$4:AH$7)*(1+Assumptions!$C$62))</f>
        <v>122091.66666666666</v>
      </c>
      <c r="AJ49" s="115">
        <f ca="1">(SUMIF(IncState!$A$4:$BG$7,"V1C1*",IncState!AI$4:AI$7)*(1+Assumptions!$C$59))+(SUMIF(IncState!$A$4:$BG$7,"V2C1*",IncState!AI$4:AI$7)*(1+Assumptions!$C$60))+(SUMIF(IncState!$A$4:$BG$7,"V3C1*",IncState!AI$4:AI$7)*(1+Assumptions!$C$61))+(SUMIF(IncState!$A$4:$BG$7,"V4C1*",IncState!AI$4:AI$7)*(1+Assumptions!$C$62))</f>
        <v>121951.74999999999</v>
      </c>
      <c r="AK49" s="115">
        <f ca="1">(SUMIF(IncState!$A$4:$BG$7,"V1C1*",IncState!AJ$4:AJ$7)*(1+Assumptions!$C$59))+(SUMIF(IncState!$A$4:$BG$7,"V2C1*",IncState!AJ$4:AJ$7)*(1+Assumptions!$C$60))+(SUMIF(IncState!$A$4:$BG$7,"V3C1*",IncState!AJ$4:AJ$7)*(1+Assumptions!$C$61))+(SUMIF(IncState!$A$4:$BG$7,"V4C1*",IncState!AJ$4:AJ$7)*(1+Assumptions!$C$62))</f>
        <v>128240.33333333333</v>
      </c>
      <c r="AL49" s="115">
        <f ca="1">(SUMIF(IncState!$A$4:$BG$7,"V1C1*",IncState!AK$4:AK$7)*(1+Assumptions!$C$59))+(SUMIF(IncState!$A$4:$BG$7,"V2C1*",IncState!AK$4:AK$7)*(1+Assumptions!$C$60))+(SUMIF(IncState!$A$4:$BG$7,"V3C1*",IncState!AK$4:AK$7)*(1+Assumptions!$C$61))+(SUMIF(IncState!$A$4:$BG$7,"V4C1*",IncState!AK$4:AK$7)*(1+Assumptions!$C$62))</f>
        <v>121922.99999999999</v>
      </c>
      <c r="AM49" s="115">
        <f ca="1">(SUMIF(IncState!$A$4:$BG$7,"V1C1*",IncState!AL$4:AL$7)*(1+Assumptions!$C$59))+(SUMIF(IncState!$A$4:$BG$7,"V2C1*",IncState!AL$4:AL$7)*(1+Assumptions!$C$60))+(SUMIF(IncState!$A$4:$BG$7,"V3C1*",IncState!AL$4:AL$7)*(1+Assumptions!$C$61))+(SUMIF(IncState!$A$4:$BG$7,"V4C1*",IncState!AL$4:AL$7)*(1+Assumptions!$C$62))</f>
        <v>122359.99999999999</v>
      </c>
      <c r="AN49" s="115">
        <f ca="1">(SUMIF(IncState!$A$4:$BG$7,"V1C1*",IncState!AM$4:AM$7)*(1+Assumptions!$C$59))+(SUMIF(IncState!$A$4:$BG$7,"V2C1*",IncState!AM$4:AM$7)*(1+Assumptions!$C$60))+(SUMIF(IncState!$A$4:$BG$7,"V3C1*",IncState!AM$4:AM$7)*(1+Assumptions!$C$61))+(SUMIF(IncState!$A$4:$BG$7,"V4C1*",IncState!AM$4:AM$7)*(1+Assumptions!$C$62))</f>
        <v>126183.74999999999</v>
      </c>
      <c r="AO49" s="115">
        <f ca="1">(SUMIF(IncState!$A$4:$BG$7,"V1C1*",IncState!AN$4:AN$7)*(1+Assumptions!$C$59))+(SUMIF(IncState!$A$4:$BG$7,"V2C1*",IncState!AN$4:AN$7)*(1+Assumptions!$C$60))+(SUMIF(IncState!$A$4:$BG$7,"V3C1*",IncState!AN$4:AN$7)*(1+Assumptions!$C$61))+(SUMIF(IncState!$A$4:$BG$7,"V4C1*",IncState!AN$4:AN$7)*(1+Assumptions!$C$62))</f>
        <v>119352.74999999999</v>
      </c>
      <c r="AP49" s="115">
        <f ca="1">(SUMIF(IncState!$A$4:$BG$7,"V1C1*",IncState!AO$4:AO$7)*(1+Assumptions!$C$59))+(SUMIF(IncState!$A$4:$BG$7,"V2C1*",IncState!AO$4:AO$7)*(1+Assumptions!$C$60))+(SUMIF(IncState!$A$4:$BG$7,"V3C1*",IncState!AO$4:AO$7)*(1+Assumptions!$C$61))+(SUMIF(IncState!$A$4:$BG$7,"V4C1*",IncState!AO$4:AO$7)*(1+Assumptions!$C$62))</f>
        <v>127822.49999999999</v>
      </c>
      <c r="AQ49" s="115">
        <f ca="1">(SUMIF(IncState!$A$4:$BG$7,"V1C1*",IncState!AP$4:AP$7)*(1+Assumptions!$C$59))+(SUMIF(IncState!$A$4:$BG$7,"V2C1*",IncState!AP$4:AP$7)*(1+Assumptions!$C$60))+(SUMIF(IncState!$A$4:$BG$7,"V3C1*",IncState!AP$4:AP$7)*(1+Assumptions!$C$61))+(SUMIF(IncState!$A$4:$BG$7,"V4C1*",IncState!AP$4:AP$7)*(1+Assumptions!$C$62))</f>
        <v>111911.09999999999</v>
      </c>
      <c r="AR49" s="115">
        <f ca="1">(SUMIF(IncState!$A$4:$BG$7,"V1C1*",IncState!AQ$4:AQ$7)*(1+Assumptions!$C$59))+(SUMIF(IncState!$A$4:$BG$7,"V2C1*",IncState!AQ$4:AQ$7)*(1+Assumptions!$C$60))+(SUMIF(IncState!$A$4:$BG$7,"V3C1*",IncState!AQ$4:AQ$7)*(1+Assumptions!$C$61))+(SUMIF(IncState!$A$4:$BG$7,"V4C1*",IncState!AQ$4:AQ$7)*(1+Assumptions!$C$62))</f>
        <v>100738.84999999999</v>
      </c>
      <c r="AS49" s="115">
        <f ca="1">(SUMIF(IncState!$A$4:$BG$7,"V1C1*",IncState!AR$4:AR$7)*(1+Assumptions!$C$59))+(SUMIF(IncState!$A$4:$BG$7,"V2C1*",IncState!AR$4:AR$7)*(1+Assumptions!$C$60))+(SUMIF(IncState!$A$4:$BG$7,"V3C1*",IncState!AR$4:AR$7)*(1+Assumptions!$C$61))+(SUMIF(IncState!$A$4:$BG$7,"V4C1*",IncState!AR$4:AR$7)*(1+Assumptions!$C$62))</f>
        <v>104438.39999999999</v>
      </c>
      <c r="AT49" s="115">
        <f ca="1">(SUMIF(IncState!$A$4:$BG$7,"V1C1*",IncState!AS$4:AS$7)*(1+Assumptions!$C$59))+(SUMIF(IncState!$A$4:$BG$7,"V2C1*",IncState!AS$4:AS$7)*(1+Assumptions!$C$60))+(SUMIF(IncState!$A$4:$BG$7,"V3C1*",IncState!AS$4:AS$7)*(1+Assumptions!$C$61))+(SUMIF(IncState!$A$4:$BG$7,"V4C1*",IncState!AS$4:AS$7)*(1+Assumptions!$C$62))</f>
        <v>77250.866666666669</v>
      </c>
      <c r="AU49" s="115">
        <f ca="1">(SUMIF(IncState!$A$4:$BG$7,"V1C1*",IncState!AT$4:AT$7)*(1+Assumptions!$C$59))+(SUMIF(IncState!$A$4:$BG$7,"V2C1*",IncState!AT$4:AT$7)*(1+Assumptions!$C$60))+(SUMIF(IncState!$A$4:$BG$7,"V3C1*",IncState!AT$4:AT$7)*(1+Assumptions!$C$61))+(SUMIF(IncState!$A$4:$BG$7,"V4C1*",IncState!AT$4:AT$7)*(1+Assumptions!$C$62))</f>
        <v>64735.876666666663</v>
      </c>
      <c r="AV49" s="115">
        <f ca="1">(SUMIF(IncState!$A$4:$BG$7,"V1C1*",IncState!AU$4:AU$7)*(1+Assumptions!$C$59))+(SUMIF(IncState!$A$4:$BG$7,"V2C1*",IncState!AU$4:AU$7)*(1+Assumptions!$C$60))+(SUMIF(IncState!$A$4:$BG$7,"V3C1*",IncState!AU$4:AU$7)*(1+Assumptions!$C$61))+(SUMIF(IncState!$A$4:$BG$7,"V4C1*",IncState!AU$4:AU$7)*(1+Assumptions!$C$62))</f>
        <v>70191.86</v>
      </c>
      <c r="AW49" s="115">
        <f ca="1">(SUMIF(IncState!$A$4:$BG$7,"V1C1*",IncState!AV$4:AV$7)*(1+Assumptions!$C$59))+(SUMIF(IncState!$A$4:$BG$7,"V2C1*",IncState!AV$4:AV$7)*(1+Assumptions!$C$60))+(SUMIF(IncState!$A$4:$BG$7,"V3C1*",IncState!AV$4:AV$7)*(1+Assumptions!$C$61))+(SUMIF(IncState!$A$4:$BG$7,"V4C1*",IncState!AV$4:AV$7)*(1+Assumptions!$C$62))</f>
        <v>90783.875</v>
      </c>
      <c r="AX49" s="115">
        <f ca="1">(SUMIF(IncState!$A$4:$BG$7,"V1C1*",IncState!AW$4:AW$7)*(1+Assumptions!$C$59))+(SUMIF(IncState!$A$4:$BG$7,"V2C1*",IncState!AW$4:AW$7)*(1+Assumptions!$C$60))+(SUMIF(IncState!$A$4:$BG$7,"V3C1*",IncState!AW$4:AW$7)*(1+Assumptions!$C$61))+(SUMIF(IncState!$A$4:$BG$7,"V4C1*",IncState!AW$4:AW$7)*(1+Assumptions!$C$62))</f>
        <v>126090.90666666665</v>
      </c>
      <c r="AY49" s="115">
        <f ca="1">(SUMIF(IncState!$A$4:$BG$7,"V1C1*",IncState!AX$4:AX$7)*(1+Assumptions!$C$59))+(SUMIF(IncState!$A$4:$BG$7,"V2C1*",IncState!AX$4:AX$7)*(1+Assumptions!$C$60))+(SUMIF(IncState!$A$4:$BG$7,"V3C1*",IncState!AX$4:AX$7)*(1+Assumptions!$C$61))+(SUMIF(IncState!$A$4:$BG$7,"V4C1*",IncState!AX$4:AX$7)*(1+Assumptions!$C$62))</f>
        <v>127094.16666666666</v>
      </c>
      <c r="AZ49" s="115">
        <f ca="1">(SUMIF(IncState!$A$4:$BG$7,"V1C1*",IncState!AY$4:AY$7)*(1+Assumptions!$C$59))+(SUMIF(IncState!$A$4:$BG$7,"V2C1*",IncState!AY$4:AY$7)*(1+Assumptions!$C$60))+(SUMIF(IncState!$A$4:$BG$7,"V3C1*",IncState!AY$4:AY$7)*(1+Assumptions!$C$61))+(SUMIF(IncState!$A$4:$BG$7,"V4C1*",IncState!AY$4:AY$7)*(1+Assumptions!$C$62))</f>
        <v>128654.33333333333</v>
      </c>
      <c r="BA49" s="115">
        <f ca="1">(SUMIF(IncState!$A$4:$BG$7,"V1C1*",IncState!AZ$4:AZ$7)*(1+Assumptions!$C$59))+(SUMIF(IncState!$A$4:$BG$7,"V2C1*",IncState!AZ$4:AZ$7)*(1+Assumptions!$C$60))+(SUMIF(IncState!$A$4:$BG$7,"V3C1*",IncState!AZ$4:AZ$7)*(1+Assumptions!$C$61))+(SUMIF(IncState!$A$4:$BG$7,"V4C1*",IncState!AZ$4:AZ$7)*(1+Assumptions!$C$62))</f>
        <v>129953.83333333331</v>
      </c>
      <c r="BB49" s="115">
        <f ca="1">(SUMIF(IncState!$A$4:$BG$7,"V1C1*",IncState!BA$4:BA$7)*(1+Assumptions!$C$59))+(SUMIF(IncState!$A$4:$BG$7,"V2C1*",IncState!BA$4:BA$7)*(1+Assumptions!$C$60))+(SUMIF(IncState!$A$4:$BG$7,"V3C1*",IncState!BA$4:BA$7)*(1+Assumptions!$C$61))+(SUMIF(IncState!$A$4:$BG$7,"V4C1*",IncState!BA$4:BA$7)*(1+Assumptions!$C$62))</f>
        <v>128130.7</v>
      </c>
      <c r="BC49" s="115">
        <f ca="1">(SUMIF(IncState!$A$4:$BG$7,"V1C1*",IncState!BB$4:BB$7)*(1+Assumptions!$C$59))+(SUMIF(IncState!$A$4:$BG$7,"V2C1*",IncState!BB$4:BB$7)*(1+Assumptions!$C$60))+(SUMIF(IncState!$A$4:$BG$7,"V3C1*",IncState!BB$4:BB$7)*(1+Assumptions!$C$61))+(SUMIF(IncState!$A$4:$BG$7,"V4C1*",IncState!BB$4:BB$7)*(1+Assumptions!$C$62))</f>
        <v>128597.59999999999</v>
      </c>
      <c r="BD49" s="110"/>
      <c r="BE49" s="110"/>
      <c r="BF49" s="110"/>
      <c r="BG49" s="110"/>
      <c r="BH49" s="110"/>
    </row>
    <row r="50" spans="1:60" s="19" customFormat="1" ht="16.149999999999999" customHeight="1" x14ac:dyDescent="0.25">
      <c r="A50" s="183"/>
      <c r="B50" s="6" t="s">
        <v>30</v>
      </c>
      <c r="C50" s="109">
        <f>Assumptions!$C$50</f>
        <v>20</v>
      </c>
      <c r="D50" s="109">
        <f>Assumptions!$C$50</f>
        <v>20</v>
      </c>
      <c r="E50" s="109">
        <f>Assumptions!$C$50</f>
        <v>20</v>
      </c>
      <c r="F50" s="109">
        <f>Assumptions!$C$50</f>
        <v>20</v>
      </c>
      <c r="G50" s="109">
        <f>Assumptions!$C$50</f>
        <v>20</v>
      </c>
      <c r="H50" s="109">
        <f>Assumptions!$C$50</f>
        <v>20</v>
      </c>
      <c r="I50" s="109">
        <f>Assumptions!$C$50</f>
        <v>20</v>
      </c>
      <c r="J50" s="109">
        <f>Assumptions!$C$50</f>
        <v>20</v>
      </c>
      <c r="K50" s="109">
        <f>Assumptions!$C$50</f>
        <v>20</v>
      </c>
      <c r="L50" s="109">
        <f>Assumptions!$C$50</f>
        <v>20</v>
      </c>
      <c r="M50" s="109">
        <f>Assumptions!$C$50</f>
        <v>20</v>
      </c>
      <c r="N50" s="109">
        <f>Assumptions!$C$50</f>
        <v>20</v>
      </c>
      <c r="O50" s="109">
        <f>Assumptions!$C$50</f>
        <v>20</v>
      </c>
      <c r="P50" s="109">
        <f>Assumptions!$C$50</f>
        <v>20</v>
      </c>
      <c r="Q50" s="109">
        <f>Assumptions!$C$50</f>
        <v>20</v>
      </c>
      <c r="R50" s="109">
        <f>Assumptions!$C$50</f>
        <v>20</v>
      </c>
      <c r="S50" s="109">
        <f>Assumptions!$C$50</f>
        <v>20</v>
      </c>
      <c r="T50" s="109">
        <f>Assumptions!$C$50</f>
        <v>20</v>
      </c>
      <c r="U50" s="109">
        <f>Assumptions!$C$50</f>
        <v>20</v>
      </c>
      <c r="V50" s="109">
        <f>Assumptions!$C$50</f>
        <v>20</v>
      </c>
      <c r="W50" s="109">
        <f>Assumptions!$C$50</f>
        <v>20</v>
      </c>
      <c r="X50" s="109">
        <f>Assumptions!$C$50</f>
        <v>20</v>
      </c>
      <c r="Y50" s="109">
        <f>Assumptions!$C$50</f>
        <v>20</v>
      </c>
      <c r="Z50" s="109">
        <f>Assumptions!$C$50</f>
        <v>20</v>
      </c>
      <c r="AA50" s="109">
        <f>Assumptions!$C$50</f>
        <v>20</v>
      </c>
      <c r="AB50" s="109">
        <f>Assumptions!$C$50</f>
        <v>20</v>
      </c>
      <c r="AC50" s="109">
        <f>Assumptions!$C$50</f>
        <v>20</v>
      </c>
      <c r="AD50" s="109">
        <f>Assumptions!$C$50</f>
        <v>20</v>
      </c>
      <c r="AE50" s="109">
        <f>Assumptions!$C$50</f>
        <v>20</v>
      </c>
      <c r="AF50" s="109">
        <f>Assumptions!$C$50</f>
        <v>20</v>
      </c>
      <c r="AG50" s="109">
        <f>Assumptions!$C$50</f>
        <v>20</v>
      </c>
      <c r="AH50" s="109">
        <f>Assumptions!$C$50</f>
        <v>20</v>
      </c>
      <c r="AI50" s="109">
        <f>Assumptions!$C$50</f>
        <v>20</v>
      </c>
      <c r="AJ50" s="109">
        <f>Assumptions!$C$50</f>
        <v>20</v>
      </c>
      <c r="AK50" s="109">
        <f>Assumptions!$C$50</f>
        <v>20</v>
      </c>
      <c r="AL50" s="109">
        <f>Assumptions!$C$50</f>
        <v>20</v>
      </c>
      <c r="AM50" s="109">
        <f>Assumptions!$C$50</f>
        <v>20</v>
      </c>
      <c r="AN50" s="109">
        <f>Assumptions!$C$50</f>
        <v>20</v>
      </c>
      <c r="AO50" s="109">
        <f>Assumptions!$C$50</f>
        <v>20</v>
      </c>
      <c r="AP50" s="109">
        <f>Assumptions!$C$50</f>
        <v>20</v>
      </c>
      <c r="AQ50" s="109">
        <f>Assumptions!$C$50</f>
        <v>20</v>
      </c>
      <c r="AR50" s="109">
        <f>Assumptions!$C$50</f>
        <v>20</v>
      </c>
      <c r="AS50" s="109">
        <f>Assumptions!$C$50</f>
        <v>20</v>
      </c>
      <c r="AT50" s="109">
        <f>Assumptions!$C$50</f>
        <v>20</v>
      </c>
      <c r="AU50" s="109">
        <f>Assumptions!$C$50</f>
        <v>20</v>
      </c>
      <c r="AV50" s="109">
        <f>Assumptions!$C$50</f>
        <v>20</v>
      </c>
      <c r="AW50" s="109">
        <f>Assumptions!$C$50</f>
        <v>20</v>
      </c>
      <c r="AX50" s="109">
        <f>Assumptions!$C$50</f>
        <v>20</v>
      </c>
      <c r="AY50" s="109">
        <f>Assumptions!$C$50</f>
        <v>20</v>
      </c>
      <c r="AZ50" s="109">
        <f>Assumptions!$C$50</f>
        <v>20</v>
      </c>
      <c r="BA50" s="109">
        <f>Assumptions!$C$50</f>
        <v>20</v>
      </c>
      <c r="BB50" s="109">
        <f>Assumptions!$C$50</f>
        <v>20</v>
      </c>
      <c r="BC50" s="109">
        <f>Assumptions!$C$50</f>
        <v>20</v>
      </c>
      <c r="BD50" s="110">
        <f>Assumptions!$C$50</f>
        <v>20</v>
      </c>
      <c r="BE50" s="110">
        <f>Assumptions!$C$50</f>
        <v>20</v>
      </c>
      <c r="BF50" s="110">
        <f>Assumptions!$C$50</f>
        <v>20</v>
      </c>
      <c r="BG50" s="110">
        <f>Assumptions!$C$50</f>
        <v>20</v>
      </c>
      <c r="BH50" s="110">
        <f>Assumptions!$C$50</f>
        <v>20</v>
      </c>
    </row>
    <row r="51" spans="1:60" s="19" customFormat="1" ht="16.149999999999999" customHeight="1" x14ac:dyDescent="0.25">
      <c r="A51" s="183"/>
      <c r="B51" s="6" t="s">
        <v>231</v>
      </c>
      <c r="C51" s="109"/>
      <c r="D51" s="115">
        <f ca="1">((SUMIF(IncState!$A$7:$BG$59,"*V1C1*",IncState!C$7:C$59)-SUMIF(CashFlow!$A$27:$BG$31,"*V1C1*",CashFlow!C$27:C$31))*(1+Assumptions!$C$59))+((SUMIF(IncState!$A$7:$BG$59,"*V2C1*",IncState!C$7:C$59)-SUMIF(CashFlow!$A$27:$BG$31,"*V2C1*",CashFlow!C$27:C$31))*(1+Assumptions!$C$60))+((SUMIF(IncState!$A$7:$BG$59,"*V3C1*",IncState!C$7:C$59)-SUMIF(CashFlow!$A$27:$BG$31,"*V3C1*",CashFlow!C$27:C$31))*(1+Assumptions!$C$61))+((SUMIF(IncState!$A$7:$BG$59,"*V4C1*",IncState!C$7:C$59)-SUMIF(CashFlow!$A$27:$BG$31,"*V4C1*",CashFlow!C$27:C$31))*(1+Assumptions!$C$62))</f>
        <v>44850</v>
      </c>
      <c r="E51" s="115">
        <f ca="1">((SUMIF(IncState!$A$7:$BG$59,"*V1C1*",IncState!D$7:D$59)-SUMIF(CashFlow!$A$27:$BG$31,"*V1C1*",CashFlow!D$27:D$31))*(1+Assumptions!$C$59))+((SUMIF(IncState!$A$7:$BG$59,"*V2C1*",IncState!D$7:D$59)-SUMIF(CashFlow!$A$27:$BG$31,"*V2C1*",CashFlow!D$27:D$31))*(1+Assumptions!$C$60))+((SUMIF(IncState!$A$7:$BG$59,"*V3C1*",IncState!D$7:D$59)-SUMIF(CashFlow!$A$27:$BG$31,"*V3C1*",CashFlow!D$27:D$31))*(1+Assumptions!$C$61))+((SUMIF(IncState!$A$7:$BG$59,"*V4C1*",IncState!D$7:D$59)-SUMIF(CashFlow!$A$27:$BG$31,"*V4C1*",CashFlow!D$27:D$31))*(1+Assumptions!$C$62))</f>
        <v>37859.840000000004</v>
      </c>
      <c r="F51" s="115">
        <f ca="1">((SUMIF(IncState!$A$7:$BG$59,"*V1C1*",IncState!E$7:E$59)-SUMIF(CashFlow!$A$27:$BG$31,"*V1C1*",CashFlow!E$27:E$31))*(1+Assumptions!$C$59))+((SUMIF(IncState!$A$7:$BG$59,"*V2C1*",IncState!E$7:E$59)-SUMIF(CashFlow!$A$27:$BG$31,"*V2C1*",CashFlow!E$27:E$31))*(1+Assumptions!$C$60))+((SUMIF(IncState!$A$7:$BG$59,"*V3C1*",IncState!E$7:E$59)-SUMIF(CashFlow!$A$27:$BG$31,"*V3C1*",CashFlow!E$27:E$31))*(1+Assumptions!$C$61))+((SUMIF(IncState!$A$7:$BG$59,"*V4C1*",IncState!E$7:E$59)-SUMIF(CashFlow!$A$27:$BG$31,"*V4C1*",CashFlow!E$27:E$31))*(1+Assumptions!$C$62))</f>
        <v>52439.999999999993</v>
      </c>
      <c r="G51" s="115">
        <f ca="1">((SUMIF(IncState!$A$7:$BG$59,"*V1C1*",IncState!F$7:F$59)-SUMIF(CashFlow!$A$27:$BG$31,"*V1C1*",CashFlow!F$27:F$31))*(1+Assumptions!$C$59))+((SUMIF(IncState!$A$7:$BG$59,"*V2C1*",IncState!F$7:F$59)-SUMIF(CashFlow!$A$27:$BG$31,"*V2C1*",CashFlow!F$27:F$31))*(1+Assumptions!$C$60))+((SUMIF(IncState!$A$7:$BG$59,"*V3C1*",IncState!F$7:F$59)-SUMIF(CashFlow!$A$27:$BG$31,"*V3C1*",CashFlow!F$27:F$31))*(1+Assumptions!$C$61))+((SUMIF(IncState!$A$7:$BG$59,"*V4C1*",IncState!F$7:F$59)-SUMIF(CashFlow!$A$27:$BG$31,"*V4C1*",CashFlow!F$27:F$31))*(1+Assumptions!$C$62))</f>
        <v>49035.999999999993</v>
      </c>
      <c r="H51" s="115">
        <f ca="1">((SUMIF(IncState!$A$7:$BG$59,"*V1C1*",IncState!G$7:G$59)-SUMIF(CashFlow!$A$27:$BG$31,"*V1C1*",CashFlow!G$27:G$31))*(1+Assumptions!$C$59))+((SUMIF(IncState!$A$7:$BG$59,"*V2C1*",IncState!G$7:G$59)-SUMIF(CashFlow!$A$27:$BG$31,"*V2C1*",CashFlow!G$27:G$31))*(1+Assumptions!$C$60))+((SUMIF(IncState!$A$7:$BG$59,"*V3C1*",IncState!G$7:G$59)-SUMIF(CashFlow!$A$27:$BG$31,"*V3C1*",CashFlow!G$27:G$31))*(1+Assumptions!$C$61))+((SUMIF(IncState!$A$7:$BG$59,"*V4C1*",IncState!G$7:G$59)-SUMIF(CashFlow!$A$27:$BG$31,"*V4C1*",CashFlow!G$27:G$31))*(1+Assumptions!$C$62))</f>
        <v>58906.45</v>
      </c>
      <c r="I51" s="115">
        <f ca="1">((SUMIF(IncState!$A$7:$BG$59,"*V1C1*",IncState!H$7:H$59)-SUMIF(CashFlow!$A$27:$BG$31,"*V1C1*",CashFlow!H$27:H$31))*(1+Assumptions!$C$59))+((SUMIF(IncState!$A$7:$BG$59,"*V2C1*",IncState!H$7:H$59)-SUMIF(CashFlow!$A$27:$BG$31,"*V2C1*",CashFlow!H$27:H$31))*(1+Assumptions!$C$60))+((SUMIF(IncState!$A$7:$BG$59,"*V3C1*",IncState!H$7:H$59)-SUMIF(CashFlow!$A$27:$BG$31,"*V3C1*",CashFlow!H$27:H$31))*(1+Assumptions!$C$61))+((SUMIF(IncState!$A$7:$BG$59,"*V4C1*",IncState!H$7:H$59)-SUMIF(CashFlow!$A$27:$BG$31,"*V4C1*",CashFlow!H$27:H$31))*(1+Assumptions!$C$62))</f>
        <v>53394.499999999993</v>
      </c>
      <c r="J51" s="115">
        <f ca="1">((SUMIF(IncState!$A$7:$BG$59,"*V1C1*",IncState!I$7:I$59)-SUMIF(CashFlow!$A$27:$BG$31,"*V1C1*",CashFlow!I$27:I$31))*(1+Assumptions!$C$59))+((SUMIF(IncState!$A$7:$BG$59,"*V2C1*",IncState!I$7:I$59)-SUMIF(CashFlow!$A$27:$BG$31,"*V2C1*",CashFlow!I$27:I$31))*(1+Assumptions!$C$60))+((SUMIF(IncState!$A$7:$BG$59,"*V3C1*",IncState!I$7:I$59)-SUMIF(CashFlow!$A$27:$BG$31,"*V3C1*",CashFlow!I$27:I$31))*(1+Assumptions!$C$61))+((SUMIF(IncState!$A$7:$BG$59,"*V4C1*",IncState!I$7:I$59)-SUMIF(CashFlow!$A$27:$BG$31,"*V4C1*",CashFlow!I$27:I$31))*(1+Assumptions!$C$62))</f>
        <v>53357.7</v>
      </c>
      <c r="K51" s="115">
        <f ca="1">((SUMIF(IncState!$A$7:$BG$59,"*V1C1*",IncState!J$7:J$59)-SUMIF(CashFlow!$A$27:$BG$31,"*V1C1*",CashFlow!J$27:J$31))*(1+Assumptions!$C$59))+((SUMIF(IncState!$A$7:$BG$59,"*V2C1*",IncState!J$7:J$59)-SUMIF(CashFlow!$A$27:$BG$31,"*V2C1*",CashFlow!J$27:J$31))*(1+Assumptions!$C$60))+((SUMIF(IncState!$A$7:$BG$59,"*V3C1*",IncState!J$7:J$59)-SUMIF(CashFlow!$A$27:$BG$31,"*V3C1*",CashFlow!J$27:J$31))*(1+Assumptions!$C$61))+((SUMIF(IncState!$A$7:$BG$59,"*V4C1*",IncState!J$7:J$59)-SUMIF(CashFlow!$A$27:$BG$31,"*V4C1*",CashFlow!J$27:J$31))*(1+Assumptions!$C$62))</f>
        <v>45643.5</v>
      </c>
      <c r="L51" s="115">
        <f ca="1">((SUMIF(IncState!$A$7:$BG$59,"*V1C1*",IncState!K$7:K$59)-SUMIF(CashFlow!$A$27:$BG$31,"*V1C1*",CashFlow!K$27:K$31))*(1+Assumptions!$C$59))+((SUMIF(IncState!$A$7:$BG$59,"*V2C1*",IncState!K$7:K$59)-SUMIF(CashFlow!$A$27:$BG$31,"*V2C1*",CashFlow!K$27:K$31))*(1+Assumptions!$C$60))+((SUMIF(IncState!$A$7:$BG$59,"*V3C1*",IncState!K$7:K$59)-SUMIF(CashFlow!$A$27:$BG$31,"*V3C1*",CashFlow!K$27:K$31))*(1+Assumptions!$C$61))+((SUMIF(IncState!$A$7:$BG$59,"*V4C1*",IncState!K$7:K$59)-SUMIF(CashFlow!$A$27:$BG$31,"*V4C1*",CashFlow!K$27:K$31))*(1+Assumptions!$C$62))</f>
        <v>55125.249999999993</v>
      </c>
      <c r="M51" s="115">
        <f ca="1">((SUMIF(IncState!$A$7:$BG$59,"*V1C1*",IncState!L$7:L$59)-SUMIF(CashFlow!$A$27:$BG$31,"*V1C1*",CashFlow!L$27:L$31))*(1+Assumptions!$C$59))+((SUMIF(IncState!$A$7:$BG$59,"*V2C1*",IncState!L$7:L$59)-SUMIF(CashFlow!$A$27:$BG$31,"*V2C1*",CashFlow!L$27:L$31))*(1+Assumptions!$C$60))+((SUMIF(IncState!$A$7:$BG$59,"*V3C1*",IncState!L$7:L$59)-SUMIF(CashFlow!$A$27:$BG$31,"*V3C1*",CashFlow!L$27:L$31))*(1+Assumptions!$C$61))+((SUMIF(IncState!$A$7:$BG$59,"*V4C1*",IncState!L$7:L$59)-SUMIF(CashFlow!$A$27:$BG$31,"*V4C1*",CashFlow!L$27:L$31))*(1+Assumptions!$C$62))</f>
        <v>46368</v>
      </c>
      <c r="N51" s="115">
        <f ca="1">((SUMIF(IncState!$A$7:$BG$59,"*V1C1*",IncState!M$7:M$59)-SUMIF(CashFlow!$A$27:$BG$31,"*V1C1*",CashFlow!M$27:M$31))*(1+Assumptions!$C$59))+((SUMIF(IncState!$A$7:$BG$59,"*V2C1*",IncState!M$7:M$59)-SUMIF(CashFlow!$A$27:$BG$31,"*V2C1*",CashFlow!M$27:M$31))*(1+Assumptions!$C$60))+((SUMIF(IncState!$A$7:$BG$59,"*V3C1*",IncState!M$7:M$59)-SUMIF(CashFlow!$A$27:$BG$31,"*V3C1*",CashFlow!M$27:M$31))*(1+Assumptions!$C$61))+((SUMIF(IncState!$A$7:$BG$59,"*V4C1*",IncState!M$7:M$59)-SUMIF(CashFlow!$A$27:$BG$31,"*V4C1*",CashFlow!M$27:M$31))*(1+Assumptions!$C$62))</f>
        <v>47816.999999999993</v>
      </c>
      <c r="O51" s="115">
        <f ca="1">((SUMIF(IncState!$A$7:$BG$59,"*V1C1*",IncState!N$7:N$59)-SUMIF(CashFlow!$A$27:$BG$31,"*V1C1*",CashFlow!N$27:N$31))*(1+Assumptions!$C$59))+((SUMIF(IncState!$A$7:$BG$59,"*V2C1*",IncState!N$7:N$59)-SUMIF(CashFlow!$A$27:$BG$31,"*V2C1*",CashFlow!N$27:N$31))*(1+Assumptions!$C$60))+((SUMIF(IncState!$A$7:$BG$59,"*V3C1*",IncState!N$7:N$59)-SUMIF(CashFlow!$A$27:$BG$31,"*V3C1*",CashFlow!N$27:N$31))*(1+Assumptions!$C$61))+((SUMIF(IncState!$A$7:$BG$59,"*V4C1*",IncState!N$7:N$59)-SUMIF(CashFlow!$A$27:$BG$31,"*V4C1*",CashFlow!N$27:N$31))*(1+Assumptions!$C$62))</f>
        <v>47527.199999999997</v>
      </c>
      <c r="P51" s="115">
        <f ca="1">((SUMIF(IncState!$A$7:$BG$59,"*V1C1*",IncState!O$7:O$59)-SUMIF(CashFlow!$A$27:$BG$31,"*V1C1*",CashFlow!O$27:O$31))*(1+Assumptions!$C$59))+((SUMIF(IncState!$A$7:$BG$59,"*V2C1*",IncState!O$7:O$59)-SUMIF(CashFlow!$A$27:$BG$31,"*V2C1*",CashFlow!O$27:O$31))*(1+Assumptions!$C$60))+((SUMIF(IncState!$A$7:$BG$59,"*V3C1*",IncState!O$7:O$59)-SUMIF(CashFlow!$A$27:$BG$31,"*V3C1*",CashFlow!O$27:O$31))*(1+Assumptions!$C$61))+((SUMIF(IncState!$A$7:$BG$59,"*V4C1*",IncState!O$7:O$59)-SUMIF(CashFlow!$A$27:$BG$31,"*V4C1*",CashFlow!O$27:O$31))*(1+Assumptions!$C$62))</f>
        <v>79574.25</v>
      </c>
      <c r="Q51" s="115">
        <f ca="1">((SUMIF(IncState!$A$7:$BG$59,"*V1C1*",IncState!P$7:P$59)-SUMIF(CashFlow!$A$27:$BG$31,"*V1C1*",CashFlow!P$27:P$31))*(1+Assumptions!$C$59))+((SUMIF(IncState!$A$7:$BG$59,"*V2C1*",IncState!P$7:P$59)-SUMIF(CashFlow!$A$27:$BG$31,"*V2C1*",CashFlow!P$27:P$31))*(1+Assumptions!$C$60))+((SUMIF(IncState!$A$7:$BG$59,"*V3C1*",IncState!P$7:P$59)-SUMIF(CashFlow!$A$27:$BG$31,"*V3C1*",CashFlow!P$27:P$31))*(1+Assumptions!$C$61))+((SUMIF(IncState!$A$7:$BG$59,"*V4C1*",IncState!P$7:P$59)-SUMIF(CashFlow!$A$27:$BG$31,"*V4C1*",CashFlow!P$27:P$31))*(1+Assumptions!$C$62))</f>
        <v>50714.999999999993</v>
      </c>
      <c r="R51" s="115">
        <f ca="1">((SUMIF(IncState!$A$7:$BG$59,"*V1C1*",IncState!Q$7:Q$59)-SUMIF(CashFlow!$A$27:$BG$31,"*V1C1*",CashFlow!Q$27:Q$31))*(1+Assumptions!$C$59))+((SUMIF(IncState!$A$7:$BG$59,"*V2C1*",IncState!Q$7:Q$59)-SUMIF(CashFlow!$A$27:$BG$31,"*V2C1*",CashFlow!Q$27:Q$31))*(1+Assumptions!$C$60))+((SUMIF(IncState!$A$7:$BG$59,"*V3C1*",IncState!Q$7:Q$59)-SUMIF(CashFlow!$A$27:$BG$31,"*V3C1*",CashFlow!Q$27:Q$31))*(1+Assumptions!$C$61))+((SUMIF(IncState!$A$7:$BG$59,"*V4C1*",IncState!Q$7:Q$59)-SUMIF(CashFlow!$A$27:$BG$31,"*V4C1*",CashFlow!Q$27:Q$31))*(1+Assumptions!$C$62))</f>
        <v>49242.999999999993</v>
      </c>
      <c r="S51" s="115">
        <f ca="1">((SUMIF(IncState!$A$7:$BG$59,"*V1C1*",IncState!R$7:R$59)-SUMIF(CashFlow!$A$27:$BG$31,"*V1C1*",CashFlow!R$27:R$31))*(1+Assumptions!$C$59))+((SUMIF(IncState!$A$7:$BG$59,"*V2C1*",IncState!R$7:R$59)-SUMIF(CashFlow!$A$27:$BG$31,"*V2C1*",CashFlow!R$27:R$31))*(1+Assumptions!$C$60))+((SUMIF(IncState!$A$7:$BG$59,"*V3C1*",IncState!R$7:R$59)-SUMIF(CashFlow!$A$27:$BG$31,"*V3C1*",CashFlow!R$27:R$31))*(1+Assumptions!$C$61))+((SUMIF(IncState!$A$7:$BG$59,"*V4C1*",IncState!R$7:R$59)-SUMIF(CashFlow!$A$27:$BG$31,"*V4C1*",CashFlow!R$27:R$31))*(1+Assumptions!$C$62))</f>
        <v>46802.7</v>
      </c>
      <c r="T51" s="115">
        <f ca="1">((SUMIF(IncState!$A$7:$BG$59,"*V1C1*",IncState!S$7:S$59)-SUMIF(CashFlow!$A$27:$BG$31,"*V1C1*",CashFlow!S$27:S$31))*(1+Assumptions!$C$59))+((SUMIF(IncState!$A$7:$BG$59,"*V2C1*",IncState!S$7:S$59)-SUMIF(CashFlow!$A$27:$BG$31,"*V2C1*",CashFlow!S$27:S$31))*(1+Assumptions!$C$60))+((SUMIF(IncState!$A$7:$BG$59,"*V3C1*",IncState!S$7:S$59)-SUMIF(CashFlow!$A$27:$BG$31,"*V3C1*",CashFlow!S$27:S$31))*(1+Assumptions!$C$61))+((SUMIF(IncState!$A$7:$BG$59,"*V4C1*",IncState!S$7:S$59)-SUMIF(CashFlow!$A$27:$BG$31,"*V4C1*",CashFlow!S$27:S$31))*(1+Assumptions!$C$62))</f>
        <v>49990.499999999993</v>
      </c>
      <c r="U51" s="115">
        <f ca="1">((SUMIF(IncState!$A$7:$BG$59,"*V1C1*",IncState!T$7:T$59)-SUMIF(CashFlow!$A$27:$BG$31,"*V1C1*",CashFlow!T$27:T$31))*(1+Assumptions!$C$59))+((SUMIF(IncState!$A$7:$BG$59,"*V2C1*",IncState!T$7:T$59)-SUMIF(CashFlow!$A$27:$BG$31,"*V2C1*",CashFlow!T$27:T$31))*(1+Assumptions!$C$60))+((SUMIF(IncState!$A$7:$BG$59,"*V3C1*",IncState!T$7:T$59)-SUMIF(CashFlow!$A$27:$BG$31,"*V3C1*",CashFlow!T$27:T$31))*(1+Assumptions!$C$61))+((SUMIF(IncState!$A$7:$BG$59,"*V4C1*",IncState!T$7:T$59)-SUMIF(CashFlow!$A$27:$BG$31,"*V4C1*",CashFlow!T$27:T$31))*(1+Assumptions!$C$62))</f>
        <v>62949.85</v>
      </c>
      <c r="V51" s="115">
        <f ca="1">((SUMIF(IncState!$A$7:$BG$59,"*V1C1*",IncState!U$7:U$59)-SUMIF(CashFlow!$A$27:$BG$31,"*V1C1*",CashFlow!U$27:U$31))*(1+Assumptions!$C$59))+((SUMIF(IncState!$A$7:$BG$59,"*V2C1*",IncState!U$7:U$59)-SUMIF(CashFlow!$A$27:$BG$31,"*V2C1*",CashFlow!U$27:U$31))*(1+Assumptions!$C$60))+((SUMIF(IncState!$A$7:$BG$59,"*V3C1*",IncState!U$7:U$59)-SUMIF(CashFlow!$A$27:$BG$31,"*V3C1*",CashFlow!U$27:U$31))*(1+Assumptions!$C$61))+((SUMIF(IncState!$A$7:$BG$59,"*V4C1*",IncState!U$7:U$59)-SUMIF(CashFlow!$A$27:$BG$31,"*V4C1*",CashFlow!U$27:U$31))*(1+Assumptions!$C$62))</f>
        <v>50280.299999999996</v>
      </c>
      <c r="W51" s="115">
        <f ca="1">((SUMIF(IncState!$A$7:$BG$59,"*V1C1*",IncState!V$7:V$59)-SUMIF(CashFlow!$A$27:$BG$31,"*V1C1*",CashFlow!V$27:V$31))*(1+Assumptions!$C$59))+((SUMIF(IncState!$A$7:$BG$59,"*V2C1*",IncState!V$7:V$59)-SUMIF(CashFlow!$A$27:$BG$31,"*V2C1*",CashFlow!V$27:V$31))*(1+Assumptions!$C$60))+((SUMIF(IncState!$A$7:$BG$59,"*V3C1*",IncState!V$7:V$59)-SUMIF(CashFlow!$A$27:$BG$31,"*V3C1*",CashFlow!V$27:V$31))*(1+Assumptions!$C$61))+((SUMIF(IncState!$A$7:$BG$59,"*V4C1*",IncState!V$7:V$59)-SUMIF(CashFlow!$A$27:$BG$31,"*V4C1*",CashFlow!V$27:V$31))*(1+Assumptions!$C$62))</f>
        <v>48805.999999999993</v>
      </c>
      <c r="X51" s="115">
        <f ca="1">((SUMIF(IncState!$A$7:$BG$59,"*V1C1*",IncState!W$7:W$59)-SUMIF(CashFlow!$A$27:$BG$31,"*V1C1*",CashFlow!W$27:W$31))*(1+Assumptions!$C$59))+((SUMIF(IncState!$A$7:$BG$59,"*V2C1*",IncState!W$7:W$59)-SUMIF(CashFlow!$A$27:$BG$31,"*V2C1*",CashFlow!W$27:W$31))*(1+Assumptions!$C$60))+((SUMIF(IncState!$A$7:$BG$59,"*V3C1*",IncState!W$7:W$59)-SUMIF(CashFlow!$A$27:$BG$31,"*V3C1*",CashFlow!W$27:W$31))*(1+Assumptions!$C$61))+((SUMIF(IncState!$A$7:$BG$59,"*V4C1*",IncState!W$7:W$59)-SUMIF(CashFlow!$A$27:$BG$31,"*V4C1*",CashFlow!W$27:W$31))*(1+Assumptions!$C$62))</f>
        <v>44919</v>
      </c>
      <c r="Y51" s="115">
        <f ca="1">((SUMIF(IncState!$A$7:$BG$59,"*V1C1*",IncState!X$7:X$59)-SUMIF(CashFlow!$A$27:$BG$31,"*V1C1*",CashFlow!X$27:X$31))*(1+Assumptions!$C$59))+((SUMIF(IncState!$A$7:$BG$59,"*V2C1*",IncState!X$7:X$59)-SUMIF(CashFlow!$A$27:$BG$31,"*V2C1*",CashFlow!X$27:X$31))*(1+Assumptions!$C$60))+((SUMIF(IncState!$A$7:$BG$59,"*V3C1*",IncState!X$7:X$59)-SUMIF(CashFlow!$A$27:$BG$31,"*V3C1*",CashFlow!X$27:X$31))*(1+Assumptions!$C$61))+((SUMIF(IncState!$A$7:$BG$59,"*V4C1*",IncState!X$7:X$59)-SUMIF(CashFlow!$A$27:$BG$31,"*V4C1*",CashFlow!X$27:X$31))*(1+Assumptions!$C$62))</f>
        <v>61565.249999999993</v>
      </c>
      <c r="Z51" s="115">
        <f ca="1">((SUMIF(IncState!$A$7:$BG$59,"*V1C1*",IncState!Y$7:Y$59)-SUMIF(CashFlow!$A$27:$BG$31,"*V1C1*",CashFlow!Y$27:Y$31))*(1+Assumptions!$C$59))+((SUMIF(IncState!$A$7:$BG$59,"*V2C1*",IncState!Y$7:Y$59)-SUMIF(CashFlow!$A$27:$BG$31,"*V2C1*",CashFlow!Y$27:Y$31))*(1+Assumptions!$C$60))+((SUMIF(IncState!$A$7:$BG$59,"*V3C1*",IncState!Y$7:Y$59)-SUMIF(CashFlow!$A$27:$BG$31,"*V3C1*",CashFlow!Y$27:Y$31))*(1+Assumptions!$C$61))+((SUMIF(IncState!$A$7:$BG$59,"*V4C1*",IncState!Y$7:Y$59)-SUMIF(CashFlow!$A$27:$BG$31,"*V4C1*",CashFlow!Y$27:Y$31))*(1+Assumptions!$C$62))</f>
        <v>48198.799999999996</v>
      </c>
      <c r="AA51" s="115">
        <f ca="1">((SUMIF(IncState!$A$7:$BG$59,"*V1C1*",IncState!Z$7:Z$59)-SUMIF(CashFlow!$A$27:$BG$31,"*V1C1*",CashFlow!Z$27:Z$31))*(1+Assumptions!$C$59))+((SUMIF(IncState!$A$7:$BG$59,"*V2C1*",IncState!Z$7:Z$59)-SUMIF(CashFlow!$A$27:$BG$31,"*V2C1*",CashFlow!Z$27:Z$31))*(1+Assumptions!$C$60))+((SUMIF(IncState!$A$7:$BG$59,"*V3C1*",IncState!Z$7:Z$59)-SUMIF(CashFlow!$A$27:$BG$31,"*V3C1*",CashFlow!Z$27:Z$31))*(1+Assumptions!$C$61))+((SUMIF(IncState!$A$7:$BG$59,"*V4C1*",IncState!Z$7:Z$59)-SUMIF(CashFlow!$A$27:$BG$31,"*V4C1*",CashFlow!Z$27:Z$31))*(1+Assumptions!$C$62))</f>
        <v>65812.2</v>
      </c>
      <c r="AB51" s="115">
        <f ca="1">((SUMIF(IncState!$A$7:$BG$59,"*V1C1*",IncState!AA$7:AA$59)-SUMIF(CashFlow!$A$27:$BG$31,"*V1C1*",CashFlow!AA$27:AA$31))*(1+Assumptions!$C$59))+((SUMIF(IncState!$A$7:$BG$59,"*V2C1*",IncState!AA$7:AA$59)-SUMIF(CashFlow!$A$27:$BG$31,"*V2C1*",CashFlow!AA$27:AA$31))*(1+Assumptions!$C$60))+((SUMIF(IncState!$A$7:$BG$59,"*V3C1*",IncState!AA$7:AA$59)-SUMIF(CashFlow!$A$27:$BG$31,"*V3C1*",CashFlow!AA$27:AA$31))*(1+Assumptions!$C$61))+((SUMIF(IncState!$A$7:$BG$59,"*V4C1*",IncState!AA$7:AA$59)-SUMIF(CashFlow!$A$27:$BG$31,"*V4C1*",CashFlow!AA$27:AA$31))*(1+Assumptions!$C$62))</f>
        <v>50908.2</v>
      </c>
      <c r="AC51" s="115">
        <f ca="1">((SUMIF(IncState!$A$7:$BG$59,"*V1C1*",IncState!AB$7:AB$59)-SUMIF(CashFlow!$A$27:$BG$31,"*V1C1*",CashFlow!AB$27:AB$31))*(1+Assumptions!$C$59))+((SUMIF(IncState!$A$7:$BG$59,"*V2C1*",IncState!AB$7:AB$59)-SUMIF(CashFlow!$A$27:$BG$31,"*V2C1*",CashFlow!AB$27:AB$31))*(1+Assumptions!$C$60))+((SUMIF(IncState!$A$7:$BG$59,"*V3C1*",IncState!AB$7:AB$59)-SUMIF(CashFlow!$A$27:$BG$31,"*V3C1*",CashFlow!AB$27:AB$31))*(1+Assumptions!$C$61))+((SUMIF(IncState!$A$7:$BG$59,"*V4C1*",IncState!AB$7:AB$59)-SUMIF(CashFlow!$A$27:$BG$31,"*V4C1*",CashFlow!AB$27:AB$31))*(1+Assumptions!$C$62))</f>
        <v>72681.149999999994</v>
      </c>
      <c r="AD51" s="115">
        <f ca="1">((SUMIF(IncState!$A$7:$BG$59,"*V1C1*",IncState!AC$7:AC$59)-SUMIF(CashFlow!$A$27:$BG$31,"*V1C1*",CashFlow!AC$27:AC$31))*(1+Assumptions!$C$59))+((SUMIF(IncState!$A$7:$BG$59,"*V2C1*",IncState!AC$7:AC$59)-SUMIF(CashFlow!$A$27:$BG$31,"*V2C1*",CashFlow!AC$27:AC$31))*(1+Assumptions!$C$60))+((SUMIF(IncState!$A$7:$BG$59,"*V3C1*",IncState!AC$7:AC$59)-SUMIF(CashFlow!$A$27:$BG$31,"*V3C1*",CashFlow!AC$27:AC$31))*(1+Assumptions!$C$61))+((SUMIF(IncState!$A$7:$BG$59,"*V4C1*",IncState!AC$7:AC$59)-SUMIF(CashFlow!$A$27:$BG$31,"*V4C1*",CashFlow!AC$27:AC$31))*(1+Assumptions!$C$62))</f>
        <v>49955.999999999993</v>
      </c>
      <c r="AE51" s="115">
        <f ca="1">((SUMIF(IncState!$A$7:$BG$59,"*V1C1*",IncState!AD$7:AD$59)-SUMIF(CashFlow!$A$27:$BG$31,"*V1C1*",CashFlow!AD$27:AD$31))*(1+Assumptions!$C$59))+((SUMIF(IncState!$A$7:$BG$59,"*V2C1*",IncState!AD$7:AD$59)-SUMIF(CashFlow!$A$27:$BG$31,"*V2C1*",CashFlow!AD$27:AD$31))*(1+Assumptions!$C$60))+((SUMIF(IncState!$A$7:$BG$59,"*V3C1*",IncState!AD$7:AD$59)-SUMIF(CashFlow!$A$27:$BG$31,"*V3C1*",CashFlow!AD$27:AD$31))*(1+Assumptions!$C$61))+((SUMIF(IncState!$A$7:$BG$59,"*V4C1*",IncState!AD$7:AD$59)-SUMIF(CashFlow!$A$27:$BG$31,"*V4C1*",CashFlow!AD$27:AD$31))*(1+Assumptions!$C$62))</f>
        <v>50783.999999999993</v>
      </c>
      <c r="AF51" s="115">
        <f ca="1">((SUMIF(IncState!$A$7:$BG$59,"*V1C1*",IncState!AE$7:AE$59)-SUMIF(CashFlow!$A$27:$BG$31,"*V1C1*",CashFlow!AE$27:AE$31))*(1+Assumptions!$C$59))+((SUMIF(IncState!$A$7:$BG$59,"*V2C1*",IncState!AE$7:AE$59)-SUMIF(CashFlow!$A$27:$BG$31,"*V2C1*",CashFlow!AE$27:AE$31))*(1+Assumptions!$C$60))+((SUMIF(IncState!$A$7:$BG$59,"*V3C1*",IncState!AE$7:AE$59)-SUMIF(CashFlow!$A$27:$BG$31,"*V3C1*",CashFlow!AE$27:AE$31))*(1+Assumptions!$C$61))+((SUMIF(IncState!$A$7:$BG$59,"*V4C1*",IncState!AE$7:AE$59)-SUMIF(CashFlow!$A$27:$BG$31,"*V4C1*",CashFlow!AE$27:AE$31))*(1+Assumptions!$C$62))</f>
        <v>51335.999999999993</v>
      </c>
      <c r="AG51" s="115">
        <f ca="1">((SUMIF(IncState!$A$7:$BG$59,"*V1C1*",IncState!AF$7:AF$59)-SUMIF(CashFlow!$A$27:$BG$31,"*V1C1*",CashFlow!AF$27:AF$31))*(1+Assumptions!$C$59))+((SUMIF(IncState!$A$7:$BG$59,"*V2C1*",IncState!AF$7:AF$59)-SUMIF(CashFlow!$A$27:$BG$31,"*V2C1*",CashFlow!AF$27:AF$31))*(1+Assumptions!$C$60))+((SUMIF(IncState!$A$7:$BG$59,"*V3C1*",IncState!AF$7:AF$59)-SUMIF(CashFlow!$A$27:$BG$31,"*V3C1*",CashFlow!AF$27:AF$31))*(1+Assumptions!$C$61))+((SUMIF(IncState!$A$7:$BG$59,"*V4C1*",IncState!AF$7:AF$59)-SUMIF(CashFlow!$A$27:$BG$31,"*V4C1*",CashFlow!AF$27:AF$31))*(1+Assumptions!$C$62))</f>
        <v>48161.999999999993</v>
      </c>
      <c r="AH51" s="115">
        <f ca="1">((SUMIF(IncState!$A$7:$BG$59,"*V1C1*",IncState!AG$7:AG$59)-SUMIF(CashFlow!$A$27:$BG$31,"*V1C1*",CashFlow!AG$27:AG$31))*(1+Assumptions!$C$59))+((SUMIF(IncState!$A$7:$BG$59,"*V2C1*",IncState!AG$7:AG$59)-SUMIF(CashFlow!$A$27:$BG$31,"*V2C1*",CashFlow!AG$27:AG$31))*(1+Assumptions!$C$60))+((SUMIF(IncState!$A$7:$BG$59,"*V3C1*",IncState!AG$7:AG$59)-SUMIF(CashFlow!$A$27:$BG$31,"*V3C1*",CashFlow!AG$27:AG$31))*(1+Assumptions!$C$61))+((SUMIF(IncState!$A$7:$BG$59,"*V4C1*",IncState!AG$7:AG$59)-SUMIF(CashFlow!$A$27:$BG$31,"*V4C1*",CashFlow!AG$27:AG$31))*(1+Assumptions!$C$62))</f>
        <v>62715.249999999993</v>
      </c>
      <c r="AI51" s="115">
        <f ca="1">((SUMIF(IncState!$A$7:$BG$59,"*V1C1*",IncState!AH$7:AH$59)-SUMIF(CashFlow!$A$27:$BG$31,"*V1C1*",CashFlow!AH$27:AH$31))*(1+Assumptions!$C$59))+((SUMIF(IncState!$A$7:$BG$59,"*V2C1*",IncState!AH$7:AH$59)-SUMIF(CashFlow!$A$27:$BG$31,"*V2C1*",CashFlow!AH$27:AH$31))*(1+Assumptions!$C$60))+((SUMIF(IncState!$A$7:$BG$59,"*V3C1*",IncState!AH$7:AH$59)-SUMIF(CashFlow!$A$27:$BG$31,"*V3C1*",CashFlow!AH$27:AH$31))*(1+Assumptions!$C$61))+((SUMIF(IncState!$A$7:$BG$59,"*V4C1*",IncState!AH$7:AH$59)-SUMIF(CashFlow!$A$27:$BG$31,"*V4C1*",CashFlow!AH$27:AH$31))*(1+Assumptions!$C$62))</f>
        <v>61731.999999999993</v>
      </c>
      <c r="AJ51" s="115">
        <f ca="1">((SUMIF(IncState!$A$7:$BG$59,"*V1C1*",IncState!AI$7:AI$59)-SUMIF(CashFlow!$A$27:$BG$31,"*V1C1*",CashFlow!AI$27:AI$31))*(1+Assumptions!$C$59))+((SUMIF(IncState!$A$7:$BG$59,"*V2C1*",IncState!AI$7:AI$59)-SUMIF(CashFlow!$A$27:$BG$31,"*V2C1*",CashFlow!AI$27:AI$31))*(1+Assumptions!$C$60))+((SUMIF(IncState!$A$7:$BG$59,"*V3C1*",IncState!AI$7:AI$59)-SUMIF(CashFlow!$A$27:$BG$31,"*V3C1*",CashFlow!AI$27:AI$31))*(1+Assumptions!$C$61))+((SUMIF(IncState!$A$7:$BG$59,"*V4C1*",IncState!AI$7:AI$59)-SUMIF(CashFlow!$A$27:$BG$31,"*V4C1*",CashFlow!AI$27:AI$31))*(1+Assumptions!$C$62))</f>
        <v>52577.999999999993</v>
      </c>
      <c r="AK51" s="115">
        <f ca="1">((SUMIF(IncState!$A$7:$BG$59,"*V1C1*",IncState!AJ$7:AJ$59)-SUMIF(CashFlow!$A$27:$BG$31,"*V1C1*",CashFlow!AJ$27:AJ$31))*(1+Assumptions!$C$59))+((SUMIF(IncState!$A$7:$BG$59,"*V2C1*",IncState!AJ$7:AJ$59)-SUMIF(CashFlow!$A$27:$BG$31,"*V2C1*",CashFlow!AJ$27:AJ$31))*(1+Assumptions!$C$60))+((SUMIF(IncState!$A$7:$BG$59,"*V3C1*",IncState!AJ$7:AJ$59)-SUMIF(CashFlow!$A$27:$BG$31,"*V3C1*",CashFlow!AJ$27:AJ$31))*(1+Assumptions!$C$61))+((SUMIF(IncState!$A$7:$BG$59,"*V4C1*",IncState!AJ$7:AJ$59)-SUMIF(CashFlow!$A$27:$BG$31,"*V4C1*",CashFlow!AJ$27:AJ$31))*(1+Assumptions!$C$62))</f>
        <v>78982</v>
      </c>
      <c r="AL51" s="115">
        <f ca="1">((SUMIF(IncState!$A$7:$BG$59,"*V1C1*",IncState!AK$7:AK$59)-SUMIF(CashFlow!$A$27:$BG$31,"*V1C1*",CashFlow!AK$27:AK$31))*(1+Assumptions!$C$59))+((SUMIF(IncState!$A$7:$BG$59,"*V2C1*",IncState!AK$7:AK$59)-SUMIF(CashFlow!$A$27:$BG$31,"*V2C1*",CashFlow!AK$27:AK$31))*(1+Assumptions!$C$60))+((SUMIF(IncState!$A$7:$BG$59,"*V3C1*",IncState!AK$7:AK$59)-SUMIF(CashFlow!$A$27:$BG$31,"*V3C1*",CashFlow!AK$27:AK$31))*(1+Assumptions!$C$61))+((SUMIF(IncState!$A$7:$BG$59,"*V4C1*",IncState!AK$7:AK$59)-SUMIF(CashFlow!$A$27:$BG$31,"*V4C1*",CashFlow!AK$27:AK$31))*(1+Assumptions!$C$62))</f>
        <v>66441.25</v>
      </c>
      <c r="AM51" s="115">
        <f ca="1">((SUMIF(IncState!$A$7:$BG$59,"*V1C1*",IncState!AL$7:AL$59)-SUMIF(CashFlow!$A$27:$BG$31,"*V1C1*",CashFlow!AL$27:AL$31))*(1+Assumptions!$C$59))+((SUMIF(IncState!$A$7:$BG$59,"*V2C1*",IncState!AL$7:AL$59)-SUMIF(CashFlow!$A$27:$BG$31,"*V2C1*",CashFlow!AL$27:AL$31))*(1+Assumptions!$C$60))+((SUMIF(IncState!$A$7:$BG$59,"*V3C1*",IncState!AL$7:AL$59)-SUMIF(CashFlow!$A$27:$BG$31,"*V3C1*",CashFlow!AL$27:AL$31))*(1+Assumptions!$C$61))+((SUMIF(IncState!$A$7:$BG$59,"*V4C1*",IncState!AL$7:AL$59)-SUMIF(CashFlow!$A$27:$BG$31,"*V4C1*",CashFlow!AL$27:AL$31))*(1+Assumptions!$C$62))</f>
        <v>56924.999999999993</v>
      </c>
      <c r="AN51" s="115">
        <f ca="1">((SUMIF(IncState!$A$7:$BG$59,"*V1C1*",IncState!AM$7:AM$59)-SUMIF(CashFlow!$A$27:$BG$31,"*V1C1*",CashFlow!AM$27:AM$31))*(1+Assumptions!$C$59))+((SUMIF(IncState!$A$7:$BG$59,"*V2C1*",IncState!AM$7:AM$59)-SUMIF(CashFlow!$A$27:$BG$31,"*V2C1*",CashFlow!AM$27:AM$31))*(1+Assumptions!$C$60))+((SUMIF(IncState!$A$7:$BG$59,"*V3C1*",IncState!AM$7:AM$59)-SUMIF(CashFlow!$A$27:$BG$31,"*V3C1*",CashFlow!AM$27:AM$31))*(1+Assumptions!$C$61))+((SUMIF(IncState!$A$7:$BG$59,"*V4C1*",IncState!AM$7:AM$59)-SUMIF(CashFlow!$A$27:$BG$31,"*V4C1*",CashFlow!AM$27:AM$31))*(1+Assumptions!$C$62))</f>
        <v>53129.999999999993</v>
      </c>
      <c r="AO51" s="115">
        <f ca="1">((SUMIF(IncState!$A$7:$BG$59,"*V1C1*",IncState!AN$7:AN$59)-SUMIF(CashFlow!$A$27:$BG$31,"*V1C1*",CashFlow!AN$27:AN$31))*(1+Assumptions!$C$59))+((SUMIF(IncState!$A$7:$BG$59,"*V2C1*",IncState!AN$7:AN$59)-SUMIF(CashFlow!$A$27:$BG$31,"*V2C1*",CashFlow!AN$27:AN$31))*(1+Assumptions!$C$60))+((SUMIF(IncState!$A$7:$BG$59,"*V3C1*",IncState!AN$7:AN$59)-SUMIF(CashFlow!$A$27:$BG$31,"*V3C1*",CashFlow!AN$27:AN$31))*(1+Assumptions!$C$61))+((SUMIF(IncState!$A$7:$BG$59,"*V4C1*",IncState!AN$7:AN$59)-SUMIF(CashFlow!$A$27:$BG$31,"*V4C1*",CashFlow!AN$27:AN$31))*(1+Assumptions!$C$62))</f>
        <v>56211.999999999993</v>
      </c>
      <c r="AP51" s="115">
        <f ca="1">((SUMIF(IncState!$A$7:$BG$59,"*V1C1*",IncState!AO$7:AO$59)-SUMIF(CashFlow!$A$27:$BG$31,"*V1C1*",CashFlow!AO$27:AO$31))*(1+Assumptions!$C$59))+((SUMIF(IncState!$A$7:$BG$59,"*V2C1*",IncState!AO$7:AO$59)-SUMIF(CashFlow!$A$27:$BG$31,"*V2C1*",CashFlow!AO$27:AO$31))*(1+Assumptions!$C$60))+((SUMIF(IncState!$A$7:$BG$59,"*V3C1*",IncState!AO$7:AO$59)-SUMIF(CashFlow!$A$27:$BG$31,"*V3C1*",CashFlow!AO$27:AO$31))*(1+Assumptions!$C$61))+((SUMIF(IncState!$A$7:$BG$59,"*V4C1*",IncState!AO$7:AO$59)-SUMIF(CashFlow!$A$27:$BG$31,"*V4C1*",CashFlow!AO$27:AO$31))*(1+Assumptions!$C$62))</f>
        <v>80425.25</v>
      </c>
      <c r="AQ51" s="115">
        <f ca="1">((SUMIF(IncState!$A$7:$BG$59,"*V1C1*",IncState!AP$7:AP$59)-SUMIF(CashFlow!$A$27:$BG$31,"*V1C1*",CashFlow!AP$27:AP$31))*(1+Assumptions!$C$59))+((SUMIF(IncState!$A$7:$BG$59,"*V2C1*",IncState!AP$7:AP$59)-SUMIF(CashFlow!$A$27:$BG$31,"*V2C1*",CashFlow!AP$27:AP$31))*(1+Assumptions!$C$60))+((SUMIF(IncState!$A$7:$BG$59,"*V3C1*",IncState!AP$7:AP$59)-SUMIF(CashFlow!$A$27:$BG$31,"*V3C1*",CashFlow!AP$27:AP$31))*(1+Assumptions!$C$61))+((SUMIF(IncState!$A$7:$BG$59,"*V4C1*",IncState!AP$7:AP$59)-SUMIF(CashFlow!$A$27:$BG$31,"*V4C1*",CashFlow!AP$27:AP$31))*(1+Assumptions!$C$62))</f>
        <v>48686.399999999994</v>
      </c>
      <c r="AR51" s="115">
        <f ca="1">((SUMIF(IncState!$A$7:$BG$59,"*V1C1*",IncState!AQ$7:AQ$59)-SUMIF(CashFlow!$A$27:$BG$31,"*V1C1*",CashFlow!AQ$27:AQ$31))*(1+Assumptions!$C$59))+((SUMIF(IncState!$A$7:$BG$59,"*V2C1*",IncState!AQ$7:AQ$59)-SUMIF(CashFlow!$A$27:$BG$31,"*V2C1*",CashFlow!AQ$27:AQ$31))*(1+Assumptions!$C$60))+((SUMIF(IncState!$A$7:$BG$59,"*V3C1*",IncState!AQ$7:AQ$59)-SUMIF(CashFlow!$A$27:$BG$31,"*V3C1*",CashFlow!AQ$27:AQ$31))*(1+Assumptions!$C$61))+((SUMIF(IncState!$A$7:$BG$59,"*V4C1*",IncState!AQ$7:AQ$59)-SUMIF(CashFlow!$A$27:$BG$31,"*V4C1*",CashFlow!AQ$27:AQ$31))*(1+Assumptions!$C$62))</f>
        <v>41565.599999999999</v>
      </c>
      <c r="AS51" s="115">
        <f ca="1">((SUMIF(IncState!$A$7:$BG$59,"*V1C1*",IncState!AR$7:AR$59)-SUMIF(CashFlow!$A$27:$BG$31,"*V1C1*",CashFlow!AR$27:AR$31))*(1+Assumptions!$C$59))+((SUMIF(IncState!$A$7:$BG$59,"*V2C1*",IncState!AR$7:AR$59)-SUMIF(CashFlow!$A$27:$BG$31,"*V2C1*",CashFlow!AR$27:AR$31))*(1+Assumptions!$C$60))+((SUMIF(IncState!$A$7:$BG$59,"*V3C1*",IncState!AR$7:AR$59)-SUMIF(CashFlow!$A$27:$BG$31,"*V3C1*",CashFlow!AR$27:AR$31))*(1+Assumptions!$C$61))+((SUMIF(IncState!$A$7:$BG$59,"*V4C1*",IncState!AR$7:AR$59)-SUMIF(CashFlow!$A$27:$BG$31,"*V4C1*",CashFlow!AR$27:AR$31))*(1+Assumptions!$C$62))</f>
        <v>43718.399999999994</v>
      </c>
      <c r="AT51" s="115">
        <f ca="1">((SUMIF(IncState!$A$7:$BG$59,"*V1C1*",IncState!AS$7:AS$59)-SUMIF(CashFlow!$A$27:$BG$31,"*V1C1*",CashFlow!AS$27:AS$31))*(1+Assumptions!$C$59))+((SUMIF(IncState!$A$7:$BG$59,"*V2C1*",IncState!AS$7:AS$59)-SUMIF(CashFlow!$A$27:$BG$31,"*V2C1*",CashFlow!AS$27:AS$31))*(1+Assumptions!$C$60))+((SUMIF(IncState!$A$7:$BG$59,"*V3C1*",IncState!AS$7:AS$59)-SUMIF(CashFlow!$A$27:$BG$31,"*V3C1*",CashFlow!AS$27:AS$31))*(1+Assumptions!$C$61))+((SUMIF(IncState!$A$7:$BG$59,"*V4C1*",IncState!AS$7:AS$59)-SUMIF(CashFlow!$A$27:$BG$31,"*V4C1*",CashFlow!AS$27:AS$31))*(1+Assumptions!$C$62))</f>
        <v>33506.399999999994</v>
      </c>
      <c r="AU51" s="115">
        <f ca="1">((SUMIF(IncState!$A$7:$BG$59,"*V1C1*",IncState!AT$7:AT$59)-SUMIF(CashFlow!$A$27:$BG$31,"*V1C1*",CashFlow!AT$27:AT$31))*(1+Assumptions!$C$59))+((SUMIF(IncState!$A$7:$BG$59,"*V2C1*",IncState!AT$7:AT$59)-SUMIF(CashFlow!$A$27:$BG$31,"*V2C1*",CashFlow!AT$27:AT$31))*(1+Assumptions!$C$60))+((SUMIF(IncState!$A$7:$BG$59,"*V3C1*",IncState!AT$7:AT$59)-SUMIF(CashFlow!$A$27:$BG$31,"*V3C1*",CashFlow!AT$27:AT$31))*(1+Assumptions!$C$61))+((SUMIF(IncState!$A$7:$BG$59,"*V4C1*",IncState!AT$7:AT$59)-SUMIF(CashFlow!$A$27:$BG$31,"*V4C1*",CashFlow!AT$27:AT$31))*(1+Assumptions!$C$62))</f>
        <v>39818.289999999994</v>
      </c>
      <c r="AV51" s="115">
        <f ca="1">((SUMIF(IncState!$A$7:$BG$59,"*V1C1*",IncState!AU$7:AU$59)-SUMIF(CashFlow!$A$27:$BG$31,"*V1C1*",CashFlow!AU$27:AU$31))*(1+Assumptions!$C$59))+((SUMIF(IncState!$A$7:$BG$59,"*V2C1*",IncState!AU$7:AU$59)-SUMIF(CashFlow!$A$27:$BG$31,"*V2C1*",CashFlow!AU$27:AU$31))*(1+Assumptions!$C$60))+((SUMIF(IncState!$A$7:$BG$59,"*V3C1*",IncState!AU$7:AU$59)-SUMIF(CashFlow!$A$27:$BG$31,"*V3C1*",CashFlow!AU$27:AU$31))*(1+Assumptions!$C$61))+((SUMIF(IncState!$A$7:$BG$59,"*V4C1*",IncState!AU$7:AU$59)-SUMIF(CashFlow!$A$27:$BG$31,"*V4C1*",CashFlow!AU$27:AU$31))*(1+Assumptions!$C$62))</f>
        <v>30536.639999999996</v>
      </c>
      <c r="AW51" s="115">
        <f ca="1">((SUMIF(IncState!$A$7:$BG$59,"*V1C1*",IncState!AV$7:AV$59)-SUMIF(CashFlow!$A$27:$BG$31,"*V1C1*",CashFlow!AV$27:AV$31))*(1+Assumptions!$C$59))+((SUMIF(IncState!$A$7:$BG$59,"*V2C1*",IncState!AV$7:AV$59)-SUMIF(CashFlow!$A$27:$BG$31,"*V2C1*",CashFlow!AV$27:AV$31))*(1+Assumptions!$C$60))+((SUMIF(IncState!$A$7:$BG$59,"*V3C1*",IncState!AV$7:AV$59)-SUMIF(CashFlow!$A$27:$BG$31,"*V3C1*",CashFlow!AV$27:AV$31))*(1+Assumptions!$C$61))+((SUMIF(IncState!$A$7:$BG$59,"*V4C1*",IncState!AV$7:AV$59)-SUMIF(CashFlow!$A$27:$BG$31,"*V4C1*",CashFlow!AV$27:AV$31))*(1+Assumptions!$C$62))</f>
        <v>37674</v>
      </c>
      <c r="AX51" s="115">
        <f ca="1">((SUMIF(IncState!$A$7:$BG$59,"*V1C1*",IncState!AW$7:AW$59)-SUMIF(CashFlow!$A$27:$BG$31,"*V1C1*",CashFlow!AW$27:AW$31))*(1+Assumptions!$C$59))+((SUMIF(IncState!$A$7:$BG$59,"*V2C1*",IncState!AW$7:AW$59)-SUMIF(CashFlow!$A$27:$BG$31,"*V2C1*",CashFlow!AW$27:AW$31))*(1+Assumptions!$C$60))+((SUMIF(IncState!$A$7:$BG$59,"*V3C1*",IncState!AW$7:AW$59)-SUMIF(CashFlow!$A$27:$BG$31,"*V3C1*",CashFlow!AW$27:AW$31))*(1+Assumptions!$C$61))+((SUMIF(IncState!$A$7:$BG$59,"*V4C1*",IncState!AW$7:AW$59)-SUMIF(CashFlow!$A$27:$BG$31,"*V4C1*",CashFlow!AW$27:AW$31))*(1+Assumptions!$C$62))</f>
        <v>52782.239999999991</v>
      </c>
      <c r="AY51" s="115">
        <f ca="1">((SUMIF(IncState!$A$7:$BG$59,"*V1C1*",IncState!AX$7:AX$59)-SUMIF(CashFlow!$A$27:$BG$31,"*V1C1*",CashFlow!AX$27:AX$31))*(1+Assumptions!$C$59))+((SUMIF(IncState!$A$7:$BG$59,"*V2C1*",IncState!AX$7:AX$59)-SUMIF(CashFlow!$A$27:$BG$31,"*V2C1*",CashFlow!AX$27:AX$31))*(1+Assumptions!$C$60))+((SUMIF(IncState!$A$7:$BG$59,"*V3C1*",IncState!AX$7:AX$59)-SUMIF(CashFlow!$A$27:$BG$31,"*V3C1*",CashFlow!AX$27:AX$31))*(1+Assumptions!$C$61))+((SUMIF(IncState!$A$7:$BG$59,"*V4C1*",IncState!AX$7:AX$59)-SUMIF(CashFlow!$A$27:$BG$31,"*V4C1*",CashFlow!AX$27:AX$31))*(1+Assumptions!$C$62))</f>
        <v>67545.25</v>
      </c>
      <c r="AZ51" s="115">
        <f ca="1">((SUMIF(IncState!$A$7:$BG$59,"*V1C1*",IncState!AY$7:AY$59)-SUMIF(CashFlow!$A$27:$BG$31,"*V1C1*",CashFlow!AY$27:AY$31))*(1+Assumptions!$C$59))+((SUMIF(IncState!$A$7:$BG$59,"*V2C1*",IncState!AY$7:AY$59)-SUMIF(CashFlow!$A$27:$BG$31,"*V2C1*",CashFlow!AY$27:AY$31))*(1+Assumptions!$C$60))+((SUMIF(IncState!$A$7:$BG$59,"*V3C1*",IncState!AY$7:AY$59)-SUMIF(CashFlow!$A$27:$BG$31,"*V3C1*",CashFlow!AY$27:AY$31))*(1+Assumptions!$C$61))+((SUMIF(IncState!$A$7:$BG$59,"*V4C1*",IncState!AY$7:AY$59)-SUMIF(CashFlow!$A$27:$BG$31,"*V4C1*",CashFlow!AY$27:AY$31))*(1+Assumptions!$C$62))</f>
        <v>53543.999999999993</v>
      </c>
      <c r="BA51" s="115">
        <f ca="1">((SUMIF(IncState!$A$7:$BG$59,"*V1C1*",IncState!AZ$7:AZ$59)-SUMIF(CashFlow!$A$27:$BG$31,"*V1C1*",CashFlow!AZ$27:AZ$31))*(1+Assumptions!$C$59))+((SUMIF(IncState!$A$7:$BG$59,"*V2C1*",IncState!AZ$7:AZ$59)-SUMIF(CashFlow!$A$27:$BG$31,"*V2C1*",CashFlow!AZ$27:AZ$31))*(1+Assumptions!$C$60))+((SUMIF(IncState!$A$7:$BG$59,"*V3C1*",IncState!AZ$7:AZ$59)-SUMIF(CashFlow!$A$27:$BG$31,"*V3C1*",CashFlow!AZ$27:AZ$31))*(1+Assumptions!$C$61))+((SUMIF(IncState!$A$7:$BG$59,"*V4C1*",IncState!AZ$7:AZ$59)-SUMIF(CashFlow!$A$27:$BG$31,"*V4C1*",CashFlow!AZ$27:AZ$31))*(1+Assumptions!$C$62))</f>
        <v>60627.999999999993</v>
      </c>
      <c r="BB51" s="115">
        <f ca="1">((SUMIF(IncState!$A$7:$BG$59,"*V1C1*",IncState!BA$7:BA$59)-SUMIF(CashFlow!$A$27:$BG$31,"*V1C1*",CashFlow!BA$27:BA$31))*(1+Assumptions!$C$59))+((SUMIF(IncState!$A$7:$BG$59,"*V2C1*",IncState!BA$7:BA$59)-SUMIF(CashFlow!$A$27:$BG$31,"*V2C1*",CashFlow!BA$27:BA$31))*(1+Assumptions!$C$60))+((SUMIF(IncState!$A$7:$BG$59,"*V3C1*",IncState!BA$7:BA$59)-SUMIF(CashFlow!$A$27:$BG$31,"*V3C1*",CashFlow!BA$27:BA$31))*(1+Assumptions!$C$61))+((SUMIF(IncState!$A$7:$BG$59,"*V4C1*",IncState!BA$7:BA$59)-SUMIF(CashFlow!$A$27:$BG$31,"*V4C1*",CashFlow!BA$27:BA$31))*(1+Assumptions!$C$62))</f>
        <v>76277.2</v>
      </c>
      <c r="BC51" s="115">
        <f ca="1">((SUMIF(IncState!$A$7:$BG$59,"*V1C1*",IncState!BB$7:BB$59)-SUMIF(CashFlow!$A$27:$BG$31,"*V1C1*",CashFlow!BB$27:BB$31))*(1+Assumptions!$C$59))+((SUMIF(IncState!$A$7:$BG$59,"*V2C1*",IncState!BB$7:BB$59)-SUMIF(CashFlow!$A$27:$BG$31,"*V2C1*",CashFlow!BB$27:BB$31))*(1+Assumptions!$C$60))+((SUMIF(IncState!$A$7:$BG$59,"*V3C1*",IncState!BB$7:BB$59)-SUMIF(CashFlow!$A$27:$BG$31,"*V3C1*",CashFlow!BB$27:BB$31))*(1+Assumptions!$C$61))+((SUMIF(IncState!$A$7:$BG$59,"*V4C1*",IncState!BB$7:BB$59)-SUMIF(CashFlow!$A$27:$BG$31,"*V4C1*",CashFlow!BB$27:BB$31))*(1+Assumptions!$C$62))</f>
        <v>84418.049999999988</v>
      </c>
      <c r="BD51" s="110"/>
      <c r="BE51" s="110"/>
      <c r="BF51" s="110"/>
      <c r="BG51" s="110"/>
      <c r="BH51" s="110"/>
    </row>
    <row r="52" spans="1:60" s="19" customFormat="1" ht="16.149999999999999" customHeight="1" x14ac:dyDescent="0.25">
      <c r="A52" s="183"/>
      <c r="B52" s="6" t="s">
        <v>204</v>
      </c>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7"/>
      <c r="BE52" s="117"/>
      <c r="BF52" s="117"/>
      <c r="BG52" s="117"/>
      <c r="BH52" s="117"/>
    </row>
    <row r="53" spans="1:60" s="19" customFormat="1" ht="16.149999999999999" customHeight="1" x14ac:dyDescent="0.25">
      <c r="A53" s="183"/>
      <c r="B53" s="6" t="s">
        <v>236</v>
      </c>
      <c r="C53" s="118" t="str">
        <f t="shared" ref="C53:AH53" ca="1" si="16">IF(AND(ISTEXT(B53),C57&lt;C$4-6),"No",IF(COUNTIFS(BSMonths,"&gt;="&amp;C$57,BSMonths,"&lt;="&amp;C$4)=1,"Yes","No"))</f>
        <v>No</v>
      </c>
      <c r="D53" s="118" t="str">
        <f t="shared" ca="1" si="16"/>
        <v>No</v>
      </c>
      <c r="E53" s="118" t="str">
        <f t="shared" ca="1" si="16"/>
        <v>No</v>
      </c>
      <c r="F53" s="118" t="str">
        <f t="shared" ca="1" si="16"/>
        <v>No</v>
      </c>
      <c r="G53" s="118" t="str">
        <f t="shared" ca="1" si="16"/>
        <v>Yes</v>
      </c>
      <c r="H53" s="118" t="str">
        <f t="shared" ca="1" si="16"/>
        <v>No</v>
      </c>
      <c r="I53" s="118" t="str">
        <f t="shared" ca="1" si="16"/>
        <v>No</v>
      </c>
      <c r="J53" s="118" t="str">
        <f t="shared" ca="1" si="16"/>
        <v>No</v>
      </c>
      <c r="K53" s="118" t="str">
        <f t="shared" ca="1" si="16"/>
        <v>No</v>
      </c>
      <c r="L53" s="118" t="str">
        <f t="shared" ca="1" si="16"/>
        <v>No</v>
      </c>
      <c r="M53" s="118" t="str">
        <f t="shared" ca="1" si="16"/>
        <v>No</v>
      </c>
      <c r="N53" s="118" t="str">
        <f t="shared" ca="1" si="16"/>
        <v>No</v>
      </c>
      <c r="O53" s="118" t="str">
        <f t="shared" ca="1" si="16"/>
        <v>No</v>
      </c>
      <c r="P53" s="118" t="str">
        <f t="shared" ca="1" si="16"/>
        <v>Yes</v>
      </c>
      <c r="Q53" s="118" t="str">
        <f t="shared" ca="1" si="16"/>
        <v>No</v>
      </c>
      <c r="R53" s="118" t="str">
        <f t="shared" ca="1" si="16"/>
        <v>No</v>
      </c>
      <c r="S53" s="118" t="str">
        <f t="shared" ca="1" si="16"/>
        <v>No</v>
      </c>
      <c r="T53" s="118" t="str">
        <f t="shared" ca="1" si="16"/>
        <v>No</v>
      </c>
      <c r="U53" s="118" t="str">
        <f t="shared" ca="1" si="16"/>
        <v>No</v>
      </c>
      <c r="V53" s="118" t="str">
        <f t="shared" ca="1" si="16"/>
        <v>No</v>
      </c>
      <c r="W53" s="118" t="str">
        <f t="shared" ca="1" si="16"/>
        <v>No</v>
      </c>
      <c r="X53" s="118" t="str">
        <f t="shared" ca="1" si="16"/>
        <v>Yes</v>
      </c>
      <c r="Y53" s="118" t="str">
        <f t="shared" ca="1" si="16"/>
        <v>No</v>
      </c>
      <c r="Z53" s="118" t="str">
        <f t="shared" ca="1" si="16"/>
        <v>No</v>
      </c>
      <c r="AA53" s="118" t="str">
        <f t="shared" ca="1" si="16"/>
        <v>No</v>
      </c>
      <c r="AB53" s="118" t="str">
        <f t="shared" ca="1" si="16"/>
        <v>No</v>
      </c>
      <c r="AC53" s="118" t="str">
        <f t="shared" ca="1" si="16"/>
        <v>No</v>
      </c>
      <c r="AD53" s="118" t="str">
        <f t="shared" ca="1" si="16"/>
        <v>No</v>
      </c>
      <c r="AE53" s="118" t="str">
        <f t="shared" ca="1" si="16"/>
        <v>No</v>
      </c>
      <c r="AF53" s="118" t="str">
        <f t="shared" ca="1" si="16"/>
        <v>No</v>
      </c>
      <c r="AG53" s="118" t="str">
        <f t="shared" ca="1" si="16"/>
        <v>Yes</v>
      </c>
      <c r="AH53" s="118" t="str">
        <f t="shared" ca="1" si="16"/>
        <v>No</v>
      </c>
      <c r="AI53" s="118" t="str">
        <f t="shared" ref="AI53:BC53" ca="1" si="17">IF(AND(ISTEXT(AH53),AI57&lt;AI$4-6),"No",IF(COUNTIFS(BSMonths,"&gt;="&amp;AI$57,BSMonths,"&lt;="&amp;AI$4)=1,"Yes","No"))</f>
        <v>No</v>
      </c>
      <c r="AJ53" s="118" t="str">
        <f t="shared" ca="1" si="17"/>
        <v>No</v>
      </c>
      <c r="AK53" s="118" t="str">
        <f t="shared" ca="1" si="17"/>
        <v>No</v>
      </c>
      <c r="AL53" s="118" t="str">
        <f t="shared" ca="1" si="17"/>
        <v>No</v>
      </c>
      <c r="AM53" s="118" t="str">
        <f t="shared" ca="1" si="17"/>
        <v>No</v>
      </c>
      <c r="AN53" s="118" t="str">
        <f t="shared" ca="1" si="17"/>
        <v>No</v>
      </c>
      <c r="AO53" s="118" t="str">
        <f t="shared" ca="1" si="17"/>
        <v>No</v>
      </c>
      <c r="AP53" s="118" t="str">
        <f t="shared" ca="1" si="17"/>
        <v>Yes</v>
      </c>
      <c r="AQ53" s="118" t="str">
        <f t="shared" ca="1" si="17"/>
        <v>No</v>
      </c>
      <c r="AR53" s="118" t="str">
        <f t="shared" ca="1" si="17"/>
        <v>No</v>
      </c>
      <c r="AS53" s="118" t="str">
        <f t="shared" ca="1" si="17"/>
        <v>No</v>
      </c>
      <c r="AT53" s="118" t="str">
        <f t="shared" ca="1" si="17"/>
        <v>No</v>
      </c>
      <c r="AU53" s="118" t="str">
        <f t="shared" ca="1" si="17"/>
        <v>No</v>
      </c>
      <c r="AV53" s="118" t="str">
        <f t="shared" ca="1" si="17"/>
        <v>No</v>
      </c>
      <c r="AW53" s="118" t="str">
        <f t="shared" ca="1" si="17"/>
        <v>No</v>
      </c>
      <c r="AX53" s="118" t="str">
        <f t="shared" ca="1" si="17"/>
        <v>No</v>
      </c>
      <c r="AY53" s="118" t="str">
        <f t="shared" ca="1" si="17"/>
        <v>Yes</v>
      </c>
      <c r="AZ53" s="118" t="str">
        <f t="shared" ca="1" si="17"/>
        <v>No</v>
      </c>
      <c r="BA53" s="118" t="str">
        <f t="shared" ca="1" si="17"/>
        <v>No</v>
      </c>
      <c r="BB53" s="118" t="str">
        <f t="shared" ca="1" si="17"/>
        <v>No</v>
      </c>
      <c r="BC53" s="118" t="str">
        <f t="shared" ca="1" si="17"/>
        <v>No</v>
      </c>
      <c r="BD53" s="119"/>
      <c r="BE53" s="119"/>
      <c r="BF53" s="119"/>
      <c r="BG53" s="119"/>
      <c r="BH53" s="119"/>
    </row>
    <row r="54" spans="1:60" s="19" customFormat="1" ht="16.149999999999999" customHeight="1" x14ac:dyDescent="0.25">
      <c r="A54" s="183"/>
      <c r="B54" s="6" t="s">
        <v>237</v>
      </c>
      <c r="C54" s="120">
        <f ca="1">IF(C53="Yes",1+IF(Assumptions!$C$65="Subsequent",ROUNDDOWN((C57-DATE(YEAR(C57),MONTH(C57),0))/7,0),0),IF(ISTEXT(B54),ROUNDUP((C$4-C57)/7,0)+IF(Assumptions!$C$65="Subsequent",ROUNDDOWN((C57-DATE(YEAR(C57),MONTH(C57),0))/7,0),0),B54+1))</f>
        <v>8</v>
      </c>
      <c r="D54" s="120">
        <f ca="1">IF(D53="Yes",1+IF(Assumptions!$C$65="Subsequent",ROUNDDOWN((D57-DATE(YEAR(D57),MONTH(D57),0))/7,0),0),IF(ISTEXT(C54),ROUNDUP((D$4-D57)/7,0)+IF(Assumptions!$C$65="Subsequent",ROUNDDOWN((D57-DATE(YEAR(D57),MONTH(D57),0))/7,0),0),C54+1))</f>
        <v>9</v>
      </c>
      <c r="E54" s="120">
        <f ca="1">IF(E53="Yes",1+IF(Assumptions!$C$65="Subsequent",ROUNDDOWN((E57-DATE(YEAR(E57),MONTH(E57),0))/7,0),0),IF(ISTEXT(D54),ROUNDUP((E$4-E57)/7,0)+IF(Assumptions!$C$65="Subsequent",ROUNDDOWN((E57-DATE(YEAR(E57),MONTH(E57),0))/7,0),0),D54+1))</f>
        <v>10</v>
      </c>
      <c r="F54" s="120">
        <f ca="1">IF(F53="Yes",1+IF(Assumptions!$C$65="Subsequent",ROUNDDOWN((F57-DATE(YEAR(F57),MONTH(F57),0))/7,0),0),IF(ISTEXT(E54),ROUNDUP((F$4-F57)/7,0)+IF(Assumptions!$C$65="Subsequent",ROUNDDOWN((F57-DATE(YEAR(F57),MONTH(F57),0))/7,0),0),E54+1))</f>
        <v>11</v>
      </c>
      <c r="G54" s="120">
        <f ca="1">IF(G53="Yes",1+IF(Assumptions!$C$65="Subsequent",ROUNDDOWN((G57-DATE(YEAR(G57),MONTH(G57),0))/7,0),0),IF(ISTEXT(F54),ROUNDUP((G$4-G57)/7,0)+IF(Assumptions!$C$65="Subsequent",ROUNDDOWN((G57-DATE(YEAR(G57),MONTH(G57),0))/7,0),0),F54+1))</f>
        <v>4</v>
      </c>
      <c r="H54" s="120">
        <f ca="1">IF(H53="Yes",1+IF(Assumptions!$C$65="Subsequent",ROUNDDOWN((H57-DATE(YEAR(H57),MONTH(H57),0))/7,0),0),IF(ISTEXT(G54),ROUNDUP((H$4-H57)/7,0)+IF(Assumptions!$C$65="Subsequent",ROUNDDOWN((H57-DATE(YEAR(H57),MONTH(H57),0))/7,0),0),G54+1))</f>
        <v>5</v>
      </c>
      <c r="I54" s="120">
        <f ca="1">IF(I53="Yes",1+IF(Assumptions!$C$65="Subsequent",ROUNDDOWN((I57-DATE(YEAR(I57),MONTH(I57),0))/7,0),0),IF(ISTEXT(H54),ROUNDUP((I$4-I57)/7,0)+IF(Assumptions!$C$65="Subsequent",ROUNDDOWN((I57-DATE(YEAR(I57),MONTH(I57),0))/7,0),0),H54+1))</f>
        <v>6</v>
      </c>
      <c r="J54" s="120">
        <f ca="1">IF(J53="Yes",1+IF(Assumptions!$C$65="Subsequent",ROUNDDOWN((J57-DATE(YEAR(J57),MONTH(J57),0))/7,0),0),IF(ISTEXT(I54),ROUNDUP((J$4-J57)/7,0)+IF(Assumptions!$C$65="Subsequent",ROUNDDOWN((J57-DATE(YEAR(J57),MONTH(J57),0))/7,0),0),I54+1))</f>
        <v>7</v>
      </c>
      <c r="K54" s="120">
        <f ca="1">IF(K53="Yes",1+IF(Assumptions!$C$65="Subsequent",ROUNDDOWN((K57-DATE(YEAR(K57),MONTH(K57),0))/7,0),0),IF(ISTEXT(J54),ROUNDUP((K$4-K57)/7,0)+IF(Assumptions!$C$65="Subsequent",ROUNDDOWN((K57-DATE(YEAR(K57),MONTH(K57),0))/7,0),0),J54+1))</f>
        <v>8</v>
      </c>
      <c r="L54" s="120">
        <f ca="1">IF(L53="Yes",1+IF(Assumptions!$C$65="Subsequent",ROUNDDOWN((L57-DATE(YEAR(L57),MONTH(L57),0))/7,0),0),IF(ISTEXT(K54),ROUNDUP((L$4-L57)/7,0)+IF(Assumptions!$C$65="Subsequent",ROUNDDOWN((L57-DATE(YEAR(L57),MONTH(L57),0))/7,0),0),K54+1))</f>
        <v>9</v>
      </c>
      <c r="M54" s="120">
        <f ca="1">IF(M53="Yes",1+IF(Assumptions!$C$65="Subsequent",ROUNDDOWN((M57-DATE(YEAR(M57),MONTH(M57),0))/7,0),0),IF(ISTEXT(L54),ROUNDUP((M$4-M57)/7,0)+IF(Assumptions!$C$65="Subsequent",ROUNDDOWN((M57-DATE(YEAR(M57),MONTH(M57),0))/7,0),0),L54+1))</f>
        <v>10</v>
      </c>
      <c r="N54" s="120">
        <f ca="1">IF(N53="Yes",1+IF(Assumptions!$C$65="Subsequent",ROUNDDOWN((N57-DATE(YEAR(N57),MONTH(N57),0))/7,0),0),IF(ISTEXT(M54),ROUNDUP((N$4-N57)/7,0)+IF(Assumptions!$C$65="Subsequent",ROUNDDOWN((N57-DATE(YEAR(N57),MONTH(N57),0))/7,0),0),M54+1))</f>
        <v>11</v>
      </c>
      <c r="O54" s="120">
        <f ca="1">IF(O53="Yes",1+IF(Assumptions!$C$65="Subsequent",ROUNDDOWN((O57-DATE(YEAR(O57),MONTH(O57),0))/7,0),0),IF(ISTEXT(N54),ROUNDUP((O$4-O57)/7,0)+IF(Assumptions!$C$65="Subsequent",ROUNDDOWN((O57-DATE(YEAR(O57),MONTH(O57),0))/7,0),0),N54+1))</f>
        <v>12</v>
      </c>
      <c r="P54" s="120">
        <f ca="1">IF(P53="Yes",1+IF(Assumptions!$C$65="Subsequent",ROUNDDOWN((P57-DATE(YEAR(P57),MONTH(P57),0))/7,0),0),IF(ISTEXT(O54),ROUNDUP((P$4-P57)/7,0)+IF(Assumptions!$C$65="Subsequent",ROUNDDOWN((P57-DATE(YEAR(P57),MONTH(P57),0))/7,0),0),O54+1))</f>
        <v>4</v>
      </c>
      <c r="Q54" s="120">
        <f ca="1">IF(Q53="Yes",1+IF(Assumptions!$C$65="Subsequent",ROUNDDOWN((Q57-DATE(YEAR(Q57),MONTH(Q57),0))/7,0),0),IF(ISTEXT(P54),ROUNDUP((Q$4-Q57)/7,0)+IF(Assumptions!$C$65="Subsequent",ROUNDDOWN((Q57-DATE(YEAR(Q57),MONTH(Q57),0))/7,0),0),P54+1))</f>
        <v>5</v>
      </c>
      <c r="R54" s="120">
        <f ca="1">IF(R53="Yes",1+IF(Assumptions!$C$65="Subsequent",ROUNDDOWN((R57-DATE(YEAR(R57),MONTH(R57),0))/7,0),0),IF(ISTEXT(Q54),ROUNDUP((R$4-R57)/7,0)+IF(Assumptions!$C$65="Subsequent",ROUNDDOWN((R57-DATE(YEAR(R57),MONTH(R57),0))/7,0),0),Q54+1))</f>
        <v>6</v>
      </c>
      <c r="S54" s="120">
        <f ca="1">IF(S53="Yes",1+IF(Assumptions!$C$65="Subsequent",ROUNDDOWN((S57-DATE(YEAR(S57),MONTH(S57),0))/7,0),0),IF(ISTEXT(R54),ROUNDUP((S$4-S57)/7,0)+IF(Assumptions!$C$65="Subsequent",ROUNDDOWN((S57-DATE(YEAR(S57),MONTH(S57),0))/7,0),0),R54+1))</f>
        <v>7</v>
      </c>
      <c r="T54" s="120">
        <f ca="1">IF(T53="Yes",1+IF(Assumptions!$C$65="Subsequent",ROUNDDOWN((T57-DATE(YEAR(T57),MONTH(T57),0))/7,0),0),IF(ISTEXT(S54),ROUNDUP((T$4-T57)/7,0)+IF(Assumptions!$C$65="Subsequent",ROUNDDOWN((T57-DATE(YEAR(T57),MONTH(T57),0))/7,0),0),S54+1))</f>
        <v>8</v>
      </c>
      <c r="U54" s="120">
        <f ca="1">IF(U53="Yes",1+IF(Assumptions!$C$65="Subsequent",ROUNDDOWN((U57-DATE(YEAR(U57),MONTH(U57),0))/7,0),0),IF(ISTEXT(T54),ROUNDUP((U$4-U57)/7,0)+IF(Assumptions!$C$65="Subsequent",ROUNDDOWN((U57-DATE(YEAR(U57),MONTH(U57),0))/7,0),0),T54+1))</f>
        <v>9</v>
      </c>
      <c r="V54" s="120">
        <f ca="1">IF(V53="Yes",1+IF(Assumptions!$C$65="Subsequent",ROUNDDOWN((V57-DATE(YEAR(V57),MONTH(V57),0))/7,0),0),IF(ISTEXT(U54),ROUNDUP((V$4-V57)/7,0)+IF(Assumptions!$C$65="Subsequent",ROUNDDOWN((V57-DATE(YEAR(V57),MONTH(V57),0))/7,0),0),U54+1))</f>
        <v>10</v>
      </c>
      <c r="W54" s="120">
        <f ca="1">IF(W53="Yes",1+IF(Assumptions!$C$65="Subsequent",ROUNDDOWN((W57-DATE(YEAR(W57),MONTH(W57),0))/7,0),0),IF(ISTEXT(V54),ROUNDUP((W$4-W57)/7,0)+IF(Assumptions!$C$65="Subsequent",ROUNDDOWN((W57-DATE(YEAR(W57),MONTH(W57),0))/7,0),0),V54+1))</f>
        <v>11</v>
      </c>
      <c r="X54" s="120">
        <f ca="1">IF(X53="Yes",1+IF(Assumptions!$C$65="Subsequent",ROUNDDOWN((X57-DATE(YEAR(X57),MONTH(X57),0))/7,0),0),IF(ISTEXT(W54),ROUNDUP((X$4-X57)/7,0)+IF(Assumptions!$C$65="Subsequent",ROUNDDOWN((X57-DATE(YEAR(X57),MONTH(X57),0))/7,0),0),W54+1))</f>
        <v>4</v>
      </c>
      <c r="Y54" s="120">
        <f ca="1">IF(Y53="Yes",1+IF(Assumptions!$C$65="Subsequent",ROUNDDOWN((Y57-DATE(YEAR(Y57),MONTH(Y57),0))/7,0),0),IF(ISTEXT(X54),ROUNDUP((Y$4-Y57)/7,0)+IF(Assumptions!$C$65="Subsequent",ROUNDDOWN((Y57-DATE(YEAR(Y57),MONTH(Y57),0))/7,0),0),X54+1))</f>
        <v>5</v>
      </c>
      <c r="Z54" s="120">
        <f ca="1">IF(Z53="Yes",1+IF(Assumptions!$C$65="Subsequent",ROUNDDOWN((Z57-DATE(YEAR(Z57),MONTH(Z57),0))/7,0),0),IF(ISTEXT(Y54),ROUNDUP((Z$4-Z57)/7,0)+IF(Assumptions!$C$65="Subsequent",ROUNDDOWN((Z57-DATE(YEAR(Z57),MONTH(Z57),0))/7,0),0),Y54+1))</f>
        <v>6</v>
      </c>
      <c r="AA54" s="120">
        <f ca="1">IF(AA53="Yes",1+IF(Assumptions!$C$65="Subsequent",ROUNDDOWN((AA57-DATE(YEAR(AA57),MONTH(AA57),0))/7,0),0),IF(ISTEXT(Z54),ROUNDUP((AA$4-AA57)/7,0)+IF(Assumptions!$C$65="Subsequent",ROUNDDOWN((AA57-DATE(YEAR(AA57),MONTH(AA57),0))/7,0),0),Z54+1))</f>
        <v>7</v>
      </c>
      <c r="AB54" s="120">
        <f ca="1">IF(AB53="Yes",1+IF(Assumptions!$C$65="Subsequent",ROUNDDOWN((AB57-DATE(YEAR(AB57),MONTH(AB57),0))/7,0),0),IF(ISTEXT(AA54),ROUNDUP((AB$4-AB57)/7,0)+IF(Assumptions!$C$65="Subsequent",ROUNDDOWN((AB57-DATE(YEAR(AB57),MONTH(AB57),0))/7,0),0),AA54+1))</f>
        <v>8</v>
      </c>
      <c r="AC54" s="120">
        <f ca="1">IF(AC53="Yes",1+IF(Assumptions!$C$65="Subsequent",ROUNDDOWN((AC57-DATE(YEAR(AC57),MONTH(AC57),0))/7,0),0),IF(ISTEXT(AB54),ROUNDUP((AC$4-AC57)/7,0)+IF(Assumptions!$C$65="Subsequent",ROUNDDOWN((AC57-DATE(YEAR(AC57),MONTH(AC57),0))/7,0),0),AB54+1))</f>
        <v>9</v>
      </c>
      <c r="AD54" s="120">
        <f ca="1">IF(AD53="Yes",1+IF(Assumptions!$C$65="Subsequent",ROUNDDOWN((AD57-DATE(YEAR(AD57),MONTH(AD57),0))/7,0),0),IF(ISTEXT(AC54),ROUNDUP((AD$4-AD57)/7,0)+IF(Assumptions!$C$65="Subsequent",ROUNDDOWN((AD57-DATE(YEAR(AD57),MONTH(AD57),0))/7,0),0),AC54+1))</f>
        <v>10</v>
      </c>
      <c r="AE54" s="120">
        <f ca="1">IF(AE53="Yes",1+IF(Assumptions!$C$65="Subsequent",ROUNDDOWN((AE57-DATE(YEAR(AE57),MONTH(AE57),0))/7,0),0),IF(ISTEXT(AD54),ROUNDUP((AE$4-AE57)/7,0)+IF(Assumptions!$C$65="Subsequent",ROUNDDOWN((AE57-DATE(YEAR(AE57),MONTH(AE57),0))/7,0),0),AD54+1))</f>
        <v>11</v>
      </c>
      <c r="AF54" s="120">
        <f ca="1">IF(AF53="Yes",1+IF(Assumptions!$C$65="Subsequent",ROUNDDOWN((AF57-DATE(YEAR(AF57),MONTH(AF57),0))/7,0),0),IF(ISTEXT(AE54),ROUNDUP((AF$4-AF57)/7,0)+IF(Assumptions!$C$65="Subsequent",ROUNDDOWN((AF57-DATE(YEAR(AF57),MONTH(AF57),0))/7,0),0),AE54+1))</f>
        <v>12</v>
      </c>
      <c r="AG54" s="120">
        <f ca="1">IF(AG53="Yes",1+IF(Assumptions!$C$65="Subsequent",ROUNDDOWN((AG57-DATE(YEAR(AG57),MONTH(AG57),0))/7,0),0),IF(ISTEXT(AF54),ROUNDUP((AG$4-AG57)/7,0)+IF(Assumptions!$C$65="Subsequent",ROUNDDOWN((AG57-DATE(YEAR(AG57),MONTH(AG57),0))/7,0),0),AF54+1))</f>
        <v>4</v>
      </c>
      <c r="AH54" s="120">
        <f ca="1">IF(AH53="Yes",1+IF(Assumptions!$C$65="Subsequent",ROUNDDOWN((AH57-DATE(YEAR(AH57),MONTH(AH57),0))/7,0),0),IF(ISTEXT(AG54),ROUNDUP((AH$4-AH57)/7,0)+IF(Assumptions!$C$65="Subsequent",ROUNDDOWN((AH57-DATE(YEAR(AH57),MONTH(AH57),0))/7,0),0),AG54+1))</f>
        <v>5</v>
      </c>
      <c r="AI54" s="120">
        <f ca="1">IF(AI53="Yes",1+IF(Assumptions!$C$65="Subsequent",ROUNDDOWN((AI57-DATE(YEAR(AI57),MONTH(AI57),0))/7,0),0),IF(ISTEXT(AH54),ROUNDUP((AI$4-AI57)/7,0)+IF(Assumptions!$C$65="Subsequent",ROUNDDOWN((AI57-DATE(YEAR(AI57),MONTH(AI57),0))/7,0),0),AH54+1))</f>
        <v>6</v>
      </c>
      <c r="AJ54" s="120">
        <f ca="1">IF(AJ53="Yes",1+IF(Assumptions!$C$65="Subsequent",ROUNDDOWN((AJ57-DATE(YEAR(AJ57),MONTH(AJ57),0))/7,0),0),IF(ISTEXT(AI54),ROUNDUP((AJ$4-AJ57)/7,0)+IF(Assumptions!$C$65="Subsequent",ROUNDDOWN((AJ57-DATE(YEAR(AJ57),MONTH(AJ57),0))/7,0),0),AI54+1))</f>
        <v>7</v>
      </c>
      <c r="AK54" s="120">
        <f ca="1">IF(AK53="Yes",1+IF(Assumptions!$C$65="Subsequent",ROUNDDOWN((AK57-DATE(YEAR(AK57),MONTH(AK57),0))/7,0),0),IF(ISTEXT(AJ54),ROUNDUP((AK$4-AK57)/7,0)+IF(Assumptions!$C$65="Subsequent",ROUNDDOWN((AK57-DATE(YEAR(AK57),MONTH(AK57),0))/7,0),0),AJ54+1))</f>
        <v>8</v>
      </c>
      <c r="AL54" s="120">
        <f ca="1">IF(AL53="Yes",1+IF(Assumptions!$C$65="Subsequent",ROUNDDOWN((AL57-DATE(YEAR(AL57),MONTH(AL57),0))/7,0),0),IF(ISTEXT(AK54),ROUNDUP((AL$4-AL57)/7,0)+IF(Assumptions!$C$65="Subsequent",ROUNDDOWN((AL57-DATE(YEAR(AL57),MONTH(AL57),0))/7,0),0),AK54+1))</f>
        <v>9</v>
      </c>
      <c r="AM54" s="120">
        <f ca="1">IF(AM53="Yes",1+IF(Assumptions!$C$65="Subsequent",ROUNDDOWN((AM57-DATE(YEAR(AM57),MONTH(AM57),0))/7,0),0),IF(ISTEXT(AL54),ROUNDUP((AM$4-AM57)/7,0)+IF(Assumptions!$C$65="Subsequent",ROUNDDOWN((AM57-DATE(YEAR(AM57),MONTH(AM57),0))/7,0),0),AL54+1))</f>
        <v>10</v>
      </c>
      <c r="AN54" s="120">
        <f ca="1">IF(AN53="Yes",1+IF(Assumptions!$C$65="Subsequent",ROUNDDOWN((AN57-DATE(YEAR(AN57),MONTH(AN57),0))/7,0),0),IF(ISTEXT(AM54),ROUNDUP((AN$4-AN57)/7,0)+IF(Assumptions!$C$65="Subsequent",ROUNDDOWN((AN57-DATE(YEAR(AN57),MONTH(AN57),0))/7,0),0),AM54+1))</f>
        <v>11</v>
      </c>
      <c r="AO54" s="120">
        <f ca="1">IF(AO53="Yes",1+IF(Assumptions!$C$65="Subsequent",ROUNDDOWN((AO57-DATE(YEAR(AO57),MONTH(AO57),0))/7,0),0),IF(ISTEXT(AN54),ROUNDUP((AO$4-AO57)/7,0)+IF(Assumptions!$C$65="Subsequent",ROUNDDOWN((AO57-DATE(YEAR(AO57),MONTH(AO57),0))/7,0),0),AN54+1))</f>
        <v>12</v>
      </c>
      <c r="AP54" s="120">
        <f ca="1">IF(AP53="Yes",1+IF(Assumptions!$C$65="Subsequent",ROUNDDOWN((AP57-DATE(YEAR(AP57),MONTH(AP57),0))/7,0),0),IF(ISTEXT(AO54),ROUNDUP((AP$4-AP57)/7,0)+IF(Assumptions!$C$65="Subsequent",ROUNDDOWN((AP57-DATE(YEAR(AP57),MONTH(AP57),0))/7,0),0),AO54+1))</f>
        <v>4</v>
      </c>
      <c r="AQ54" s="120">
        <f ca="1">IF(AQ53="Yes",1+IF(Assumptions!$C$65="Subsequent",ROUNDDOWN((AQ57-DATE(YEAR(AQ57),MONTH(AQ57),0))/7,0),0),IF(ISTEXT(AP54),ROUNDUP((AQ$4-AQ57)/7,0)+IF(Assumptions!$C$65="Subsequent",ROUNDDOWN((AQ57-DATE(YEAR(AQ57),MONTH(AQ57),0))/7,0),0),AP54+1))</f>
        <v>5</v>
      </c>
      <c r="AR54" s="120">
        <f ca="1">IF(AR53="Yes",1+IF(Assumptions!$C$65="Subsequent",ROUNDDOWN((AR57-DATE(YEAR(AR57),MONTH(AR57),0))/7,0),0),IF(ISTEXT(AQ54),ROUNDUP((AR$4-AR57)/7,0)+IF(Assumptions!$C$65="Subsequent",ROUNDDOWN((AR57-DATE(YEAR(AR57),MONTH(AR57),0))/7,0),0),AQ54+1))</f>
        <v>6</v>
      </c>
      <c r="AS54" s="120">
        <f ca="1">IF(AS53="Yes",1+IF(Assumptions!$C$65="Subsequent",ROUNDDOWN((AS57-DATE(YEAR(AS57),MONTH(AS57),0))/7,0),0),IF(ISTEXT(AR54),ROUNDUP((AS$4-AS57)/7,0)+IF(Assumptions!$C$65="Subsequent",ROUNDDOWN((AS57-DATE(YEAR(AS57),MONTH(AS57),0))/7,0),0),AR54+1))</f>
        <v>7</v>
      </c>
      <c r="AT54" s="120">
        <f ca="1">IF(AT53="Yes",1+IF(Assumptions!$C$65="Subsequent",ROUNDDOWN((AT57-DATE(YEAR(AT57),MONTH(AT57),0))/7,0),0),IF(ISTEXT(AS54),ROUNDUP((AT$4-AT57)/7,0)+IF(Assumptions!$C$65="Subsequent",ROUNDDOWN((AT57-DATE(YEAR(AT57),MONTH(AT57),0))/7,0),0),AS54+1))</f>
        <v>8</v>
      </c>
      <c r="AU54" s="120">
        <f ca="1">IF(AU53="Yes",1+IF(Assumptions!$C$65="Subsequent",ROUNDDOWN((AU57-DATE(YEAR(AU57),MONTH(AU57),0))/7,0),0),IF(ISTEXT(AT54),ROUNDUP((AU$4-AU57)/7,0)+IF(Assumptions!$C$65="Subsequent",ROUNDDOWN((AU57-DATE(YEAR(AU57),MONTH(AU57),0))/7,0),0),AT54+1))</f>
        <v>9</v>
      </c>
      <c r="AV54" s="120">
        <f ca="1">IF(AV53="Yes",1+IF(Assumptions!$C$65="Subsequent",ROUNDDOWN((AV57-DATE(YEAR(AV57),MONTH(AV57),0))/7,0),0),IF(ISTEXT(AU54),ROUNDUP((AV$4-AV57)/7,0)+IF(Assumptions!$C$65="Subsequent",ROUNDDOWN((AV57-DATE(YEAR(AV57),MONTH(AV57),0))/7,0),0),AU54+1))</f>
        <v>10</v>
      </c>
      <c r="AW54" s="120">
        <f ca="1">IF(AW53="Yes",1+IF(Assumptions!$C$65="Subsequent",ROUNDDOWN((AW57-DATE(YEAR(AW57),MONTH(AW57),0))/7,0),0),IF(ISTEXT(AV54),ROUNDUP((AW$4-AW57)/7,0)+IF(Assumptions!$C$65="Subsequent",ROUNDDOWN((AW57-DATE(YEAR(AW57),MONTH(AW57),0))/7,0),0),AV54+1))</f>
        <v>11</v>
      </c>
      <c r="AX54" s="120">
        <f ca="1">IF(AX53="Yes",1+IF(Assumptions!$C$65="Subsequent",ROUNDDOWN((AX57-DATE(YEAR(AX57),MONTH(AX57),0))/7,0),0),IF(ISTEXT(AW54),ROUNDUP((AX$4-AX57)/7,0)+IF(Assumptions!$C$65="Subsequent",ROUNDDOWN((AX57-DATE(YEAR(AX57),MONTH(AX57),0))/7,0),0),AW54+1))</f>
        <v>12</v>
      </c>
      <c r="AY54" s="120">
        <f ca="1">IF(AY53="Yes",1+IF(Assumptions!$C$65="Subsequent",ROUNDDOWN((AY57-DATE(YEAR(AY57),MONTH(AY57),0))/7,0),0),IF(ISTEXT(AX54),ROUNDUP((AY$4-AY57)/7,0)+IF(Assumptions!$C$65="Subsequent",ROUNDDOWN((AY57-DATE(YEAR(AY57),MONTH(AY57),0))/7,0),0),AX54+1))</f>
        <v>4</v>
      </c>
      <c r="AZ54" s="120">
        <f ca="1">IF(AZ53="Yes",1+IF(Assumptions!$C$65="Subsequent",ROUNDDOWN((AZ57-DATE(YEAR(AZ57),MONTH(AZ57),0))/7,0),0),IF(ISTEXT(AY54),ROUNDUP((AZ$4-AZ57)/7,0)+IF(Assumptions!$C$65="Subsequent",ROUNDDOWN((AZ57-DATE(YEAR(AZ57),MONTH(AZ57),0))/7,0),0),AY54+1))</f>
        <v>5</v>
      </c>
      <c r="BA54" s="120">
        <f ca="1">IF(BA53="Yes",1+IF(Assumptions!$C$65="Subsequent",ROUNDDOWN((BA57-DATE(YEAR(BA57),MONTH(BA57),0))/7,0),0),IF(ISTEXT(AZ54),ROUNDUP((BA$4-BA57)/7,0)+IF(Assumptions!$C$65="Subsequent",ROUNDDOWN((BA57-DATE(YEAR(BA57),MONTH(BA57),0))/7,0),0),AZ54+1))</f>
        <v>6</v>
      </c>
      <c r="BB54" s="120">
        <f ca="1">IF(BB53="Yes",1+IF(Assumptions!$C$65="Subsequent",ROUNDDOWN((BB57-DATE(YEAR(BB57),MONTH(BB57),0))/7,0),0),IF(ISTEXT(BA54),ROUNDUP((BB$4-BB57)/7,0)+IF(Assumptions!$C$65="Subsequent",ROUNDDOWN((BB57-DATE(YEAR(BB57),MONTH(BB57),0))/7,0),0),BA54+1))</f>
        <v>7</v>
      </c>
      <c r="BC54" s="120">
        <f ca="1">IF(BC53="Yes",1+IF(Assumptions!$C$65="Subsequent",ROUNDDOWN((BC57-DATE(YEAR(BC57),MONTH(BC57),0))/7,0),0),IF(ISTEXT(BB54),ROUNDUP((BC$4-BC57)/7,0)+IF(Assumptions!$C$65="Subsequent",ROUNDDOWN((BC57-DATE(YEAR(BC57),MONTH(BC57),0))/7,0),0),BB54+1))</f>
        <v>8</v>
      </c>
      <c r="BD54" s="121"/>
      <c r="BE54" s="121"/>
      <c r="BF54" s="121"/>
      <c r="BG54" s="121"/>
      <c r="BH54" s="121"/>
    </row>
    <row r="55" spans="1:60" s="19" customFormat="1" ht="16.149999999999999" customHeight="1" x14ac:dyDescent="0.25">
      <c r="A55" s="183"/>
      <c r="B55" s="6" t="s">
        <v>232</v>
      </c>
      <c r="C55" s="115">
        <f ca="1">IF(C$34&gt;0,C$34,0)</f>
        <v>16000</v>
      </c>
      <c r="D55" s="115">
        <f ca="1">(SUMIF(IncState!$A$4:$BG$7,"V1*",IncState!C$4:C$7)*Assumptions!$C$59)+(SUMIF(IncState!$A$4:$BG$7,"V2*",IncState!C$4:C$7)*Assumptions!$C$60)+(SUMIF(IncState!$A$4:$BG$7,"V3*",IncState!C$4:C$7)*Assumptions!$C$61)+(SUMIF(IncState!$A$4:$BG$7,"V4*",IncState!C$4:C$7)*Assumptions!$C$62)</f>
        <v>12750</v>
      </c>
      <c r="E55" s="115">
        <f ca="1">(SUMIF(IncState!$A$4:$BG$7,"V1*",IncState!D$4:D$7)*Assumptions!$C$59)+(SUMIF(IncState!$A$4:$BG$7,"V2*",IncState!D$4:D$7)*Assumptions!$C$60)+(SUMIF(IncState!$A$4:$BG$7,"V3*",IncState!D$4:D$7)*Assumptions!$C$61)+(SUMIF(IncState!$A$4:$BG$7,"V4*",IncState!D$4:D$7)*Assumptions!$C$62)</f>
        <v>10866.699999999999</v>
      </c>
      <c r="F55" s="115">
        <f ca="1">(SUMIF(IncState!$A$4:$BG$7,"V1*",IncState!E$4:E$7)*Assumptions!$C$59)+(SUMIF(IncState!$A$4:$BG$7,"V2*",IncState!E$4:E$7)*Assumptions!$C$60)+(SUMIF(IncState!$A$4:$BG$7,"V3*",IncState!E$4:E$7)*Assumptions!$C$61)+(SUMIF(IncState!$A$4:$BG$7,"V4*",IncState!E$4:E$7)*Assumptions!$C$62)</f>
        <v>13360</v>
      </c>
      <c r="G55" s="115">
        <f ca="1">(SUMIF(IncState!$A$4:$BG$7,"V1*",IncState!F$4:F$7)*Assumptions!$C$59)+(SUMIF(IncState!$A$4:$BG$7,"V2*",IncState!F$4:F$7)*Assumptions!$C$60)+(SUMIF(IncState!$A$4:$BG$7,"V3*",IncState!F$4:F$7)*Assumptions!$C$61)+(SUMIF(IncState!$A$4:$BG$7,"V4*",IncState!F$4:F$7)*Assumptions!$C$62)</f>
        <v>13816.999999999998</v>
      </c>
      <c r="H55" s="115">
        <f ca="1">(SUMIF(IncState!$A$4:$BG$7,"V1*",IncState!G$4:G$7)*Assumptions!$C$59)+(SUMIF(IncState!$A$4:$BG$7,"V2*",IncState!G$4:G$7)*Assumptions!$C$60)+(SUMIF(IncState!$A$4:$BG$7,"V3*",IncState!G$4:G$7)*Assumptions!$C$61)+(SUMIF(IncState!$A$4:$BG$7,"V4*",IncState!G$4:G$7)*Assumptions!$C$62)</f>
        <v>13883.25</v>
      </c>
      <c r="I55" s="115">
        <f ca="1">(SUMIF(IncState!$A$4:$BG$7,"V1*",IncState!H$4:H$7)*Assumptions!$C$59)+(SUMIF(IncState!$A$4:$BG$7,"V2*",IncState!H$4:H$7)*Assumptions!$C$60)+(SUMIF(IncState!$A$4:$BG$7,"V3*",IncState!H$4:H$7)*Assumptions!$C$61)+(SUMIF(IncState!$A$4:$BG$7,"V4*",IncState!H$4:H$7)*Assumptions!$C$62)</f>
        <v>13305.625</v>
      </c>
      <c r="J55" s="115">
        <f ca="1">(SUMIF(IncState!$A$4:$BG$7,"V1*",IncState!I$4:I$7)*Assumptions!$C$59)+(SUMIF(IncState!$A$4:$BG$7,"V2*",IncState!I$4:I$7)*Assumptions!$C$60)+(SUMIF(IncState!$A$4:$BG$7,"V3*",IncState!I$4:I$7)*Assumptions!$C$61)+(SUMIF(IncState!$A$4:$BG$7,"V4*",IncState!I$4:I$7)*Assumptions!$C$62)</f>
        <v>11568.375</v>
      </c>
      <c r="K55" s="115">
        <f ca="1">(SUMIF(IncState!$A$4:$BG$7,"V1*",IncState!J$4:J$7)*Assumptions!$C$59)+(SUMIF(IncState!$A$4:$BG$7,"V2*",IncState!J$4:J$7)*Assumptions!$C$60)+(SUMIF(IncState!$A$4:$BG$7,"V3*",IncState!J$4:J$7)*Assumptions!$C$61)+(SUMIF(IncState!$A$4:$BG$7,"V4*",IncState!J$4:J$7)*Assumptions!$C$62)</f>
        <v>13623.75</v>
      </c>
      <c r="L55" s="115">
        <f ca="1">(SUMIF(IncState!$A$4:$BG$7,"V1*",IncState!K$4:K$7)*Assumptions!$C$59)+(SUMIF(IncState!$A$4:$BG$7,"V2*",IncState!K$4:K$7)*Assumptions!$C$60)+(SUMIF(IncState!$A$4:$BG$7,"V3*",IncState!K$4:K$7)*Assumptions!$C$61)+(SUMIF(IncState!$A$4:$BG$7,"V4*",IncState!K$4:K$7)*Assumptions!$C$62)</f>
        <v>12562.5</v>
      </c>
      <c r="M55" s="115">
        <f ca="1">(SUMIF(IncState!$A$4:$BG$7,"V1*",IncState!L$4:L$7)*Assumptions!$C$59)+(SUMIF(IncState!$A$4:$BG$7,"V2*",IncState!L$4:L$7)*Assumptions!$C$60)+(SUMIF(IncState!$A$4:$BG$7,"V3*",IncState!L$4:L$7)*Assumptions!$C$61)+(SUMIF(IncState!$A$4:$BG$7,"V4*",IncState!L$4:L$7)*Assumptions!$C$62)</f>
        <v>13240</v>
      </c>
      <c r="N55" s="115">
        <f ca="1">(SUMIF(IncState!$A$4:$BG$7,"V1*",IncState!M$4:M$7)*Assumptions!$C$59)+(SUMIF(IncState!$A$4:$BG$7,"V2*",IncState!M$4:M$7)*Assumptions!$C$60)+(SUMIF(IncState!$A$4:$BG$7,"V3*",IncState!M$4:M$7)*Assumptions!$C$61)+(SUMIF(IncState!$A$4:$BG$7,"V4*",IncState!M$4:M$7)*Assumptions!$C$62)</f>
        <v>14313.75</v>
      </c>
      <c r="O55" s="115">
        <f ca="1">(SUMIF(IncState!$A$4:$BG$7,"V1*",IncState!N$4:N$7)*Assumptions!$C$59)+(SUMIF(IncState!$A$4:$BG$7,"V2*",IncState!N$4:N$7)*Assumptions!$C$60)+(SUMIF(IncState!$A$4:$BG$7,"V3*",IncState!N$4:N$7)*Assumptions!$C$61)+(SUMIF(IncState!$A$4:$BG$7,"V4*",IncState!N$4:N$7)*Assumptions!$C$62)</f>
        <v>14227</v>
      </c>
      <c r="P55" s="115">
        <f ca="1">(SUMIF(IncState!$A$4:$BG$7,"V1*",IncState!O$4:O$7)*Assumptions!$C$59)+(SUMIF(IncState!$A$4:$BG$7,"V2*",IncState!O$4:O$7)*Assumptions!$C$60)+(SUMIF(IncState!$A$4:$BG$7,"V3*",IncState!O$4:O$7)*Assumptions!$C$61)+(SUMIF(IncState!$A$4:$BG$7,"V4*",IncState!O$4:O$7)*Assumptions!$C$62)</f>
        <v>13523.750000000002</v>
      </c>
      <c r="Q55" s="115">
        <f ca="1">(SUMIF(IncState!$A$4:$BG$7,"V1*",IncState!P$4:P$7)*Assumptions!$C$59)+(SUMIF(IncState!$A$4:$BG$7,"V2*",IncState!P$4:P$7)*Assumptions!$C$60)+(SUMIF(IncState!$A$4:$BG$7,"V3*",IncState!P$4:P$7)*Assumptions!$C$61)+(SUMIF(IncState!$A$4:$BG$7,"V4*",IncState!P$4:P$7)*Assumptions!$C$62)</f>
        <v>15312.5</v>
      </c>
      <c r="R55" s="115">
        <f ca="1">(SUMIF(IncState!$A$4:$BG$7,"V1*",IncState!Q$4:Q$7)*Assumptions!$C$59)+(SUMIF(IncState!$A$4:$BG$7,"V2*",IncState!Q$4:Q$7)*Assumptions!$C$60)+(SUMIF(IncState!$A$4:$BG$7,"V3*",IncState!Q$4:Q$7)*Assumptions!$C$61)+(SUMIF(IncState!$A$4:$BG$7,"V4*",IncState!Q$4:Q$7)*Assumptions!$C$62)</f>
        <v>13800</v>
      </c>
      <c r="S55" s="115">
        <f ca="1">(SUMIF(IncState!$A$4:$BG$7,"V1*",IncState!R$4:R$7)*Assumptions!$C$59)+(SUMIF(IncState!$A$4:$BG$7,"V2*",IncState!R$4:R$7)*Assumptions!$C$60)+(SUMIF(IncState!$A$4:$BG$7,"V3*",IncState!R$4:R$7)*Assumptions!$C$61)+(SUMIF(IncState!$A$4:$BG$7,"V4*",IncState!R$4:R$7)*Assumptions!$C$62)</f>
        <v>13404.500000000002</v>
      </c>
      <c r="T55" s="115">
        <f ca="1">(SUMIF(IncState!$A$4:$BG$7,"V1*",IncState!S$4:S$7)*Assumptions!$C$59)+(SUMIF(IncState!$A$4:$BG$7,"V2*",IncState!S$4:S$7)*Assumptions!$C$60)+(SUMIF(IncState!$A$4:$BG$7,"V3*",IncState!S$4:S$7)*Assumptions!$C$61)+(SUMIF(IncState!$A$4:$BG$7,"V4*",IncState!S$4:S$7)*Assumptions!$C$62)</f>
        <v>14619.375</v>
      </c>
      <c r="U55" s="115">
        <f ca="1">(SUMIF(IncState!$A$4:$BG$7,"V1*",IncState!T$4:T$7)*Assumptions!$C$59)+(SUMIF(IncState!$A$4:$BG$7,"V2*",IncState!T$4:T$7)*Assumptions!$C$60)+(SUMIF(IncState!$A$4:$BG$7,"V3*",IncState!T$4:T$7)*Assumptions!$C$61)+(SUMIF(IncState!$A$4:$BG$7,"V4*",IncState!T$4:T$7)*Assumptions!$C$62)</f>
        <v>15045</v>
      </c>
      <c r="V55" s="115">
        <f ca="1">(SUMIF(IncState!$A$4:$BG$7,"V1*",IncState!U$4:U$7)*Assumptions!$C$59)+(SUMIF(IncState!$A$4:$BG$7,"V2*",IncState!U$4:U$7)*Assumptions!$C$60)+(SUMIF(IncState!$A$4:$BG$7,"V3*",IncState!U$4:U$7)*Assumptions!$C$61)+(SUMIF(IncState!$A$4:$BG$7,"V4*",IncState!U$4:U$7)*Assumptions!$C$62)</f>
        <v>15137.875</v>
      </c>
      <c r="W55" s="115">
        <f ca="1">(SUMIF(IncState!$A$4:$BG$7,"V1*",IncState!V$4:V$7)*Assumptions!$C$59)+(SUMIF(IncState!$A$4:$BG$7,"V2*",IncState!V$4:V$7)*Assumptions!$C$60)+(SUMIF(IncState!$A$4:$BG$7,"V3*",IncState!V$4:V$7)*Assumptions!$C$61)+(SUMIF(IncState!$A$4:$BG$7,"V4*",IncState!V$4:V$7)*Assumptions!$C$62)</f>
        <v>13523.750000000002</v>
      </c>
      <c r="X55" s="115">
        <f ca="1">(SUMIF(IncState!$A$4:$BG$7,"V1*",IncState!W$4:W$7)*Assumptions!$C$59)+(SUMIF(IncState!$A$4:$BG$7,"V2*",IncState!W$4:W$7)*Assumptions!$C$60)+(SUMIF(IncState!$A$4:$BG$7,"V3*",IncState!W$4:W$7)*Assumptions!$C$61)+(SUMIF(IncState!$A$4:$BG$7,"V4*",IncState!W$4:W$7)*Assumptions!$C$62)</f>
        <v>13623.75</v>
      </c>
      <c r="Y55" s="115">
        <f ca="1">(SUMIF(IncState!$A$4:$BG$7,"V1*",IncState!X$4:X$7)*Assumptions!$C$59)+(SUMIF(IncState!$A$4:$BG$7,"V2*",IncState!X$4:X$7)*Assumptions!$C$60)+(SUMIF(IncState!$A$4:$BG$7,"V3*",IncState!X$4:X$7)*Assumptions!$C$61)+(SUMIF(IncState!$A$4:$BG$7,"V4*",IncState!X$4:X$7)*Assumptions!$C$62)</f>
        <v>15268.75</v>
      </c>
      <c r="Z55" s="115">
        <f ca="1">(SUMIF(IncState!$A$4:$BG$7,"V1*",IncState!Y$4:Y$7)*Assumptions!$C$59)+(SUMIF(IncState!$A$4:$BG$7,"V2*",IncState!Y$4:Y$7)*Assumptions!$C$60)+(SUMIF(IncState!$A$4:$BG$7,"V3*",IncState!Y$4:Y$7)*Assumptions!$C$61)+(SUMIF(IncState!$A$4:$BG$7,"V4*",IncState!Y$4:Y$7)*Assumptions!$C$62)</f>
        <v>14618.5</v>
      </c>
      <c r="AA55" s="115">
        <f ca="1">(SUMIF(IncState!$A$4:$BG$7,"V1*",IncState!Z$4:Z$7)*Assumptions!$C$59)+(SUMIF(IncState!$A$4:$BG$7,"V2*",IncState!Z$4:Z$7)*Assumptions!$C$60)+(SUMIF(IncState!$A$4:$BG$7,"V3*",IncState!Z$4:Z$7)*Assumptions!$C$61)+(SUMIF(IncState!$A$4:$BG$7,"V4*",IncState!Z$4:Z$7)*Assumptions!$C$62)</f>
        <v>15339.75</v>
      </c>
      <c r="AB55" s="115">
        <f ca="1">(SUMIF(IncState!$A$4:$BG$7,"V1*",IncState!AA$4:AA$7)*Assumptions!$C$59)+(SUMIF(IncState!$A$4:$BG$7,"V2*",IncState!AA$4:AA$7)*Assumptions!$C$60)+(SUMIF(IncState!$A$4:$BG$7,"V3*",IncState!AA$4:AA$7)*Assumptions!$C$61)+(SUMIF(IncState!$A$4:$BG$7,"V4*",IncState!AA$4:AA$7)*Assumptions!$C$62)</f>
        <v>14904.75</v>
      </c>
      <c r="AC55" s="115">
        <f ca="1">(SUMIF(IncState!$A$4:$BG$7,"V1*",IncState!AB$4:AB$7)*Assumptions!$C$59)+(SUMIF(IncState!$A$4:$BG$7,"V2*",IncState!AB$4:AB$7)*Assumptions!$C$60)+(SUMIF(IncState!$A$4:$BG$7,"V3*",IncState!AB$4:AB$7)*Assumptions!$C$61)+(SUMIF(IncState!$A$4:$BG$7,"V4*",IncState!AB$4:AB$7)*Assumptions!$C$62)</f>
        <v>14826</v>
      </c>
      <c r="AD55" s="115">
        <f ca="1">(SUMIF(IncState!$A$4:$BG$7,"V1*",IncState!AC$4:AC$7)*Assumptions!$C$59)+(SUMIF(IncState!$A$4:$BG$7,"V2*",IncState!AC$4:AC$7)*Assumptions!$C$60)+(SUMIF(IncState!$A$4:$BG$7,"V3*",IncState!AC$4:AC$7)*Assumptions!$C$61)+(SUMIF(IncState!$A$4:$BG$7,"V4*",IncState!AC$4:AC$7)*Assumptions!$C$62)</f>
        <v>15294.5</v>
      </c>
      <c r="AE55" s="115">
        <f ca="1">(SUMIF(IncState!$A$4:$BG$7,"V1*",IncState!AD$4:AD$7)*Assumptions!$C$59)+(SUMIF(IncState!$A$4:$BG$7,"V2*",IncState!AD$4:AD$7)*Assumptions!$C$60)+(SUMIF(IncState!$A$4:$BG$7,"V3*",IncState!AD$4:AD$7)*Assumptions!$C$61)+(SUMIF(IncState!$A$4:$BG$7,"V4*",IncState!AD$4:AD$7)*Assumptions!$C$62)</f>
        <v>15318</v>
      </c>
      <c r="AF55" s="115">
        <f ca="1">(SUMIF(IncState!$A$4:$BG$7,"V1*",IncState!AE$4:AE$7)*Assumptions!$C$59)+(SUMIF(IncState!$A$4:$BG$7,"V2*",IncState!AE$4:AE$7)*Assumptions!$C$60)+(SUMIF(IncState!$A$4:$BG$7,"V3*",IncState!AE$4:AE$7)*Assumptions!$C$61)+(SUMIF(IncState!$A$4:$BG$7,"V4*",IncState!AE$4:AE$7)*Assumptions!$C$62)</f>
        <v>15577.5</v>
      </c>
      <c r="AG55" s="115">
        <f ca="1">(SUMIF(IncState!$A$4:$BG$7,"V1*",IncState!AF$4:AF$7)*Assumptions!$C$59)+(SUMIF(IncState!$A$4:$BG$7,"V2*",IncState!AF$4:AF$7)*Assumptions!$C$60)+(SUMIF(IncState!$A$4:$BG$7,"V3*",IncState!AF$4:AF$7)*Assumptions!$C$61)+(SUMIF(IncState!$A$4:$BG$7,"V4*",IncState!AF$4:AF$7)*Assumptions!$C$62)</f>
        <v>15050.625</v>
      </c>
      <c r="AH55" s="115">
        <f ca="1">(SUMIF(IncState!$A$4:$BG$7,"V1*",IncState!AG$4:AG$7)*Assumptions!$C$59)+(SUMIF(IncState!$A$4:$BG$7,"V2*",IncState!AG$4:AG$7)*Assumptions!$C$60)+(SUMIF(IncState!$A$4:$BG$7,"V3*",IncState!AG$4:AG$7)*Assumptions!$C$61)+(SUMIF(IncState!$A$4:$BG$7,"V4*",IncState!AG$4:AG$7)*Assumptions!$C$62)</f>
        <v>16048.749999999998</v>
      </c>
      <c r="AI55" s="115">
        <f ca="1">(SUMIF(IncState!$A$4:$BG$7,"V1*",IncState!AH$4:AH$7)*Assumptions!$C$59)+(SUMIF(IncState!$A$4:$BG$7,"V2*",IncState!AH$4:AH$7)*Assumptions!$C$60)+(SUMIF(IncState!$A$4:$BG$7,"V3*",IncState!AH$4:AH$7)*Assumptions!$C$61)+(SUMIF(IncState!$A$4:$BG$7,"V4*",IncState!AH$4:AH$7)*Assumptions!$C$62)</f>
        <v>15925</v>
      </c>
      <c r="AJ55" s="115">
        <f ca="1">(SUMIF(IncState!$A$4:$BG$7,"V1*",IncState!AI$4:AI$7)*Assumptions!$C$59)+(SUMIF(IncState!$A$4:$BG$7,"V2*",IncState!AI$4:AI$7)*Assumptions!$C$60)+(SUMIF(IncState!$A$4:$BG$7,"V3*",IncState!AI$4:AI$7)*Assumptions!$C$61)+(SUMIF(IncState!$A$4:$BG$7,"V4*",IncState!AI$4:AI$7)*Assumptions!$C$62)</f>
        <v>15906.75</v>
      </c>
      <c r="AK55" s="115">
        <f ca="1">(SUMIF(IncState!$A$4:$BG$7,"V1*",IncState!AJ$4:AJ$7)*Assumptions!$C$59)+(SUMIF(IncState!$A$4:$BG$7,"V2*",IncState!AJ$4:AJ$7)*Assumptions!$C$60)+(SUMIF(IncState!$A$4:$BG$7,"V3*",IncState!AJ$4:AJ$7)*Assumptions!$C$61)+(SUMIF(IncState!$A$4:$BG$7,"V4*",IncState!AJ$4:AJ$7)*Assumptions!$C$62)</f>
        <v>16727</v>
      </c>
      <c r="AL55" s="115">
        <f ca="1">(SUMIF(IncState!$A$4:$BG$7,"V1*",IncState!AK$4:AK$7)*Assumptions!$C$59)+(SUMIF(IncState!$A$4:$BG$7,"V2*",IncState!AK$4:AK$7)*Assumptions!$C$60)+(SUMIF(IncState!$A$4:$BG$7,"V3*",IncState!AK$4:AK$7)*Assumptions!$C$61)+(SUMIF(IncState!$A$4:$BG$7,"V4*",IncState!AK$4:AK$7)*Assumptions!$C$62)</f>
        <v>15903</v>
      </c>
      <c r="AM55" s="115">
        <f ca="1">(SUMIF(IncState!$A$4:$BG$7,"V1*",IncState!AL$4:AL$7)*Assumptions!$C$59)+(SUMIF(IncState!$A$4:$BG$7,"V2*",IncState!AL$4:AL$7)*Assumptions!$C$60)+(SUMIF(IncState!$A$4:$BG$7,"V3*",IncState!AL$4:AL$7)*Assumptions!$C$61)+(SUMIF(IncState!$A$4:$BG$7,"V4*",IncState!AL$4:AL$7)*Assumptions!$C$62)</f>
        <v>15960</v>
      </c>
      <c r="AN55" s="115">
        <f ca="1">(SUMIF(IncState!$A$4:$BG$7,"V1*",IncState!AM$4:AM$7)*Assumptions!$C$59)+(SUMIF(IncState!$A$4:$BG$7,"V2*",IncState!AM$4:AM$7)*Assumptions!$C$60)+(SUMIF(IncState!$A$4:$BG$7,"V3*",IncState!AM$4:AM$7)*Assumptions!$C$61)+(SUMIF(IncState!$A$4:$BG$7,"V4*",IncState!AM$4:AM$7)*Assumptions!$C$62)</f>
        <v>16458.75</v>
      </c>
      <c r="AO55" s="115">
        <f ca="1">(SUMIF(IncState!$A$4:$BG$7,"V1*",IncState!AN$4:AN$7)*Assumptions!$C$59)+(SUMIF(IncState!$A$4:$BG$7,"V2*",IncState!AN$4:AN$7)*Assumptions!$C$60)+(SUMIF(IncState!$A$4:$BG$7,"V3*",IncState!AN$4:AN$7)*Assumptions!$C$61)+(SUMIF(IncState!$A$4:$BG$7,"V4*",IncState!AN$4:AN$7)*Assumptions!$C$62)</f>
        <v>15567.75</v>
      </c>
      <c r="AP55" s="115">
        <f ca="1">(SUMIF(IncState!$A$4:$BG$7,"V1*",IncState!AO$4:AO$7)*Assumptions!$C$59)+(SUMIF(IncState!$A$4:$BG$7,"V2*",IncState!AO$4:AO$7)*Assumptions!$C$60)+(SUMIF(IncState!$A$4:$BG$7,"V3*",IncState!AO$4:AO$7)*Assumptions!$C$61)+(SUMIF(IncState!$A$4:$BG$7,"V4*",IncState!AO$4:AO$7)*Assumptions!$C$62)</f>
        <v>16672.5</v>
      </c>
      <c r="AQ55" s="115">
        <f ca="1">(SUMIF(IncState!$A$4:$BG$7,"V1*",IncState!AP$4:AP$7)*Assumptions!$C$59)+(SUMIF(IncState!$A$4:$BG$7,"V2*",IncState!AP$4:AP$7)*Assumptions!$C$60)+(SUMIF(IncState!$A$4:$BG$7,"V3*",IncState!AP$4:AP$7)*Assumptions!$C$61)+(SUMIF(IncState!$A$4:$BG$7,"V4*",IncState!AP$4:AP$7)*Assumptions!$C$62)</f>
        <v>14597.1</v>
      </c>
      <c r="AR55" s="115">
        <f ca="1">(SUMIF(IncState!$A$4:$BG$7,"V1*",IncState!AQ$4:AQ$7)*Assumptions!$C$59)+(SUMIF(IncState!$A$4:$BG$7,"V2*",IncState!AQ$4:AQ$7)*Assumptions!$C$60)+(SUMIF(IncState!$A$4:$BG$7,"V3*",IncState!AQ$4:AQ$7)*Assumptions!$C$61)+(SUMIF(IncState!$A$4:$BG$7,"V4*",IncState!AQ$4:AQ$7)*Assumptions!$C$62)</f>
        <v>13139.85</v>
      </c>
      <c r="AS55" s="115">
        <f ca="1">(SUMIF(IncState!$A$4:$BG$7,"V1*",IncState!AR$4:AR$7)*Assumptions!$C$59)+(SUMIF(IncState!$A$4:$BG$7,"V2*",IncState!AR$4:AR$7)*Assumptions!$C$60)+(SUMIF(IncState!$A$4:$BG$7,"V3*",IncState!AR$4:AR$7)*Assumptions!$C$61)+(SUMIF(IncState!$A$4:$BG$7,"V4*",IncState!AR$4:AR$7)*Assumptions!$C$62)</f>
        <v>13622.4</v>
      </c>
      <c r="AT55" s="115">
        <f ca="1">(SUMIF(IncState!$A$4:$BG$7,"V1*",IncState!AS$4:AS$7)*Assumptions!$C$59)+(SUMIF(IncState!$A$4:$BG$7,"V2*",IncState!AS$4:AS$7)*Assumptions!$C$60)+(SUMIF(IncState!$A$4:$BG$7,"V3*",IncState!AS$4:AS$7)*Assumptions!$C$61)+(SUMIF(IncState!$A$4:$BG$7,"V4*",IncState!AS$4:AS$7)*Assumptions!$C$62)</f>
        <v>10076.200000000001</v>
      </c>
      <c r="AU55" s="115">
        <f ca="1">(SUMIF(IncState!$A$4:$BG$7,"V1*",IncState!AT$4:AT$7)*Assumptions!$C$59)+(SUMIF(IncState!$A$4:$BG$7,"V2*",IncState!AT$4:AT$7)*Assumptions!$C$60)+(SUMIF(IncState!$A$4:$BG$7,"V3*",IncState!AT$4:AT$7)*Assumptions!$C$61)+(SUMIF(IncState!$A$4:$BG$7,"V4*",IncState!AT$4:AT$7)*Assumptions!$C$62)</f>
        <v>8443.81</v>
      </c>
      <c r="AV55" s="115">
        <f ca="1">(SUMIF(IncState!$A$4:$BG$7,"V1*",IncState!AU$4:AU$7)*Assumptions!$C$59)+(SUMIF(IncState!$A$4:$BG$7,"V2*",IncState!AU$4:AU$7)*Assumptions!$C$60)+(SUMIF(IncState!$A$4:$BG$7,"V3*",IncState!AU$4:AU$7)*Assumptions!$C$61)+(SUMIF(IncState!$A$4:$BG$7,"V4*",IncState!AU$4:AU$7)*Assumptions!$C$62)</f>
        <v>9155.4599999999991</v>
      </c>
      <c r="AW55" s="115">
        <f ca="1">(SUMIF(IncState!$A$4:$BG$7,"V1*",IncState!AV$4:AV$7)*Assumptions!$C$59)+(SUMIF(IncState!$A$4:$BG$7,"V2*",IncState!AV$4:AV$7)*Assumptions!$C$60)+(SUMIF(IncState!$A$4:$BG$7,"V3*",IncState!AV$4:AV$7)*Assumptions!$C$61)+(SUMIF(IncState!$A$4:$BG$7,"V4*",IncState!AV$4:AV$7)*Assumptions!$C$62)</f>
        <v>11841.375</v>
      </c>
      <c r="AX55" s="115">
        <f ca="1">(SUMIF(IncState!$A$4:$BG$7,"V1*",IncState!AW$4:AW$7)*Assumptions!$C$59)+(SUMIF(IncState!$A$4:$BG$7,"V2*",IncState!AW$4:AW$7)*Assumptions!$C$60)+(SUMIF(IncState!$A$4:$BG$7,"V3*",IncState!AW$4:AW$7)*Assumptions!$C$61)+(SUMIF(IncState!$A$4:$BG$7,"V4*",IncState!AW$4:AW$7)*Assumptions!$C$62)</f>
        <v>16446.64</v>
      </c>
      <c r="AY55" s="115">
        <f ca="1">(SUMIF(IncState!$A$4:$BG$7,"V1*",IncState!AX$4:AX$7)*Assumptions!$C$59)+(SUMIF(IncState!$A$4:$BG$7,"V2*",IncState!AX$4:AX$7)*Assumptions!$C$60)+(SUMIF(IncState!$A$4:$BG$7,"V3*",IncState!AX$4:AX$7)*Assumptions!$C$61)+(SUMIF(IncState!$A$4:$BG$7,"V4*",IncState!AX$4:AX$7)*Assumptions!$C$62)</f>
        <v>16577.5</v>
      </c>
      <c r="AZ55" s="115">
        <f ca="1">(SUMIF(IncState!$A$4:$BG$7,"V1*",IncState!AY$4:AY$7)*Assumptions!$C$59)+(SUMIF(IncState!$A$4:$BG$7,"V2*",IncState!AY$4:AY$7)*Assumptions!$C$60)+(SUMIF(IncState!$A$4:$BG$7,"V3*",IncState!AY$4:AY$7)*Assumptions!$C$61)+(SUMIF(IncState!$A$4:$BG$7,"V4*",IncState!AY$4:AY$7)*Assumptions!$C$62)</f>
        <v>16781</v>
      </c>
      <c r="BA55" s="115">
        <f ca="1">(SUMIF(IncState!$A$4:$BG$7,"V1*",IncState!AZ$4:AZ$7)*Assumptions!$C$59)+(SUMIF(IncState!$A$4:$BG$7,"V2*",IncState!AZ$4:AZ$7)*Assumptions!$C$60)+(SUMIF(IncState!$A$4:$BG$7,"V3*",IncState!AZ$4:AZ$7)*Assumptions!$C$61)+(SUMIF(IncState!$A$4:$BG$7,"V4*",IncState!AZ$4:AZ$7)*Assumptions!$C$62)</f>
        <v>16950.5</v>
      </c>
      <c r="BB55" s="115">
        <f ca="1">(SUMIF(IncState!$A$4:$BG$7,"V1*",IncState!BA$4:BA$7)*Assumptions!$C$59)+(SUMIF(IncState!$A$4:$BG$7,"V2*",IncState!BA$4:BA$7)*Assumptions!$C$60)+(SUMIF(IncState!$A$4:$BG$7,"V3*",IncState!BA$4:BA$7)*Assumptions!$C$61)+(SUMIF(IncState!$A$4:$BG$7,"V4*",IncState!BA$4:BA$7)*Assumptions!$C$62)</f>
        <v>16712.7</v>
      </c>
      <c r="BC55" s="115">
        <f ca="1">(SUMIF(IncState!$A$4:$BG$7,"V1*",IncState!BB$4:BB$7)*Assumptions!$C$59)+(SUMIF(IncState!$A$4:$BG$7,"V2*",IncState!BB$4:BB$7)*Assumptions!$C$60)+(SUMIF(IncState!$A$4:$BG$7,"V3*",IncState!BB$4:BB$7)*Assumptions!$C$61)+(SUMIF(IncState!$A$4:$BG$7,"V4*",IncState!BB$4:BB$7)*Assumptions!$C$62)</f>
        <v>16773.599999999999</v>
      </c>
      <c r="BD55" s="121"/>
      <c r="BE55" s="121"/>
      <c r="BF55" s="121"/>
      <c r="BG55" s="121"/>
      <c r="BH55" s="121"/>
    </row>
    <row r="56" spans="1:60" s="19" customFormat="1" ht="16.149999999999999" customHeight="1" x14ac:dyDescent="0.25">
      <c r="A56" s="183"/>
      <c r="B56" s="6" t="s">
        <v>233</v>
      </c>
      <c r="C56" s="84">
        <f ca="1">IF(C$34&lt;0,-C$34,0)</f>
        <v>0</v>
      </c>
      <c r="D56" s="84">
        <f ca="1">((SUMIF(IncState!$A$7:$BG$59,"*V1*",IncState!C$7:C$59)-SUMIF(CashFlow!$A$27:$BG$31,"*V1*",CashFlow!C$27:C$31))*Assumptions!$C$59)+((SUMIF(IncState!$A$7:$BG$59,"*V2*",IncState!C$7:C$59)-SUMIF(CashFlow!$A$27:$BG$31,"*V2*",CashFlow!C$27:C$31))*Assumptions!$C$60)+((SUMIF(IncState!$A$7:$BG$59,"*V3*",IncState!C$7:C$59)-SUMIF(CashFlow!$A$27:$BG$31,"*V3*",CashFlow!C$27:C$31))*Assumptions!$C$61)+((SUMIF(IncState!$A$7:$BG$59,"*V4*",IncState!C$7:C$59)-SUMIF(CashFlow!$A$27:$BG$31,"*V4*",CashFlow!C$27:C$31))*Assumptions!$C$62)</f>
        <v>9337.5</v>
      </c>
      <c r="E56" s="84">
        <f ca="1">((SUMIF(IncState!$A$7:$BG$59,"*V1*",IncState!D$7:D$59)-SUMIF(CashFlow!$A$27:$BG$31,"*V1*",CashFlow!D$27:D$31))*Assumptions!$C$59)+((SUMIF(IncState!$A$7:$BG$59,"*V2*",IncState!D$7:D$59)-SUMIF(CashFlow!$A$27:$BG$31,"*V2*",CashFlow!D$27:D$31))*Assumptions!$C$60)+((SUMIF(IncState!$A$7:$BG$59,"*V3*",IncState!D$7:D$59)-SUMIF(CashFlow!$A$27:$BG$31,"*V3*",CashFlow!D$27:D$31))*Assumptions!$C$61)+((SUMIF(IncState!$A$7:$BG$59,"*V4*",IncState!D$7:D$59)-SUMIF(CashFlow!$A$27:$BG$31,"*V4*",CashFlow!D$27:D$31))*Assumptions!$C$62)</f>
        <v>4938.2400000000007</v>
      </c>
      <c r="F56" s="84">
        <f ca="1">((SUMIF(IncState!$A$7:$BG$59,"*V1*",IncState!E$7:E$59)-SUMIF(CashFlow!$A$27:$BG$31,"*V1*",CashFlow!E$27:E$31))*Assumptions!$C$59)+((SUMIF(IncState!$A$7:$BG$59,"*V2*",IncState!E$7:E$59)-SUMIF(CashFlow!$A$27:$BG$31,"*V2*",CashFlow!E$27:E$31))*Assumptions!$C$60)+((SUMIF(IncState!$A$7:$BG$59,"*V3*",IncState!E$7:E$59)-SUMIF(CashFlow!$A$27:$BG$31,"*V3*",CashFlow!E$27:E$31))*Assumptions!$C$61)+((SUMIF(IncState!$A$7:$BG$59,"*V4*",IncState!E$7:E$59)-SUMIF(CashFlow!$A$27:$BG$31,"*V4*",CashFlow!E$27:E$31))*Assumptions!$C$62)</f>
        <v>6960</v>
      </c>
      <c r="G56" s="84">
        <f ca="1">((SUMIF(IncState!$A$7:$BG$59,"*V1*",IncState!F$7:F$59)-SUMIF(CashFlow!$A$27:$BG$31,"*V1*",CashFlow!F$27:F$31))*Assumptions!$C$59)+((SUMIF(IncState!$A$7:$BG$59,"*V2*",IncState!F$7:F$59)-SUMIF(CashFlow!$A$27:$BG$31,"*V2*",CashFlow!F$27:F$31))*Assumptions!$C$60)+((SUMIF(IncState!$A$7:$BG$59,"*V3*",IncState!F$7:F$59)-SUMIF(CashFlow!$A$27:$BG$31,"*V3*",CashFlow!F$27:F$31))*Assumptions!$C$61)+((SUMIF(IncState!$A$7:$BG$59,"*V4*",IncState!F$7:F$59)-SUMIF(CashFlow!$A$27:$BG$31,"*V4*",CashFlow!F$27:F$31))*Assumptions!$C$62)</f>
        <v>6396</v>
      </c>
      <c r="H56" s="84">
        <f ca="1">((SUMIF(IncState!$A$7:$BG$59,"*V1*",IncState!G$7:G$59)-SUMIF(CashFlow!$A$27:$BG$31,"*V1*",CashFlow!G$27:G$31))*Assumptions!$C$59)+((SUMIF(IncState!$A$7:$BG$59,"*V2*",IncState!G$7:G$59)-SUMIF(CashFlow!$A$27:$BG$31,"*V2*",CashFlow!G$27:G$31))*Assumptions!$C$60)+((SUMIF(IncState!$A$7:$BG$59,"*V3*",IncState!G$7:G$59)-SUMIF(CashFlow!$A$27:$BG$31,"*V3*",CashFlow!G$27:G$31))*Assumptions!$C$61)+((SUMIF(IncState!$A$7:$BG$59,"*V4*",IncState!G$7:G$59)-SUMIF(CashFlow!$A$27:$BG$31,"*V4*",CashFlow!G$27:G$31))*Assumptions!$C$62)</f>
        <v>8455.9499999999989</v>
      </c>
      <c r="I56" s="84">
        <f ca="1">((SUMIF(IncState!$A$7:$BG$59,"*V1*",IncState!H$7:H$59)-SUMIF(CashFlow!$A$27:$BG$31,"*V1*",CashFlow!H$27:H$31))*Assumptions!$C$59)+((SUMIF(IncState!$A$7:$BG$59,"*V2*",IncState!H$7:H$59)-SUMIF(CashFlow!$A$27:$BG$31,"*V2*",CashFlow!H$27:H$31))*Assumptions!$C$60)+((SUMIF(IncState!$A$7:$BG$59,"*V3*",IncState!H$7:H$59)-SUMIF(CashFlow!$A$27:$BG$31,"*V3*",CashFlow!H$27:H$31))*Assumptions!$C$61)+((SUMIF(IncState!$A$7:$BG$59,"*V4*",IncState!H$7:H$59)-SUMIF(CashFlow!$A$27:$BG$31,"*V4*",CashFlow!H$27:H$31))*Assumptions!$C$62)</f>
        <v>10264.5</v>
      </c>
      <c r="J56" s="84">
        <f ca="1">((SUMIF(IncState!$A$7:$BG$59,"*V1*",IncState!I$7:I$59)-SUMIF(CashFlow!$A$27:$BG$31,"*V1*",CashFlow!I$27:I$31))*Assumptions!$C$59)+((SUMIF(IncState!$A$7:$BG$59,"*V2*",IncState!I$7:I$59)-SUMIF(CashFlow!$A$27:$BG$31,"*V2*",CashFlow!I$27:I$31))*Assumptions!$C$60)+((SUMIF(IncState!$A$7:$BG$59,"*V3*",IncState!I$7:I$59)-SUMIF(CashFlow!$A$27:$BG$31,"*V3*",CashFlow!I$27:I$31))*Assumptions!$C$61)+((SUMIF(IncState!$A$7:$BG$59,"*V4*",IncState!I$7:I$59)-SUMIF(CashFlow!$A$27:$BG$31,"*V4*",CashFlow!I$27:I$31))*Assumptions!$C$62)</f>
        <v>7439.7</v>
      </c>
      <c r="K56" s="84">
        <f ca="1">((SUMIF(IncState!$A$7:$BG$59,"*V1*",IncState!J$7:J$59)-SUMIF(CashFlow!$A$27:$BG$31,"*V1*",CashFlow!J$27:J$31))*Assumptions!$C$59)+((SUMIF(IncState!$A$7:$BG$59,"*V2*",IncState!J$7:J$59)-SUMIF(CashFlow!$A$27:$BG$31,"*V2*",CashFlow!J$27:J$31))*Assumptions!$C$60)+((SUMIF(IncState!$A$7:$BG$59,"*V3*",IncState!J$7:J$59)-SUMIF(CashFlow!$A$27:$BG$31,"*V3*",CashFlow!J$27:J$31))*Assumptions!$C$61)+((SUMIF(IncState!$A$7:$BG$59,"*V4*",IncState!J$7:J$59)-SUMIF(CashFlow!$A$27:$BG$31,"*V4*",CashFlow!J$27:J$31))*Assumptions!$C$62)</f>
        <v>6352.5</v>
      </c>
      <c r="L56" s="84">
        <f ca="1">((SUMIF(IncState!$A$7:$BG$59,"*V1*",IncState!K$7:K$59)-SUMIF(CashFlow!$A$27:$BG$31,"*V1*",CashFlow!K$27:K$31))*Assumptions!$C$59)+((SUMIF(IncState!$A$7:$BG$59,"*V2*",IncState!K$7:K$59)-SUMIF(CashFlow!$A$27:$BG$31,"*V2*",CashFlow!K$27:K$31))*Assumptions!$C$60)+((SUMIF(IncState!$A$7:$BG$59,"*V3*",IncState!K$7:K$59)-SUMIF(CashFlow!$A$27:$BG$31,"*V3*",CashFlow!K$27:K$31))*Assumptions!$C$61)+((SUMIF(IncState!$A$7:$BG$59,"*V4*",IncState!K$7:K$59)-SUMIF(CashFlow!$A$27:$BG$31,"*V4*",CashFlow!K$27:K$31))*Assumptions!$C$62)</f>
        <v>7392.75</v>
      </c>
      <c r="M56" s="84">
        <f ca="1">((SUMIF(IncState!$A$7:$BG$59,"*V1*",IncState!L$7:L$59)-SUMIF(CashFlow!$A$27:$BG$31,"*V1*",CashFlow!L$27:L$31))*Assumptions!$C$59)+((SUMIF(IncState!$A$7:$BG$59,"*V2*",IncState!L$7:L$59)-SUMIF(CashFlow!$A$27:$BG$31,"*V2*",CashFlow!L$27:L$31))*Assumptions!$C$60)+((SUMIF(IncState!$A$7:$BG$59,"*V3*",IncState!L$7:L$59)-SUMIF(CashFlow!$A$27:$BG$31,"*V3*",CashFlow!L$27:L$31))*Assumptions!$C$61)+((SUMIF(IncState!$A$7:$BG$59,"*V4*",IncState!L$7:L$59)-SUMIF(CashFlow!$A$27:$BG$31,"*V4*",CashFlow!L$27:L$31))*Assumptions!$C$62)</f>
        <v>9993</v>
      </c>
      <c r="N56" s="84">
        <f ca="1">((SUMIF(IncState!$A$7:$BG$59,"*V1*",IncState!M$7:M$59)-SUMIF(CashFlow!$A$27:$BG$31,"*V1*",CashFlow!M$27:M$31))*Assumptions!$C$59)+((SUMIF(IncState!$A$7:$BG$59,"*V2*",IncState!M$7:M$59)-SUMIF(CashFlow!$A$27:$BG$31,"*V2*",CashFlow!M$27:M$31))*Assumptions!$C$60)+((SUMIF(IncState!$A$7:$BG$59,"*V3*",IncState!M$7:M$59)-SUMIF(CashFlow!$A$27:$BG$31,"*V3*",CashFlow!M$27:M$31))*Assumptions!$C$61)+((SUMIF(IncState!$A$7:$BG$59,"*V4*",IncState!M$7:M$59)-SUMIF(CashFlow!$A$27:$BG$31,"*V4*",CashFlow!M$27:M$31))*Assumptions!$C$62)</f>
        <v>6479.8499999999995</v>
      </c>
      <c r="O56" s="84">
        <f ca="1">((SUMIF(IncState!$A$7:$BG$59,"*V1*",IncState!N$7:N$59)-SUMIF(CashFlow!$A$27:$BG$31,"*V1*",CashFlow!N$27:N$31))*Assumptions!$C$59)+((SUMIF(IncState!$A$7:$BG$59,"*V2*",IncState!N$7:N$59)-SUMIF(CashFlow!$A$27:$BG$31,"*V2*",CashFlow!N$27:N$31))*Assumptions!$C$60)+((SUMIF(IncState!$A$7:$BG$59,"*V3*",IncState!N$7:N$59)-SUMIF(CashFlow!$A$27:$BG$31,"*V3*",CashFlow!N$27:N$31))*Assumptions!$C$61)+((SUMIF(IncState!$A$7:$BG$59,"*V4*",IncState!N$7:N$59)-SUMIF(CashFlow!$A$27:$BG$31,"*V4*",CashFlow!N$27:N$31))*Assumptions!$C$62)</f>
        <v>6199.2</v>
      </c>
      <c r="P56" s="84">
        <f ca="1">((SUMIF(IncState!$A$7:$BG$59,"*V1*",IncState!O$7:O$59)-SUMIF(CashFlow!$A$27:$BG$31,"*V1*",CashFlow!O$27:O$31))*Assumptions!$C$59)+((SUMIF(IncState!$A$7:$BG$59,"*V2*",IncState!O$7:O$59)-SUMIF(CashFlow!$A$27:$BG$31,"*V2*",CashFlow!O$27:O$31))*Assumptions!$C$60)+((SUMIF(IncState!$A$7:$BG$59,"*V3*",IncState!O$7:O$59)-SUMIF(CashFlow!$A$27:$BG$31,"*V3*",CashFlow!O$27:O$31))*Assumptions!$C$61)+((SUMIF(IncState!$A$7:$BG$59,"*V4*",IncState!O$7:O$59)-SUMIF(CashFlow!$A$27:$BG$31,"*V4*",CashFlow!O$27:O$31))*Assumptions!$C$62)</f>
        <v>10581.75</v>
      </c>
      <c r="Q56" s="84">
        <f ca="1">((SUMIF(IncState!$A$7:$BG$59,"*V1*",IncState!P$7:P$59)-SUMIF(CashFlow!$A$27:$BG$31,"*V1*",CashFlow!P$27:P$31))*Assumptions!$C$59)+((SUMIF(IncState!$A$7:$BG$59,"*V2*",IncState!P$7:P$59)-SUMIF(CashFlow!$A$27:$BG$31,"*V2*",CashFlow!P$27:P$31))*Assumptions!$C$60)+((SUMIF(IncState!$A$7:$BG$59,"*V3*",IncState!P$7:P$59)-SUMIF(CashFlow!$A$27:$BG$31,"*V3*",CashFlow!P$27:P$31))*Assumptions!$C$61)+((SUMIF(IncState!$A$7:$BG$59,"*V4*",IncState!P$7:P$59)-SUMIF(CashFlow!$A$27:$BG$31,"*V4*",CashFlow!P$27:P$31))*Assumptions!$C$62)</f>
        <v>9915</v>
      </c>
      <c r="R56" s="84">
        <f ca="1">((SUMIF(IncState!$A$7:$BG$59,"*V1*",IncState!Q$7:Q$59)-SUMIF(CashFlow!$A$27:$BG$31,"*V1*",CashFlow!Q$27:Q$31))*Assumptions!$C$59)+((SUMIF(IncState!$A$7:$BG$59,"*V2*",IncState!Q$7:Q$59)-SUMIF(CashFlow!$A$27:$BG$31,"*V2*",CashFlow!Q$27:Q$31))*Assumptions!$C$60)+((SUMIF(IncState!$A$7:$BG$59,"*V3*",IncState!Q$7:Q$59)-SUMIF(CashFlow!$A$27:$BG$31,"*V3*",CashFlow!Q$27:Q$31))*Assumptions!$C$61)+((SUMIF(IncState!$A$7:$BG$59,"*V4*",IncState!Q$7:Q$59)-SUMIF(CashFlow!$A$27:$BG$31,"*V4*",CashFlow!Q$27:Q$31))*Assumptions!$C$62)</f>
        <v>6423</v>
      </c>
      <c r="S56" s="84">
        <f ca="1">((SUMIF(IncState!$A$7:$BG$59,"*V1*",IncState!R$7:R$59)-SUMIF(CashFlow!$A$27:$BG$31,"*V1*",CashFlow!R$27:R$31))*Assumptions!$C$59)+((SUMIF(IncState!$A$7:$BG$59,"*V2*",IncState!R$7:R$59)-SUMIF(CashFlow!$A$27:$BG$31,"*V2*",CashFlow!R$27:R$31))*Assumptions!$C$60)+((SUMIF(IncState!$A$7:$BG$59,"*V3*",IncState!R$7:R$59)-SUMIF(CashFlow!$A$27:$BG$31,"*V3*",CashFlow!R$27:R$31))*Assumptions!$C$61)+((SUMIF(IncState!$A$7:$BG$59,"*V4*",IncState!R$7:R$59)-SUMIF(CashFlow!$A$27:$BG$31,"*V4*",CashFlow!R$27:R$31))*Assumptions!$C$62)</f>
        <v>6242.7</v>
      </c>
      <c r="T56" s="84">
        <f ca="1">((SUMIF(IncState!$A$7:$BG$59,"*V1*",IncState!S$7:S$59)-SUMIF(CashFlow!$A$27:$BG$31,"*V1*",CashFlow!S$27:S$31))*Assumptions!$C$59)+((SUMIF(IncState!$A$7:$BG$59,"*V2*",IncState!S$7:S$59)-SUMIF(CashFlow!$A$27:$BG$31,"*V2*",CashFlow!S$27:S$31))*Assumptions!$C$60)+((SUMIF(IncState!$A$7:$BG$59,"*V3*",IncState!S$7:S$59)-SUMIF(CashFlow!$A$27:$BG$31,"*V3*",CashFlow!S$27:S$31))*Assumptions!$C$61)+((SUMIF(IncState!$A$7:$BG$59,"*V4*",IncState!S$7:S$59)-SUMIF(CashFlow!$A$27:$BG$31,"*V4*",CashFlow!S$27:S$31))*Assumptions!$C$62)</f>
        <v>8320.5</v>
      </c>
      <c r="U56" s="84">
        <f ca="1">((SUMIF(IncState!$A$7:$BG$59,"*V1*",IncState!T$7:T$59)-SUMIF(CashFlow!$A$27:$BG$31,"*V1*",CashFlow!T$27:T$31))*Assumptions!$C$59)+((SUMIF(IncState!$A$7:$BG$59,"*V2*",IncState!T$7:T$59)-SUMIF(CashFlow!$A$27:$BG$31,"*V2*",CashFlow!T$27:T$31))*Assumptions!$C$60)+((SUMIF(IncState!$A$7:$BG$59,"*V3*",IncState!T$7:T$59)-SUMIF(CashFlow!$A$27:$BG$31,"*V3*",CashFlow!T$27:T$31))*Assumptions!$C$61)+((SUMIF(IncState!$A$7:$BG$59,"*V4*",IncState!T$7:T$59)-SUMIF(CashFlow!$A$27:$BG$31,"*V4*",CashFlow!T$27:T$31))*Assumptions!$C$62)</f>
        <v>8765.85</v>
      </c>
      <c r="V56" s="84">
        <f ca="1">((SUMIF(IncState!$A$7:$BG$59,"*V1*",IncState!U$7:U$59)-SUMIF(CashFlow!$A$27:$BG$31,"*V1*",CashFlow!U$27:U$31))*Assumptions!$C$59)+((SUMIF(IncState!$A$7:$BG$59,"*V2*",IncState!U$7:U$59)-SUMIF(CashFlow!$A$27:$BG$31,"*V2*",CashFlow!U$27:U$31))*Assumptions!$C$60)+((SUMIF(IncState!$A$7:$BG$59,"*V3*",IncState!U$7:U$59)-SUMIF(CashFlow!$A$27:$BG$31,"*V3*",CashFlow!U$27:U$31))*Assumptions!$C$61)+((SUMIF(IncState!$A$7:$BG$59,"*V4*",IncState!U$7:U$59)-SUMIF(CashFlow!$A$27:$BG$31,"*V4*",CashFlow!U$27:U$31))*Assumptions!$C$62)</f>
        <v>9943.35</v>
      </c>
      <c r="W56" s="84">
        <f ca="1">((SUMIF(IncState!$A$7:$BG$59,"*V1*",IncState!V$7:V$59)-SUMIF(CashFlow!$A$27:$BG$31,"*V1*",CashFlow!V$27:V$31))*Assumptions!$C$59)+((SUMIF(IncState!$A$7:$BG$59,"*V2*",IncState!V$7:V$59)-SUMIF(CashFlow!$A$27:$BG$31,"*V2*",CashFlow!V$27:V$31))*Assumptions!$C$60)+((SUMIF(IncState!$A$7:$BG$59,"*V3*",IncState!V$7:V$59)-SUMIF(CashFlow!$A$27:$BG$31,"*V3*",CashFlow!V$27:V$31))*Assumptions!$C$61)+((SUMIF(IncState!$A$7:$BG$59,"*V4*",IncState!V$7:V$59)-SUMIF(CashFlow!$A$27:$BG$31,"*V4*",CashFlow!V$27:V$31))*Assumptions!$C$62)</f>
        <v>6696.75</v>
      </c>
      <c r="X56" s="84">
        <f ca="1">((SUMIF(IncState!$A$7:$BG$59,"*V1*",IncState!W$7:W$59)-SUMIF(CashFlow!$A$27:$BG$31,"*V1*",CashFlow!W$27:W$31))*Assumptions!$C$59)+((SUMIF(IncState!$A$7:$BG$59,"*V2*",IncState!W$7:W$59)-SUMIF(CashFlow!$A$27:$BG$31,"*V2*",CashFlow!W$27:W$31))*Assumptions!$C$60)+((SUMIF(IncState!$A$7:$BG$59,"*V3*",IncState!W$7:W$59)-SUMIF(CashFlow!$A$27:$BG$31,"*V3*",CashFlow!W$27:W$31))*Assumptions!$C$61)+((SUMIF(IncState!$A$7:$BG$59,"*V4*",IncState!W$7:W$59)-SUMIF(CashFlow!$A$27:$BG$31,"*V4*",CashFlow!W$27:W$31))*Assumptions!$C$62)</f>
        <v>7209</v>
      </c>
      <c r="Y56" s="84">
        <f ca="1">((SUMIF(IncState!$A$7:$BG$59,"*V1*",IncState!X$7:X$59)-SUMIF(CashFlow!$A$27:$BG$31,"*V1*",CashFlow!X$27:X$31))*Assumptions!$C$59)+((SUMIF(IncState!$A$7:$BG$59,"*V2*",IncState!X$7:X$59)-SUMIF(CashFlow!$A$27:$BG$31,"*V2*",CashFlow!X$27:X$31))*Assumptions!$C$60)+((SUMIF(IncState!$A$7:$BG$59,"*V3*",IncState!X$7:X$59)-SUMIF(CashFlow!$A$27:$BG$31,"*V3*",CashFlow!X$27:X$31))*Assumptions!$C$61)+((SUMIF(IncState!$A$7:$BG$59,"*V4*",IncState!X$7:X$59)-SUMIF(CashFlow!$A$27:$BG$31,"*V4*",CashFlow!X$27:X$31))*Assumptions!$C$62)</f>
        <v>8270.25</v>
      </c>
      <c r="Z56" s="84">
        <f ca="1">((SUMIF(IncState!$A$7:$BG$59,"*V1*",IncState!Y$7:Y$59)-SUMIF(CashFlow!$A$27:$BG$31,"*V1*",CashFlow!Y$27:Y$31))*Assumptions!$C$59)+((SUMIF(IncState!$A$7:$BG$59,"*V2*",IncState!Y$7:Y$59)-SUMIF(CashFlow!$A$27:$BG$31,"*V2*",CashFlow!Y$27:Y$31))*Assumptions!$C$60)+((SUMIF(IncState!$A$7:$BG$59,"*V3*",IncState!Y$7:Y$59)-SUMIF(CashFlow!$A$27:$BG$31,"*V3*",CashFlow!Y$27:Y$31))*Assumptions!$C$61)+((SUMIF(IncState!$A$7:$BG$59,"*V4*",IncState!Y$7:Y$59)-SUMIF(CashFlow!$A$27:$BG$31,"*V4*",CashFlow!Y$27:Y$31))*Assumptions!$C$62)</f>
        <v>9586.7999999999993</v>
      </c>
      <c r="AA56" s="84">
        <f ca="1">((SUMIF(IncState!$A$7:$BG$59,"*V1*",IncState!Z$7:Z$59)-SUMIF(CashFlow!$A$27:$BG$31,"*V1*",CashFlow!Z$27:Z$31))*Assumptions!$C$59)+((SUMIF(IncState!$A$7:$BG$59,"*V2*",IncState!Z$7:Z$59)-SUMIF(CashFlow!$A$27:$BG$31,"*V2*",CashFlow!Z$27:Z$31))*Assumptions!$C$60)+((SUMIF(IncState!$A$7:$BG$59,"*V3*",IncState!Z$7:Z$59)-SUMIF(CashFlow!$A$27:$BG$31,"*V3*",CashFlow!Z$27:Z$31))*Assumptions!$C$61)+((SUMIF(IncState!$A$7:$BG$59,"*V4*",IncState!Z$7:Z$59)-SUMIF(CashFlow!$A$27:$BG$31,"*V4*",CashFlow!Z$27:Z$31))*Assumptions!$C$62)</f>
        <v>8725.9499999999989</v>
      </c>
      <c r="AB56" s="84">
        <f ca="1">((SUMIF(IncState!$A$7:$BG$59,"*V1*",IncState!AA$7:AA$59)-SUMIF(CashFlow!$A$27:$BG$31,"*V1*",CashFlow!AA$27:AA$31))*Assumptions!$C$59)+((SUMIF(IncState!$A$7:$BG$59,"*V2*",IncState!AA$7:AA$59)-SUMIF(CashFlow!$A$27:$BG$31,"*V2*",CashFlow!AA$27:AA$31))*Assumptions!$C$60)+((SUMIF(IncState!$A$7:$BG$59,"*V3*",IncState!AA$7:AA$59)-SUMIF(CashFlow!$A$27:$BG$31,"*V3*",CashFlow!AA$27:AA$31))*Assumptions!$C$61)+((SUMIF(IncState!$A$7:$BG$59,"*V4*",IncState!AA$7:AA$59)-SUMIF(CashFlow!$A$27:$BG$31,"*V4*",CashFlow!AA$27:AA$31))*Assumptions!$C$62)</f>
        <v>6640.2</v>
      </c>
      <c r="AC56" s="84">
        <f ca="1">((SUMIF(IncState!$A$7:$BG$59,"*V1*",IncState!AB$7:AB$59)-SUMIF(CashFlow!$A$27:$BG$31,"*V1*",CashFlow!AB$27:AB$31))*Assumptions!$C$59)+((SUMIF(IncState!$A$7:$BG$59,"*V2*",IncState!AB$7:AB$59)-SUMIF(CashFlow!$A$27:$BG$31,"*V2*",CashFlow!AB$27:AB$31))*Assumptions!$C$60)+((SUMIF(IncState!$A$7:$BG$59,"*V3*",IncState!AB$7:AB$59)-SUMIF(CashFlow!$A$27:$BG$31,"*V3*",CashFlow!AB$27:AB$31))*Assumptions!$C$61)+((SUMIF(IncState!$A$7:$BG$59,"*V4*",IncState!AB$7:AB$59)-SUMIF(CashFlow!$A$27:$BG$31,"*V4*",CashFlow!AB$27:AB$31))*Assumptions!$C$62)</f>
        <v>9720.15</v>
      </c>
      <c r="AD56" s="84">
        <f ca="1">((SUMIF(IncState!$A$7:$BG$59,"*V1*",IncState!AC$7:AC$59)-SUMIF(CashFlow!$A$27:$BG$31,"*V1*",CashFlow!AC$27:AC$31))*Assumptions!$C$59)+((SUMIF(IncState!$A$7:$BG$59,"*V2*",IncState!AC$7:AC$59)-SUMIF(CashFlow!$A$27:$BG$31,"*V2*",CashFlow!AC$27:AC$31))*Assumptions!$C$60)+((SUMIF(IncState!$A$7:$BG$59,"*V3*",IncState!AC$7:AC$59)-SUMIF(CashFlow!$A$27:$BG$31,"*V3*",CashFlow!AC$27:AC$31))*Assumptions!$C$61)+((SUMIF(IncState!$A$7:$BG$59,"*V4*",IncState!AC$7:AC$59)-SUMIF(CashFlow!$A$27:$BG$31,"*V4*",CashFlow!AC$27:AC$31))*Assumptions!$C$62)</f>
        <v>9816</v>
      </c>
      <c r="AE56" s="84">
        <f ca="1">((SUMIF(IncState!$A$7:$BG$59,"*V1*",IncState!AD$7:AD$59)-SUMIF(CashFlow!$A$27:$BG$31,"*V1*",CashFlow!AD$27:AD$31))*Assumptions!$C$59)+((SUMIF(IncState!$A$7:$BG$59,"*V2*",IncState!AD$7:AD$59)-SUMIF(CashFlow!$A$27:$BG$31,"*V2*",CashFlow!AD$27:AD$31))*Assumptions!$C$60)+((SUMIF(IncState!$A$7:$BG$59,"*V3*",IncState!AD$7:AD$59)-SUMIF(CashFlow!$A$27:$BG$31,"*V3*",CashFlow!AD$27:AD$31))*Assumptions!$C$61)+((SUMIF(IncState!$A$7:$BG$59,"*V4*",IncState!AD$7:AD$59)-SUMIF(CashFlow!$A$27:$BG$31,"*V4*",CashFlow!AD$27:AD$31))*Assumptions!$C$62)</f>
        <v>6909</v>
      </c>
      <c r="AF56" s="84">
        <f ca="1">((SUMIF(IncState!$A$7:$BG$59,"*V1*",IncState!AE$7:AE$59)-SUMIF(CashFlow!$A$27:$BG$31,"*V1*",CashFlow!AE$27:AE$31))*Assumptions!$C$59)+((SUMIF(IncState!$A$7:$BG$59,"*V2*",IncState!AE$7:AE$59)-SUMIF(CashFlow!$A$27:$BG$31,"*V2*",CashFlow!AE$27:AE$31))*Assumptions!$C$60)+((SUMIF(IncState!$A$7:$BG$59,"*V3*",IncState!AE$7:AE$59)-SUMIF(CashFlow!$A$27:$BG$31,"*V3*",CashFlow!AE$27:AE$31))*Assumptions!$C$61)+((SUMIF(IncState!$A$7:$BG$59,"*V4*",IncState!AE$7:AE$59)-SUMIF(CashFlow!$A$27:$BG$31,"*V4*",CashFlow!AE$27:AE$31))*Assumptions!$C$62)</f>
        <v>6838.5</v>
      </c>
      <c r="AG56" s="84">
        <f ca="1">((SUMIF(IncState!$A$7:$BG$59,"*V1*",IncState!AF$7:AF$59)-SUMIF(CashFlow!$A$27:$BG$31,"*V1*",CashFlow!AF$27:AF$31))*Assumptions!$C$59)+((SUMIF(IncState!$A$7:$BG$59,"*V2*",IncState!AF$7:AF$59)-SUMIF(CashFlow!$A$27:$BG$31,"*V2*",CashFlow!AF$27:AF$31))*Assumptions!$C$60)+((SUMIF(IncState!$A$7:$BG$59,"*V3*",IncState!AF$7:AF$59)-SUMIF(CashFlow!$A$27:$BG$31,"*V3*",CashFlow!AF$27:AF$31))*Assumptions!$C$61)+((SUMIF(IncState!$A$7:$BG$59,"*V4*",IncState!AF$7:AF$59)-SUMIF(CashFlow!$A$27:$BG$31,"*V4*",CashFlow!AF$27:AF$31))*Assumptions!$C$62)</f>
        <v>6410.0999999999995</v>
      </c>
      <c r="AH56" s="84">
        <f ca="1">((SUMIF(IncState!$A$7:$BG$59,"*V1*",IncState!AG$7:AG$59)-SUMIF(CashFlow!$A$27:$BG$31,"*V1*",CashFlow!AG$27:AG$31))*Assumptions!$C$59)+((SUMIF(IncState!$A$7:$BG$59,"*V2*",IncState!AG$7:AG$59)-SUMIF(CashFlow!$A$27:$BG$31,"*V2*",CashFlow!AG$27:AG$31))*Assumptions!$C$60)+((SUMIF(IncState!$A$7:$BG$59,"*V3*",IncState!AG$7:AG$59)-SUMIF(CashFlow!$A$27:$BG$31,"*V3*",CashFlow!AG$27:AG$31))*Assumptions!$C$61)+((SUMIF(IncState!$A$7:$BG$59,"*V4*",IncState!AG$7:AG$59)-SUMIF(CashFlow!$A$27:$BG$31,"*V4*",CashFlow!AG$27:AG$31))*Assumptions!$C$62)</f>
        <v>8420.25</v>
      </c>
      <c r="AI56" s="84">
        <f ca="1">((SUMIF(IncState!$A$7:$BG$59,"*V1*",IncState!AH$7:AH$59)-SUMIF(CashFlow!$A$27:$BG$31,"*V1*",CashFlow!AH$27:AH$31))*Assumptions!$C$59)+((SUMIF(IncState!$A$7:$BG$59,"*V2*",IncState!AH$7:AH$59)-SUMIF(CashFlow!$A$27:$BG$31,"*V2*",CashFlow!AH$27:AH$31))*Assumptions!$C$60)+((SUMIF(IncState!$A$7:$BG$59,"*V3*",IncState!AH$7:AH$59)-SUMIF(CashFlow!$A$27:$BG$31,"*V3*",CashFlow!AH$27:AH$31))*Assumptions!$C$61)+((SUMIF(IncState!$A$7:$BG$59,"*V4*",IncState!AH$7:AH$59)-SUMIF(CashFlow!$A$27:$BG$31,"*V4*",CashFlow!AH$27:AH$31))*Assumptions!$C$62)</f>
        <v>11352</v>
      </c>
      <c r="AJ56" s="84">
        <f ca="1">((SUMIF(IncState!$A$7:$BG$59,"*V1*",IncState!AI$7:AI$59)-SUMIF(CashFlow!$A$27:$BG$31,"*V1*",CashFlow!AI$27:AI$31))*Assumptions!$C$59)+((SUMIF(IncState!$A$7:$BG$59,"*V2*",IncState!AI$7:AI$59)-SUMIF(CashFlow!$A$27:$BG$31,"*V2*",CashFlow!AI$27:AI$31))*Assumptions!$C$60)+((SUMIF(IncState!$A$7:$BG$59,"*V3*",IncState!AI$7:AI$59)-SUMIF(CashFlow!$A$27:$BG$31,"*V3*",CashFlow!AI$27:AI$31))*Assumptions!$C$61)+((SUMIF(IncState!$A$7:$BG$59,"*V4*",IncState!AI$7:AI$59)-SUMIF(CashFlow!$A$27:$BG$31,"*V4*",CashFlow!AI$27:AI$31))*Assumptions!$C$62)</f>
        <v>7115.0999999999995</v>
      </c>
      <c r="AK56" s="84">
        <f ca="1">((SUMIF(IncState!$A$7:$BG$59,"*V1*",IncState!AJ$7:AJ$59)-SUMIF(CashFlow!$A$27:$BG$31,"*V1*",CashFlow!AJ$27:AJ$31))*Assumptions!$C$59)+((SUMIF(IncState!$A$7:$BG$59,"*V2*",IncState!AJ$7:AJ$59)-SUMIF(CashFlow!$A$27:$BG$31,"*V2*",CashFlow!AJ$27:AJ$31))*Assumptions!$C$60)+((SUMIF(IncState!$A$7:$BG$59,"*V3*",IncState!AJ$7:AJ$59)-SUMIF(CashFlow!$A$27:$BG$31,"*V3*",CashFlow!AJ$27:AJ$31))*Assumptions!$C$61)+((SUMIF(IncState!$A$7:$BG$59,"*V4*",IncState!AJ$7:AJ$59)-SUMIF(CashFlow!$A$27:$BG$31,"*V4*",CashFlow!AJ$27:AJ$31))*Assumptions!$C$62)</f>
        <v>10302</v>
      </c>
      <c r="AL56" s="84">
        <f ca="1">((SUMIF(IncState!$A$7:$BG$59,"*V1*",IncState!AK$7:AK$59)-SUMIF(CashFlow!$A$27:$BG$31,"*V1*",CashFlow!AK$27:AK$31))*Assumptions!$C$59)+((SUMIF(IncState!$A$7:$BG$59,"*V2*",IncState!AK$7:AK$59)-SUMIF(CashFlow!$A$27:$BG$31,"*V2*",CashFlow!AK$27:AK$31))*Assumptions!$C$60)+((SUMIF(IncState!$A$7:$BG$59,"*V3*",IncState!AK$7:AK$59)-SUMIF(CashFlow!$A$27:$BG$31,"*V3*",CashFlow!AK$27:AK$31))*Assumptions!$C$61)+((SUMIF(IncState!$A$7:$BG$59,"*V4*",IncState!AK$7:AK$59)-SUMIF(CashFlow!$A$27:$BG$31,"*V4*",CashFlow!AK$27:AK$31))*Assumptions!$C$62)</f>
        <v>8906.25</v>
      </c>
      <c r="AM56" s="84">
        <f ca="1">((SUMIF(IncState!$A$7:$BG$59,"*V1*",IncState!AL$7:AL$59)-SUMIF(CashFlow!$A$27:$BG$31,"*V1*",CashFlow!AL$27:AL$31))*Assumptions!$C$59)+((SUMIF(IncState!$A$7:$BG$59,"*V2*",IncState!AL$7:AL$59)-SUMIF(CashFlow!$A$27:$BG$31,"*V2*",CashFlow!AL$27:AL$31))*Assumptions!$C$60)+((SUMIF(IncState!$A$7:$BG$59,"*V3*",IncState!AL$7:AL$59)-SUMIF(CashFlow!$A$27:$BG$31,"*V3*",CashFlow!AL$27:AL$31))*Assumptions!$C$61)+((SUMIF(IncState!$A$7:$BG$59,"*V4*",IncState!AL$7:AL$59)-SUMIF(CashFlow!$A$27:$BG$31,"*V4*",CashFlow!AL$27:AL$31))*Assumptions!$C$62)</f>
        <v>10725</v>
      </c>
      <c r="AN56" s="84">
        <f ca="1">((SUMIF(IncState!$A$7:$BG$59,"*V1*",IncState!AM$7:AM$59)-SUMIF(CashFlow!$A$27:$BG$31,"*V1*",CashFlow!AM$27:AM$31))*Assumptions!$C$59)+((SUMIF(IncState!$A$7:$BG$59,"*V2*",IncState!AM$7:AM$59)-SUMIF(CashFlow!$A$27:$BG$31,"*V2*",CashFlow!AM$27:AM$31))*Assumptions!$C$60)+((SUMIF(IncState!$A$7:$BG$59,"*V3*",IncState!AM$7:AM$59)-SUMIF(CashFlow!$A$27:$BG$31,"*V3*",CashFlow!AM$27:AM$31))*Assumptions!$C$61)+((SUMIF(IncState!$A$7:$BG$59,"*V4*",IncState!AM$7:AM$59)-SUMIF(CashFlow!$A$27:$BG$31,"*V4*",CashFlow!AM$27:AM$31))*Assumptions!$C$62)</f>
        <v>7072.5</v>
      </c>
      <c r="AO56" s="84">
        <f ca="1">((SUMIF(IncState!$A$7:$BG$59,"*V1*",IncState!AN$7:AN$59)-SUMIF(CashFlow!$A$27:$BG$31,"*V1*",CashFlow!AN$27:AN$31))*Assumptions!$C$59)+((SUMIF(IncState!$A$7:$BG$59,"*V2*",IncState!AN$7:AN$59)-SUMIF(CashFlow!$A$27:$BG$31,"*V2*",CashFlow!AN$27:AN$31))*Assumptions!$C$60)+((SUMIF(IncState!$A$7:$BG$59,"*V3*",IncState!AN$7:AN$59)-SUMIF(CashFlow!$A$27:$BG$31,"*V3*",CashFlow!AN$27:AN$31))*Assumptions!$C$61)+((SUMIF(IncState!$A$7:$BG$59,"*V4*",IncState!AN$7:AN$59)-SUMIF(CashFlow!$A$27:$BG$31,"*V4*",CashFlow!AN$27:AN$31))*Assumptions!$C$62)</f>
        <v>7332</v>
      </c>
      <c r="AP56" s="84">
        <f ca="1">((SUMIF(IncState!$A$7:$BG$59,"*V1*",IncState!AO$7:AO$59)-SUMIF(CashFlow!$A$27:$BG$31,"*V1*",CashFlow!AO$27:AO$31))*Assumptions!$C$59)+((SUMIF(IncState!$A$7:$BG$59,"*V2*",IncState!AO$7:AO$59)-SUMIF(CashFlow!$A$27:$BG$31,"*V2*",CashFlow!AO$27:AO$31))*Assumptions!$C$60)+((SUMIF(IncState!$A$7:$BG$59,"*V3*",IncState!AO$7:AO$59)-SUMIF(CashFlow!$A$27:$BG$31,"*V3*",CashFlow!AO$27:AO$31))*Assumptions!$C$61)+((SUMIF(IncState!$A$7:$BG$59,"*V4*",IncState!AO$7:AO$59)-SUMIF(CashFlow!$A$27:$BG$31,"*V4*",CashFlow!AO$27:AO$31))*Assumptions!$C$62)</f>
        <v>10730.25</v>
      </c>
      <c r="AQ56" s="84">
        <f ca="1">((SUMIF(IncState!$A$7:$BG$59,"*V1*",IncState!AP$7:AP$59)-SUMIF(CashFlow!$A$27:$BG$31,"*V1*",CashFlow!AP$27:AP$31))*Assumptions!$C$59)+((SUMIF(IncState!$A$7:$BG$59,"*V2*",IncState!AP$7:AP$59)-SUMIF(CashFlow!$A$27:$BG$31,"*V2*",CashFlow!AP$27:AP$31))*Assumptions!$C$60)+((SUMIF(IncState!$A$7:$BG$59,"*V3*",IncState!AP$7:AP$59)-SUMIF(CashFlow!$A$27:$BG$31,"*V3*",CashFlow!AP$27:AP$31))*Assumptions!$C$61)+((SUMIF(IncState!$A$7:$BG$59,"*V4*",IncState!AP$7:AP$59)-SUMIF(CashFlow!$A$27:$BG$31,"*V4*",CashFlow!AP$27:AP$31))*Assumptions!$C$62)</f>
        <v>6350.4</v>
      </c>
      <c r="AR56" s="84">
        <f ca="1">((SUMIF(IncState!$A$7:$BG$59,"*V1*",IncState!AQ$7:AQ$59)-SUMIF(CashFlow!$A$27:$BG$31,"*V1*",CashFlow!AQ$27:AQ$31))*Assumptions!$C$59)+((SUMIF(IncState!$A$7:$BG$59,"*V2*",IncState!AQ$7:AQ$59)-SUMIF(CashFlow!$A$27:$BG$31,"*V2*",CashFlow!AQ$27:AQ$31))*Assumptions!$C$60)+((SUMIF(IncState!$A$7:$BG$59,"*V3*",IncState!AQ$7:AQ$59)-SUMIF(CashFlow!$A$27:$BG$31,"*V3*",CashFlow!AQ$27:AQ$31))*Assumptions!$C$61)+((SUMIF(IncState!$A$7:$BG$59,"*V4*",IncState!AQ$7:AQ$59)-SUMIF(CashFlow!$A$27:$BG$31,"*V4*",CashFlow!AQ$27:AQ$31))*Assumptions!$C$62)</f>
        <v>8721.6</v>
      </c>
      <c r="AS56" s="84">
        <f ca="1">((SUMIF(IncState!$A$7:$BG$59,"*V1*",IncState!AR$7:AR$59)-SUMIF(CashFlow!$A$27:$BG$31,"*V1*",CashFlow!AR$27:AR$31))*Assumptions!$C$59)+((SUMIF(IncState!$A$7:$BG$59,"*V2*",IncState!AR$7:AR$59)-SUMIF(CashFlow!$A$27:$BG$31,"*V2*",CashFlow!AR$27:AR$31))*Assumptions!$C$60)+((SUMIF(IncState!$A$7:$BG$59,"*V3*",IncState!AR$7:AR$59)-SUMIF(CashFlow!$A$27:$BG$31,"*V3*",CashFlow!AR$27:AR$31))*Assumptions!$C$61)+((SUMIF(IncState!$A$7:$BG$59,"*V4*",IncState!AR$7:AR$59)-SUMIF(CashFlow!$A$27:$BG$31,"*V4*",CashFlow!AR$27:AR$31))*Assumptions!$C$62)</f>
        <v>9144.9</v>
      </c>
      <c r="AT56" s="84">
        <f ca="1">((SUMIF(IncState!$A$7:$BG$59,"*V1*",IncState!AS$7:AS$59)-SUMIF(CashFlow!$A$27:$BG$31,"*V1*",CashFlow!AS$27:AS$31))*Assumptions!$C$59)+((SUMIF(IncState!$A$7:$BG$59,"*V2*",IncState!AS$7:AS$59)-SUMIF(CashFlow!$A$27:$BG$31,"*V2*",CashFlow!AS$27:AS$31))*Assumptions!$C$60)+((SUMIF(IncState!$A$7:$BG$59,"*V3*",IncState!AS$7:AS$59)-SUMIF(CashFlow!$A$27:$BG$31,"*V3*",CashFlow!AS$27:AS$31))*Assumptions!$C$61)+((SUMIF(IncState!$A$7:$BG$59,"*V4*",IncState!AS$7:AS$59)-SUMIF(CashFlow!$A$27:$BG$31,"*V4*",CashFlow!AS$27:AS$31))*Assumptions!$C$62)</f>
        <v>5368.8</v>
      </c>
      <c r="AU56" s="84">
        <f ca="1">((SUMIF(IncState!$A$7:$BG$59,"*V1*",IncState!AT$7:AT$59)-SUMIF(CashFlow!$A$27:$BG$31,"*V1*",CashFlow!AT$27:AT$31))*Assumptions!$C$59)+((SUMIF(IncState!$A$7:$BG$59,"*V2*",IncState!AT$7:AT$59)-SUMIF(CashFlow!$A$27:$BG$31,"*V2*",CashFlow!AT$27:AT$31))*Assumptions!$C$60)+((SUMIF(IncState!$A$7:$BG$59,"*V3*",IncState!AT$7:AT$59)-SUMIF(CashFlow!$A$27:$BG$31,"*V3*",CashFlow!AT$27:AT$31))*Assumptions!$C$61)+((SUMIF(IncState!$A$7:$BG$59,"*V4*",IncState!AT$7:AT$59)-SUMIF(CashFlow!$A$27:$BG$31,"*V4*",CashFlow!AT$27:AT$31))*Assumptions!$C$62)</f>
        <v>5433.69</v>
      </c>
      <c r="AV56" s="84">
        <f ca="1">((SUMIF(IncState!$A$7:$BG$59,"*V1*",IncState!AU$7:AU$59)-SUMIF(CashFlow!$A$27:$BG$31,"*V1*",CashFlow!AU$27:AU$31))*Assumptions!$C$59)+((SUMIF(IncState!$A$7:$BG$59,"*V2*",IncState!AU$7:AU$59)-SUMIF(CashFlow!$A$27:$BG$31,"*V2*",CashFlow!AU$27:AU$31))*Assumptions!$C$60)+((SUMIF(IncState!$A$7:$BG$59,"*V3*",IncState!AU$7:AU$59)-SUMIF(CashFlow!$A$27:$BG$31,"*V3*",CashFlow!AU$27:AU$31))*Assumptions!$C$61)+((SUMIF(IncState!$A$7:$BG$59,"*V4*",IncState!AU$7:AU$59)-SUMIF(CashFlow!$A$27:$BG$31,"*V4*",CashFlow!AU$27:AU$31))*Assumptions!$C$62)</f>
        <v>7283.04</v>
      </c>
      <c r="AW56" s="84">
        <f ca="1">((SUMIF(IncState!$A$7:$BG$59,"*V1*",IncState!AV$7:AV$59)-SUMIF(CashFlow!$A$27:$BG$31,"*V1*",CashFlow!AV$27:AV$31))*Assumptions!$C$59)+((SUMIF(IncState!$A$7:$BG$59,"*V2*",IncState!AV$7:AV$59)-SUMIF(CashFlow!$A$27:$BG$31,"*V2*",CashFlow!AV$27:AV$31))*Assumptions!$C$60)+((SUMIF(IncState!$A$7:$BG$59,"*V3*",IncState!AV$7:AV$59)-SUMIF(CashFlow!$A$27:$BG$31,"*V3*",CashFlow!AV$27:AV$31))*Assumptions!$C$61)+((SUMIF(IncState!$A$7:$BG$59,"*V4*",IncState!AV$7:AV$59)-SUMIF(CashFlow!$A$27:$BG$31,"*V4*",CashFlow!AV$27:AV$31))*Assumptions!$C$62)</f>
        <v>5056.5</v>
      </c>
      <c r="AX56" s="84">
        <f ca="1">((SUMIF(IncState!$A$7:$BG$59,"*V1*",IncState!AW$7:AW$59)-SUMIF(CashFlow!$A$27:$BG$31,"*V1*",CashFlow!AW$27:AW$31))*Assumptions!$C$59)+((SUMIF(IncState!$A$7:$BG$59,"*V2*",IncState!AW$7:AW$59)-SUMIF(CashFlow!$A$27:$BG$31,"*V2*",CashFlow!AW$27:AW$31))*Assumptions!$C$60)+((SUMIF(IncState!$A$7:$BG$59,"*V3*",IncState!AW$7:AW$59)-SUMIF(CashFlow!$A$27:$BG$31,"*V3*",CashFlow!AW$27:AW$31))*Assumptions!$C$61)+((SUMIF(IncState!$A$7:$BG$59,"*V4*",IncState!AW$7:AW$59)-SUMIF(CashFlow!$A$27:$BG$31,"*V4*",CashFlow!AW$27:AW$31))*Assumptions!$C$62)</f>
        <v>7364.6399999999994</v>
      </c>
      <c r="AY56" s="84">
        <f ca="1">((SUMIF(IncState!$A$7:$BG$59,"*V1*",IncState!AX$7:AX$59)-SUMIF(CashFlow!$A$27:$BG$31,"*V1*",CashFlow!AX$27:AX$31))*Assumptions!$C$59)+((SUMIF(IncState!$A$7:$BG$59,"*V2*",IncState!AX$7:AX$59)-SUMIF(CashFlow!$A$27:$BG$31,"*V2*",CashFlow!AX$27:AX$31))*Assumptions!$C$60)+((SUMIF(IncState!$A$7:$BG$59,"*V3*",IncState!AX$7:AX$59)-SUMIF(CashFlow!$A$27:$BG$31,"*V3*",CashFlow!AX$27:AX$31))*Assumptions!$C$61)+((SUMIF(IncState!$A$7:$BG$59,"*V4*",IncState!AX$7:AX$59)-SUMIF(CashFlow!$A$27:$BG$31,"*V4*",CashFlow!AX$27:AX$31))*Assumptions!$C$62)</f>
        <v>9680.25</v>
      </c>
      <c r="AZ56" s="84">
        <f ca="1">((SUMIF(IncState!$A$7:$BG$59,"*V1*",IncState!AY$7:AY$59)-SUMIF(CashFlow!$A$27:$BG$31,"*V1*",CashFlow!AY$27:AY$31))*Assumptions!$C$59)+((SUMIF(IncState!$A$7:$BG$59,"*V2*",IncState!AY$7:AY$59)-SUMIF(CashFlow!$A$27:$BG$31,"*V2*",CashFlow!AY$27:AY$31))*Assumptions!$C$60)+((SUMIF(IncState!$A$7:$BG$59,"*V3*",IncState!AY$7:AY$59)-SUMIF(CashFlow!$A$27:$BG$31,"*V3*",CashFlow!AY$27:AY$31))*Assumptions!$C$61)+((SUMIF(IncState!$A$7:$BG$59,"*V4*",IncState!AY$7:AY$59)-SUMIF(CashFlow!$A$27:$BG$31,"*V4*",CashFlow!AY$27:AY$31))*Assumptions!$C$62)</f>
        <v>10284</v>
      </c>
      <c r="BA56" s="84">
        <f ca="1">((SUMIF(IncState!$A$7:$BG$59,"*V1*",IncState!AZ$7:AZ$59)-SUMIF(CashFlow!$A$27:$BG$31,"*V1*",CashFlow!AZ$27:AZ$31))*Assumptions!$C$59)+((SUMIF(IncState!$A$7:$BG$59,"*V2*",IncState!AZ$7:AZ$59)-SUMIF(CashFlow!$A$27:$BG$31,"*V2*",CashFlow!AZ$27:AZ$31))*Assumptions!$C$60)+((SUMIF(IncState!$A$7:$BG$59,"*V3*",IncState!AZ$7:AZ$59)-SUMIF(CashFlow!$A$27:$BG$31,"*V3*",CashFlow!AZ$27:AZ$31))*Assumptions!$C$61)+((SUMIF(IncState!$A$7:$BG$59,"*V4*",IncState!AZ$7:AZ$59)-SUMIF(CashFlow!$A$27:$BG$31,"*V4*",CashFlow!AZ$27:AZ$31))*Assumptions!$C$62)</f>
        <v>8053.5</v>
      </c>
      <c r="BB56" s="84">
        <f ca="1">((SUMIF(IncState!$A$7:$BG$59,"*V1*",IncState!BA$7:BA$59)-SUMIF(CashFlow!$A$27:$BG$31,"*V1*",CashFlow!BA$27:BA$31))*Assumptions!$C$59)+((SUMIF(IncState!$A$7:$BG$59,"*V2*",IncState!BA$7:BA$59)-SUMIF(CashFlow!$A$27:$BG$31,"*V2*",CashFlow!BA$27:BA$31))*Assumptions!$C$60)+((SUMIF(IncState!$A$7:$BG$59,"*V3*",IncState!BA$7:BA$59)-SUMIF(CashFlow!$A$27:$BG$31,"*V3*",CashFlow!BA$27:BA$31))*Assumptions!$C$61)+((SUMIF(IncState!$A$7:$BG$59,"*V4*",IncState!BA$7:BA$59)-SUMIF(CashFlow!$A$27:$BG$31,"*V4*",CashFlow!BA$27:BA$31))*Assumptions!$C$62)</f>
        <v>9949.1999999999989</v>
      </c>
      <c r="BC56" s="84">
        <f ca="1">((SUMIF(IncState!$A$7:$BG$59,"*V1*",IncState!BB$7:BB$59)-SUMIF(CashFlow!$A$27:$BG$31,"*V1*",CashFlow!BB$27:BB$31))*Assumptions!$C$59)+((SUMIF(IncState!$A$7:$BG$59,"*V2*",IncState!BB$7:BB$59)-SUMIF(CashFlow!$A$27:$BG$31,"*V2*",CashFlow!BB$27:BB$31))*Assumptions!$C$60)+((SUMIF(IncState!$A$7:$BG$59,"*V3*",IncState!BB$7:BB$59)-SUMIF(CashFlow!$A$27:$BG$31,"*V3*",CashFlow!BB$27:BB$31))*Assumptions!$C$61)+((SUMIF(IncState!$A$7:$BG$59,"*V4*",IncState!BB$7:BB$59)-SUMIF(CashFlow!$A$27:$BG$31,"*V4*",CashFlow!BB$27:BB$31))*Assumptions!$C$62)</f>
        <v>11399.1</v>
      </c>
      <c r="BD56" s="108"/>
      <c r="BE56" s="108"/>
      <c r="BF56" s="108"/>
      <c r="BG56" s="108"/>
      <c r="BH56" s="108"/>
    </row>
    <row r="57" spans="1:60" s="122" customFormat="1" ht="16.149999999999999" customHeight="1" x14ac:dyDescent="0.25">
      <c r="A57" s="185"/>
      <c r="B57" s="122" t="s">
        <v>258</v>
      </c>
      <c r="C57" s="123">
        <f ca="1">OFFSET(Pay!$D$2,MATCH(C$4,Pay!$D$3:$D$18,1),0,1,1)</f>
        <v>44221</v>
      </c>
      <c r="D57" s="123">
        <f ca="1">OFFSET(Pay!$D$2,MATCH(D$4,Pay!$D$3:$D$18,1),0,1,1)</f>
        <v>44221</v>
      </c>
      <c r="E57" s="123">
        <f ca="1">OFFSET(Pay!$D$2,MATCH(E$4,Pay!$D$3:$D$18,1),0,1,1)</f>
        <v>44221</v>
      </c>
      <c r="F57" s="123">
        <f ca="1">OFFSET(Pay!$D$2,MATCH(F$4,Pay!$D$3:$D$18,1),0,1,1)</f>
        <v>44221</v>
      </c>
      <c r="G57" s="123">
        <f ca="1">OFFSET(Pay!$D$2,MATCH(G$4,Pay!$D$3:$D$18,1),0,1,1)</f>
        <v>44280</v>
      </c>
      <c r="H57" s="123">
        <f ca="1">OFFSET(Pay!$D$2,MATCH(H$4,Pay!$D$3:$D$18,1),0,1,1)</f>
        <v>44280</v>
      </c>
      <c r="I57" s="123">
        <f ca="1">OFFSET(Pay!$D$2,MATCH(I$4,Pay!$D$3:$D$18,1),0,1,1)</f>
        <v>44280</v>
      </c>
      <c r="J57" s="123">
        <f ca="1">OFFSET(Pay!$D$2,MATCH(J$4,Pay!$D$3:$D$18,1),0,1,1)</f>
        <v>44280</v>
      </c>
      <c r="K57" s="123">
        <f ca="1">OFFSET(Pay!$D$2,MATCH(K$4,Pay!$D$3:$D$18,1),0,1,1)</f>
        <v>44280</v>
      </c>
      <c r="L57" s="123">
        <f ca="1">OFFSET(Pay!$D$2,MATCH(L$4,Pay!$D$3:$D$18,1),0,1,1)</f>
        <v>44280</v>
      </c>
      <c r="M57" s="123">
        <f ca="1">OFFSET(Pay!$D$2,MATCH(M$4,Pay!$D$3:$D$18,1),0,1,1)</f>
        <v>44280</v>
      </c>
      <c r="N57" s="123">
        <f ca="1">OFFSET(Pay!$D$2,MATCH(N$4,Pay!$D$3:$D$18,1),0,1,1)</f>
        <v>44280</v>
      </c>
      <c r="O57" s="123">
        <f ca="1">OFFSET(Pay!$D$2,MATCH(O$4,Pay!$D$3:$D$18,1),0,1,1)</f>
        <v>44280</v>
      </c>
      <c r="P57" s="123">
        <f ca="1">OFFSET(Pay!$D$2,MATCH(P$4,Pay!$D$3:$D$18,1),0,1,1)</f>
        <v>44341</v>
      </c>
      <c r="Q57" s="123">
        <f ca="1">OFFSET(Pay!$D$2,MATCH(Q$4,Pay!$D$3:$D$18,1),0,1,1)</f>
        <v>44341</v>
      </c>
      <c r="R57" s="123">
        <f ca="1">OFFSET(Pay!$D$2,MATCH(R$4,Pay!$D$3:$D$18,1),0,1,1)</f>
        <v>44341</v>
      </c>
      <c r="S57" s="123">
        <f ca="1">OFFSET(Pay!$D$2,MATCH(S$4,Pay!$D$3:$D$18,1),0,1,1)</f>
        <v>44341</v>
      </c>
      <c r="T57" s="123">
        <f ca="1">OFFSET(Pay!$D$2,MATCH(T$4,Pay!$D$3:$D$18,1),0,1,1)</f>
        <v>44341</v>
      </c>
      <c r="U57" s="123">
        <f ca="1">OFFSET(Pay!$D$2,MATCH(U$4,Pay!$D$3:$D$18,1),0,1,1)</f>
        <v>44341</v>
      </c>
      <c r="V57" s="123">
        <f ca="1">OFFSET(Pay!$D$2,MATCH(V$4,Pay!$D$3:$D$18,1),0,1,1)</f>
        <v>44341</v>
      </c>
      <c r="W57" s="123">
        <f ca="1">OFFSET(Pay!$D$2,MATCH(W$4,Pay!$D$3:$D$18,1),0,1,1)</f>
        <v>44341</v>
      </c>
      <c r="X57" s="123">
        <f ca="1">OFFSET(Pay!$D$2,MATCH(X$4,Pay!$D$3:$D$18,1),0,1,1)</f>
        <v>44402</v>
      </c>
      <c r="Y57" s="123">
        <f ca="1">OFFSET(Pay!$D$2,MATCH(Y$4,Pay!$D$3:$D$18,1),0,1,1)</f>
        <v>44402</v>
      </c>
      <c r="Z57" s="123">
        <f ca="1">OFFSET(Pay!$D$2,MATCH(Z$4,Pay!$D$3:$D$18,1),0,1,1)</f>
        <v>44402</v>
      </c>
      <c r="AA57" s="123">
        <f ca="1">OFFSET(Pay!$D$2,MATCH(AA$4,Pay!$D$3:$D$18,1),0,1,1)</f>
        <v>44402</v>
      </c>
      <c r="AB57" s="123">
        <f ca="1">OFFSET(Pay!$D$2,MATCH(AB$4,Pay!$D$3:$D$18,1),0,1,1)</f>
        <v>44402</v>
      </c>
      <c r="AC57" s="123">
        <f ca="1">OFFSET(Pay!$D$2,MATCH(AC$4,Pay!$D$3:$D$18,1),0,1,1)</f>
        <v>44402</v>
      </c>
      <c r="AD57" s="123">
        <f ca="1">OFFSET(Pay!$D$2,MATCH(AD$4,Pay!$D$3:$D$18,1),0,1,1)</f>
        <v>44402</v>
      </c>
      <c r="AE57" s="123">
        <f ca="1">OFFSET(Pay!$D$2,MATCH(AE$4,Pay!$D$3:$D$18,1),0,1,1)</f>
        <v>44402</v>
      </c>
      <c r="AF57" s="123">
        <f ca="1">OFFSET(Pay!$D$2,MATCH(AF$4,Pay!$D$3:$D$18,1),0,1,1)</f>
        <v>44402</v>
      </c>
      <c r="AG57" s="123">
        <f ca="1">OFFSET(Pay!$D$2,MATCH(AG$4,Pay!$D$3:$D$18,1),0,1,1)</f>
        <v>44464</v>
      </c>
      <c r="AH57" s="123">
        <f ca="1">OFFSET(Pay!$D$2,MATCH(AH$4,Pay!$D$3:$D$18,1),0,1,1)</f>
        <v>44464</v>
      </c>
      <c r="AI57" s="123">
        <f ca="1">OFFSET(Pay!$D$2,MATCH(AI$4,Pay!$D$3:$D$18,1),0,1,1)</f>
        <v>44464</v>
      </c>
      <c r="AJ57" s="123">
        <f ca="1">OFFSET(Pay!$D$2,MATCH(AJ$4,Pay!$D$3:$D$18,1),0,1,1)</f>
        <v>44464</v>
      </c>
      <c r="AK57" s="123">
        <f ca="1">OFFSET(Pay!$D$2,MATCH(AK$4,Pay!$D$3:$D$18,1),0,1,1)</f>
        <v>44464</v>
      </c>
      <c r="AL57" s="123">
        <f ca="1">OFFSET(Pay!$D$2,MATCH(AL$4,Pay!$D$3:$D$18,1),0,1,1)</f>
        <v>44464</v>
      </c>
      <c r="AM57" s="123">
        <f ca="1">OFFSET(Pay!$D$2,MATCH(AM$4,Pay!$D$3:$D$18,1),0,1,1)</f>
        <v>44464</v>
      </c>
      <c r="AN57" s="123">
        <f ca="1">OFFSET(Pay!$D$2,MATCH(AN$4,Pay!$D$3:$D$18,1),0,1,1)</f>
        <v>44464</v>
      </c>
      <c r="AO57" s="123">
        <f ca="1">OFFSET(Pay!$D$2,MATCH(AO$4,Pay!$D$3:$D$18,1),0,1,1)</f>
        <v>44464</v>
      </c>
      <c r="AP57" s="123">
        <f ca="1">OFFSET(Pay!$D$2,MATCH(AP$4,Pay!$D$3:$D$18,1),0,1,1)</f>
        <v>44525</v>
      </c>
      <c r="AQ57" s="123">
        <f ca="1">OFFSET(Pay!$D$2,MATCH(AQ$4,Pay!$D$3:$D$18,1),0,1,1)</f>
        <v>44525</v>
      </c>
      <c r="AR57" s="123">
        <f ca="1">OFFSET(Pay!$D$2,MATCH(AR$4,Pay!$D$3:$D$18,1),0,1,1)</f>
        <v>44525</v>
      </c>
      <c r="AS57" s="123">
        <f ca="1">OFFSET(Pay!$D$2,MATCH(AS$4,Pay!$D$3:$D$18,1),0,1,1)</f>
        <v>44525</v>
      </c>
      <c r="AT57" s="123">
        <f ca="1">OFFSET(Pay!$D$2,MATCH(AT$4,Pay!$D$3:$D$18,1),0,1,1)</f>
        <v>44525</v>
      </c>
      <c r="AU57" s="123">
        <f ca="1">OFFSET(Pay!$D$2,MATCH(AU$4,Pay!$D$3:$D$18,1),0,1,1)</f>
        <v>44525</v>
      </c>
      <c r="AV57" s="123">
        <f ca="1">OFFSET(Pay!$D$2,MATCH(AV$4,Pay!$D$3:$D$18,1),0,1,1)</f>
        <v>44525</v>
      </c>
      <c r="AW57" s="123">
        <f ca="1">OFFSET(Pay!$D$2,MATCH(AW$4,Pay!$D$3:$D$18,1),0,1,1)</f>
        <v>44525</v>
      </c>
      <c r="AX57" s="123">
        <f ca="1">OFFSET(Pay!$D$2,MATCH(AX$4,Pay!$D$3:$D$18,1),0,1,1)</f>
        <v>44525</v>
      </c>
      <c r="AY57" s="123">
        <f ca="1">OFFSET(Pay!$D$2,MATCH(AY$4,Pay!$D$3:$D$18,1),0,1,1)</f>
        <v>44586</v>
      </c>
      <c r="AZ57" s="123">
        <f ca="1">OFFSET(Pay!$D$2,MATCH(AZ$4,Pay!$D$3:$D$18,1),0,1,1)</f>
        <v>44586</v>
      </c>
      <c r="BA57" s="123">
        <f ca="1">OFFSET(Pay!$D$2,MATCH(BA$4,Pay!$D$3:$D$18,1),0,1,1)</f>
        <v>44586</v>
      </c>
      <c r="BB57" s="123">
        <f ca="1">OFFSET(Pay!$D$2,MATCH(BB$4,Pay!$D$3:$D$18,1),0,1,1)</f>
        <v>44586</v>
      </c>
      <c r="BC57" s="123">
        <f ca="1">OFFSET(Pay!$D$2,MATCH(BC$4,Pay!$D$3:$D$18,1),0,1,1)</f>
        <v>44586</v>
      </c>
      <c r="BD57" s="124"/>
      <c r="BE57" s="124"/>
      <c r="BF57" s="124"/>
      <c r="BG57" s="124"/>
      <c r="BH57" s="124"/>
    </row>
    <row r="58" spans="1:60" s="6" customFormat="1" ht="16.149999999999999" customHeight="1" x14ac:dyDescent="0.25">
      <c r="A58" s="183"/>
      <c r="B58" s="6" t="s">
        <v>205</v>
      </c>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120"/>
      <c r="AN58" s="120"/>
      <c r="AO58" s="120"/>
      <c r="AP58" s="120"/>
      <c r="AQ58" s="120"/>
      <c r="AR58" s="120"/>
      <c r="AS58" s="120"/>
      <c r="AT58" s="120"/>
      <c r="AU58" s="120"/>
      <c r="AV58" s="120"/>
      <c r="AW58" s="120"/>
      <c r="AX58" s="120"/>
      <c r="AY58" s="120"/>
      <c r="AZ58" s="120"/>
      <c r="BA58" s="120"/>
      <c r="BB58" s="120"/>
      <c r="BC58" s="120"/>
      <c r="BD58" s="125"/>
      <c r="BE58" s="125"/>
      <c r="BF58" s="125"/>
      <c r="BG58" s="125"/>
      <c r="BH58" s="125"/>
    </row>
    <row r="59" spans="1:60" s="19" customFormat="1" ht="16.149999999999999" customHeight="1" x14ac:dyDescent="0.25">
      <c r="A59" s="183"/>
      <c r="B59" s="6" t="s">
        <v>236</v>
      </c>
      <c r="C59" s="118" t="str">
        <f t="shared" ref="C59:AH59" ca="1" si="18">IF(AND(ISTEXT(B59),C62&lt;C$4-6),"No",IF(COUNTIFS(BSMonths,"&gt;="&amp;C$62,BSMonths,"&lt;="&amp;C$4)=1,"Yes","No"))</f>
        <v>Yes</v>
      </c>
      <c r="D59" s="118" t="str">
        <f t="shared" ca="1" si="18"/>
        <v>No</v>
      </c>
      <c r="E59" s="118" t="str">
        <f t="shared" ca="1" si="18"/>
        <v>No</v>
      </c>
      <c r="F59" s="118" t="str">
        <f t="shared" ca="1" si="18"/>
        <v>No</v>
      </c>
      <c r="G59" s="118" t="str">
        <f t="shared" ca="1" si="18"/>
        <v>No</v>
      </c>
      <c r="H59" s="118" t="str">
        <f t="shared" ca="1" si="18"/>
        <v>No</v>
      </c>
      <c r="I59" s="118" t="str">
        <f t="shared" ca="1" si="18"/>
        <v>No</v>
      </c>
      <c r="J59" s="118" t="str">
        <f t="shared" ca="1" si="18"/>
        <v>No</v>
      </c>
      <c r="K59" s="118" t="str">
        <f t="shared" ca="1" si="18"/>
        <v>No</v>
      </c>
      <c r="L59" s="118" t="str">
        <f t="shared" ca="1" si="18"/>
        <v>No</v>
      </c>
      <c r="M59" s="118" t="str">
        <f t="shared" ca="1" si="18"/>
        <v>No</v>
      </c>
      <c r="N59" s="118" t="str">
        <f t="shared" ca="1" si="18"/>
        <v>No</v>
      </c>
      <c r="O59" s="118" t="str">
        <f t="shared" ca="1" si="18"/>
        <v>No</v>
      </c>
      <c r="P59" s="118" t="str">
        <f t="shared" ca="1" si="18"/>
        <v>No</v>
      </c>
      <c r="Q59" s="118" t="str">
        <f t="shared" ca="1" si="18"/>
        <v>No</v>
      </c>
      <c r="R59" s="118" t="str">
        <f t="shared" ca="1" si="18"/>
        <v>No</v>
      </c>
      <c r="S59" s="118" t="str">
        <f t="shared" ca="1" si="18"/>
        <v>No</v>
      </c>
      <c r="T59" s="118" t="str">
        <f t="shared" ca="1" si="18"/>
        <v>No</v>
      </c>
      <c r="U59" s="118" t="str">
        <f t="shared" ca="1" si="18"/>
        <v>No</v>
      </c>
      <c r="V59" s="118" t="str">
        <f t="shared" ca="1" si="18"/>
        <v>No</v>
      </c>
      <c r="W59" s="118" t="str">
        <f t="shared" ca="1" si="18"/>
        <v>No</v>
      </c>
      <c r="X59" s="118" t="str">
        <f t="shared" ca="1" si="18"/>
        <v>No</v>
      </c>
      <c r="Y59" s="118" t="str">
        <f t="shared" ca="1" si="18"/>
        <v>No</v>
      </c>
      <c r="Z59" s="118" t="str">
        <f t="shared" ca="1" si="18"/>
        <v>No</v>
      </c>
      <c r="AA59" s="118" t="str">
        <f t="shared" ca="1" si="18"/>
        <v>No</v>
      </c>
      <c r="AB59" s="118" t="str">
        <f t="shared" ca="1" si="18"/>
        <v>No</v>
      </c>
      <c r="AC59" s="118" t="str">
        <f t="shared" ca="1" si="18"/>
        <v>Yes</v>
      </c>
      <c r="AD59" s="118" t="str">
        <f t="shared" ca="1" si="18"/>
        <v>No</v>
      </c>
      <c r="AE59" s="118" t="str">
        <f t="shared" ca="1" si="18"/>
        <v>No</v>
      </c>
      <c r="AF59" s="118" t="str">
        <f t="shared" ca="1" si="18"/>
        <v>No</v>
      </c>
      <c r="AG59" s="118" t="str">
        <f t="shared" ca="1" si="18"/>
        <v>No</v>
      </c>
      <c r="AH59" s="118" t="str">
        <f t="shared" ca="1" si="18"/>
        <v>No</v>
      </c>
      <c r="AI59" s="118" t="str">
        <f t="shared" ref="AI59:BC59" ca="1" si="19">IF(AND(ISTEXT(AH59),AI62&lt;AI$4-6),"No",IF(COUNTIFS(BSMonths,"&gt;="&amp;AI$62,BSMonths,"&lt;="&amp;AI$4)=1,"Yes","No"))</f>
        <v>No</v>
      </c>
      <c r="AJ59" s="118" t="str">
        <f t="shared" ca="1" si="19"/>
        <v>No</v>
      </c>
      <c r="AK59" s="118" t="str">
        <f t="shared" ca="1" si="19"/>
        <v>No</v>
      </c>
      <c r="AL59" s="118" t="str">
        <f t="shared" ca="1" si="19"/>
        <v>No</v>
      </c>
      <c r="AM59" s="118" t="str">
        <f t="shared" ca="1" si="19"/>
        <v>No</v>
      </c>
      <c r="AN59" s="118" t="str">
        <f t="shared" ca="1" si="19"/>
        <v>No</v>
      </c>
      <c r="AO59" s="118" t="str">
        <f t="shared" ca="1" si="19"/>
        <v>No</v>
      </c>
      <c r="AP59" s="118" t="str">
        <f t="shared" ca="1" si="19"/>
        <v>No</v>
      </c>
      <c r="AQ59" s="118" t="str">
        <f t="shared" ca="1" si="19"/>
        <v>No</v>
      </c>
      <c r="AR59" s="118" t="str">
        <f t="shared" ca="1" si="19"/>
        <v>No</v>
      </c>
      <c r="AS59" s="118" t="str">
        <f t="shared" ca="1" si="19"/>
        <v>No</v>
      </c>
      <c r="AT59" s="118" t="str">
        <f t="shared" ca="1" si="19"/>
        <v>No</v>
      </c>
      <c r="AU59" s="118" t="str">
        <f t="shared" ca="1" si="19"/>
        <v>No</v>
      </c>
      <c r="AV59" s="118" t="str">
        <f t="shared" ca="1" si="19"/>
        <v>No</v>
      </c>
      <c r="AW59" s="118" t="str">
        <f t="shared" ca="1" si="19"/>
        <v>No</v>
      </c>
      <c r="AX59" s="118" t="str">
        <f t="shared" ca="1" si="19"/>
        <v>No</v>
      </c>
      <c r="AY59" s="118" t="str">
        <f t="shared" ca="1" si="19"/>
        <v>No</v>
      </c>
      <c r="AZ59" s="118" t="str">
        <f t="shared" ca="1" si="19"/>
        <v>No</v>
      </c>
      <c r="BA59" s="118" t="str">
        <f t="shared" ca="1" si="19"/>
        <v>No</v>
      </c>
      <c r="BB59" s="118" t="str">
        <f t="shared" ca="1" si="19"/>
        <v>No</v>
      </c>
      <c r="BC59" s="118" t="str">
        <f t="shared" ca="1" si="19"/>
        <v>Yes</v>
      </c>
      <c r="BD59" s="119"/>
      <c r="BE59" s="119"/>
      <c r="BF59" s="119"/>
      <c r="BG59" s="119"/>
      <c r="BH59" s="119"/>
    </row>
    <row r="60" spans="1:60" s="19" customFormat="1" ht="16.149999999999999" customHeight="1" x14ac:dyDescent="0.25">
      <c r="A60" s="183"/>
      <c r="B60" s="6" t="s">
        <v>237</v>
      </c>
      <c r="C60" s="120">
        <f ca="1">IF(C59="Yes",1+IF(Assumptions!$C$72="Subsequent",ROUNDDOWN((C62-DATE(YEAR(C62),MONTH(C62),0))/7,0),0),IF(ISTEXT(B60),ROUNDUP((C$4-C62)/7,0)+IF(Assumptions!$C$72="Subsequent",ROUNDDOWN((C62-DATE(YEAR(C62),MONTH(C62),0))/7,0),0),B60+1))</f>
        <v>1</v>
      </c>
      <c r="D60" s="120">
        <f ca="1">IF(D59="Yes",1+IF(Assumptions!$C$72="Subsequent",ROUNDDOWN((D62-DATE(YEAR(D62),MONTH(D62),0))/7,0),0),IF(ISTEXT(C60),ROUNDUP((D$4-D62)/7,0)+IF(Assumptions!$C$72="Subsequent",ROUNDDOWN((D62-DATE(YEAR(D62),MONTH(D62),0))/7,0),0),C60+1))</f>
        <v>2</v>
      </c>
      <c r="E60" s="120">
        <f ca="1">IF(E59="Yes",1+IF(Assumptions!$C$72="Subsequent",ROUNDDOWN((E62-DATE(YEAR(E62),MONTH(E62),0))/7,0),0),IF(ISTEXT(D60),ROUNDUP((E$4-E62)/7,0)+IF(Assumptions!$C$72="Subsequent",ROUNDDOWN((E62-DATE(YEAR(E62),MONTH(E62),0))/7,0),0),D60+1))</f>
        <v>3</v>
      </c>
      <c r="F60" s="120">
        <f ca="1">IF(F59="Yes",1+IF(Assumptions!$C$72="Subsequent",ROUNDDOWN((F62-DATE(YEAR(F62),MONTH(F62),0))/7,0),0),IF(ISTEXT(E60),ROUNDUP((F$4-F62)/7,0)+IF(Assumptions!$C$72="Subsequent",ROUNDDOWN((F62-DATE(YEAR(F62),MONTH(F62),0))/7,0),0),E60+1))</f>
        <v>4</v>
      </c>
      <c r="G60" s="120">
        <f ca="1">IF(G59="Yes",1+IF(Assumptions!$C$72="Subsequent",ROUNDDOWN((G62-DATE(YEAR(G62),MONTH(G62),0))/7,0),0),IF(ISTEXT(F60),ROUNDUP((G$4-G62)/7,0)+IF(Assumptions!$C$72="Subsequent",ROUNDDOWN((G62-DATE(YEAR(G62),MONTH(G62),0))/7,0),0),F60+1))</f>
        <v>5</v>
      </c>
      <c r="H60" s="120">
        <f ca="1">IF(H59="Yes",1+IF(Assumptions!$C$72="Subsequent",ROUNDDOWN((H62-DATE(YEAR(H62),MONTH(H62),0))/7,0),0),IF(ISTEXT(G60),ROUNDUP((H$4-H62)/7,0)+IF(Assumptions!$C$72="Subsequent",ROUNDDOWN((H62-DATE(YEAR(H62),MONTH(H62),0))/7,0),0),G60+1))</f>
        <v>6</v>
      </c>
      <c r="I60" s="120">
        <f ca="1">IF(I59="Yes",1+IF(Assumptions!$C$72="Subsequent",ROUNDDOWN((I62-DATE(YEAR(I62),MONTH(I62),0))/7,0),0),IF(ISTEXT(H60),ROUNDUP((I$4-I62)/7,0)+IF(Assumptions!$C$72="Subsequent",ROUNDDOWN((I62-DATE(YEAR(I62),MONTH(I62),0))/7,0),0),H60+1))</f>
        <v>7</v>
      </c>
      <c r="J60" s="120">
        <f ca="1">IF(J59="Yes",1+IF(Assumptions!$C$72="Subsequent",ROUNDDOWN((J62-DATE(YEAR(J62),MONTH(J62),0))/7,0),0),IF(ISTEXT(I60),ROUNDUP((J$4-J62)/7,0)+IF(Assumptions!$C$72="Subsequent",ROUNDDOWN((J62-DATE(YEAR(J62),MONTH(J62),0))/7,0),0),I60+1))</f>
        <v>8</v>
      </c>
      <c r="K60" s="120">
        <f ca="1">IF(K59="Yes",1+IF(Assumptions!$C$72="Subsequent",ROUNDDOWN((K62-DATE(YEAR(K62),MONTH(K62),0))/7,0),0),IF(ISTEXT(J60),ROUNDUP((K$4-K62)/7,0)+IF(Assumptions!$C$72="Subsequent",ROUNDDOWN((K62-DATE(YEAR(K62),MONTH(K62),0))/7,0),0),J60+1))</f>
        <v>9</v>
      </c>
      <c r="L60" s="120">
        <f ca="1">IF(L59="Yes",1+IF(Assumptions!$C$72="Subsequent",ROUNDDOWN((L62-DATE(YEAR(L62),MONTH(L62),0))/7,0),0),IF(ISTEXT(K60),ROUNDUP((L$4-L62)/7,0)+IF(Assumptions!$C$72="Subsequent",ROUNDDOWN((L62-DATE(YEAR(L62),MONTH(L62),0))/7,0),0),K60+1))</f>
        <v>10</v>
      </c>
      <c r="M60" s="120">
        <f ca="1">IF(M59="Yes",1+IF(Assumptions!$C$72="Subsequent",ROUNDDOWN((M62-DATE(YEAR(M62),MONTH(M62),0))/7,0),0),IF(ISTEXT(L60),ROUNDUP((M$4-M62)/7,0)+IF(Assumptions!$C$72="Subsequent",ROUNDDOWN((M62-DATE(YEAR(M62),MONTH(M62),0))/7,0),0),L60+1))</f>
        <v>11</v>
      </c>
      <c r="N60" s="120">
        <f ca="1">IF(N59="Yes",1+IF(Assumptions!$C$72="Subsequent",ROUNDDOWN((N62-DATE(YEAR(N62),MONTH(N62),0))/7,0),0),IF(ISTEXT(M60),ROUNDUP((N$4-N62)/7,0)+IF(Assumptions!$C$72="Subsequent",ROUNDDOWN((N62-DATE(YEAR(N62),MONTH(N62),0))/7,0),0),M60+1))</f>
        <v>12</v>
      </c>
      <c r="O60" s="120">
        <f ca="1">IF(O59="Yes",1+IF(Assumptions!$C$72="Subsequent",ROUNDDOWN((O62-DATE(YEAR(O62),MONTH(O62),0))/7,0),0),IF(ISTEXT(N60),ROUNDUP((O$4-O62)/7,0)+IF(Assumptions!$C$72="Subsequent",ROUNDDOWN((O62-DATE(YEAR(O62),MONTH(O62),0))/7,0),0),N60+1))</f>
        <v>13</v>
      </c>
      <c r="P60" s="120">
        <f ca="1">IF(P59="Yes",1+IF(Assumptions!$C$72="Subsequent",ROUNDDOWN((P62-DATE(YEAR(P62),MONTH(P62),0))/7,0),0),IF(ISTEXT(O60),ROUNDUP((P$4-P62)/7,0)+IF(Assumptions!$C$72="Subsequent",ROUNDDOWN((P62-DATE(YEAR(P62),MONTH(P62),0))/7,0),0),O60+1))</f>
        <v>14</v>
      </c>
      <c r="Q60" s="120">
        <f ca="1">IF(Q59="Yes",1+IF(Assumptions!$C$72="Subsequent",ROUNDDOWN((Q62-DATE(YEAR(Q62),MONTH(Q62),0))/7,0),0),IF(ISTEXT(P60),ROUNDUP((Q$4-Q62)/7,0)+IF(Assumptions!$C$72="Subsequent",ROUNDDOWN((Q62-DATE(YEAR(Q62),MONTH(Q62),0))/7,0),0),P60+1))</f>
        <v>15</v>
      </c>
      <c r="R60" s="120">
        <f ca="1">IF(R59="Yes",1+IF(Assumptions!$C$72="Subsequent",ROUNDDOWN((R62-DATE(YEAR(R62),MONTH(R62),0))/7,0),0),IF(ISTEXT(Q60),ROUNDUP((R$4-R62)/7,0)+IF(Assumptions!$C$72="Subsequent",ROUNDDOWN((R62-DATE(YEAR(R62),MONTH(R62),0))/7,0),0),Q60+1))</f>
        <v>16</v>
      </c>
      <c r="S60" s="120">
        <f ca="1">IF(S59="Yes",1+IF(Assumptions!$C$72="Subsequent",ROUNDDOWN((S62-DATE(YEAR(S62),MONTH(S62),0))/7,0),0),IF(ISTEXT(R60),ROUNDUP((S$4-S62)/7,0)+IF(Assumptions!$C$72="Subsequent",ROUNDDOWN((S62-DATE(YEAR(S62),MONTH(S62),0))/7,0),0),R60+1))</f>
        <v>17</v>
      </c>
      <c r="T60" s="120">
        <f ca="1">IF(T59="Yes",1+IF(Assumptions!$C$72="Subsequent",ROUNDDOWN((T62-DATE(YEAR(T62),MONTH(T62),0))/7,0),0),IF(ISTEXT(S60),ROUNDUP((T$4-T62)/7,0)+IF(Assumptions!$C$72="Subsequent",ROUNDDOWN((T62-DATE(YEAR(T62),MONTH(T62),0))/7,0),0),S60+1))</f>
        <v>18</v>
      </c>
      <c r="U60" s="120">
        <f ca="1">IF(U59="Yes",1+IF(Assumptions!$C$72="Subsequent",ROUNDDOWN((U62-DATE(YEAR(U62),MONTH(U62),0))/7,0),0),IF(ISTEXT(T60),ROUNDUP((U$4-U62)/7,0)+IF(Assumptions!$C$72="Subsequent",ROUNDDOWN((U62-DATE(YEAR(U62),MONTH(U62),0))/7,0),0),T60+1))</f>
        <v>19</v>
      </c>
      <c r="V60" s="120">
        <f ca="1">IF(V59="Yes",1+IF(Assumptions!$C$72="Subsequent",ROUNDDOWN((V62-DATE(YEAR(V62),MONTH(V62),0))/7,0),0),IF(ISTEXT(U60),ROUNDUP((V$4-V62)/7,0)+IF(Assumptions!$C$72="Subsequent",ROUNDDOWN((V62-DATE(YEAR(V62),MONTH(V62),0))/7,0),0),U60+1))</f>
        <v>20</v>
      </c>
      <c r="W60" s="120">
        <f ca="1">IF(W59="Yes",1+IF(Assumptions!$C$72="Subsequent",ROUNDDOWN((W62-DATE(YEAR(W62),MONTH(W62),0))/7,0),0),IF(ISTEXT(V60),ROUNDUP((W$4-W62)/7,0)+IF(Assumptions!$C$72="Subsequent",ROUNDDOWN((W62-DATE(YEAR(W62),MONTH(W62),0))/7,0),0),V60+1))</f>
        <v>21</v>
      </c>
      <c r="X60" s="120">
        <f ca="1">IF(X59="Yes",1+IF(Assumptions!$C$72="Subsequent",ROUNDDOWN((X62-DATE(YEAR(X62),MONTH(X62),0))/7,0),0),IF(ISTEXT(W60),ROUNDUP((X$4-X62)/7,0)+IF(Assumptions!$C$72="Subsequent",ROUNDDOWN((X62-DATE(YEAR(X62),MONTH(X62),0))/7,0),0),W60+1))</f>
        <v>22</v>
      </c>
      <c r="Y60" s="120">
        <f ca="1">IF(Y59="Yes",1+IF(Assumptions!$C$72="Subsequent",ROUNDDOWN((Y62-DATE(YEAR(Y62),MONTH(Y62),0))/7,0),0),IF(ISTEXT(X60),ROUNDUP((Y$4-Y62)/7,0)+IF(Assumptions!$C$72="Subsequent",ROUNDDOWN((Y62-DATE(YEAR(Y62),MONTH(Y62),0))/7,0),0),X60+1))</f>
        <v>23</v>
      </c>
      <c r="Z60" s="120">
        <f ca="1">IF(Z59="Yes",1+IF(Assumptions!$C$72="Subsequent",ROUNDDOWN((Z62-DATE(YEAR(Z62),MONTH(Z62),0))/7,0),0),IF(ISTEXT(Y60),ROUNDUP((Z$4-Z62)/7,0)+IF(Assumptions!$C$72="Subsequent",ROUNDDOWN((Z62-DATE(YEAR(Z62),MONTH(Z62),0))/7,0),0),Y60+1))</f>
        <v>24</v>
      </c>
      <c r="AA60" s="120">
        <f ca="1">IF(AA59="Yes",1+IF(Assumptions!$C$72="Subsequent",ROUNDDOWN((AA62-DATE(YEAR(AA62),MONTH(AA62),0))/7,0),0),IF(ISTEXT(Z60),ROUNDUP((AA$4-AA62)/7,0)+IF(Assumptions!$C$72="Subsequent",ROUNDDOWN((AA62-DATE(YEAR(AA62),MONTH(AA62),0))/7,0),0),Z60+1))</f>
        <v>25</v>
      </c>
      <c r="AB60" s="120">
        <f ca="1">IF(AB59="Yes",1+IF(Assumptions!$C$72="Subsequent",ROUNDDOWN((AB62-DATE(YEAR(AB62),MONTH(AB62),0))/7,0),0),IF(ISTEXT(AA60),ROUNDUP((AB$4-AB62)/7,0)+IF(Assumptions!$C$72="Subsequent",ROUNDDOWN((AB62-DATE(YEAR(AB62),MONTH(AB62),0))/7,0),0),AA60+1))</f>
        <v>26</v>
      </c>
      <c r="AC60" s="120">
        <f ca="1">IF(AC59="Yes",1+IF(Assumptions!$C$72="Subsequent",ROUNDDOWN((AC62-DATE(YEAR(AC62),MONTH(AC62),0))/7,0),0),IF(ISTEXT(AB60),ROUNDUP((AC$4-AC62)/7,0)+IF(Assumptions!$C$72="Subsequent",ROUNDDOWN((AC62-DATE(YEAR(AC62),MONTH(AC62),0))/7,0),0),AB60+1))</f>
        <v>1</v>
      </c>
      <c r="AD60" s="120">
        <f ca="1">IF(AD59="Yes",1+IF(Assumptions!$C$72="Subsequent",ROUNDDOWN((AD62-DATE(YEAR(AD62),MONTH(AD62),0))/7,0),0),IF(ISTEXT(AC60),ROUNDUP((AD$4-AD62)/7,0)+IF(Assumptions!$C$72="Subsequent",ROUNDDOWN((AD62-DATE(YEAR(AD62),MONTH(AD62),0))/7,0),0),AC60+1))</f>
        <v>2</v>
      </c>
      <c r="AE60" s="120">
        <f ca="1">IF(AE59="Yes",1+IF(Assumptions!$C$72="Subsequent",ROUNDDOWN((AE62-DATE(YEAR(AE62),MONTH(AE62),0))/7,0),0),IF(ISTEXT(AD60),ROUNDUP((AE$4-AE62)/7,0)+IF(Assumptions!$C$72="Subsequent",ROUNDDOWN((AE62-DATE(YEAR(AE62),MONTH(AE62),0))/7,0),0),AD60+1))</f>
        <v>3</v>
      </c>
      <c r="AF60" s="120">
        <f ca="1">IF(AF59="Yes",1+IF(Assumptions!$C$72="Subsequent",ROUNDDOWN((AF62-DATE(YEAR(AF62),MONTH(AF62),0))/7,0),0),IF(ISTEXT(AE60),ROUNDUP((AF$4-AF62)/7,0)+IF(Assumptions!$C$72="Subsequent",ROUNDDOWN((AF62-DATE(YEAR(AF62),MONTH(AF62),0))/7,0),0),AE60+1))</f>
        <v>4</v>
      </c>
      <c r="AG60" s="120">
        <f ca="1">IF(AG59="Yes",1+IF(Assumptions!$C$72="Subsequent",ROUNDDOWN((AG62-DATE(YEAR(AG62),MONTH(AG62),0))/7,0),0),IF(ISTEXT(AF60),ROUNDUP((AG$4-AG62)/7,0)+IF(Assumptions!$C$72="Subsequent",ROUNDDOWN((AG62-DATE(YEAR(AG62),MONTH(AG62),0))/7,0),0),AF60+1))</f>
        <v>5</v>
      </c>
      <c r="AH60" s="120">
        <f ca="1">IF(AH59="Yes",1+IF(Assumptions!$C$72="Subsequent",ROUNDDOWN((AH62-DATE(YEAR(AH62),MONTH(AH62),0))/7,0),0),IF(ISTEXT(AG60),ROUNDUP((AH$4-AH62)/7,0)+IF(Assumptions!$C$72="Subsequent",ROUNDDOWN((AH62-DATE(YEAR(AH62),MONTH(AH62),0))/7,0),0),AG60+1))</f>
        <v>6</v>
      </c>
      <c r="AI60" s="120">
        <f ca="1">IF(AI59="Yes",1+IF(Assumptions!$C$72="Subsequent",ROUNDDOWN((AI62-DATE(YEAR(AI62),MONTH(AI62),0))/7,0),0),IF(ISTEXT(AH60),ROUNDUP((AI$4-AI62)/7,0)+IF(Assumptions!$C$72="Subsequent",ROUNDDOWN((AI62-DATE(YEAR(AI62),MONTH(AI62),0))/7,0),0),AH60+1))</f>
        <v>7</v>
      </c>
      <c r="AJ60" s="120">
        <f ca="1">IF(AJ59="Yes",1+IF(Assumptions!$C$72="Subsequent",ROUNDDOWN((AJ62-DATE(YEAR(AJ62),MONTH(AJ62),0))/7,0),0),IF(ISTEXT(AI60),ROUNDUP((AJ$4-AJ62)/7,0)+IF(Assumptions!$C$72="Subsequent",ROUNDDOWN((AJ62-DATE(YEAR(AJ62),MONTH(AJ62),0))/7,0),0),AI60+1))</f>
        <v>8</v>
      </c>
      <c r="AK60" s="120">
        <f ca="1">IF(AK59="Yes",1+IF(Assumptions!$C$72="Subsequent",ROUNDDOWN((AK62-DATE(YEAR(AK62),MONTH(AK62),0))/7,0),0),IF(ISTEXT(AJ60),ROUNDUP((AK$4-AK62)/7,0)+IF(Assumptions!$C$72="Subsequent",ROUNDDOWN((AK62-DATE(YEAR(AK62),MONTH(AK62),0))/7,0),0),AJ60+1))</f>
        <v>9</v>
      </c>
      <c r="AL60" s="120">
        <f ca="1">IF(AL59="Yes",1+IF(Assumptions!$C$72="Subsequent",ROUNDDOWN((AL62-DATE(YEAR(AL62),MONTH(AL62),0))/7,0),0),IF(ISTEXT(AK60),ROUNDUP((AL$4-AL62)/7,0)+IF(Assumptions!$C$72="Subsequent",ROUNDDOWN((AL62-DATE(YEAR(AL62),MONTH(AL62),0))/7,0),0),AK60+1))</f>
        <v>10</v>
      </c>
      <c r="AM60" s="120">
        <f ca="1">IF(AM59="Yes",1+IF(Assumptions!$C$72="Subsequent",ROUNDDOWN((AM62-DATE(YEAR(AM62),MONTH(AM62),0))/7,0),0),IF(ISTEXT(AL60),ROUNDUP((AM$4-AM62)/7,0)+IF(Assumptions!$C$72="Subsequent",ROUNDDOWN((AM62-DATE(YEAR(AM62),MONTH(AM62),0))/7,0),0),AL60+1))</f>
        <v>11</v>
      </c>
      <c r="AN60" s="120">
        <f ca="1">IF(AN59="Yes",1+IF(Assumptions!$C$72="Subsequent",ROUNDDOWN((AN62-DATE(YEAR(AN62),MONTH(AN62),0))/7,0),0),IF(ISTEXT(AM60),ROUNDUP((AN$4-AN62)/7,0)+IF(Assumptions!$C$72="Subsequent",ROUNDDOWN((AN62-DATE(YEAR(AN62),MONTH(AN62),0))/7,0),0),AM60+1))</f>
        <v>12</v>
      </c>
      <c r="AO60" s="120">
        <f ca="1">IF(AO59="Yes",1+IF(Assumptions!$C$72="Subsequent",ROUNDDOWN((AO62-DATE(YEAR(AO62),MONTH(AO62),0))/7,0),0),IF(ISTEXT(AN60),ROUNDUP((AO$4-AO62)/7,0)+IF(Assumptions!$C$72="Subsequent",ROUNDDOWN((AO62-DATE(YEAR(AO62),MONTH(AO62),0))/7,0),0),AN60+1))</f>
        <v>13</v>
      </c>
      <c r="AP60" s="120">
        <f ca="1">IF(AP59="Yes",1+IF(Assumptions!$C$72="Subsequent",ROUNDDOWN((AP62-DATE(YEAR(AP62),MONTH(AP62),0))/7,0),0),IF(ISTEXT(AO60),ROUNDUP((AP$4-AP62)/7,0)+IF(Assumptions!$C$72="Subsequent",ROUNDDOWN((AP62-DATE(YEAR(AP62),MONTH(AP62),0))/7,0),0),AO60+1))</f>
        <v>14</v>
      </c>
      <c r="AQ60" s="120">
        <f ca="1">IF(AQ59="Yes",1+IF(Assumptions!$C$72="Subsequent",ROUNDDOWN((AQ62-DATE(YEAR(AQ62),MONTH(AQ62),0))/7,0),0),IF(ISTEXT(AP60),ROUNDUP((AQ$4-AQ62)/7,0)+IF(Assumptions!$C$72="Subsequent",ROUNDDOWN((AQ62-DATE(YEAR(AQ62),MONTH(AQ62),0))/7,0),0),AP60+1))</f>
        <v>15</v>
      </c>
      <c r="AR60" s="120">
        <f ca="1">IF(AR59="Yes",1+IF(Assumptions!$C$72="Subsequent",ROUNDDOWN((AR62-DATE(YEAR(AR62),MONTH(AR62),0))/7,0),0),IF(ISTEXT(AQ60),ROUNDUP((AR$4-AR62)/7,0)+IF(Assumptions!$C$72="Subsequent",ROUNDDOWN((AR62-DATE(YEAR(AR62),MONTH(AR62),0))/7,0),0),AQ60+1))</f>
        <v>16</v>
      </c>
      <c r="AS60" s="120">
        <f ca="1">IF(AS59="Yes",1+IF(Assumptions!$C$72="Subsequent",ROUNDDOWN((AS62-DATE(YEAR(AS62),MONTH(AS62),0))/7,0),0),IF(ISTEXT(AR60),ROUNDUP((AS$4-AS62)/7,0)+IF(Assumptions!$C$72="Subsequent",ROUNDDOWN((AS62-DATE(YEAR(AS62),MONTH(AS62),0))/7,0),0),AR60+1))</f>
        <v>17</v>
      </c>
      <c r="AT60" s="120">
        <f ca="1">IF(AT59="Yes",1+IF(Assumptions!$C$72="Subsequent",ROUNDDOWN((AT62-DATE(YEAR(AT62),MONTH(AT62),0))/7,0),0),IF(ISTEXT(AS60),ROUNDUP((AT$4-AT62)/7,0)+IF(Assumptions!$C$72="Subsequent",ROUNDDOWN((AT62-DATE(YEAR(AT62),MONTH(AT62),0))/7,0),0),AS60+1))</f>
        <v>18</v>
      </c>
      <c r="AU60" s="120">
        <f ca="1">IF(AU59="Yes",1+IF(Assumptions!$C$72="Subsequent",ROUNDDOWN((AU62-DATE(YEAR(AU62),MONTH(AU62),0))/7,0),0),IF(ISTEXT(AT60),ROUNDUP((AU$4-AU62)/7,0)+IF(Assumptions!$C$72="Subsequent",ROUNDDOWN((AU62-DATE(YEAR(AU62),MONTH(AU62),0))/7,0),0),AT60+1))</f>
        <v>19</v>
      </c>
      <c r="AV60" s="120">
        <f ca="1">IF(AV59="Yes",1+IF(Assumptions!$C$72="Subsequent",ROUNDDOWN((AV62-DATE(YEAR(AV62),MONTH(AV62),0))/7,0),0),IF(ISTEXT(AU60),ROUNDUP((AV$4-AV62)/7,0)+IF(Assumptions!$C$72="Subsequent",ROUNDDOWN((AV62-DATE(YEAR(AV62),MONTH(AV62),0))/7,0),0),AU60+1))</f>
        <v>20</v>
      </c>
      <c r="AW60" s="120">
        <f ca="1">IF(AW59="Yes",1+IF(Assumptions!$C$72="Subsequent",ROUNDDOWN((AW62-DATE(YEAR(AW62),MONTH(AW62),0))/7,0),0),IF(ISTEXT(AV60),ROUNDUP((AW$4-AW62)/7,0)+IF(Assumptions!$C$72="Subsequent",ROUNDDOWN((AW62-DATE(YEAR(AW62),MONTH(AW62),0))/7,0),0),AV60+1))</f>
        <v>21</v>
      </c>
      <c r="AX60" s="120">
        <f ca="1">IF(AX59="Yes",1+IF(Assumptions!$C$72="Subsequent",ROUNDDOWN((AX62-DATE(YEAR(AX62),MONTH(AX62),0))/7,0),0),IF(ISTEXT(AW60),ROUNDUP((AX$4-AX62)/7,0)+IF(Assumptions!$C$72="Subsequent",ROUNDDOWN((AX62-DATE(YEAR(AX62),MONTH(AX62),0))/7,0),0),AW60+1))</f>
        <v>22</v>
      </c>
      <c r="AY60" s="120">
        <f ca="1">IF(AY59="Yes",1+IF(Assumptions!$C$72="Subsequent",ROUNDDOWN((AY62-DATE(YEAR(AY62),MONTH(AY62),0))/7,0),0),IF(ISTEXT(AX60),ROUNDUP((AY$4-AY62)/7,0)+IF(Assumptions!$C$72="Subsequent",ROUNDDOWN((AY62-DATE(YEAR(AY62),MONTH(AY62),0))/7,0),0),AX60+1))</f>
        <v>23</v>
      </c>
      <c r="AZ60" s="120">
        <f ca="1">IF(AZ59="Yes",1+IF(Assumptions!$C$72="Subsequent",ROUNDDOWN((AZ62-DATE(YEAR(AZ62),MONTH(AZ62),0))/7,0),0),IF(ISTEXT(AY60),ROUNDUP((AZ$4-AZ62)/7,0)+IF(Assumptions!$C$72="Subsequent",ROUNDDOWN((AZ62-DATE(YEAR(AZ62),MONTH(AZ62),0))/7,0),0),AY60+1))</f>
        <v>24</v>
      </c>
      <c r="BA60" s="120">
        <f ca="1">IF(BA59="Yes",1+IF(Assumptions!$C$72="Subsequent",ROUNDDOWN((BA62-DATE(YEAR(BA62),MONTH(BA62),0))/7,0),0),IF(ISTEXT(AZ60),ROUNDUP((BA$4-BA62)/7,0)+IF(Assumptions!$C$72="Subsequent",ROUNDDOWN((BA62-DATE(YEAR(BA62),MONTH(BA62),0))/7,0),0),AZ60+1))</f>
        <v>25</v>
      </c>
      <c r="BB60" s="120">
        <f ca="1">IF(BB59="Yes",1+IF(Assumptions!$C$72="Subsequent",ROUNDDOWN((BB62-DATE(YEAR(BB62),MONTH(BB62),0))/7,0),0),IF(ISTEXT(BA60),ROUNDUP((BB$4-BB62)/7,0)+IF(Assumptions!$C$72="Subsequent",ROUNDDOWN((BB62-DATE(YEAR(BB62),MONTH(BB62),0))/7,0),0),BA60+1))</f>
        <v>26</v>
      </c>
      <c r="BC60" s="120">
        <f ca="1">IF(BC59="Yes",1+IF(Assumptions!$C$72="Subsequent",ROUNDDOWN((BC62-DATE(YEAR(BC62),MONTH(BC62),0))/7,0),0),IF(ISTEXT(BB60),ROUNDUP((BC$4-BC62)/7,0)+IF(Assumptions!$C$72="Subsequent",ROUNDDOWN((BC62-DATE(YEAR(BC62),MONTH(BC62),0))/7,0),0),BB60+1))</f>
        <v>1</v>
      </c>
      <c r="BD60" s="108"/>
      <c r="BE60" s="108"/>
      <c r="BF60" s="108"/>
      <c r="BG60" s="108"/>
      <c r="BH60" s="108"/>
    </row>
    <row r="61" spans="1:60" s="19" customFormat="1" ht="16.149999999999999" customHeight="1" x14ac:dyDescent="0.25">
      <c r="A61" s="183"/>
      <c r="B61" s="6" t="s">
        <v>234</v>
      </c>
      <c r="C61" s="84">
        <f ca="1">C37</f>
        <v>0</v>
      </c>
      <c r="D61" s="84">
        <f ca="1">IncState!C58</f>
        <v>1876.0000000000007</v>
      </c>
      <c r="E61" s="84">
        <f ca="1">IncState!D58</f>
        <v>8302.0420000000013</v>
      </c>
      <c r="F61" s="84">
        <f ca="1">IncState!E58</f>
        <v>10322.666666666672</v>
      </c>
      <c r="G61" s="84">
        <f ca="1">IncState!F58</f>
        <v>-7371.466666666669</v>
      </c>
      <c r="H61" s="84">
        <f ca="1">IncState!G58</f>
        <v>3087.7933333333349</v>
      </c>
      <c r="I61" s="84">
        <f ca="1">IncState!H58</f>
        <v>74.98445772280138</v>
      </c>
      <c r="J61" s="84">
        <f ca="1">IncState!I58</f>
        <v>6082.8600000000042</v>
      </c>
      <c r="K61" s="84">
        <f ca="1">IncState!J58</f>
        <v>11949.000000000004</v>
      </c>
      <c r="L61" s="84">
        <f ca="1">IncState!K58</f>
        <v>-16985.334922132435</v>
      </c>
      <c r="M61" s="84">
        <f ca="1">IncState!L58</f>
        <v>1594.8068569769457</v>
      </c>
      <c r="N61" s="84">
        <f ca="1">IncState!M58</f>
        <v>11896.690418782044</v>
      </c>
      <c r="O61" s="84">
        <f ca="1">IncState!N58</f>
        <v>13361.226666666669</v>
      </c>
      <c r="P61" s="84">
        <f ca="1">IncState!O58</f>
        <v>-21136.111016234074</v>
      </c>
      <c r="Q61" s="84">
        <f ca="1">IncState!P58</f>
        <v>5623.1215813078088</v>
      </c>
      <c r="R61" s="84">
        <f ca="1">IncState!Q58</f>
        <v>11062.996275868431</v>
      </c>
      <c r="S61" s="84">
        <f ca="1">IncState!R58</f>
        <v>11744.693333333336</v>
      </c>
      <c r="T61" s="84">
        <f ca="1">IncState!S58</f>
        <v>-9466.0999999999985</v>
      </c>
      <c r="U61" s="84">
        <f ca="1">IncState!T58</f>
        <v>4700.9855044944707</v>
      </c>
      <c r="V61" s="84">
        <f ca="1">IncState!U58</f>
        <v>4194.3689635497794</v>
      </c>
      <c r="W61" s="84">
        <f ca="1">IncState!V58</f>
        <v>11119.733333333337</v>
      </c>
      <c r="X61" s="84">
        <f ca="1">IncState!W58</f>
        <v>10350.199999999997</v>
      </c>
      <c r="Y61" s="84">
        <f ca="1">IncState!X58</f>
        <v>-13548.41823631859</v>
      </c>
      <c r="Z61" s="84">
        <f ca="1">IncState!Y58</f>
        <v>4968.7520363944568</v>
      </c>
      <c r="AA61" s="84">
        <f ca="1">IncState!Z58</f>
        <v>9677.2813454668794</v>
      </c>
      <c r="AB61" s="84">
        <f ca="1">IncState!AA58</f>
        <v>13691.159999999989</v>
      </c>
      <c r="AC61" s="84">
        <f ca="1">IncState!AB58</f>
        <v>-16145.080000000002</v>
      </c>
      <c r="AD61" s="84">
        <f ca="1">IncState!AC58</f>
        <v>4448.94138094355</v>
      </c>
      <c r="AE61" s="84">
        <f ca="1">IncState!AD58</f>
        <v>12936.064098933974</v>
      </c>
      <c r="AF61" s="84">
        <f ca="1">IncState!AE58</f>
        <v>14576.800000000003</v>
      </c>
      <c r="AG61" s="84">
        <f ca="1">IncState!AF58</f>
        <v>14392.979999999996</v>
      </c>
      <c r="AH61" s="84">
        <f ca="1">IncState!AG58</f>
        <v>-12682.924974843976</v>
      </c>
      <c r="AI61" s="84">
        <f ca="1">IncState!AH58</f>
        <v>3024.6534306664544</v>
      </c>
      <c r="AJ61" s="84">
        <f ca="1">IncState!AI58</f>
        <v>14675.080000000002</v>
      </c>
      <c r="AK61" s="84">
        <f ca="1">IncState!AJ58</f>
        <v>10257.333333333328</v>
      </c>
      <c r="AL61" s="84">
        <f ca="1">IncState!AK58</f>
        <v>-13852.661941972867</v>
      </c>
      <c r="AM61" s="84">
        <f ca="1">IncState!AL58</f>
        <v>5279.8490743996517</v>
      </c>
      <c r="AN61" s="84">
        <f ca="1">IncState!AM58</f>
        <v>14800.319023210366</v>
      </c>
      <c r="AO61" s="84">
        <f ca="1">IncState!AN58</f>
        <v>13637.399999999965</v>
      </c>
      <c r="AP61" s="84">
        <f ca="1">IncState!AO58</f>
        <v>-14583.799999999988</v>
      </c>
      <c r="AQ61" s="84">
        <f ca="1">IncState!AP58</f>
        <v>9688.8138611142931</v>
      </c>
      <c r="AR61" s="84">
        <f ca="1">IncState!AQ58</f>
        <v>5379.0348377558403</v>
      </c>
      <c r="AS61" s="84">
        <f ca="1">IncState!AR58</f>
        <v>6454</v>
      </c>
      <c r="AT61" s="84">
        <f ca="1">IncState!AS58</f>
        <v>-14116.853333333333</v>
      </c>
      <c r="AU61" s="84">
        <f ca="1">IncState!AT58</f>
        <v>-1843.0909356893389</v>
      </c>
      <c r="AV61" s="84">
        <f ca="1">IncState!AU58</f>
        <v>-1135.2735071660427</v>
      </c>
      <c r="AW61" s="84">
        <f ca="1">IncState!AV58</f>
        <v>9817.2453455240466</v>
      </c>
      <c r="AX61" s="84">
        <f ca="1">IncState!AW58</f>
        <v>15049.06666666668</v>
      </c>
      <c r="AY61" s="84">
        <f ca="1">IncState!AX58</f>
        <v>-15297.363158766413</v>
      </c>
      <c r="AZ61" s="84">
        <f ca="1">IncState!AY58</f>
        <v>6812.3130284988729</v>
      </c>
      <c r="BA61" s="84">
        <f ca="1">IncState!AZ58</f>
        <v>13780.585745658376</v>
      </c>
      <c r="BB61" s="84">
        <f ca="1">IncState!BA58</f>
        <v>10721.199999999983</v>
      </c>
      <c r="BC61" s="84">
        <f ca="1">IncState!BB58</f>
        <v>-16931.599999999977</v>
      </c>
      <c r="BD61" s="108"/>
      <c r="BE61" s="108"/>
      <c r="BF61" s="108"/>
      <c r="BG61" s="108"/>
      <c r="BH61" s="108"/>
    </row>
    <row r="62" spans="1:60" s="19" customFormat="1" ht="16.149999999999999" customHeight="1" x14ac:dyDescent="0.25">
      <c r="A62" s="183"/>
      <c r="B62" s="122" t="s">
        <v>258</v>
      </c>
      <c r="C62" s="123">
        <f ca="1">OFFSET(Pay!$H$2,MATCH(C$4,Pay!$H$3:$H$18,1),0,1,1)</f>
        <v>44252</v>
      </c>
      <c r="D62" s="123">
        <f ca="1">OFFSET(Pay!$H$2,MATCH(D$4,Pay!$H$3:$H$18,1),0,1,1)</f>
        <v>44252</v>
      </c>
      <c r="E62" s="123">
        <f ca="1">OFFSET(Pay!$H$2,MATCH(E$4,Pay!$H$3:$H$18,1),0,1,1)</f>
        <v>44252</v>
      </c>
      <c r="F62" s="123">
        <f ca="1">OFFSET(Pay!$H$2,MATCH(F$4,Pay!$H$3:$H$18,1),0,1,1)</f>
        <v>44252</v>
      </c>
      <c r="G62" s="123">
        <f ca="1">OFFSET(Pay!$H$2,MATCH(G$4,Pay!$H$3:$H$18,1),0,1,1)</f>
        <v>44252</v>
      </c>
      <c r="H62" s="123">
        <f ca="1">OFFSET(Pay!$H$2,MATCH(H$4,Pay!$H$3:$H$18,1),0,1,1)</f>
        <v>44252</v>
      </c>
      <c r="I62" s="123">
        <f ca="1">OFFSET(Pay!$H$2,MATCH(I$4,Pay!$H$3:$H$18,1),0,1,1)</f>
        <v>44252</v>
      </c>
      <c r="J62" s="123">
        <f ca="1">OFFSET(Pay!$H$2,MATCH(J$4,Pay!$H$3:$H$18,1),0,1,1)</f>
        <v>44252</v>
      </c>
      <c r="K62" s="123">
        <f ca="1">OFFSET(Pay!$H$2,MATCH(K$4,Pay!$H$3:$H$18,1),0,1,1)</f>
        <v>44252</v>
      </c>
      <c r="L62" s="123">
        <f ca="1">OFFSET(Pay!$H$2,MATCH(L$4,Pay!$H$3:$H$18,1),0,1,1)</f>
        <v>44252</v>
      </c>
      <c r="M62" s="123">
        <f ca="1">OFFSET(Pay!$H$2,MATCH(M$4,Pay!$H$3:$H$18,1),0,1,1)</f>
        <v>44252</v>
      </c>
      <c r="N62" s="123">
        <f ca="1">OFFSET(Pay!$H$2,MATCH(N$4,Pay!$H$3:$H$18,1),0,1,1)</f>
        <v>44252</v>
      </c>
      <c r="O62" s="123">
        <f ca="1">OFFSET(Pay!$H$2,MATCH(O$4,Pay!$H$3:$H$18,1),0,1,1)</f>
        <v>44252</v>
      </c>
      <c r="P62" s="123">
        <f ca="1">OFFSET(Pay!$H$2,MATCH(P$4,Pay!$H$3:$H$18,1),0,1,1)</f>
        <v>44252</v>
      </c>
      <c r="Q62" s="123">
        <f ca="1">OFFSET(Pay!$H$2,MATCH(Q$4,Pay!$H$3:$H$18,1),0,1,1)</f>
        <v>44252</v>
      </c>
      <c r="R62" s="123">
        <f ca="1">OFFSET(Pay!$H$2,MATCH(R$4,Pay!$H$3:$H$18,1),0,1,1)</f>
        <v>44252</v>
      </c>
      <c r="S62" s="123">
        <f ca="1">OFFSET(Pay!$H$2,MATCH(S$4,Pay!$H$3:$H$18,1),0,1,1)</f>
        <v>44252</v>
      </c>
      <c r="T62" s="123">
        <f ca="1">OFFSET(Pay!$H$2,MATCH(T$4,Pay!$H$3:$H$18,1),0,1,1)</f>
        <v>44252</v>
      </c>
      <c r="U62" s="123">
        <f ca="1">OFFSET(Pay!$H$2,MATCH(U$4,Pay!$H$3:$H$18,1),0,1,1)</f>
        <v>44252</v>
      </c>
      <c r="V62" s="123">
        <f ca="1">OFFSET(Pay!$H$2,MATCH(V$4,Pay!$H$3:$H$18,1),0,1,1)</f>
        <v>44252</v>
      </c>
      <c r="W62" s="123">
        <f ca="1">OFFSET(Pay!$H$2,MATCH(W$4,Pay!$H$3:$H$18,1),0,1,1)</f>
        <v>44252</v>
      </c>
      <c r="X62" s="123">
        <f ca="1">OFFSET(Pay!$H$2,MATCH(X$4,Pay!$H$3:$H$18,1),0,1,1)</f>
        <v>44252</v>
      </c>
      <c r="Y62" s="123">
        <f ca="1">OFFSET(Pay!$H$2,MATCH(Y$4,Pay!$H$3:$H$18,1),0,1,1)</f>
        <v>44252</v>
      </c>
      <c r="Z62" s="123">
        <f ca="1">OFFSET(Pay!$H$2,MATCH(Z$4,Pay!$H$3:$H$18,1),0,1,1)</f>
        <v>44252</v>
      </c>
      <c r="AA62" s="123">
        <f ca="1">OFFSET(Pay!$H$2,MATCH(AA$4,Pay!$H$3:$H$18,1),0,1,1)</f>
        <v>44252</v>
      </c>
      <c r="AB62" s="123">
        <f ca="1">OFFSET(Pay!$H$2,MATCH(AB$4,Pay!$H$3:$H$18,1),0,1,1)</f>
        <v>44252</v>
      </c>
      <c r="AC62" s="123">
        <f ca="1">OFFSET(Pay!$H$2,MATCH(AC$4,Pay!$H$3:$H$18,1),0,1,1)</f>
        <v>44433</v>
      </c>
      <c r="AD62" s="123">
        <f ca="1">OFFSET(Pay!$H$2,MATCH(AD$4,Pay!$H$3:$H$18,1),0,1,1)</f>
        <v>44433</v>
      </c>
      <c r="AE62" s="123">
        <f ca="1">OFFSET(Pay!$H$2,MATCH(AE$4,Pay!$H$3:$H$18,1),0,1,1)</f>
        <v>44433</v>
      </c>
      <c r="AF62" s="123">
        <f ca="1">OFFSET(Pay!$H$2,MATCH(AF$4,Pay!$H$3:$H$18,1),0,1,1)</f>
        <v>44433</v>
      </c>
      <c r="AG62" s="123">
        <f ca="1">OFFSET(Pay!$H$2,MATCH(AG$4,Pay!$H$3:$H$18,1),0,1,1)</f>
        <v>44433</v>
      </c>
      <c r="AH62" s="123">
        <f ca="1">OFFSET(Pay!$H$2,MATCH(AH$4,Pay!$H$3:$H$18,1),0,1,1)</f>
        <v>44433</v>
      </c>
      <c r="AI62" s="123">
        <f ca="1">OFFSET(Pay!$H$2,MATCH(AI$4,Pay!$H$3:$H$18,1),0,1,1)</f>
        <v>44433</v>
      </c>
      <c r="AJ62" s="123">
        <f ca="1">OFFSET(Pay!$H$2,MATCH(AJ$4,Pay!$H$3:$H$18,1),0,1,1)</f>
        <v>44433</v>
      </c>
      <c r="AK62" s="123">
        <f ca="1">OFFSET(Pay!$H$2,MATCH(AK$4,Pay!$H$3:$H$18,1),0,1,1)</f>
        <v>44433</v>
      </c>
      <c r="AL62" s="123">
        <f ca="1">OFFSET(Pay!$H$2,MATCH(AL$4,Pay!$H$3:$H$18,1),0,1,1)</f>
        <v>44433</v>
      </c>
      <c r="AM62" s="123">
        <f ca="1">OFFSET(Pay!$H$2,MATCH(AM$4,Pay!$H$3:$H$18,1),0,1,1)</f>
        <v>44433</v>
      </c>
      <c r="AN62" s="123">
        <f ca="1">OFFSET(Pay!$H$2,MATCH(AN$4,Pay!$H$3:$H$18,1),0,1,1)</f>
        <v>44433</v>
      </c>
      <c r="AO62" s="123">
        <f ca="1">OFFSET(Pay!$H$2,MATCH(AO$4,Pay!$H$3:$H$18,1),0,1,1)</f>
        <v>44433</v>
      </c>
      <c r="AP62" s="123">
        <f ca="1">OFFSET(Pay!$H$2,MATCH(AP$4,Pay!$H$3:$H$18,1),0,1,1)</f>
        <v>44433</v>
      </c>
      <c r="AQ62" s="123">
        <f ca="1">OFFSET(Pay!$H$2,MATCH(AQ$4,Pay!$H$3:$H$18,1),0,1,1)</f>
        <v>44433</v>
      </c>
      <c r="AR62" s="123">
        <f ca="1">OFFSET(Pay!$H$2,MATCH(AR$4,Pay!$H$3:$H$18,1),0,1,1)</f>
        <v>44433</v>
      </c>
      <c r="AS62" s="123">
        <f ca="1">OFFSET(Pay!$H$2,MATCH(AS$4,Pay!$H$3:$H$18,1),0,1,1)</f>
        <v>44433</v>
      </c>
      <c r="AT62" s="123">
        <f ca="1">OFFSET(Pay!$H$2,MATCH(AT$4,Pay!$H$3:$H$18,1),0,1,1)</f>
        <v>44433</v>
      </c>
      <c r="AU62" s="123">
        <f ca="1">OFFSET(Pay!$H$2,MATCH(AU$4,Pay!$H$3:$H$18,1),0,1,1)</f>
        <v>44433</v>
      </c>
      <c r="AV62" s="123">
        <f ca="1">OFFSET(Pay!$H$2,MATCH(AV$4,Pay!$H$3:$H$18,1),0,1,1)</f>
        <v>44433</v>
      </c>
      <c r="AW62" s="123">
        <f ca="1">OFFSET(Pay!$H$2,MATCH(AW$4,Pay!$H$3:$H$18,1),0,1,1)</f>
        <v>44433</v>
      </c>
      <c r="AX62" s="123">
        <f ca="1">OFFSET(Pay!$H$2,MATCH(AX$4,Pay!$H$3:$H$18,1),0,1,1)</f>
        <v>44433</v>
      </c>
      <c r="AY62" s="123">
        <f ca="1">OFFSET(Pay!$H$2,MATCH(AY$4,Pay!$H$3:$H$18,1),0,1,1)</f>
        <v>44433</v>
      </c>
      <c r="AZ62" s="123">
        <f ca="1">OFFSET(Pay!$H$2,MATCH(AZ$4,Pay!$H$3:$H$18,1),0,1,1)</f>
        <v>44433</v>
      </c>
      <c r="BA62" s="123">
        <f ca="1">OFFSET(Pay!$H$2,MATCH(BA$4,Pay!$H$3:$H$18,1),0,1,1)</f>
        <v>44433</v>
      </c>
      <c r="BB62" s="123">
        <f ca="1">OFFSET(Pay!$H$2,MATCH(BB$4,Pay!$H$3:$H$18,1),0,1,1)</f>
        <v>44433</v>
      </c>
      <c r="BC62" s="123">
        <f ca="1">OFFSET(Pay!$H$2,MATCH(BC$4,Pay!$H$3:$H$18,1),0,1,1)</f>
        <v>44617</v>
      </c>
      <c r="BD62" s="108"/>
      <c r="BE62" s="108"/>
      <c r="BF62" s="108"/>
      <c r="BG62" s="108"/>
      <c r="BH62" s="108"/>
    </row>
    <row r="63" spans="1:60" s="19" customFormat="1" ht="16.149999999999999" customHeight="1" x14ac:dyDescent="0.25">
      <c r="A63" s="183"/>
      <c r="B63" s="6" t="s">
        <v>206</v>
      </c>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126"/>
      <c r="BE63" s="126"/>
      <c r="BF63" s="126"/>
      <c r="BG63" s="126"/>
      <c r="BH63" s="126"/>
    </row>
    <row r="64" spans="1:60" s="19" customFormat="1" ht="16.149999999999999" customHeight="1" x14ac:dyDescent="0.25">
      <c r="A64" s="183"/>
      <c r="B64" s="6" t="s">
        <v>207</v>
      </c>
      <c r="C64" s="127">
        <f>Assumptions!$C$52</f>
        <v>0.2</v>
      </c>
      <c r="D64" s="127">
        <f>Assumptions!$C$52</f>
        <v>0.2</v>
      </c>
      <c r="E64" s="127">
        <f>Assumptions!$C$52</f>
        <v>0.2</v>
      </c>
      <c r="F64" s="127">
        <f>Assumptions!$C$52</f>
        <v>0.2</v>
      </c>
      <c r="G64" s="127">
        <f>Assumptions!$C$52</f>
        <v>0.2</v>
      </c>
      <c r="H64" s="127">
        <f>Assumptions!$C$52</f>
        <v>0.2</v>
      </c>
      <c r="I64" s="127">
        <f>Assumptions!$C$52</f>
        <v>0.2</v>
      </c>
      <c r="J64" s="127">
        <f>Assumptions!$C$52</f>
        <v>0.2</v>
      </c>
      <c r="K64" s="127">
        <f>Assumptions!$C$52</f>
        <v>0.2</v>
      </c>
      <c r="L64" s="127">
        <f>Assumptions!$C$52</f>
        <v>0.2</v>
      </c>
      <c r="M64" s="127">
        <f>Assumptions!$C$52</f>
        <v>0.2</v>
      </c>
      <c r="N64" s="127">
        <f>Assumptions!$C$52</f>
        <v>0.2</v>
      </c>
      <c r="O64" s="127">
        <f>Assumptions!$C$52</f>
        <v>0.2</v>
      </c>
      <c r="P64" s="127">
        <f>Assumptions!$C$52</f>
        <v>0.2</v>
      </c>
      <c r="Q64" s="127">
        <f>Assumptions!$C$52</f>
        <v>0.2</v>
      </c>
      <c r="R64" s="127">
        <f>Assumptions!$C$52</f>
        <v>0.2</v>
      </c>
      <c r="S64" s="127">
        <f>Assumptions!$C$52</f>
        <v>0.2</v>
      </c>
      <c r="T64" s="127">
        <f>Assumptions!$C$52</f>
        <v>0.2</v>
      </c>
      <c r="U64" s="127">
        <f>Assumptions!$C$52</f>
        <v>0.2</v>
      </c>
      <c r="V64" s="127">
        <f>Assumptions!$C$52</f>
        <v>0.2</v>
      </c>
      <c r="W64" s="127">
        <f>Assumptions!$C$52</f>
        <v>0.2</v>
      </c>
      <c r="X64" s="127">
        <f>Assumptions!$C$52</f>
        <v>0.2</v>
      </c>
      <c r="Y64" s="127">
        <f>Assumptions!$C$52</f>
        <v>0.2</v>
      </c>
      <c r="Z64" s="127">
        <f>Assumptions!$C$52</f>
        <v>0.2</v>
      </c>
      <c r="AA64" s="127">
        <f>Assumptions!$C$52</f>
        <v>0.2</v>
      </c>
      <c r="AB64" s="127">
        <f>Assumptions!$C$52</f>
        <v>0.2</v>
      </c>
      <c r="AC64" s="127">
        <f>Assumptions!$C$52</f>
        <v>0.2</v>
      </c>
      <c r="AD64" s="127">
        <f>Assumptions!$C$52</f>
        <v>0.2</v>
      </c>
      <c r="AE64" s="127">
        <f>Assumptions!$C$52</f>
        <v>0.2</v>
      </c>
      <c r="AF64" s="127">
        <f>Assumptions!$C$52</f>
        <v>0.2</v>
      </c>
      <c r="AG64" s="127">
        <f>Assumptions!$C$52</f>
        <v>0.2</v>
      </c>
      <c r="AH64" s="127">
        <f>Assumptions!$C$52</f>
        <v>0.2</v>
      </c>
      <c r="AI64" s="127">
        <f>Assumptions!$C$52</f>
        <v>0.2</v>
      </c>
      <c r="AJ64" s="127">
        <f>Assumptions!$C$52</f>
        <v>0.2</v>
      </c>
      <c r="AK64" s="127">
        <f>Assumptions!$C$52</f>
        <v>0.2</v>
      </c>
      <c r="AL64" s="127">
        <f>Assumptions!$C$52</f>
        <v>0.2</v>
      </c>
      <c r="AM64" s="127">
        <f>Assumptions!$C$52</f>
        <v>0.2</v>
      </c>
      <c r="AN64" s="127">
        <f>Assumptions!$C$52</f>
        <v>0.2</v>
      </c>
      <c r="AO64" s="127">
        <f>Assumptions!$C$52</f>
        <v>0.2</v>
      </c>
      <c r="AP64" s="127">
        <f>Assumptions!$C$52</f>
        <v>0.2</v>
      </c>
      <c r="AQ64" s="127">
        <f>Assumptions!$C$52</f>
        <v>0.2</v>
      </c>
      <c r="AR64" s="127">
        <f>Assumptions!$C$52</f>
        <v>0.2</v>
      </c>
      <c r="AS64" s="127">
        <f>Assumptions!$C$52</f>
        <v>0.2</v>
      </c>
      <c r="AT64" s="127">
        <f>Assumptions!$C$52</f>
        <v>0.2</v>
      </c>
      <c r="AU64" s="127">
        <f>Assumptions!$C$52</f>
        <v>0.2</v>
      </c>
      <c r="AV64" s="127">
        <f>Assumptions!$C$52</f>
        <v>0.2</v>
      </c>
      <c r="AW64" s="127">
        <f>Assumptions!$C$52</f>
        <v>0.2</v>
      </c>
      <c r="AX64" s="127">
        <f>Assumptions!$C$52</f>
        <v>0.2</v>
      </c>
      <c r="AY64" s="127">
        <f>Assumptions!$C$52</f>
        <v>0.2</v>
      </c>
      <c r="AZ64" s="127">
        <f>Assumptions!$C$52</f>
        <v>0.2</v>
      </c>
      <c r="BA64" s="127">
        <f>Assumptions!$C$52</f>
        <v>0.2</v>
      </c>
      <c r="BB64" s="127">
        <f>Assumptions!$C$52</f>
        <v>0.2</v>
      </c>
      <c r="BC64" s="127">
        <f>Assumptions!$C$52</f>
        <v>0.2</v>
      </c>
      <c r="BD64" s="117"/>
      <c r="BE64" s="117"/>
      <c r="BF64" s="117"/>
      <c r="BG64" s="117"/>
      <c r="BH64" s="117"/>
    </row>
    <row r="65" spans="1:60" s="19" customFormat="1" ht="16.149999999999999" customHeight="1" x14ac:dyDescent="0.25">
      <c r="A65" s="183"/>
      <c r="B65" s="6" t="s">
        <v>236</v>
      </c>
      <c r="C65" s="118" t="str">
        <f t="shared" ref="C65:AH65" ca="1" si="20">IF(AND(ISTEXT(B65),C68&lt;C$4-6),"No",IF(COUNTIFS(BSMonths,"&gt;="&amp;C$68,BSMonths,"&lt;="&amp;C$4)=1,"Yes","No"))</f>
        <v>No</v>
      </c>
      <c r="D65" s="118" t="str">
        <f t="shared" ca="1" si="20"/>
        <v>Yes</v>
      </c>
      <c r="E65" s="118" t="str">
        <f t="shared" ca="1" si="20"/>
        <v>No</v>
      </c>
      <c r="F65" s="118" t="str">
        <f t="shared" ca="1" si="20"/>
        <v>No</v>
      </c>
      <c r="G65" s="118" t="str">
        <f t="shared" ca="1" si="20"/>
        <v>No</v>
      </c>
      <c r="H65" s="118" t="str">
        <f t="shared" ca="1" si="20"/>
        <v>No</v>
      </c>
      <c r="I65" s="118" t="str">
        <f t="shared" ca="1" si="20"/>
        <v>Yes</v>
      </c>
      <c r="J65" s="118" t="str">
        <f t="shared" ca="1" si="20"/>
        <v>No</v>
      </c>
      <c r="K65" s="118" t="str">
        <f t="shared" ca="1" si="20"/>
        <v>No</v>
      </c>
      <c r="L65" s="118" t="str">
        <f t="shared" ca="1" si="20"/>
        <v>No</v>
      </c>
      <c r="M65" s="118" t="str">
        <f t="shared" ca="1" si="20"/>
        <v>Yes</v>
      </c>
      <c r="N65" s="118" t="str">
        <f t="shared" ca="1" si="20"/>
        <v>No</v>
      </c>
      <c r="O65" s="118" t="str">
        <f t="shared" ca="1" si="20"/>
        <v>No</v>
      </c>
      <c r="P65" s="118" t="str">
        <f t="shared" ca="1" si="20"/>
        <v>No</v>
      </c>
      <c r="Q65" s="118" t="str">
        <f t="shared" ca="1" si="20"/>
        <v>Yes</v>
      </c>
      <c r="R65" s="118" t="str">
        <f t="shared" ca="1" si="20"/>
        <v>No</v>
      </c>
      <c r="S65" s="118" t="str">
        <f t="shared" ca="1" si="20"/>
        <v>No</v>
      </c>
      <c r="T65" s="118" t="str">
        <f t="shared" ca="1" si="20"/>
        <v>No</v>
      </c>
      <c r="U65" s="118" t="str">
        <f t="shared" ca="1" si="20"/>
        <v>No</v>
      </c>
      <c r="V65" s="118" t="str">
        <f t="shared" ca="1" si="20"/>
        <v>Yes</v>
      </c>
      <c r="W65" s="118" t="str">
        <f t="shared" ca="1" si="20"/>
        <v>No</v>
      </c>
      <c r="X65" s="118" t="str">
        <f t="shared" ca="1" si="20"/>
        <v>No</v>
      </c>
      <c r="Y65" s="118" t="str">
        <f t="shared" ca="1" si="20"/>
        <v>No</v>
      </c>
      <c r="Z65" s="118" t="str">
        <f t="shared" ca="1" si="20"/>
        <v>Yes</v>
      </c>
      <c r="AA65" s="118" t="str">
        <f t="shared" ca="1" si="20"/>
        <v>No</v>
      </c>
      <c r="AB65" s="118" t="str">
        <f t="shared" ca="1" si="20"/>
        <v>No</v>
      </c>
      <c r="AC65" s="118" t="str">
        <f t="shared" ca="1" si="20"/>
        <v>No</v>
      </c>
      <c r="AD65" s="118" t="str">
        <f t="shared" ca="1" si="20"/>
        <v>No</v>
      </c>
      <c r="AE65" s="118" t="str">
        <f t="shared" ca="1" si="20"/>
        <v>Yes</v>
      </c>
      <c r="AF65" s="118" t="str">
        <f t="shared" ca="1" si="20"/>
        <v>No</v>
      </c>
      <c r="AG65" s="118" t="str">
        <f t="shared" ca="1" si="20"/>
        <v>No</v>
      </c>
      <c r="AH65" s="118" t="str">
        <f t="shared" ca="1" si="20"/>
        <v>No</v>
      </c>
      <c r="AI65" s="118" t="str">
        <f t="shared" ref="AI65:BC65" ca="1" si="21">IF(AND(ISTEXT(AH65),AI68&lt;AI$4-6),"No",IF(COUNTIFS(BSMonths,"&gt;="&amp;AI$68,BSMonths,"&lt;="&amp;AI$4)=1,"Yes","No"))</f>
        <v>Yes</v>
      </c>
      <c r="AJ65" s="118" t="str">
        <f t="shared" ca="1" si="21"/>
        <v>No</v>
      </c>
      <c r="AK65" s="118" t="str">
        <f t="shared" ca="1" si="21"/>
        <v>No</v>
      </c>
      <c r="AL65" s="118" t="str">
        <f t="shared" ca="1" si="21"/>
        <v>No</v>
      </c>
      <c r="AM65" s="118" t="str">
        <f t="shared" ca="1" si="21"/>
        <v>Yes</v>
      </c>
      <c r="AN65" s="118" t="str">
        <f t="shared" ca="1" si="21"/>
        <v>No</v>
      </c>
      <c r="AO65" s="118" t="str">
        <f t="shared" ca="1" si="21"/>
        <v>No</v>
      </c>
      <c r="AP65" s="118" t="str">
        <f t="shared" ca="1" si="21"/>
        <v>No</v>
      </c>
      <c r="AQ65" s="118" t="str">
        <f t="shared" ca="1" si="21"/>
        <v>No</v>
      </c>
      <c r="AR65" s="118" t="str">
        <f t="shared" ca="1" si="21"/>
        <v>Yes</v>
      </c>
      <c r="AS65" s="118" t="str">
        <f t="shared" ca="1" si="21"/>
        <v>No</v>
      </c>
      <c r="AT65" s="118" t="str">
        <f t="shared" ca="1" si="21"/>
        <v>No</v>
      </c>
      <c r="AU65" s="118" t="str">
        <f t="shared" ca="1" si="21"/>
        <v>No</v>
      </c>
      <c r="AV65" s="118" t="str">
        <f t="shared" ca="1" si="21"/>
        <v>Yes</v>
      </c>
      <c r="AW65" s="118" t="str">
        <f t="shared" ca="1" si="21"/>
        <v>No</v>
      </c>
      <c r="AX65" s="118" t="str">
        <f t="shared" ca="1" si="21"/>
        <v>No</v>
      </c>
      <c r="AY65" s="118" t="str">
        <f t="shared" ca="1" si="21"/>
        <v>No</v>
      </c>
      <c r="AZ65" s="118" t="str">
        <f t="shared" ca="1" si="21"/>
        <v>Yes</v>
      </c>
      <c r="BA65" s="118" t="str">
        <f t="shared" ca="1" si="21"/>
        <v>No</v>
      </c>
      <c r="BB65" s="118" t="str">
        <f t="shared" ca="1" si="21"/>
        <v>No</v>
      </c>
      <c r="BC65" s="118" t="str">
        <f t="shared" ca="1" si="21"/>
        <v>No</v>
      </c>
      <c r="BD65" s="119"/>
      <c r="BE65" s="119"/>
      <c r="BF65" s="119"/>
      <c r="BG65" s="119"/>
      <c r="BH65" s="119"/>
    </row>
    <row r="66" spans="1:60" s="19" customFormat="1" ht="16.149999999999999" customHeight="1" x14ac:dyDescent="0.25">
      <c r="A66" s="183"/>
      <c r="B66" s="6" t="s">
        <v>237</v>
      </c>
      <c r="C66" s="120">
        <f ca="1">IF(C65="Yes",1+IF(Assumptions!$C$55="Subsequent",ROUNDDOWN((C68-DATE(YEAR(C68),MONTH(C68),0))/7,0),0),IF(ISTEXT(B66),ROUNDUP((C$4-C68)/7,0)+IF(Assumptions!$C$55="Subsequent",ROUNDDOWN((C68-DATE(YEAR(C68),MONTH(C68),0))/7,0),0),B66+1))</f>
        <v>4</v>
      </c>
      <c r="D66" s="120">
        <f ca="1">IF(D65="Yes",1+IF(Assumptions!$C$55="Subsequent",ROUNDDOWN((D68-DATE(YEAR(D68),MONTH(D68),0))/7,0),0),IF(ISTEXT(C66),ROUNDUP((D$4-D68)/7,0)+IF(Assumptions!$C$55="Subsequent",ROUNDDOWN((D68-DATE(YEAR(D68),MONTH(D68),0))/7,0),0),C66+1))</f>
        <v>1</v>
      </c>
      <c r="E66" s="120">
        <f ca="1">IF(E65="Yes",1+IF(Assumptions!$C$55="Subsequent",ROUNDDOWN((E68-DATE(YEAR(E68),MONTH(E68),0))/7,0),0),IF(ISTEXT(D66),ROUNDUP((E$4-E68)/7,0)+IF(Assumptions!$C$55="Subsequent",ROUNDDOWN((E68-DATE(YEAR(E68),MONTH(E68),0))/7,0),0),D66+1))</f>
        <v>2</v>
      </c>
      <c r="F66" s="120">
        <f ca="1">IF(F65="Yes",1+IF(Assumptions!$C$55="Subsequent",ROUNDDOWN((F68-DATE(YEAR(F68),MONTH(F68),0))/7,0),0),IF(ISTEXT(E66),ROUNDUP((F$4-F68)/7,0)+IF(Assumptions!$C$55="Subsequent",ROUNDDOWN((F68-DATE(YEAR(F68),MONTH(F68),0))/7,0),0),E66+1))</f>
        <v>3</v>
      </c>
      <c r="G66" s="120">
        <f ca="1">IF(G65="Yes",1+IF(Assumptions!$C$55="Subsequent",ROUNDDOWN((G68-DATE(YEAR(G68),MONTH(G68),0))/7,0),0),IF(ISTEXT(F66),ROUNDUP((G$4-G68)/7,0)+IF(Assumptions!$C$55="Subsequent",ROUNDDOWN((G68-DATE(YEAR(G68),MONTH(G68),0))/7,0),0),F66+1))</f>
        <v>4</v>
      </c>
      <c r="H66" s="120">
        <f ca="1">IF(H65="Yes",1+IF(Assumptions!$C$55="Subsequent",ROUNDDOWN((H68-DATE(YEAR(H68),MONTH(H68),0))/7,0),0),IF(ISTEXT(G66),ROUNDUP((H$4-H68)/7,0)+IF(Assumptions!$C$55="Subsequent",ROUNDDOWN((H68-DATE(YEAR(H68),MONTH(H68),0))/7,0),0),G66+1))</f>
        <v>5</v>
      </c>
      <c r="I66" s="120">
        <f ca="1">IF(I65="Yes",1+IF(Assumptions!$C$55="Subsequent",ROUNDDOWN((I68-DATE(YEAR(I68),MONTH(I68),0))/7,0),0),IF(ISTEXT(H66),ROUNDUP((I$4-I68)/7,0)+IF(Assumptions!$C$55="Subsequent",ROUNDDOWN((I68-DATE(YEAR(I68),MONTH(I68),0))/7,0),0),H66+1))</f>
        <v>1</v>
      </c>
      <c r="J66" s="120">
        <f ca="1">IF(J65="Yes",1+IF(Assumptions!$C$55="Subsequent",ROUNDDOWN((J68-DATE(YEAR(J68),MONTH(J68),0))/7,0),0),IF(ISTEXT(I66),ROUNDUP((J$4-J68)/7,0)+IF(Assumptions!$C$55="Subsequent",ROUNDDOWN((J68-DATE(YEAR(J68),MONTH(J68),0))/7,0),0),I66+1))</f>
        <v>2</v>
      </c>
      <c r="K66" s="120">
        <f ca="1">IF(K65="Yes",1+IF(Assumptions!$C$55="Subsequent",ROUNDDOWN((K68-DATE(YEAR(K68),MONTH(K68),0))/7,0),0),IF(ISTEXT(J66),ROUNDUP((K$4-K68)/7,0)+IF(Assumptions!$C$55="Subsequent",ROUNDDOWN((K68-DATE(YEAR(K68),MONTH(K68),0))/7,0),0),J66+1))</f>
        <v>3</v>
      </c>
      <c r="L66" s="120">
        <f ca="1">IF(L65="Yes",1+IF(Assumptions!$C$55="Subsequent",ROUNDDOWN((L68-DATE(YEAR(L68),MONTH(L68),0))/7,0),0),IF(ISTEXT(K66),ROUNDUP((L$4-L68)/7,0)+IF(Assumptions!$C$55="Subsequent",ROUNDDOWN((L68-DATE(YEAR(L68),MONTH(L68),0))/7,0),0),K66+1))</f>
        <v>4</v>
      </c>
      <c r="M66" s="120">
        <f ca="1">IF(M65="Yes",1+IF(Assumptions!$C$55="Subsequent",ROUNDDOWN((M68-DATE(YEAR(M68),MONTH(M68),0))/7,0),0),IF(ISTEXT(L66),ROUNDUP((M$4-M68)/7,0)+IF(Assumptions!$C$55="Subsequent",ROUNDDOWN((M68-DATE(YEAR(M68),MONTH(M68),0))/7,0),0),L66+1))</f>
        <v>1</v>
      </c>
      <c r="N66" s="120">
        <f ca="1">IF(N65="Yes",1+IF(Assumptions!$C$55="Subsequent",ROUNDDOWN((N68-DATE(YEAR(N68),MONTH(N68),0))/7,0),0),IF(ISTEXT(M66),ROUNDUP((N$4-N68)/7,0)+IF(Assumptions!$C$55="Subsequent",ROUNDDOWN((N68-DATE(YEAR(N68),MONTH(N68),0))/7,0),0),M66+1))</f>
        <v>2</v>
      </c>
      <c r="O66" s="120">
        <f ca="1">IF(O65="Yes",1+IF(Assumptions!$C$55="Subsequent",ROUNDDOWN((O68-DATE(YEAR(O68),MONTH(O68),0))/7,0),0),IF(ISTEXT(N66),ROUNDUP((O$4-O68)/7,0)+IF(Assumptions!$C$55="Subsequent",ROUNDDOWN((O68-DATE(YEAR(O68),MONTH(O68),0))/7,0),0),N66+1))</f>
        <v>3</v>
      </c>
      <c r="P66" s="120">
        <f ca="1">IF(P65="Yes",1+IF(Assumptions!$C$55="Subsequent",ROUNDDOWN((P68-DATE(YEAR(P68),MONTH(P68),0))/7,0),0),IF(ISTEXT(O66),ROUNDUP((P$4-P68)/7,0)+IF(Assumptions!$C$55="Subsequent",ROUNDDOWN((P68-DATE(YEAR(P68),MONTH(P68),0))/7,0),0),O66+1))</f>
        <v>4</v>
      </c>
      <c r="Q66" s="120">
        <f ca="1">IF(Q65="Yes",1+IF(Assumptions!$C$55="Subsequent",ROUNDDOWN((Q68-DATE(YEAR(Q68),MONTH(Q68),0))/7,0),0),IF(ISTEXT(P66),ROUNDUP((Q$4-Q68)/7,0)+IF(Assumptions!$C$55="Subsequent",ROUNDDOWN((Q68-DATE(YEAR(Q68),MONTH(Q68),0))/7,0),0),P66+1))</f>
        <v>1</v>
      </c>
      <c r="R66" s="120">
        <f ca="1">IF(R65="Yes",1+IF(Assumptions!$C$55="Subsequent",ROUNDDOWN((R68-DATE(YEAR(R68),MONTH(R68),0))/7,0),0),IF(ISTEXT(Q66),ROUNDUP((R$4-R68)/7,0)+IF(Assumptions!$C$55="Subsequent",ROUNDDOWN((R68-DATE(YEAR(R68),MONTH(R68),0))/7,0),0),Q66+1))</f>
        <v>2</v>
      </c>
      <c r="S66" s="120">
        <f ca="1">IF(S65="Yes",1+IF(Assumptions!$C$55="Subsequent",ROUNDDOWN((S68-DATE(YEAR(S68),MONTH(S68),0))/7,0),0),IF(ISTEXT(R66),ROUNDUP((S$4-S68)/7,0)+IF(Assumptions!$C$55="Subsequent",ROUNDDOWN((S68-DATE(YEAR(S68),MONTH(S68),0))/7,0),0),R66+1))</f>
        <v>3</v>
      </c>
      <c r="T66" s="120">
        <f ca="1">IF(T65="Yes",1+IF(Assumptions!$C$55="Subsequent",ROUNDDOWN((T68-DATE(YEAR(T68),MONTH(T68),0))/7,0),0),IF(ISTEXT(S66),ROUNDUP((T$4-T68)/7,0)+IF(Assumptions!$C$55="Subsequent",ROUNDDOWN((T68-DATE(YEAR(T68),MONTH(T68),0))/7,0),0),S66+1))</f>
        <v>4</v>
      </c>
      <c r="U66" s="120">
        <f ca="1">IF(U65="Yes",1+IF(Assumptions!$C$55="Subsequent",ROUNDDOWN((U68-DATE(YEAR(U68),MONTH(U68),0))/7,0),0),IF(ISTEXT(T66),ROUNDUP((U$4-U68)/7,0)+IF(Assumptions!$C$55="Subsequent",ROUNDDOWN((U68-DATE(YEAR(U68),MONTH(U68),0))/7,0),0),T66+1))</f>
        <v>5</v>
      </c>
      <c r="V66" s="120">
        <f ca="1">IF(V65="Yes",1+IF(Assumptions!$C$55="Subsequent",ROUNDDOWN((V68-DATE(YEAR(V68),MONTH(V68),0))/7,0),0),IF(ISTEXT(U66),ROUNDUP((V$4-V68)/7,0)+IF(Assumptions!$C$55="Subsequent",ROUNDDOWN((V68-DATE(YEAR(V68),MONTH(V68),0))/7,0),0),U66+1))</f>
        <v>1</v>
      </c>
      <c r="W66" s="120">
        <f ca="1">IF(W65="Yes",1+IF(Assumptions!$C$55="Subsequent",ROUNDDOWN((W68-DATE(YEAR(W68),MONTH(W68),0))/7,0),0),IF(ISTEXT(V66),ROUNDUP((W$4-W68)/7,0)+IF(Assumptions!$C$55="Subsequent",ROUNDDOWN((W68-DATE(YEAR(W68),MONTH(W68),0))/7,0),0),V66+1))</f>
        <v>2</v>
      </c>
      <c r="X66" s="120">
        <f ca="1">IF(X65="Yes",1+IF(Assumptions!$C$55="Subsequent",ROUNDDOWN((X68-DATE(YEAR(X68),MONTH(X68),0))/7,0),0),IF(ISTEXT(W66),ROUNDUP((X$4-X68)/7,0)+IF(Assumptions!$C$55="Subsequent",ROUNDDOWN((X68-DATE(YEAR(X68),MONTH(X68),0))/7,0),0),W66+1))</f>
        <v>3</v>
      </c>
      <c r="Y66" s="120">
        <f ca="1">IF(Y65="Yes",1+IF(Assumptions!$C$55="Subsequent",ROUNDDOWN((Y68-DATE(YEAR(Y68),MONTH(Y68),0))/7,0),0),IF(ISTEXT(X66),ROUNDUP((Y$4-Y68)/7,0)+IF(Assumptions!$C$55="Subsequent",ROUNDDOWN((Y68-DATE(YEAR(Y68),MONTH(Y68),0))/7,0),0),X66+1))</f>
        <v>4</v>
      </c>
      <c r="Z66" s="120">
        <f ca="1">IF(Z65="Yes",1+IF(Assumptions!$C$55="Subsequent",ROUNDDOWN((Z68-DATE(YEAR(Z68),MONTH(Z68),0))/7,0),0),IF(ISTEXT(Y66),ROUNDUP((Z$4-Z68)/7,0)+IF(Assumptions!$C$55="Subsequent",ROUNDDOWN((Z68-DATE(YEAR(Z68),MONTH(Z68),0))/7,0),0),Y66+1))</f>
        <v>1</v>
      </c>
      <c r="AA66" s="120">
        <f ca="1">IF(AA65="Yes",1+IF(Assumptions!$C$55="Subsequent",ROUNDDOWN((AA68-DATE(YEAR(AA68),MONTH(AA68),0))/7,0),0),IF(ISTEXT(Z66),ROUNDUP((AA$4-AA68)/7,0)+IF(Assumptions!$C$55="Subsequent",ROUNDDOWN((AA68-DATE(YEAR(AA68),MONTH(AA68),0))/7,0),0),Z66+1))</f>
        <v>2</v>
      </c>
      <c r="AB66" s="120">
        <f ca="1">IF(AB65="Yes",1+IF(Assumptions!$C$55="Subsequent",ROUNDDOWN((AB68-DATE(YEAR(AB68),MONTH(AB68),0))/7,0),0),IF(ISTEXT(AA66),ROUNDUP((AB$4-AB68)/7,0)+IF(Assumptions!$C$55="Subsequent",ROUNDDOWN((AB68-DATE(YEAR(AB68),MONTH(AB68),0))/7,0),0),AA66+1))</f>
        <v>3</v>
      </c>
      <c r="AC66" s="120">
        <f ca="1">IF(AC65="Yes",1+IF(Assumptions!$C$55="Subsequent",ROUNDDOWN((AC68-DATE(YEAR(AC68),MONTH(AC68),0))/7,0),0),IF(ISTEXT(AB66),ROUNDUP((AC$4-AC68)/7,0)+IF(Assumptions!$C$55="Subsequent",ROUNDDOWN((AC68-DATE(YEAR(AC68),MONTH(AC68),0))/7,0),0),AB66+1))</f>
        <v>4</v>
      </c>
      <c r="AD66" s="120">
        <f ca="1">IF(AD65="Yes",1+IF(Assumptions!$C$55="Subsequent",ROUNDDOWN((AD68-DATE(YEAR(AD68),MONTH(AD68),0))/7,0),0),IF(ISTEXT(AC66),ROUNDUP((AD$4-AD68)/7,0)+IF(Assumptions!$C$55="Subsequent",ROUNDDOWN((AD68-DATE(YEAR(AD68),MONTH(AD68),0))/7,0),0),AC66+1))</f>
        <v>5</v>
      </c>
      <c r="AE66" s="120">
        <f ca="1">IF(AE65="Yes",1+IF(Assumptions!$C$55="Subsequent",ROUNDDOWN((AE68-DATE(YEAR(AE68),MONTH(AE68),0))/7,0),0),IF(ISTEXT(AD66),ROUNDUP((AE$4-AE68)/7,0)+IF(Assumptions!$C$55="Subsequent",ROUNDDOWN((AE68-DATE(YEAR(AE68),MONTH(AE68),0))/7,0),0),AD66+1))</f>
        <v>1</v>
      </c>
      <c r="AF66" s="120">
        <f ca="1">IF(AF65="Yes",1+IF(Assumptions!$C$55="Subsequent",ROUNDDOWN((AF68-DATE(YEAR(AF68),MONTH(AF68),0))/7,0),0),IF(ISTEXT(AE66),ROUNDUP((AF$4-AF68)/7,0)+IF(Assumptions!$C$55="Subsequent",ROUNDDOWN((AF68-DATE(YEAR(AF68),MONTH(AF68),0))/7,0),0),AE66+1))</f>
        <v>2</v>
      </c>
      <c r="AG66" s="120">
        <f ca="1">IF(AG65="Yes",1+IF(Assumptions!$C$55="Subsequent",ROUNDDOWN((AG68-DATE(YEAR(AG68),MONTH(AG68),0))/7,0),0),IF(ISTEXT(AF66),ROUNDUP((AG$4-AG68)/7,0)+IF(Assumptions!$C$55="Subsequent",ROUNDDOWN((AG68-DATE(YEAR(AG68),MONTH(AG68),0))/7,0),0),AF66+1))</f>
        <v>3</v>
      </c>
      <c r="AH66" s="120">
        <f ca="1">IF(AH65="Yes",1+IF(Assumptions!$C$55="Subsequent",ROUNDDOWN((AH68-DATE(YEAR(AH68),MONTH(AH68),0))/7,0),0),IF(ISTEXT(AG66),ROUNDUP((AH$4-AH68)/7,0)+IF(Assumptions!$C$55="Subsequent",ROUNDDOWN((AH68-DATE(YEAR(AH68),MONTH(AH68),0))/7,0),0),AG66+1))</f>
        <v>4</v>
      </c>
      <c r="AI66" s="120">
        <f ca="1">IF(AI65="Yes",1+IF(Assumptions!$C$55="Subsequent",ROUNDDOWN((AI68-DATE(YEAR(AI68),MONTH(AI68),0))/7,0),0),IF(ISTEXT(AH66),ROUNDUP((AI$4-AI68)/7,0)+IF(Assumptions!$C$55="Subsequent",ROUNDDOWN((AI68-DATE(YEAR(AI68),MONTH(AI68),0))/7,0),0),AH66+1))</f>
        <v>1</v>
      </c>
      <c r="AJ66" s="120">
        <f ca="1">IF(AJ65="Yes",1+IF(Assumptions!$C$55="Subsequent",ROUNDDOWN((AJ68-DATE(YEAR(AJ68),MONTH(AJ68),0))/7,0),0),IF(ISTEXT(AI66),ROUNDUP((AJ$4-AJ68)/7,0)+IF(Assumptions!$C$55="Subsequent",ROUNDDOWN((AJ68-DATE(YEAR(AJ68),MONTH(AJ68),0))/7,0),0),AI66+1))</f>
        <v>2</v>
      </c>
      <c r="AK66" s="120">
        <f ca="1">IF(AK65="Yes",1+IF(Assumptions!$C$55="Subsequent",ROUNDDOWN((AK68-DATE(YEAR(AK68),MONTH(AK68),0))/7,0),0),IF(ISTEXT(AJ66),ROUNDUP((AK$4-AK68)/7,0)+IF(Assumptions!$C$55="Subsequent",ROUNDDOWN((AK68-DATE(YEAR(AK68),MONTH(AK68),0))/7,0),0),AJ66+1))</f>
        <v>3</v>
      </c>
      <c r="AL66" s="120">
        <f ca="1">IF(AL65="Yes",1+IF(Assumptions!$C$55="Subsequent",ROUNDDOWN((AL68-DATE(YEAR(AL68),MONTH(AL68),0))/7,0),0),IF(ISTEXT(AK66),ROUNDUP((AL$4-AL68)/7,0)+IF(Assumptions!$C$55="Subsequent",ROUNDDOWN((AL68-DATE(YEAR(AL68),MONTH(AL68),0))/7,0),0),AK66+1))</f>
        <v>4</v>
      </c>
      <c r="AM66" s="120">
        <f ca="1">IF(AM65="Yes",1+IF(Assumptions!$C$55="Subsequent",ROUNDDOWN((AM68-DATE(YEAR(AM68),MONTH(AM68),0))/7,0),0),IF(ISTEXT(AL66),ROUNDUP((AM$4-AM68)/7,0)+IF(Assumptions!$C$55="Subsequent",ROUNDDOWN((AM68-DATE(YEAR(AM68),MONTH(AM68),0))/7,0),0),AL66+1))</f>
        <v>1</v>
      </c>
      <c r="AN66" s="120">
        <f ca="1">IF(AN65="Yes",1+IF(Assumptions!$C$55="Subsequent",ROUNDDOWN((AN68-DATE(YEAR(AN68),MONTH(AN68),0))/7,0),0),IF(ISTEXT(AM66),ROUNDUP((AN$4-AN68)/7,0)+IF(Assumptions!$C$55="Subsequent",ROUNDDOWN((AN68-DATE(YEAR(AN68),MONTH(AN68),0))/7,0),0),AM66+1))</f>
        <v>2</v>
      </c>
      <c r="AO66" s="120">
        <f ca="1">IF(AO65="Yes",1+IF(Assumptions!$C$55="Subsequent",ROUNDDOWN((AO68-DATE(YEAR(AO68),MONTH(AO68),0))/7,0),0),IF(ISTEXT(AN66),ROUNDUP((AO$4-AO68)/7,0)+IF(Assumptions!$C$55="Subsequent",ROUNDDOWN((AO68-DATE(YEAR(AO68),MONTH(AO68),0))/7,0),0),AN66+1))</f>
        <v>3</v>
      </c>
      <c r="AP66" s="120">
        <f ca="1">IF(AP65="Yes",1+IF(Assumptions!$C$55="Subsequent",ROUNDDOWN((AP68-DATE(YEAR(AP68),MONTH(AP68),0))/7,0),0),IF(ISTEXT(AO66),ROUNDUP((AP$4-AP68)/7,0)+IF(Assumptions!$C$55="Subsequent",ROUNDDOWN((AP68-DATE(YEAR(AP68),MONTH(AP68),0))/7,0),0),AO66+1))</f>
        <v>4</v>
      </c>
      <c r="AQ66" s="120">
        <f ca="1">IF(AQ65="Yes",1+IF(Assumptions!$C$55="Subsequent",ROUNDDOWN((AQ68-DATE(YEAR(AQ68),MONTH(AQ68),0))/7,0),0),IF(ISTEXT(AP66),ROUNDUP((AQ$4-AQ68)/7,0)+IF(Assumptions!$C$55="Subsequent",ROUNDDOWN((AQ68-DATE(YEAR(AQ68),MONTH(AQ68),0))/7,0),0),AP66+1))</f>
        <v>5</v>
      </c>
      <c r="AR66" s="120">
        <f ca="1">IF(AR65="Yes",1+IF(Assumptions!$C$55="Subsequent",ROUNDDOWN((AR68-DATE(YEAR(AR68),MONTH(AR68),0))/7,0),0),IF(ISTEXT(AQ66),ROUNDUP((AR$4-AR68)/7,0)+IF(Assumptions!$C$55="Subsequent",ROUNDDOWN((AR68-DATE(YEAR(AR68),MONTH(AR68),0))/7,0),0),AQ66+1))</f>
        <v>1</v>
      </c>
      <c r="AS66" s="120">
        <f ca="1">IF(AS65="Yes",1+IF(Assumptions!$C$55="Subsequent",ROUNDDOWN((AS68-DATE(YEAR(AS68),MONTH(AS68),0))/7,0),0),IF(ISTEXT(AR66),ROUNDUP((AS$4-AS68)/7,0)+IF(Assumptions!$C$55="Subsequent",ROUNDDOWN((AS68-DATE(YEAR(AS68),MONTH(AS68),0))/7,0),0),AR66+1))</f>
        <v>2</v>
      </c>
      <c r="AT66" s="120">
        <f ca="1">IF(AT65="Yes",1+IF(Assumptions!$C$55="Subsequent",ROUNDDOWN((AT68-DATE(YEAR(AT68),MONTH(AT68),0))/7,0),0),IF(ISTEXT(AS66),ROUNDUP((AT$4-AT68)/7,0)+IF(Assumptions!$C$55="Subsequent",ROUNDDOWN((AT68-DATE(YEAR(AT68),MONTH(AT68),0))/7,0),0),AS66+1))</f>
        <v>3</v>
      </c>
      <c r="AU66" s="120">
        <f ca="1">IF(AU65="Yes",1+IF(Assumptions!$C$55="Subsequent",ROUNDDOWN((AU68-DATE(YEAR(AU68),MONTH(AU68),0))/7,0),0),IF(ISTEXT(AT66),ROUNDUP((AU$4-AU68)/7,0)+IF(Assumptions!$C$55="Subsequent",ROUNDDOWN((AU68-DATE(YEAR(AU68),MONTH(AU68),0))/7,0),0),AT66+1))</f>
        <v>4</v>
      </c>
      <c r="AV66" s="120">
        <f ca="1">IF(AV65="Yes",1+IF(Assumptions!$C$55="Subsequent",ROUNDDOWN((AV68-DATE(YEAR(AV68),MONTH(AV68),0))/7,0),0),IF(ISTEXT(AU66),ROUNDUP((AV$4-AV68)/7,0)+IF(Assumptions!$C$55="Subsequent",ROUNDDOWN((AV68-DATE(YEAR(AV68),MONTH(AV68),0))/7,0),0),AU66+1))</f>
        <v>1</v>
      </c>
      <c r="AW66" s="120">
        <f ca="1">IF(AW65="Yes",1+IF(Assumptions!$C$55="Subsequent",ROUNDDOWN((AW68-DATE(YEAR(AW68),MONTH(AW68),0))/7,0),0),IF(ISTEXT(AV66),ROUNDUP((AW$4-AW68)/7,0)+IF(Assumptions!$C$55="Subsequent",ROUNDDOWN((AW68-DATE(YEAR(AW68),MONTH(AW68),0))/7,0),0),AV66+1))</f>
        <v>2</v>
      </c>
      <c r="AX66" s="120">
        <f ca="1">IF(AX65="Yes",1+IF(Assumptions!$C$55="Subsequent",ROUNDDOWN((AX68-DATE(YEAR(AX68),MONTH(AX68),0))/7,0),0),IF(ISTEXT(AW66),ROUNDUP((AX$4-AX68)/7,0)+IF(Assumptions!$C$55="Subsequent",ROUNDDOWN((AX68-DATE(YEAR(AX68),MONTH(AX68),0))/7,0),0),AW66+1))</f>
        <v>3</v>
      </c>
      <c r="AY66" s="120">
        <f ca="1">IF(AY65="Yes",1+IF(Assumptions!$C$55="Subsequent",ROUNDDOWN((AY68-DATE(YEAR(AY68),MONTH(AY68),0))/7,0),0),IF(ISTEXT(AX66),ROUNDUP((AY$4-AY68)/7,0)+IF(Assumptions!$C$55="Subsequent",ROUNDDOWN((AY68-DATE(YEAR(AY68),MONTH(AY68),0))/7,0),0),AX66+1))</f>
        <v>4</v>
      </c>
      <c r="AZ66" s="120">
        <f ca="1">IF(AZ65="Yes",1+IF(Assumptions!$C$55="Subsequent",ROUNDDOWN((AZ68-DATE(YEAR(AZ68),MONTH(AZ68),0))/7,0),0),IF(ISTEXT(AY66),ROUNDUP((AZ$4-AZ68)/7,0)+IF(Assumptions!$C$55="Subsequent",ROUNDDOWN((AZ68-DATE(YEAR(AZ68),MONTH(AZ68),0))/7,0),0),AY66+1))</f>
        <v>1</v>
      </c>
      <c r="BA66" s="120">
        <f ca="1">IF(BA65="Yes",1+IF(Assumptions!$C$55="Subsequent",ROUNDDOWN((BA68-DATE(YEAR(BA68),MONTH(BA68),0))/7,0),0),IF(ISTEXT(AZ66),ROUNDUP((BA$4-BA68)/7,0)+IF(Assumptions!$C$55="Subsequent",ROUNDDOWN((BA68-DATE(YEAR(BA68),MONTH(BA68),0))/7,0),0),AZ66+1))</f>
        <v>2</v>
      </c>
      <c r="BB66" s="120">
        <f ca="1">IF(BB65="Yes",1+IF(Assumptions!$C$55="Subsequent",ROUNDDOWN((BB68-DATE(YEAR(BB68),MONTH(BB68),0))/7,0),0),IF(ISTEXT(BA66),ROUNDUP((BB$4-BB68)/7,0)+IF(Assumptions!$C$55="Subsequent",ROUNDDOWN((BB68-DATE(YEAR(BB68),MONTH(BB68),0))/7,0),0),BA66+1))</f>
        <v>3</v>
      </c>
      <c r="BC66" s="120">
        <f ca="1">IF(BC65="Yes",1+IF(Assumptions!$C$55="Subsequent",ROUNDDOWN((BC68-DATE(YEAR(BC68),MONTH(BC68),0))/7,0),0),IF(ISTEXT(BB66),ROUNDUP((BC$4-BC68)/7,0)+IF(Assumptions!$C$55="Subsequent",ROUNDDOWN((BC68-DATE(YEAR(BC68),MONTH(BC68),0))/7,0),0),BB66+1))</f>
        <v>4</v>
      </c>
      <c r="BD66" s="108"/>
      <c r="BE66" s="108"/>
      <c r="BF66" s="108"/>
      <c r="BG66" s="108"/>
      <c r="BH66" s="108"/>
    </row>
    <row r="67" spans="1:60" s="19" customFormat="1" ht="16.149999999999999" customHeight="1" x14ac:dyDescent="0.25">
      <c r="A67" s="183"/>
      <c r="B67" s="6" t="s">
        <v>234</v>
      </c>
      <c r="C67" s="84">
        <f ca="1">C35</f>
        <v>20000</v>
      </c>
      <c r="D67" s="84">
        <f ca="1">SUMIF(IncState!$A$4:$BG$59,"PAY",IncState!C$4:C$59)*D64</f>
        <v>1160</v>
      </c>
      <c r="E67" s="84">
        <f ca="1">SUMIF(IncState!$A$4:$BG$59,"PAY",IncState!D$4:D$59)*E64</f>
        <v>1160</v>
      </c>
      <c r="F67" s="84">
        <f ca="1">SUMIF(IncState!$A$4:$BG$59,"PAY",IncState!E$4:E$59)*F64</f>
        <v>1160</v>
      </c>
      <c r="G67" s="84">
        <f ca="1">SUMIF(IncState!$A$4:$BG$59,"PAY",IncState!F$4:F$59)*G64</f>
        <v>15160</v>
      </c>
      <c r="H67" s="84">
        <f ca="1">SUMIF(IncState!$A$4:$BG$59,"PAY",IncState!G$4:G$59)*H64</f>
        <v>1160</v>
      </c>
      <c r="I67" s="84">
        <f ca="1">SUMIF(IncState!$A$4:$BG$59,"PAY",IncState!H$4:H$59)*I64</f>
        <v>1160</v>
      </c>
      <c r="J67" s="84">
        <f ca="1">SUMIF(IncState!$A$4:$BG$59,"PAY",IncState!I$4:I$59)*J64</f>
        <v>1160</v>
      </c>
      <c r="K67" s="84">
        <f ca="1">SUMIF(IncState!$A$4:$BG$59,"PAY",IncState!J$4:J$59)*K64</f>
        <v>1160</v>
      </c>
      <c r="L67" s="84">
        <f ca="1">SUMIF(IncState!$A$4:$BG$59,"PAY",IncState!K$4:K$59)*L64</f>
        <v>15160</v>
      </c>
      <c r="M67" s="84">
        <f ca="1">SUMIF(IncState!$A$4:$BG$59,"PAY",IncState!L$4:L$59)*M64</f>
        <v>1160</v>
      </c>
      <c r="N67" s="84">
        <f ca="1">SUMIF(IncState!$A$4:$BG$59,"PAY",IncState!M$4:M$59)*N64</f>
        <v>1160</v>
      </c>
      <c r="O67" s="84">
        <f ca="1">SUMIF(IncState!$A$4:$BG$59,"PAY",IncState!N$4:N$59)*O64</f>
        <v>1160</v>
      </c>
      <c r="P67" s="84">
        <f ca="1">SUMIF(IncState!$A$4:$BG$59,"PAY",IncState!O$4:O$59)*P64</f>
        <v>15160</v>
      </c>
      <c r="Q67" s="84">
        <f ca="1">SUMIF(IncState!$A$4:$BG$59,"PAY",IncState!P$4:P$59)*Q64</f>
        <v>1160</v>
      </c>
      <c r="R67" s="84">
        <f ca="1">SUMIF(IncState!$A$4:$BG$59,"PAY",IncState!Q$4:Q$59)*R64</f>
        <v>1160</v>
      </c>
      <c r="S67" s="84">
        <f ca="1">SUMIF(IncState!$A$4:$BG$59,"PAY",IncState!R$4:R$59)*S64</f>
        <v>1160</v>
      </c>
      <c r="T67" s="84">
        <f ca="1">SUMIF(IncState!$A$4:$BG$59,"PAY",IncState!S$4:S$59)*T64</f>
        <v>15160</v>
      </c>
      <c r="U67" s="84">
        <f ca="1">SUMIF(IncState!$A$4:$BG$59,"PAY",IncState!T$4:T$59)*U64</f>
        <v>1160</v>
      </c>
      <c r="V67" s="84">
        <f ca="1">SUMIF(IncState!$A$4:$BG$59,"PAY",IncState!U$4:U$59)*V64</f>
        <v>1160</v>
      </c>
      <c r="W67" s="84">
        <f ca="1">SUMIF(IncState!$A$4:$BG$59,"PAY",IncState!V$4:V$59)*W64</f>
        <v>1160</v>
      </c>
      <c r="X67" s="84">
        <f ca="1">SUMIF(IncState!$A$4:$BG$59,"PAY",IncState!W$4:W$59)*X64</f>
        <v>1160</v>
      </c>
      <c r="Y67" s="84">
        <f ca="1">SUMIF(IncState!$A$4:$BG$59,"PAY",IncState!X$4:X$59)*Y64</f>
        <v>15160</v>
      </c>
      <c r="Z67" s="84">
        <f ca="1">SUMIF(IncState!$A$4:$BG$59,"PAY",IncState!Y$4:Y$59)*Z64</f>
        <v>1160</v>
      </c>
      <c r="AA67" s="84">
        <f ca="1">SUMIF(IncState!$A$4:$BG$59,"PAY",IncState!Z$4:Z$59)*AA64</f>
        <v>1160</v>
      </c>
      <c r="AB67" s="84">
        <f ca="1">SUMIF(IncState!$A$4:$BG$59,"PAY",IncState!AA$4:AA$59)*AB64</f>
        <v>1240</v>
      </c>
      <c r="AC67" s="84">
        <f ca="1">SUMIF(IncState!$A$4:$BG$59,"PAY",IncState!AB$4:AB$59)*AC64</f>
        <v>15240</v>
      </c>
      <c r="AD67" s="84">
        <f ca="1">SUMIF(IncState!$A$4:$BG$59,"PAY",IncState!AC$4:AC$59)*AD64</f>
        <v>1240</v>
      </c>
      <c r="AE67" s="84">
        <f ca="1">SUMIF(IncState!$A$4:$BG$59,"PAY",IncState!AD$4:AD$59)*AE64</f>
        <v>1240</v>
      </c>
      <c r="AF67" s="84">
        <f ca="1">SUMIF(IncState!$A$4:$BG$59,"PAY",IncState!AE$4:AE$59)*AF64</f>
        <v>1240</v>
      </c>
      <c r="AG67" s="84">
        <f ca="1">SUMIF(IncState!$A$4:$BG$59,"PAY",IncState!AF$4:AF$59)*AG64</f>
        <v>1240</v>
      </c>
      <c r="AH67" s="84">
        <f ca="1">SUMIF(IncState!$A$4:$BG$59,"PAY",IncState!AG$4:AG$59)*AH64</f>
        <v>15240</v>
      </c>
      <c r="AI67" s="84">
        <f ca="1">SUMIF(IncState!$A$4:$BG$59,"PAY",IncState!AH$4:AH$59)*AI64</f>
        <v>1240</v>
      </c>
      <c r="AJ67" s="84">
        <f ca="1">SUMIF(IncState!$A$4:$BG$59,"PAY",IncState!AI$4:AI$59)*AJ64</f>
        <v>1240</v>
      </c>
      <c r="AK67" s="84">
        <f ca="1">SUMIF(IncState!$A$4:$BG$59,"PAY",IncState!AJ$4:AJ$59)*AK64</f>
        <v>1240</v>
      </c>
      <c r="AL67" s="84">
        <f ca="1">SUMIF(IncState!$A$4:$BG$59,"PAY",IncState!AK$4:AK$59)*AL64</f>
        <v>15240</v>
      </c>
      <c r="AM67" s="84">
        <f ca="1">SUMIF(IncState!$A$4:$BG$59,"PAY",IncState!AL$4:AL$59)*AM64</f>
        <v>1240</v>
      </c>
      <c r="AN67" s="84">
        <f ca="1">SUMIF(IncState!$A$4:$BG$59,"PAY",IncState!AM$4:AM$59)*AN64</f>
        <v>1240</v>
      </c>
      <c r="AO67" s="84">
        <f ca="1">SUMIF(IncState!$A$4:$BG$59,"PAY",IncState!AN$4:AN$59)*AO64</f>
        <v>1240</v>
      </c>
      <c r="AP67" s="84">
        <f ca="1">SUMIF(IncState!$A$4:$BG$59,"PAY",IncState!AO$4:AO$59)*AP64</f>
        <v>15240</v>
      </c>
      <c r="AQ67" s="84">
        <f ca="1">SUMIF(IncState!$A$4:$BG$59,"PAY",IncState!AP$4:AP$59)*AQ64</f>
        <v>1240</v>
      </c>
      <c r="AR67" s="84">
        <f ca="1">SUMIF(IncState!$A$4:$BG$59,"PAY",IncState!AQ$4:AQ$59)*AR64</f>
        <v>1360</v>
      </c>
      <c r="AS67" s="84">
        <f ca="1">SUMIF(IncState!$A$4:$BG$59,"PAY",IncState!AR$4:AR$59)*AS64</f>
        <v>1360</v>
      </c>
      <c r="AT67" s="84">
        <f ca="1">SUMIF(IncState!$A$4:$BG$59,"PAY",IncState!AS$4:AS$59)*AT64</f>
        <v>16360</v>
      </c>
      <c r="AU67" s="84">
        <f ca="1">SUMIF(IncState!$A$4:$BG$59,"PAY",IncState!AT$4:AT$59)*AU64</f>
        <v>1360</v>
      </c>
      <c r="AV67" s="84">
        <f ca="1">SUMIF(IncState!$A$4:$BG$59,"PAY",IncState!AU$4:AU$59)*AV64</f>
        <v>1360</v>
      </c>
      <c r="AW67" s="84">
        <f ca="1">SUMIF(IncState!$A$4:$BG$59,"PAY",IncState!AV$4:AV$59)*AW64</f>
        <v>1360</v>
      </c>
      <c r="AX67" s="84">
        <f ca="1">SUMIF(IncState!$A$4:$BG$59,"PAY",IncState!AW$4:AW$59)*AX64</f>
        <v>1360</v>
      </c>
      <c r="AY67" s="84">
        <f ca="1">SUMIF(IncState!$A$4:$BG$59,"PAY",IncState!AX$4:AX$59)*AY64</f>
        <v>15360</v>
      </c>
      <c r="AZ67" s="84">
        <f ca="1">SUMIF(IncState!$A$4:$BG$59,"PAY",IncState!AY$4:AY$59)*AZ64</f>
        <v>1360</v>
      </c>
      <c r="BA67" s="84">
        <f ca="1">SUMIF(IncState!$A$4:$BG$59,"PAY",IncState!AZ$4:AZ$59)*BA64</f>
        <v>1360</v>
      </c>
      <c r="BB67" s="84">
        <f ca="1">SUMIF(IncState!$A$4:$BG$59,"PAY",IncState!BA$4:BA$59)*BB64</f>
        <v>1360</v>
      </c>
      <c r="BC67" s="84">
        <f ca="1">SUMIF(IncState!$A$4:$BG$59,"PAY",IncState!BB$4:BB$59)*BC64</f>
        <v>15360</v>
      </c>
      <c r="BD67" s="128"/>
      <c r="BE67" s="128"/>
      <c r="BF67" s="128"/>
      <c r="BG67" s="128"/>
      <c r="BH67" s="128"/>
    </row>
    <row r="68" spans="1:60" s="122" customFormat="1" ht="16.149999999999999" customHeight="1" x14ac:dyDescent="0.25">
      <c r="A68" s="186"/>
      <c r="B68" s="122" t="s">
        <v>258</v>
      </c>
      <c r="C68" s="123">
        <f ca="1">OFFSET(Pay!$L$2,MATCH(C$4,Pay!$L$3:$L$18,1),0,1,1)</f>
        <v>44233</v>
      </c>
      <c r="D68" s="123">
        <f ca="1">OFFSET(Pay!$L$2,MATCH(D$4,Pay!$L$3:$L$18,1),0,1,1)</f>
        <v>44261</v>
      </c>
      <c r="E68" s="123">
        <f ca="1">OFFSET(Pay!$L$2,MATCH(E$4,Pay!$L$3:$L$18,1),0,1,1)</f>
        <v>44261</v>
      </c>
      <c r="F68" s="123">
        <f ca="1">OFFSET(Pay!$L$2,MATCH(F$4,Pay!$L$3:$L$18,1),0,1,1)</f>
        <v>44261</v>
      </c>
      <c r="G68" s="123">
        <f ca="1">OFFSET(Pay!$L$2,MATCH(G$4,Pay!$L$3:$L$18,1),0,1,1)</f>
        <v>44261</v>
      </c>
      <c r="H68" s="123">
        <f ca="1">OFFSET(Pay!$L$2,MATCH(H$4,Pay!$L$3:$L$18,1),0,1,1)</f>
        <v>44261</v>
      </c>
      <c r="I68" s="123">
        <f ca="1">OFFSET(Pay!$L$2,MATCH(I$4,Pay!$L$3:$L$18,1),0,1,1)</f>
        <v>44292</v>
      </c>
      <c r="J68" s="123">
        <f ca="1">OFFSET(Pay!$L$2,MATCH(J$4,Pay!$L$3:$L$18,1),0,1,1)</f>
        <v>44292</v>
      </c>
      <c r="K68" s="123">
        <f ca="1">OFFSET(Pay!$L$2,MATCH(K$4,Pay!$L$3:$L$18,1),0,1,1)</f>
        <v>44292</v>
      </c>
      <c r="L68" s="123">
        <f ca="1">OFFSET(Pay!$L$2,MATCH(L$4,Pay!$L$3:$L$18,1),0,1,1)</f>
        <v>44292</v>
      </c>
      <c r="M68" s="123">
        <f ca="1">OFFSET(Pay!$L$2,MATCH(M$4,Pay!$L$3:$L$18,1),0,1,1)</f>
        <v>44322</v>
      </c>
      <c r="N68" s="123">
        <f ca="1">OFFSET(Pay!$L$2,MATCH(N$4,Pay!$L$3:$L$18,1),0,1,1)</f>
        <v>44322</v>
      </c>
      <c r="O68" s="123">
        <f ca="1">OFFSET(Pay!$L$2,MATCH(O$4,Pay!$L$3:$L$18,1),0,1,1)</f>
        <v>44322</v>
      </c>
      <c r="P68" s="123">
        <f ca="1">OFFSET(Pay!$L$2,MATCH(P$4,Pay!$L$3:$L$18,1),0,1,1)</f>
        <v>44322</v>
      </c>
      <c r="Q68" s="123">
        <f ca="1">OFFSET(Pay!$L$2,MATCH(Q$4,Pay!$L$3:$L$18,1),0,1,1)</f>
        <v>44353</v>
      </c>
      <c r="R68" s="123">
        <f ca="1">OFFSET(Pay!$L$2,MATCH(R$4,Pay!$L$3:$L$18,1),0,1,1)</f>
        <v>44353</v>
      </c>
      <c r="S68" s="123">
        <f ca="1">OFFSET(Pay!$L$2,MATCH(S$4,Pay!$L$3:$L$18,1),0,1,1)</f>
        <v>44353</v>
      </c>
      <c r="T68" s="123">
        <f ca="1">OFFSET(Pay!$L$2,MATCH(T$4,Pay!$L$3:$L$18,1),0,1,1)</f>
        <v>44353</v>
      </c>
      <c r="U68" s="123">
        <f ca="1">OFFSET(Pay!$L$2,MATCH(U$4,Pay!$L$3:$L$18,1),0,1,1)</f>
        <v>44353</v>
      </c>
      <c r="V68" s="123">
        <f ca="1">OFFSET(Pay!$L$2,MATCH(V$4,Pay!$L$3:$L$18,1),0,1,1)</f>
        <v>44383</v>
      </c>
      <c r="W68" s="123">
        <f ca="1">OFFSET(Pay!$L$2,MATCH(W$4,Pay!$L$3:$L$18,1),0,1,1)</f>
        <v>44383</v>
      </c>
      <c r="X68" s="123">
        <f ca="1">OFFSET(Pay!$L$2,MATCH(X$4,Pay!$L$3:$L$18,1),0,1,1)</f>
        <v>44383</v>
      </c>
      <c r="Y68" s="123">
        <f ca="1">OFFSET(Pay!$L$2,MATCH(Y$4,Pay!$L$3:$L$18,1),0,1,1)</f>
        <v>44383</v>
      </c>
      <c r="Z68" s="123">
        <f ca="1">OFFSET(Pay!$L$2,MATCH(Z$4,Pay!$L$3:$L$18,1),0,1,1)</f>
        <v>44414</v>
      </c>
      <c r="AA68" s="123">
        <f ca="1">OFFSET(Pay!$L$2,MATCH(AA$4,Pay!$L$3:$L$18,1),0,1,1)</f>
        <v>44414</v>
      </c>
      <c r="AB68" s="123">
        <f ca="1">OFFSET(Pay!$L$2,MATCH(AB$4,Pay!$L$3:$L$18,1),0,1,1)</f>
        <v>44414</v>
      </c>
      <c r="AC68" s="123">
        <f ca="1">OFFSET(Pay!$L$2,MATCH(AC$4,Pay!$L$3:$L$18,1),0,1,1)</f>
        <v>44414</v>
      </c>
      <c r="AD68" s="123">
        <f ca="1">OFFSET(Pay!$L$2,MATCH(AD$4,Pay!$L$3:$L$18,1),0,1,1)</f>
        <v>44414</v>
      </c>
      <c r="AE68" s="123">
        <f ca="1">OFFSET(Pay!$L$2,MATCH(AE$4,Pay!$L$3:$L$18,1),0,1,1)</f>
        <v>44445</v>
      </c>
      <c r="AF68" s="123">
        <f ca="1">OFFSET(Pay!$L$2,MATCH(AF$4,Pay!$L$3:$L$18,1),0,1,1)</f>
        <v>44445</v>
      </c>
      <c r="AG68" s="123">
        <f ca="1">OFFSET(Pay!$L$2,MATCH(AG$4,Pay!$L$3:$L$18,1),0,1,1)</f>
        <v>44445</v>
      </c>
      <c r="AH68" s="123">
        <f ca="1">OFFSET(Pay!$L$2,MATCH(AH$4,Pay!$L$3:$L$18,1),0,1,1)</f>
        <v>44445</v>
      </c>
      <c r="AI68" s="123">
        <f ca="1">OFFSET(Pay!$L$2,MATCH(AI$4,Pay!$L$3:$L$18,1),0,1,1)</f>
        <v>44475</v>
      </c>
      <c r="AJ68" s="123">
        <f ca="1">OFFSET(Pay!$L$2,MATCH(AJ$4,Pay!$L$3:$L$18,1),0,1,1)</f>
        <v>44475</v>
      </c>
      <c r="AK68" s="123">
        <f ca="1">OFFSET(Pay!$L$2,MATCH(AK$4,Pay!$L$3:$L$18,1),0,1,1)</f>
        <v>44475</v>
      </c>
      <c r="AL68" s="123">
        <f ca="1">OFFSET(Pay!$L$2,MATCH(AL$4,Pay!$L$3:$L$18,1),0,1,1)</f>
        <v>44475</v>
      </c>
      <c r="AM68" s="123">
        <f ca="1">OFFSET(Pay!$L$2,MATCH(AM$4,Pay!$L$3:$L$18,1),0,1,1)</f>
        <v>44506</v>
      </c>
      <c r="AN68" s="123">
        <f ca="1">OFFSET(Pay!$L$2,MATCH(AN$4,Pay!$L$3:$L$18,1),0,1,1)</f>
        <v>44506</v>
      </c>
      <c r="AO68" s="123">
        <f ca="1">OFFSET(Pay!$L$2,MATCH(AO$4,Pay!$L$3:$L$18,1),0,1,1)</f>
        <v>44506</v>
      </c>
      <c r="AP68" s="123">
        <f ca="1">OFFSET(Pay!$L$2,MATCH(AP$4,Pay!$L$3:$L$18,1),0,1,1)</f>
        <v>44506</v>
      </c>
      <c r="AQ68" s="123">
        <f ca="1">OFFSET(Pay!$L$2,MATCH(AQ$4,Pay!$L$3:$L$18,1),0,1,1)</f>
        <v>44506</v>
      </c>
      <c r="AR68" s="123">
        <f ca="1">OFFSET(Pay!$L$2,MATCH(AR$4,Pay!$L$3:$L$18,1),0,1,1)</f>
        <v>44536</v>
      </c>
      <c r="AS68" s="123">
        <f ca="1">OFFSET(Pay!$L$2,MATCH(AS$4,Pay!$L$3:$L$18,1),0,1,1)</f>
        <v>44536</v>
      </c>
      <c r="AT68" s="123">
        <f ca="1">OFFSET(Pay!$L$2,MATCH(AT$4,Pay!$L$3:$L$18,1),0,1,1)</f>
        <v>44536</v>
      </c>
      <c r="AU68" s="123">
        <f ca="1">OFFSET(Pay!$L$2,MATCH(AU$4,Pay!$L$3:$L$18,1),0,1,1)</f>
        <v>44536</v>
      </c>
      <c r="AV68" s="123">
        <f ca="1">OFFSET(Pay!$L$2,MATCH(AV$4,Pay!$L$3:$L$18,1),0,1,1)</f>
        <v>44567</v>
      </c>
      <c r="AW68" s="123">
        <f ca="1">OFFSET(Pay!$L$2,MATCH(AW$4,Pay!$L$3:$L$18,1),0,1,1)</f>
        <v>44567</v>
      </c>
      <c r="AX68" s="123">
        <f ca="1">OFFSET(Pay!$L$2,MATCH(AX$4,Pay!$L$3:$L$18,1),0,1,1)</f>
        <v>44567</v>
      </c>
      <c r="AY68" s="123">
        <f ca="1">OFFSET(Pay!$L$2,MATCH(AY$4,Pay!$L$3:$L$18,1),0,1,1)</f>
        <v>44567</v>
      </c>
      <c r="AZ68" s="123">
        <f ca="1">OFFSET(Pay!$L$2,MATCH(AZ$4,Pay!$L$3:$L$18,1),0,1,1)</f>
        <v>44598</v>
      </c>
      <c r="BA68" s="123">
        <f ca="1">OFFSET(Pay!$L$2,MATCH(BA$4,Pay!$L$3:$L$18,1),0,1,1)</f>
        <v>44598</v>
      </c>
      <c r="BB68" s="123">
        <f ca="1">OFFSET(Pay!$L$2,MATCH(BB$4,Pay!$L$3:$L$18,1),0,1,1)</f>
        <v>44598</v>
      </c>
      <c r="BC68" s="123">
        <f ca="1">OFFSET(Pay!$L$2,MATCH(BC$4,Pay!$L$3:$L$18,1),0,1,1)</f>
        <v>44598</v>
      </c>
      <c r="BD68" s="129"/>
      <c r="BE68" s="129"/>
      <c r="BF68" s="129"/>
      <c r="BG68" s="129"/>
      <c r="BH68" s="129"/>
    </row>
    <row r="69" spans="1:60" ht="16.149999999999999" customHeight="1" x14ac:dyDescent="0.25">
      <c r="A69" s="187"/>
      <c r="B69" s="6" t="s">
        <v>268</v>
      </c>
    </row>
    <row r="70" spans="1:60" ht="16.149999999999999" customHeight="1" x14ac:dyDescent="0.25">
      <c r="A70" s="187"/>
      <c r="B70" s="6" t="s">
        <v>266</v>
      </c>
      <c r="C70" s="127">
        <f>Assumptions!$C$106</f>
        <v>0</v>
      </c>
      <c r="D70" s="127">
        <f>Assumptions!$C$106</f>
        <v>0</v>
      </c>
      <c r="E70" s="127">
        <f>Assumptions!$C$106</f>
        <v>0</v>
      </c>
      <c r="F70" s="127">
        <f>Assumptions!$C$106</f>
        <v>0</v>
      </c>
      <c r="G70" s="127">
        <f>Assumptions!$C$106</f>
        <v>0</v>
      </c>
      <c r="H70" s="127">
        <f>Assumptions!$C$106</f>
        <v>0</v>
      </c>
      <c r="I70" s="127">
        <f>Assumptions!$C$106</f>
        <v>0</v>
      </c>
      <c r="J70" s="127">
        <f>Assumptions!$C$106</f>
        <v>0</v>
      </c>
      <c r="K70" s="127">
        <f>Assumptions!$C$106</f>
        <v>0</v>
      </c>
      <c r="L70" s="127">
        <f>Assumptions!$C$106</f>
        <v>0</v>
      </c>
      <c r="M70" s="127">
        <f>Assumptions!$C$106</f>
        <v>0</v>
      </c>
      <c r="N70" s="127">
        <f>Assumptions!$C$106</f>
        <v>0</v>
      </c>
      <c r="O70" s="127">
        <f>Assumptions!$C$106</f>
        <v>0</v>
      </c>
      <c r="P70" s="127">
        <f>Assumptions!$C$106</f>
        <v>0</v>
      </c>
      <c r="Q70" s="127">
        <f>Assumptions!$C$106</f>
        <v>0</v>
      </c>
      <c r="R70" s="127">
        <f>Assumptions!$C$106</f>
        <v>0</v>
      </c>
      <c r="S70" s="127">
        <f>Assumptions!$C$106</f>
        <v>0</v>
      </c>
      <c r="T70" s="127">
        <f>Assumptions!$C$106</f>
        <v>0</v>
      </c>
      <c r="U70" s="127">
        <f>Assumptions!$C$106</f>
        <v>0</v>
      </c>
      <c r="V70" s="127">
        <f>Assumptions!$C$106</f>
        <v>0</v>
      </c>
      <c r="W70" s="127">
        <f>Assumptions!$C$106</f>
        <v>0</v>
      </c>
      <c r="X70" s="127">
        <f>Assumptions!$C$106</f>
        <v>0</v>
      </c>
      <c r="Y70" s="127">
        <f>Assumptions!$C$106</f>
        <v>0</v>
      </c>
      <c r="Z70" s="127">
        <f>Assumptions!$C$106</f>
        <v>0</v>
      </c>
      <c r="AA70" s="127">
        <f>Assumptions!$C$106</f>
        <v>0</v>
      </c>
      <c r="AB70" s="127">
        <f>Assumptions!$C$106</f>
        <v>0</v>
      </c>
      <c r="AC70" s="127">
        <f>Assumptions!$C$106</f>
        <v>0</v>
      </c>
      <c r="AD70" s="127">
        <f>Assumptions!$C$106</f>
        <v>0</v>
      </c>
      <c r="AE70" s="127">
        <f>Assumptions!$C$106</f>
        <v>0</v>
      </c>
      <c r="AF70" s="127">
        <f>Assumptions!$C$106</f>
        <v>0</v>
      </c>
      <c r="AG70" s="127">
        <f>Assumptions!$C$106</f>
        <v>0</v>
      </c>
      <c r="AH70" s="127">
        <f>Assumptions!$C$106</f>
        <v>0</v>
      </c>
      <c r="AI70" s="127">
        <f>Assumptions!$C$106</f>
        <v>0</v>
      </c>
      <c r="AJ70" s="127">
        <f>Assumptions!$C$106</f>
        <v>0</v>
      </c>
      <c r="AK70" s="127">
        <f>Assumptions!$C$106</f>
        <v>0</v>
      </c>
      <c r="AL70" s="127">
        <f>Assumptions!$C$106</f>
        <v>0</v>
      </c>
      <c r="AM70" s="127">
        <f>Assumptions!$C$106</f>
        <v>0</v>
      </c>
      <c r="AN70" s="127">
        <f>Assumptions!$C$106</f>
        <v>0</v>
      </c>
      <c r="AO70" s="127">
        <f>Assumptions!$C$106</f>
        <v>0</v>
      </c>
      <c r="AP70" s="127">
        <f>Assumptions!$C$106</f>
        <v>0</v>
      </c>
      <c r="AQ70" s="127">
        <f>Assumptions!$C$106</f>
        <v>0</v>
      </c>
      <c r="AR70" s="127">
        <f>Assumptions!$C$106</f>
        <v>0</v>
      </c>
      <c r="AS70" s="127">
        <f>Assumptions!$C$106</f>
        <v>0</v>
      </c>
      <c r="AT70" s="127">
        <f>Assumptions!$C$106</f>
        <v>0</v>
      </c>
      <c r="AU70" s="127">
        <f>Assumptions!$C$106</f>
        <v>0</v>
      </c>
      <c r="AV70" s="127">
        <f>Assumptions!$C$106</f>
        <v>0</v>
      </c>
      <c r="AW70" s="127">
        <f>Assumptions!$C$106</f>
        <v>0</v>
      </c>
      <c r="AX70" s="127">
        <f>Assumptions!$C$106</f>
        <v>0</v>
      </c>
      <c r="AY70" s="127">
        <f>Assumptions!$C$106</f>
        <v>0</v>
      </c>
      <c r="AZ70" s="127">
        <f>Assumptions!$C$106</f>
        <v>0</v>
      </c>
      <c r="BA70" s="127">
        <f>Assumptions!$C$106</f>
        <v>0</v>
      </c>
      <c r="BB70" s="127">
        <f>Assumptions!$C$106</f>
        <v>0</v>
      </c>
      <c r="BC70" s="127">
        <f>Assumptions!$C$106</f>
        <v>0</v>
      </c>
    </row>
    <row r="71" spans="1:60" s="41" customFormat="1" ht="16.149999999999999" customHeight="1" x14ac:dyDescent="0.25">
      <c r="A71" s="188"/>
      <c r="B71" s="130" t="s">
        <v>271</v>
      </c>
      <c r="C71" s="25" t="str">
        <f t="shared" ref="C71:AH71" ca="1" si="22">IF(AND(ISTEXT(B71),C77&lt;C$4-6),"No",IF(COUNTIFS(BSMonths,"&gt;="&amp;C$77,BSMonths,"&lt;="&amp;C$4)=1,"Yes","No"))</f>
        <v>No</v>
      </c>
      <c r="D71" s="25" t="str">
        <f t="shared" ca="1" si="22"/>
        <v>No</v>
      </c>
      <c r="E71" s="25" t="str">
        <f t="shared" ca="1" si="22"/>
        <v>No</v>
      </c>
      <c r="F71" s="25" t="str">
        <f t="shared" ca="1" si="22"/>
        <v>No</v>
      </c>
      <c r="G71" s="25" t="str">
        <f t="shared" ca="1" si="22"/>
        <v>No</v>
      </c>
      <c r="H71" s="25" t="str">
        <f t="shared" ca="1" si="22"/>
        <v>No</v>
      </c>
      <c r="I71" s="25" t="str">
        <f t="shared" ca="1" si="22"/>
        <v>No</v>
      </c>
      <c r="J71" s="25" t="str">
        <f t="shared" ca="1" si="22"/>
        <v>No</v>
      </c>
      <c r="K71" s="25" t="str">
        <f t="shared" ca="1" si="22"/>
        <v>No</v>
      </c>
      <c r="L71" s="25" t="str">
        <f t="shared" ca="1" si="22"/>
        <v>No</v>
      </c>
      <c r="M71" s="25" t="str">
        <f t="shared" ca="1" si="22"/>
        <v>No</v>
      </c>
      <c r="N71" s="25" t="str">
        <f t="shared" ca="1" si="22"/>
        <v>No</v>
      </c>
      <c r="O71" s="25" t="str">
        <f t="shared" ca="1" si="22"/>
        <v>No</v>
      </c>
      <c r="P71" s="25" t="str">
        <f t="shared" ca="1" si="22"/>
        <v>No</v>
      </c>
      <c r="Q71" s="25" t="str">
        <f t="shared" ca="1" si="22"/>
        <v>No</v>
      </c>
      <c r="R71" s="25" t="str">
        <f t="shared" ca="1" si="22"/>
        <v>No</v>
      </c>
      <c r="S71" s="25" t="str">
        <f t="shared" ca="1" si="22"/>
        <v>No</v>
      </c>
      <c r="T71" s="25" t="str">
        <f t="shared" ca="1" si="22"/>
        <v>No</v>
      </c>
      <c r="U71" s="25" t="str">
        <f t="shared" ca="1" si="22"/>
        <v>No</v>
      </c>
      <c r="V71" s="25" t="str">
        <f t="shared" ca="1" si="22"/>
        <v>No</v>
      </c>
      <c r="W71" s="25" t="str">
        <f t="shared" ca="1" si="22"/>
        <v>No</v>
      </c>
      <c r="X71" s="25" t="str">
        <f t="shared" ca="1" si="22"/>
        <v>No</v>
      </c>
      <c r="Y71" s="25" t="str">
        <f t="shared" ca="1" si="22"/>
        <v>No</v>
      </c>
      <c r="Z71" s="25" t="str">
        <f t="shared" ca="1" si="22"/>
        <v>No</v>
      </c>
      <c r="AA71" s="25" t="str">
        <f t="shared" ca="1" si="22"/>
        <v>No</v>
      </c>
      <c r="AB71" s="25" t="str">
        <f t="shared" ca="1" si="22"/>
        <v>No</v>
      </c>
      <c r="AC71" s="25" t="str">
        <f t="shared" ca="1" si="22"/>
        <v>No</v>
      </c>
      <c r="AD71" s="25" t="str">
        <f t="shared" ca="1" si="22"/>
        <v>No</v>
      </c>
      <c r="AE71" s="25" t="str">
        <f t="shared" ca="1" si="22"/>
        <v>No</v>
      </c>
      <c r="AF71" s="25" t="str">
        <f t="shared" ca="1" si="22"/>
        <v>No</v>
      </c>
      <c r="AG71" s="25" t="str">
        <f t="shared" ca="1" si="22"/>
        <v>No</v>
      </c>
      <c r="AH71" s="25" t="str">
        <f t="shared" ca="1" si="22"/>
        <v>No</v>
      </c>
      <c r="AI71" s="25" t="str">
        <f t="shared" ref="AI71:BC71" ca="1" si="23">IF(AND(ISTEXT(AH71),AI77&lt;AI$4-6),"No",IF(COUNTIFS(BSMonths,"&gt;="&amp;AI$77,BSMonths,"&lt;="&amp;AI$4)=1,"Yes","No"))</f>
        <v>No</v>
      </c>
      <c r="AJ71" s="25" t="str">
        <f t="shared" ca="1" si="23"/>
        <v>No</v>
      </c>
      <c r="AK71" s="25" t="str">
        <f t="shared" ca="1" si="23"/>
        <v>No</v>
      </c>
      <c r="AL71" s="25" t="str">
        <f t="shared" ca="1" si="23"/>
        <v>No</v>
      </c>
      <c r="AM71" s="25" t="str">
        <f t="shared" ca="1" si="23"/>
        <v>No</v>
      </c>
      <c r="AN71" s="25" t="str">
        <f t="shared" ca="1" si="23"/>
        <v>No</v>
      </c>
      <c r="AO71" s="25" t="str">
        <f t="shared" ca="1" si="23"/>
        <v>No</v>
      </c>
      <c r="AP71" s="25" t="str">
        <f t="shared" ca="1" si="23"/>
        <v>No</v>
      </c>
      <c r="AQ71" s="25" t="str">
        <f t="shared" ca="1" si="23"/>
        <v>No</v>
      </c>
      <c r="AR71" s="25" t="str">
        <f t="shared" ca="1" si="23"/>
        <v>No</v>
      </c>
      <c r="AS71" s="25" t="str">
        <f t="shared" ca="1" si="23"/>
        <v>No</v>
      </c>
      <c r="AT71" s="25" t="str">
        <f t="shared" ca="1" si="23"/>
        <v>No</v>
      </c>
      <c r="AU71" s="25" t="str">
        <f t="shared" ca="1" si="23"/>
        <v>No</v>
      </c>
      <c r="AV71" s="25" t="str">
        <f t="shared" ca="1" si="23"/>
        <v>No</v>
      </c>
      <c r="AW71" s="25" t="str">
        <f t="shared" ca="1" si="23"/>
        <v>No</v>
      </c>
      <c r="AX71" s="25" t="str">
        <f t="shared" ca="1" si="23"/>
        <v>No</v>
      </c>
      <c r="AY71" s="25" t="str">
        <f t="shared" ca="1" si="23"/>
        <v>No</v>
      </c>
      <c r="AZ71" s="25" t="str">
        <f t="shared" ca="1" si="23"/>
        <v>No</v>
      </c>
      <c r="BA71" s="25" t="str">
        <f t="shared" ca="1" si="23"/>
        <v>No</v>
      </c>
      <c r="BB71" s="25" t="str">
        <f t="shared" ca="1" si="23"/>
        <v>Yes</v>
      </c>
      <c r="BC71" s="25" t="str">
        <f t="shared" ca="1" si="23"/>
        <v>No</v>
      </c>
      <c r="BD71" s="40"/>
      <c r="BE71" s="40"/>
      <c r="BF71" s="40"/>
      <c r="BG71" s="40"/>
      <c r="BH71" s="40"/>
    </row>
    <row r="72" spans="1:60" s="41" customFormat="1" ht="16.149999999999999" customHeight="1" x14ac:dyDescent="0.25">
      <c r="A72" s="188"/>
      <c r="B72" s="130" t="s">
        <v>236</v>
      </c>
      <c r="C72" s="25" t="str">
        <f t="shared" ref="C72:AH72" ca="1" si="24">IF(AND(ISTEXT(B72),C78&lt;C$4-6),"No",IF(COUNTIFS(BSMonths,"&gt;="&amp;C$78,BSMonths,"&lt;="&amp;C$4)=1,"Yes","No"))</f>
        <v>No</v>
      </c>
      <c r="D72" s="25" t="str">
        <f t="shared" ca="1" si="24"/>
        <v>No</v>
      </c>
      <c r="E72" s="25" t="str">
        <f t="shared" ca="1" si="24"/>
        <v>No</v>
      </c>
      <c r="F72" s="25" t="str">
        <f t="shared" ca="1" si="24"/>
        <v>Yes</v>
      </c>
      <c r="G72" s="25" t="str">
        <f t="shared" ca="1" si="24"/>
        <v>No</v>
      </c>
      <c r="H72" s="25" t="str">
        <f t="shared" ca="1" si="24"/>
        <v>No</v>
      </c>
      <c r="I72" s="25" t="str">
        <f t="shared" ca="1" si="24"/>
        <v>No</v>
      </c>
      <c r="J72" s="25" t="str">
        <f t="shared" ca="1" si="24"/>
        <v>No</v>
      </c>
      <c r="K72" s="25" t="str">
        <f t="shared" ca="1" si="24"/>
        <v>No</v>
      </c>
      <c r="L72" s="25" t="str">
        <f t="shared" ca="1" si="24"/>
        <v>No</v>
      </c>
      <c r="M72" s="25" t="str">
        <f t="shared" ca="1" si="24"/>
        <v>No</v>
      </c>
      <c r="N72" s="25" t="str">
        <f t="shared" ca="1" si="24"/>
        <v>No</v>
      </c>
      <c r="O72" s="25" t="str">
        <f t="shared" ca="1" si="24"/>
        <v>No</v>
      </c>
      <c r="P72" s="25" t="str">
        <f t="shared" ca="1" si="24"/>
        <v>No</v>
      </c>
      <c r="Q72" s="25" t="str">
        <f t="shared" ca="1" si="24"/>
        <v>No</v>
      </c>
      <c r="R72" s="25" t="str">
        <f t="shared" ca="1" si="24"/>
        <v>No</v>
      </c>
      <c r="S72" s="25" t="str">
        <f t="shared" ca="1" si="24"/>
        <v>No</v>
      </c>
      <c r="T72" s="25" t="str">
        <f t="shared" ca="1" si="24"/>
        <v>No</v>
      </c>
      <c r="U72" s="25" t="str">
        <f t="shared" ca="1" si="24"/>
        <v>No</v>
      </c>
      <c r="V72" s="25" t="str">
        <f t="shared" ca="1" si="24"/>
        <v>No</v>
      </c>
      <c r="W72" s="25" t="str">
        <f t="shared" ca="1" si="24"/>
        <v>No</v>
      </c>
      <c r="X72" s="25" t="str">
        <f t="shared" ca="1" si="24"/>
        <v>No</v>
      </c>
      <c r="Y72" s="25" t="str">
        <f t="shared" ca="1" si="24"/>
        <v>No</v>
      </c>
      <c r="Z72" s="25" t="str">
        <f t="shared" ca="1" si="24"/>
        <v>No</v>
      </c>
      <c r="AA72" s="25" t="str">
        <f t="shared" ca="1" si="24"/>
        <v>No</v>
      </c>
      <c r="AB72" s="25" t="str">
        <f t="shared" ca="1" si="24"/>
        <v>No</v>
      </c>
      <c r="AC72" s="25" t="str">
        <f t="shared" ca="1" si="24"/>
        <v>No</v>
      </c>
      <c r="AD72" s="25" t="str">
        <f t="shared" ca="1" si="24"/>
        <v>No</v>
      </c>
      <c r="AE72" s="25" t="str">
        <f t="shared" ca="1" si="24"/>
        <v>No</v>
      </c>
      <c r="AF72" s="25" t="str">
        <f t="shared" ca="1" si="24"/>
        <v>No</v>
      </c>
      <c r="AG72" s="25" t="str">
        <f t="shared" ca="1" si="24"/>
        <v>No</v>
      </c>
      <c r="AH72" s="25" t="str">
        <f t="shared" ca="1" si="24"/>
        <v>No</v>
      </c>
      <c r="AI72" s="25" t="str">
        <f t="shared" ref="AI72:BC72" ca="1" si="25">IF(AND(ISTEXT(AH72),AI78&lt;AI$4-6),"No",IF(COUNTIFS(BSMonths,"&gt;="&amp;AI$78,BSMonths,"&lt;="&amp;AI$4)=1,"Yes","No"))</f>
        <v>No</v>
      </c>
      <c r="AJ72" s="25" t="str">
        <f t="shared" ca="1" si="25"/>
        <v>No</v>
      </c>
      <c r="AK72" s="25" t="str">
        <f t="shared" ca="1" si="25"/>
        <v>No</v>
      </c>
      <c r="AL72" s="25" t="str">
        <f t="shared" ca="1" si="25"/>
        <v>No</v>
      </c>
      <c r="AM72" s="25" t="str">
        <f t="shared" ca="1" si="25"/>
        <v>No</v>
      </c>
      <c r="AN72" s="25" t="str">
        <f t="shared" ca="1" si="25"/>
        <v>No</v>
      </c>
      <c r="AO72" s="25" t="str">
        <f t="shared" ca="1" si="25"/>
        <v>No</v>
      </c>
      <c r="AP72" s="25" t="str">
        <f t="shared" ca="1" si="25"/>
        <v>No</v>
      </c>
      <c r="AQ72" s="25" t="str">
        <f t="shared" ca="1" si="25"/>
        <v>No</v>
      </c>
      <c r="AR72" s="25" t="str">
        <f t="shared" ca="1" si="25"/>
        <v>No</v>
      </c>
      <c r="AS72" s="25" t="str">
        <f t="shared" ca="1" si="25"/>
        <v>No</v>
      </c>
      <c r="AT72" s="25" t="str">
        <f t="shared" ca="1" si="25"/>
        <v>No</v>
      </c>
      <c r="AU72" s="25" t="str">
        <f t="shared" ca="1" si="25"/>
        <v>No</v>
      </c>
      <c r="AV72" s="25" t="str">
        <f t="shared" ca="1" si="25"/>
        <v>No</v>
      </c>
      <c r="AW72" s="25" t="str">
        <f t="shared" ca="1" si="25"/>
        <v>No</v>
      </c>
      <c r="AX72" s="25" t="str">
        <f t="shared" ca="1" si="25"/>
        <v>No</v>
      </c>
      <c r="AY72" s="25" t="str">
        <f t="shared" ca="1" si="25"/>
        <v>No</v>
      </c>
      <c r="AZ72" s="25" t="str">
        <f t="shared" ca="1" si="25"/>
        <v>No</v>
      </c>
      <c r="BA72" s="25" t="str">
        <f t="shared" ca="1" si="25"/>
        <v>No</v>
      </c>
      <c r="BB72" s="25" t="str">
        <f t="shared" ca="1" si="25"/>
        <v>No</v>
      </c>
      <c r="BC72" s="25" t="str">
        <f t="shared" ca="1" si="25"/>
        <v>No</v>
      </c>
      <c r="BD72" s="40"/>
      <c r="BE72" s="40"/>
      <c r="BF72" s="40"/>
      <c r="BG72" s="40"/>
      <c r="BH72" s="40"/>
    </row>
    <row r="73" spans="1:60" s="19" customFormat="1" ht="16.149999999999999" customHeight="1" x14ac:dyDescent="0.25">
      <c r="A73" s="183"/>
      <c r="B73" s="6" t="s">
        <v>56</v>
      </c>
      <c r="C73" s="84"/>
      <c r="D73" s="84">
        <f ca="1">IncState!C59</f>
        <v>4824.0000000000009</v>
      </c>
      <c r="E73" s="84">
        <f ca="1">IncState!D59</f>
        <v>21348.107999999997</v>
      </c>
      <c r="F73" s="84">
        <f ca="1">IncState!E59</f>
        <v>26544</v>
      </c>
      <c r="G73" s="84">
        <f ca="1">IncState!F59</f>
        <v>-18955.200000000004</v>
      </c>
      <c r="H73" s="84">
        <f ca="1">IncState!G59</f>
        <v>7940.0399999999991</v>
      </c>
      <c r="I73" s="84">
        <f ca="1">IncState!H59</f>
        <v>192.8171770014942</v>
      </c>
      <c r="J73" s="84">
        <f ca="1">IncState!I59</f>
        <v>15641.639999999996</v>
      </c>
      <c r="K73" s="84">
        <f ca="1">IncState!J59</f>
        <v>30725.999999999996</v>
      </c>
      <c r="L73" s="84">
        <f ca="1">IncState!K59</f>
        <v>-43676.575514054814</v>
      </c>
      <c r="M73" s="84">
        <f ca="1">IncState!L59</f>
        <v>4100.9319179407048</v>
      </c>
      <c r="N73" s="84">
        <f ca="1">IncState!M59</f>
        <v>30591.489648296676</v>
      </c>
      <c r="O73" s="84">
        <f ca="1">IncState!N59</f>
        <v>34357.440000000002</v>
      </c>
      <c r="P73" s="84">
        <f ca="1">IncState!O59</f>
        <v>-54349.999756030462</v>
      </c>
      <c r="Q73" s="84">
        <f ca="1">IncState!P59</f>
        <v>14459.455494791509</v>
      </c>
      <c r="R73" s="84">
        <f ca="1">IncState!Q59</f>
        <v>28447.704709375943</v>
      </c>
      <c r="S73" s="84">
        <f ca="1">IncState!R59</f>
        <v>30200.639999999999</v>
      </c>
      <c r="T73" s="84">
        <f ca="1">IncState!S59</f>
        <v>-24341.4</v>
      </c>
      <c r="U73" s="84">
        <f ca="1">IncState!T59</f>
        <v>12088.248440128649</v>
      </c>
      <c r="V73" s="84">
        <f ca="1">IncState!U59</f>
        <v>10785.520191985144</v>
      </c>
      <c r="W73" s="84">
        <f ca="1">IncState!V59</f>
        <v>28593.599999999999</v>
      </c>
      <c r="X73" s="84">
        <f ca="1">IncState!W59</f>
        <v>26614.800000000003</v>
      </c>
      <c r="Y73" s="84">
        <f ca="1">IncState!X59</f>
        <v>-34838.789750533506</v>
      </c>
      <c r="Z73" s="84">
        <f ca="1">IncState!Y59</f>
        <v>12776.790950728595</v>
      </c>
      <c r="AA73" s="84">
        <f ca="1">IncState!Z59</f>
        <v>24884.437745486219</v>
      </c>
      <c r="AB73" s="84">
        <f ca="1">IncState!AA59</f>
        <v>35205.840000000011</v>
      </c>
      <c r="AC73" s="84">
        <f ca="1">IncState!AB59</f>
        <v>-41515.919999999998</v>
      </c>
      <c r="AD73" s="84">
        <f ca="1">IncState!AC59</f>
        <v>11440.134979569099</v>
      </c>
      <c r="AE73" s="84">
        <f ca="1">IncState!AD59</f>
        <v>33264.164825830238</v>
      </c>
      <c r="AF73" s="84">
        <f ca="1">IncState!AE59</f>
        <v>37483.199999999997</v>
      </c>
      <c r="AG73" s="84">
        <f ca="1">IncState!AF59</f>
        <v>37010.520000000004</v>
      </c>
      <c r="AH73" s="84">
        <f ca="1">IncState!AG59</f>
        <v>-32613.235649598828</v>
      </c>
      <c r="AI73" s="84">
        <f ca="1">IncState!AH59</f>
        <v>7777.6802502851551</v>
      </c>
      <c r="AJ73" s="84">
        <f ca="1">IncState!AI59</f>
        <v>37735.919999999998</v>
      </c>
      <c r="AK73" s="84">
        <f ca="1">IncState!AJ59</f>
        <v>26376.000000000007</v>
      </c>
      <c r="AL73" s="84">
        <f ca="1">IncState!AK59</f>
        <v>-35621.130707930264</v>
      </c>
      <c r="AM73" s="84">
        <f ca="1">IncState!AL59</f>
        <v>13576.75476274197</v>
      </c>
      <c r="AN73" s="84">
        <f ca="1">IncState!AM59</f>
        <v>38057.963202540872</v>
      </c>
      <c r="AO73" s="84">
        <f ca="1">IncState!AN59</f>
        <v>35067.600000000035</v>
      </c>
      <c r="AP73" s="84">
        <f ca="1">IncState!AO59</f>
        <v>-37501.200000000012</v>
      </c>
      <c r="AQ73" s="84">
        <f ca="1">IncState!AP59</f>
        <v>24914.092785722445</v>
      </c>
      <c r="AR73" s="84">
        <f ca="1">IncState!AQ59</f>
        <v>13831.803868514995</v>
      </c>
      <c r="AS73" s="84">
        <f ca="1">IncState!AR59</f>
        <v>16596</v>
      </c>
      <c r="AT73" s="84">
        <f ca="1">IncState!AS59</f>
        <v>-36300.479999999996</v>
      </c>
      <c r="AU73" s="84">
        <f ca="1">IncState!AT59</f>
        <v>-4739.3766917725325</v>
      </c>
      <c r="AV73" s="84">
        <f ca="1">IncState!AU59</f>
        <v>-2919.2747327126599</v>
      </c>
      <c r="AW73" s="84">
        <f ca="1">IncState!AV59</f>
        <v>25244.345174204696</v>
      </c>
      <c r="AX73" s="84">
        <f ca="1">IncState!AW59</f>
        <v>38697.599999999991</v>
      </c>
      <c r="AY73" s="84">
        <f ca="1">IncState!AX59</f>
        <v>-39336.076693970725</v>
      </c>
      <c r="AZ73" s="84">
        <f ca="1">IncState!AY59</f>
        <v>17517.376358997157</v>
      </c>
      <c r="BA73" s="84">
        <f ca="1">IncState!AZ59</f>
        <v>35435.791917407245</v>
      </c>
      <c r="BB73" s="84">
        <f ca="1">IncState!BA59</f>
        <v>27568.800000000017</v>
      </c>
      <c r="BC73" s="84">
        <f ca="1">IncState!BB59</f>
        <v>-43538.400000000023</v>
      </c>
      <c r="BD73" s="128"/>
      <c r="BE73" s="128"/>
      <c r="BF73" s="128"/>
      <c r="BG73" s="128"/>
      <c r="BH73" s="128"/>
    </row>
    <row r="74" spans="1:60" s="19" customFormat="1" ht="16.149999999999999" customHeight="1" x14ac:dyDescent="0.25">
      <c r="A74" s="183"/>
      <c r="B74" s="6" t="s">
        <v>272</v>
      </c>
      <c r="C74" s="84"/>
      <c r="D74" s="84">
        <f ca="1">IF(SUM($D73:D73)&lt;=0,0,(SUM($D73:D73)*D70))-SUM($C74:C74)</f>
        <v>0</v>
      </c>
      <c r="E74" s="84">
        <f ca="1">IF(SUM($D73:E73)&lt;=0,0,(SUM($D73:E73)*E70))-SUM($C74:D74)</f>
        <v>0</v>
      </c>
      <c r="F74" s="84">
        <f ca="1">IF(SUM($D73:F73)&lt;=0,0,(SUM($D73:F73)*F70))-SUM($C74:E74)</f>
        <v>0</v>
      </c>
      <c r="G74" s="84">
        <f ca="1">IF(SUM($D73:G73)&lt;=0,0,(SUM($D73:G73)*G70))-SUM($C74:F74)</f>
        <v>0</v>
      </c>
      <c r="H74" s="84">
        <f ca="1">IF(SUM($D73:H73)&lt;=0,0,(SUM($D73:H73)*H70))-SUM($C74:G74)</f>
        <v>0</v>
      </c>
      <c r="I74" s="84">
        <f ca="1">IF(SUM($D73:I73)&lt;=0,0,(SUM($D73:I73)*I70))-SUM($C74:H74)</f>
        <v>0</v>
      </c>
      <c r="J74" s="84">
        <f ca="1">IF(SUM($D73:J73)&lt;=0,0,(SUM($D73:J73)*J70))-SUM($C74:I74)</f>
        <v>0</v>
      </c>
      <c r="K74" s="84">
        <f ca="1">IF(SUM($D73:K73)&lt;=0,0,(SUM($D73:K73)*K70))-SUM($C74:J74)</f>
        <v>0</v>
      </c>
      <c r="L74" s="84">
        <f ca="1">IF(SUM($D73:L73)&lt;=0,0,(SUM($D73:L73)*L70))-SUM($C74:K74)</f>
        <v>0</v>
      </c>
      <c r="M74" s="84">
        <f ca="1">IF(SUM($D73:M73)&lt;=0,0,(SUM($D73:M73)*M70))-SUM($C74:L74)</f>
        <v>0</v>
      </c>
      <c r="N74" s="84">
        <f ca="1">IF(SUM($D73:N73)&lt;=0,0,(SUM($D73:N73)*N70))-SUM($C74:M74)</f>
        <v>0</v>
      </c>
      <c r="O74" s="84">
        <f ca="1">IF(SUM($D73:O73)&lt;=0,0,(SUM($D73:O73)*O70))-SUM($C74:N74)</f>
        <v>0</v>
      </c>
      <c r="P74" s="84">
        <f ca="1">IF(SUM($D73:P73)&lt;=0,0,(SUM($D73:P73)*P70))-SUM($C74:O74)</f>
        <v>0</v>
      </c>
      <c r="Q74" s="84">
        <f ca="1">IF(SUM($D73:Q73)&lt;=0,0,(SUM($D73:Q73)*Q70))-SUM($C74:P74)</f>
        <v>0</v>
      </c>
      <c r="R74" s="84">
        <f ca="1">IF(SUM($D73:R73)&lt;=0,0,(SUM($D73:R73)*R70))-SUM($C74:Q74)</f>
        <v>0</v>
      </c>
      <c r="S74" s="84">
        <f ca="1">IF(SUM($D73:S73)&lt;=0,0,(SUM($D73:S73)*S70))-SUM($C74:R74)</f>
        <v>0</v>
      </c>
      <c r="T74" s="84">
        <f ca="1">IF(SUM($D73:T73)&lt;=0,0,(SUM($D73:T73)*T70))-SUM($C74:S74)</f>
        <v>0</v>
      </c>
      <c r="U74" s="84">
        <f ca="1">IF(SUM($D73:U73)&lt;=0,0,(SUM($D73:U73)*U70))-SUM($C74:T74)</f>
        <v>0</v>
      </c>
      <c r="V74" s="84">
        <f ca="1">IF(SUM($D73:V73)&lt;=0,0,(SUM($D73:V73)*V70))-SUM($C74:U74)</f>
        <v>0</v>
      </c>
      <c r="W74" s="84">
        <f ca="1">IF(SUM($D73:W73)&lt;=0,0,(SUM($D73:W73)*W70))-SUM($C74:V74)</f>
        <v>0</v>
      </c>
      <c r="X74" s="84">
        <f ca="1">IF(SUM($D73:X73)&lt;=0,0,(SUM($D73:X73)*X70))-SUM($C74:W74)</f>
        <v>0</v>
      </c>
      <c r="Y74" s="84">
        <f ca="1">IF(SUM($D73:Y73)&lt;=0,0,(SUM($D73:Y73)*Y70))-SUM($C74:X74)</f>
        <v>0</v>
      </c>
      <c r="Z74" s="84">
        <f ca="1">IF(SUM($D73:Z73)&lt;=0,0,(SUM($D73:Z73)*Z70))-SUM($C74:Y74)</f>
        <v>0</v>
      </c>
      <c r="AA74" s="84">
        <f ca="1">IF(SUM($D73:AA73)&lt;=0,0,(SUM($D73:AA73)*AA70))-SUM($C74:Z74)</f>
        <v>0</v>
      </c>
      <c r="AB74" s="84">
        <f ca="1">IF(SUM($D73:AB73)&lt;=0,0,(SUM($D73:AB73)*AB70))-SUM($C74:AA74)</f>
        <v>0</v>
      </c>
      <c r="AC74" s="84">
        <f ca="1">IF(SUM($D73:AC73)&lt;=0,0,(SUM($D73:AC73)*AC70))-SUM($C74:AB74)</f>
        <v>0</v>
      </c>
      <c r="AD74" s="84">
        <f ca="1">IF(SUM($D73:AD73)&lt;=0,0,(SUM($D73:AD73)*AD70))-SUM($C74:AC74)</f>
        <v>0</v>
      </c>
      <c r="AE74" s="84">
        <f ca="1">IF(SUM($D73:AE73)&lt;=0,0,(SUM($D73:AE73)*AE70))-SUM($C74:AD74)</f>
        <v>0</v>
      </c>
      <c r="AF74" s="84">
        <f ca="1">IF(SUM($D73:AF73)&lt;=0,0,(SUM($D73:AF73)*AF70))-SUM($C74:AE74)</f>
        <v>0</v>
      </c>
      <c r="AG74" s="84">
        <f ca="1">IF(SUM($D73:AG73)&lt;=0,0,(SUM($D73:AG73)*AG70))-SUM($C74:AF74)</f>
        <v>0</v>
      </c>
      <c r="AH74" s="84">
        <f ca="1">IF(SUM($D73:AH73)&lt;=0,0,(SUM($D73:AH73)*AH70))-SUM($C74:AG74)</f>
        <v>0</v>
      </c>
      <c r="AI74" s="84">
        <f ca="1">IF(SUM($D73:AI73)&lt;=0,0,(SUM($D73:AI73)*AI70))-SUM($C74:AH74)</f>
        <v>0</v>
      </c>
      <c r="AJ74" s="84">
        <f ca="1">IF(SUM($D73:AJ73)&lt;=0,0,(SUM($D73:AJ73)*AJ70))-SUM($C74:AI74)</f>
        <v>0</v>
      </c>
      <c r="AK74" s="84">
        <f ca="1">IF(SUM($D73:AK73)&lt;=0,0,(SUM($D73:AK73)*AK70))-SUM($C74:AJ74)</f>
        <v>0</v>
      </c>
      <c r="AL74" s="84">
        <f ca="1">IF(SUM($D73:AL73)&lt;=0,0,(SUM($D73:AL73)*AL70))-SUM($C74:AK74)</f>
        <v>0</v>
      </c>
      <c r="AM74" s="84">
        <f ca="1">IF(SUM($D73:AM73)&lt;=0,0,(SUM($D73:AM73)*AM70))-SUM($C74:AL74)</f>
        <v>0</v>
      </c>
      <c r="AN74" s="84">
        <f ca="1">IF(SUM($D73:AN73)&lt;=0,0,(SUM($D73:AN73)*AN70))-SUM($C74:AM74)</f>
        <v>0</v>
      </c>
      <c r="AO74" s="84">
        <f ca="1">IF(SUM($D73:AO73)&lt;=0,0,(SUM($D73:AO73)*AO70))-SUM($C74:AN74)</f>
        <v>0</v>
      </c>
      <c r="AP74" s="84">
        <f ca="1">IF(SUM($D73:AP73)&lt;=0,0,(SUM($D73:AP73)*AP70))-SUM($C74:AO74)</f>
        <v>0</v>
      </c>
      <c r="AQ74" s="84">
        <f ca="1">IF(SUM($D73:AQ73)&lt;=0,0,(SUM($D73:AQ73)*AQ70))-SUM($C74:AP74)</f>
        <v>0</v>
      </c>
      <c r="AR74" s="84">
        <f ca="1">IF(SUM($D73:AR73)&lt;=0,0,(SUM($D73:AR73)*AR70))-SUM($C74:AQ74)</f>
        <v>0</v>
      </c>
      <c r="AS74" s="84">
        <f ca="1">IF(SUM($D73:AS73)&lt;=0,0,(SUM($D73:AS73)*AS70))-SUM($C74:AR74)</f>
        <v>0</v>
      </c>
      <c r="AT74" s="84">
        <f ca="1">IF(SUM($D73:AT73)&lt;=0,0,(SUM($D73:AT73)*AT70))-SUM($C74:AS74)</f>
        <v>0</v>
      </c>
      <c r="AU74" s="84">
        <f ca="1">IF(SUM($D73:AU73)&lt;=0,0,(SUM($D73:AU73)*AU70))-SUM($C74:AT74)</f>
        <v>0</v>
      </c>
      <c r="AV74" s="84">
        <f ca="1">IF(SUM($D73:AV73)&lt;=0,0,(SUM($D73:AV73)*AV70))-SUM($C74:AU74)</f>
        <v>0</v>
      </c>
      <c r="AW74" s="84">
        <f ca="1">IF(SUM($D73:AW73)&lt;=0,0,(SUM($D73:AW73)*AW70))-SUM($C74:AV74)</f>
        <v>0</v>
      </c>
      <c r="AX74" s="84">
        <f ca="1">IF(SUM($D73:AX73)&lt;=0,0,(SUM($D73:AX73)*AX70))-SUM($C74:AW74)</f>
        <v>0</v>
      </c>
      <c r="AY74" s="84">
        <f ca="1">IF(SUM($D73:AY73)&lt;=0,0,(SUM($D73:AY73)*AY70))-SUM($C74:AX74)</f>
        <v>0</v>
      </c>
      <c r="AZ74" s="84">
        <f ca="1">IF(SUM($D73:AZ73)&lt;=0,0,(SUM($D73:AZ73)*AZ70))-SUM($C74:AY74)</f>
        <v>0</v>
      </c>
      <c r="BA74" s="84">
        <f ca="1">IF(SUM($D73:BA73)&lt;=0,0,(SUM($D73:BA73)*BA70))-SUM($C74:AZ74)</f>
        <v>0</v>
      </c>
      <c r="BB74" s="84">
        <f ca="1">IF(SUM($D73:BB73)&lt;=0,0,(SUM($D73:BB73)*BB70))-SUM($C74:BA74)</f>
        <v>0</v>
      </c>
      <c r="BC74" s="84">
        <f ca="1">IF(SUM($D73:BC73)&lt;=0,0,(SUM($D73:BC73)*BC70))-SUM($C74:BB74)</f>
        <v>0</v>
      </c>
      <c r="BD74" s="128"/>
      <c r="BE74" s="128"/>
      <c r="BF74" s="128"/>
      <c r="BG74" s="128"/>
      <c r="BH74" s="128"/>
    </row>
    <row r="75" spans="1:60" s="19" customFormat="1" ht="16.149999999999999" customHeight="1" x14ac:dyDescent="0.25">
      <c r="A75" s="183"/>
      <c r="B75" s="6" t="s">
        <v>269</v>
      </c>
      <c r="C75" s="84"/>
      <c r="D75" s="84">
        <f ca="1">IF(D71="Yes",SUM($C74:D74)-SUM($C75:C75),0)</f>
        <v>0</v>
      </c>
      <c r="E75" s="84">
        <f ca="1">IF(E71="Yes",SUM($C74:E74)-SUM($C75:D75),0)</f>
        <v>0</v>
      </c>
      <c r="F75" s="84">
        <f ca="1">IF(F71="Yes",SUM($C74:F74)-SUM($C75:E75),0)</f>
        <v>0</v>
      </c>
      <c r="G75" s="84">
        <f ca="1">IF(G71="Yes",SUM($C74:G74)-SUM($C75:F75),0)</f>
        <v>0</v>
      </c>
      <c r="H75" s="84">
        <f ca="1">IF(H71="Yes",SUM($C74:H74)-SUM($C75:G75),0)</f>
        <v>0</v>
      </c>
      <c r="I75" s="84">
        <f ca="1">IF(I71="Yes",SUM($C74:I74)-SUM($C75:H75),0)</f>
        <v>0</v>
      </c>
      <c r="J75" s="84">
        <f ca="1">IF(J71="Yes",SUM($C74:J74)-SUM($C75:I75),0)</f>
        <v>0</v>
      </c>
      <c r="K75" s="84">
        <f ca="1">IF(K71="Yes",SUM($C74:K74)-SUM($C75:J75),0)</f>
        <v>0</v>
      </c>
      <c r="L75" s="84">
        <f ca="1">IF(L71="Yes",SUM($C74:L74)-SUM($C75:K75),0)</f>
        <v>0</v>
      </c>
      <c r="M75" s="84">
        <f ca="1">IF(M71="Yes",SUM($C74:M74)-SUM($C75:L75),0)</f>
        <v>0</v>
      </c>
      <c r="N75" s="84">
        <f ca="1">IF(N71="Yes",SUM($C74:N74)-SUM($C75:M75),0)</f>
        <v>0</v>
      </c>
      <c r="O75" s="84">
        <f ca="1">IF(O71="Yes",SUM($C74:O74)-SUM($C75:N75),0)</f>
        <v>0</v>
      </c>
      <c r="P75" s="84">
        <f ca="1">IF(P71="Yes",SUM($C74:P74)-SUM($C75:O75),0)</f>
        <v>0</v>
      </c>
      <c r="Q75" s="84">
        <f ca="1">IF(Q71="Yes",SUM($C74:Q74)-SUM($C75:P75),0)</f>
        <v>0</v>
      </c>
      <c r="R75" s="84">
        <f ca="1">IF(R71="Yes",SUM($C74:R74)-SUM($C75:Q75),0)</f>
        <v>0</v>
      </c>
      <c r="S75" s="84">
        <f ca="1">IF(S71="Yes",SUM($C74:S74)-SUM($C75:R75),0)</f>
        <v>0</v>
      </c>
      <c r="T75" s="84">
        <f ca="1">IF(T71="Yes",SUM($C74:T74)-SUM($C75:S75),0)</f>
        <v>0</v>
      </c>
      <c r="U75" s="84">
        <f ca="1">IF(U71="Yes",SUM($C74:U74)-SUM($C75:T75),0)</f>
        <v>0</v>
      </c>
      <c r="V75" s="84">
        <f ca="1">IF(V71="Yes",SUM($C74:V74)-SUM($C75:U75),0)</f>
        <v>0</v>
      </c>
      <c r="W75" s="84">
        <f ca="1">IF(W71="Yes",SUM($C74:W74)-SUM($C75:V75),0)</f>
        <v>0</v>
      </c>
      <c r="X75" s="84">
        <f ca="1">IF(X71="Yes",SUM($C74:X74)-SUM($C75:W75),0)</f>
        <v>0</v>
      </c>
      <c r="Y75" s="84">
        <f ca="1">IF(Y71="Yes",SUM($C74:Y74)-SUM($C75:X75),0)</f>
        <v>0</v>
      </c>
      <c r="Z75" s="84">
        <f ca="1">IF(Z71="Yes",SUM($C74:Z74)-SUM($C75:Y75),0)</f>
        <v>0</v>
      </c>
      <c r="AA75" s="84">
        <f ca="1">IF(AA71="Yes",SUM($C74:AA74)-SUM($C75:Z75),0)</f>
        <v>0</v>
      </c>
      <c r="AB75" s="84">
        <f ca="1">IF(AB71="Yes",SUM($C74:AB74)-SUM($C75:AA75),0)</f>
        <v>0</v>
      </c>
      <c r="AC75" s="84">
        <f ca="1">IF(AC71="Yes",SUM($C74:AC74)-SUM($C75:AB75),0)</f>
        <v>0</v>
      </c>
      <c r="AD75" s="84">
        <f ca="1">IF(AD71="Yes",SUM($C74:AD74)-SUM($C75:AC75),0)</f>
        <v>0</v>
      </c>
      <c r="AE75" s="84">
        <f ca="1">IF(AE71="Yes",SUM($C74:AE74)-SUM($C75:AD75),0)</f>
        <v>0</v>
      </c>
      <c r="AF75" s="84">
        <f ca="1">IF(AF71="Yes",SUM($C74:AF74)-SUM($C75:AE75),0)</f>
        <v>0</v>
      </c>
      <c r="AG75" s="84">
        <f ca="1">IF(AG71="Yes",SUM($C74:AG74)-SUM($C75:AF75),0)</f>
        <v>0</v>
      </c>
      <c r="AH75" s="84">
        <f ca="1">IF(AH71="Yes",SUM($C74:AH74)-SUM($C75:AG75),0)</f>
        <v>0</v>
      </c>
      <c r="AI75" s="84">
        <f ca="1">IF(AI71="Yes",SUM($C74:AI74)-SUM($C75:AH75),0)</f>
        <v>0</v>
      </c>
      <c r="AJ75" s="84">
        <f ca="1">IF(AJ71="Yes",SUM($C74:AJ74)-SUM($C75:AI75),0)</f>
        <v>0</v>
      </c>
      <c r="AK75" s="84">
        <f ca="1">IF(AK71="Yes",SUM($C74:AK74)-SUM($C75:AJ75),0)</f>
        <v>0</v>
      </c>
      <c r="AL75" s="84">
        <f ca="1">IF(AL71="Yes",SUM($C74:AL74)-SUM($C75:AK75),0)</f>
        <v>0</v>
      </c>
      <c r="AM75" s="84">
        <f ca="1">IF(AM71="Yes",SUM($C74:AM74)-SUM($C75:AL75),0)</f>
        <v>0</v>
      </c>
      <c r="AN75" s="84">
        <f ca="1">IF(AN71="Yes",SUM($C74:AN74)-SUM($C75:AM75),0)</f>
        <v>0</v>
      </c>
      <c r="AO75" s="84">
        <f ca="1">IF(AO71="Yes",SUM($C74:AO74)-SUM($C75:AN75),0)</f>
        <v>0</v>
      </c>
      <c r="AP75" s="84">
        <f ca="1">IF(AP71="Yes",SUM($C74:AP74)-SUM($C75:AO75),0)</f>
        <v>0</v>
      </c>
      <c r="AQ75" s="84">
        <f ca="1">IF(AQ71="Yes",SUM($C74:AQ74)-SUM($C75:AP75),0)</f>
        <v>0</v>
      </c>
      <c r="AR75" s="84">
        <f ca="1">IF(AR71="Yes",SUM($C74:AR74)-SUM($C75:AQ75),0)</f>
        <v>0</v>
      </c>
      <c r="AS75" s="84">
        <f ca="1">IF(AS71="Yes",SUM($C74:AS74)-SUM($C75:AR75),0)</f>
        <v>0</v>
      </c>
      <c r="AT75" s="84">
        <f ca="1">IF(AT71="Yes",SUM($C74:AT74)-SUM($C75:AS75),0)</f>
        <v>0</v>
      </c>
      <c r="AU75" s="84">
        <f ca="1">IF(AU71="Yes",SUM($C74:AU74)-SUM($C75:AT75),0)</f>
        <v>0</v>
      </c>
      <c r="AV75" s="84">
        <f ca="1">IF(AV71="Yes",SUM($C74:AV74)-SUM($C75:AU75),0)</f>
        <v>0</v>
      </c>
      <c r="AW75" s="84">
        <f ca="1">IF(AW71="Yes",SUM($C74:AW74)-SUM($C75:AV75),0)</f>
        <v>0</v>
      </c>
      <c r="AX75" s="84">
        <f ca="1">IF(AX71="Yes",SUM($C74:AX74)-SUM($C75:AW75),0)</f>
        <v>0</v>
      </c>
      <c r="AY75" s="84">
        <f ca="1">IF(AY71="Yes",SUM($C74:AY74)-SUM($C75:AX75),0)</f>
        <v>0</v>
      </c>
      <c r="AZ75" s="84">
        <f ca="1">IF(AZ71="Yes",SUM($C74:AZ74)-SUM($C75:AY75),0)</f>
        <v>0</v>
      </c>
      <c r="BA75" s="84">
        <f ca="1">IF(BA71="Yes",SUM($C74:BA74)-SUM($C75:AZ75),0)</f>
        <v>0</v>
      </c>
      <c r="BB75" s="84">
        <f ca="1">IF(BB71="Yes",SUM($C74:BB74)-SUM($C75:BA75),0)</f>
        <v>0</v>
      </c>
      <c r="BC75" s="84">
        <f ca="1">IF(BC71="Yes",SUM($C74:BC74)-SUM($C75:BB75),0)</f>
        <v>0</v>
      </c>
      <c r="BD75" s="128"/>
      <c r="BE75" s="128"/>
      <c r="BF75" s="128"/>
      <c r="BG75" s="128"/>
      <c r="BH75" s="128"/>
    </row>
    <row r="76" spans="1:60" s="19" customFormat="1" ht="16.149999999999999" customHeight="1" x14ac:dyDescent="0.25">
      <c r="A76" s="183"/>
      <c r="B76" s="6" t="s">
        <v>270</v>
      </c>
      <c r="C76" s="84"/>
      <c r="D76" s="84">
        <f ca="1">IF(Assumptions!$C$109="Cash",0,IF(D79="No",0,SUMIFS($D75:D75,$D4:D4,"&gt;"&amp;D$78)))</f>
        <v>0</v>
      </c>
      <c r="E76" s="84">
        <f ca="1">IF(Assumptions!$C$109="Cash",0,IF(E79="No",0,SUMIFS($D75:E75,$D4:E4,"&gt;"&amp;E$78)))</f>
        <v>0</v>
      </c>
      <c r="F76" s="84">
        <f ca="1">IF(Assumptions!$C$109="Cash",0,IF(F79="No",0,SUMIFS($D75:F75,$D4:F4,"&gt;"&amp;F$78)))</f>
        <v>0</v>
      </c>
      <c r="G76" s="84">
        <f ca="1">IF(Assumptions!$C$109="Cash",0,IF(G79="No",0,SUMIFS($D75:G75,$D4:G4,"&gt;"&amp;G$78)))</f>
        <v>0</v>
      </c>
      <c r="H76" s="84">
        <f ca="1">IF(Assumptions!$C$109="Cash",0,IF(H79="No",0,SUMIFS($D75:H75,$D4:H4,"&gt;"&amp;H$78)))</f>
        <v>0</v>
      </c>
      <c r="I76" s="84">
        <f ca="1">IF(Assumptions!$C$109="Cash",0,IF(I79="No",0,SUMIFS($D75:I75,$D4:I4,"&gt;"&amp;I$78)))</f>
        <v>0</v>
      </c>
      <c r="J76" s="84">
        <f ca="1">IF(Assumptions!$C$109="Cash",0,IF(J79="No",0,SUMIFS($D75:J75,$D4:J4,"&gt;"&amp;J$78)))</f>
        <v>0</v>
      </c>
      <c r="K76" s="84">
        <f ca="1">IF(Assumptions!$C$109="Cash",0,IF(K79="No",0,SUMIFS($D75:K75,$D4:K4,"&gt;"&amp;K$78)))</f>
        <v>0</v>
      </c>
      <c r="L76" s="84">
        <f ca="1">IF(Assumptions!$C$109="Cash",0,IF(L79="No",0,SUMIFS($D75:L75,$D4:L4,"&gt;"&amp;L$78)))</f>
        <v>0</v>
      </c>
      <c r="M76" s="84">
        <f ca="1">IF(Assumptions!$C$109="Cash",0,IF(M79="No",0,SUMIFS($D75:M75,$D4:M4,"&gt;"&amp;M$78)))</f>
        <v>0</v>
      </c>
      <c r="N76" s="84">
        <f ca="1">IF(Assumptions!$C$109="Cash",0,IF(N79="No",0,SUMIFS($D75:N75,$D4:N4,"&gt;"&amp;N$78)))</f>
        <v>0</v>
      </c>
      <c r="O76" s="84">
        <f ca="1">IF(Assumptions!$C$109="Cash",0,IF(O79="No",0,SUMIFS($D75:O75,$D4:O4,"&gt;"&amp;O$78)))</f>
        <v>0</v>
      </c>
      <c r="P76" s="84">
        <f ca="1">IF(Assumptions!$C$109="Cash",0,IF(P79="No",0,SUMIFS($D75:P75,$D4:P4,"&gt;"&amp;P$78)))</f>
        <v>0</v>
      </c>
      <c r="Q76" s="84">
        <f ca="1">IF(Assumptions!$C$109="Cash",0,IF(Q79="No",0,SUMIFS($D75:Q75,$D4:Q4,"&gt;"&amp;Q$78)))</f>
        <v>0</v>
      </c>
      <c r="R76" s="84">
        <f ca="1">IF(Assumptions!$C$109="Cash",0,IF(R79="No",0,SUMIFS($D75:R75,$D4:R4,"&gt;"&amp;R$78)))</f>
        <v>0</v>
      </c>
      <c r="S76" s="84">
        <f ca="1">IF(Assumptions!$C$109="Cash",0,IF(S79="No",0,SUMIFS($D75:S75,$D4:S4,"&gt;"&amp;S$78)))</f>
        <v>0</v>
      </c>
      <c r="T76" s="84">
        <f ca="1">IF(Assumptions!$C$109="Cash",0,IF(T79="No",0,SUMIFS($D75:T75,$D4:T4,"&gt;"&amp;T$78)))</f>
        <v>0</v>
      </c>
      <c r="U76" s="84">
        <f ca="1">IF(Assumptions!$C$109="Cash",0,IF(U79="No",0,SUMIFS($D75:U75,$D4:U4,"&gt;"&amp;U$78)))</f>
        <v>0</v>
      </c>
      <c r="V76" s="84">
        <f ca="1">IF(Assumptions!$C$109="Cash",0,IF(V79="No",0,SUMIFS($D75:V75,$D4:V4,"&gt;"&amp;V$78)))</f>
        <v>0</v>
      </c>
      <c r="W76" s="84">
        <f ca="1">IF(Assumptions!$C$109="Cash",0,IF(W79="No",0,SUMIFS($D75:W75,$D4:W4,"&gt;"&amp;W$78)))</f>
        <v>0</v>
      </c>
      <c r="X76" s="84">
        <f ca="1">IF(Assumptions!$C$109="Cash",0,IF(X79="No",0,SUMIFS($D75:X75,$D4:X4,"&gt;"&amp;X$78)))</f>
        <v>0</v>
      </c>
      <c r="Y76" s="84">
        <f ca="1">IF(Assumptions!$C$109="Cash",0,IF(Y79="No",0,SUMIFS($D75:Y75,$D4:Y4,"&gt;"&amp;Y$78)))</f>
        <v>0</v>
      </c>
      <c r="Z76" s="84">
        <f ca="1">IF(Assumptions!$C$109="Cash",0,IF(Z79="No",0,SUMIFS($D75:Z75,$D4:Z4,"&gt;"&amp;Z$78)))</f>
        <v>0</v>
      </c>
      <c r="AA76" s="84">
        <f ca="1">IF(Assumptions!$C$109="Cash",0,IF(AA79="No",0,SUMIFS($D75:AA75,$D4:AA4,"&gt;"&amp;AA$78)))</f>
        <v>0</v>
      </c>
      <c r="AB76" s="84">
        <f ca="1">IF(Assumptions!$C$109="Cash",0,IF(AB79="No",0,SUMIFS($D75:AB75,$D4:AB4,"&gt;"&amp;AB$78)))</f>
        <v>0</v>
      </c>
      <c r="AC76" s="84">
        <f ca="1">IF(Assumptions!$C$109="Cash",0,IF(AC79="No",0,SUMIFS($D75:AC75,$D4:AC4,"&gt;"&amp;AC$78)))</f>
        <v>0</v>
      </c>
      <c r="AD76" s="84">
        <f ca="1">IF(Assumptions!$C$109="Cash",0,IF(AD79="No",0,SUMIFS($D75:AD75,$D4:AD4,"&gt;"&amp;AD$78)))</f>
        <v>0</v>
      </c>
      <c r="AE76" s="84">
        <f ca="1">IF(Assumptions!$C$109="Cash",0,IF(AE79="No",0,SUMIFS($D75:AE75,$D4:AE4,"&gt;"&amp;AE$78)))</f>
        <v>0</v>
      </c>
      <c r="AF76" s="84">
        <f ca="1">IF(Assumptions!$C$109="Cash",0,IF(AF79="No",0,SUMIFS($D75:AF75,$D4:AF4,"&gt;"&amp;AF$78)))</f>
        <v>0</v>
      </c>
      <c r="AG76" s="84">
        <f ca="1">IF(Assumptions!$C$109="Cash",0,IF(AG79="No",0,SUMIFS($D75:AG75,$D4:AG4,"&gt;"&amp;AG$78)))</f>
        <v>0</v>
      </c>
      <c r="AH76" s="84">
        <f ca="1">IF(Assumptions!$C$109="Cash",0,IF(AH79="No",0,SUMIFS($D75:AH75,$D4:AH4,"&gt;"&amp;AH$78)))</f>
        <v>0</v>
      </c>
      <c r="AI76" s="84">
        <f ca="1">IF(Assumptions!$C$109="Cash",0,IF(AI79="No",0,SUMIFS($D75:AI75,$D4:AI4,"&gt;"&amp;AI$78)))</f>
        <v>0</v>
      </c>
      <c r="AJ76" s="84">
        <f ca="1">IF(Assumptions!$C$109="Cash",0,IF(AJ79="No",0,SUMIFS($D75:AJ75,$D4:AJ4,"&gt;"&amp;AJ$78)))</f>
        <v>0</v>
      </c>
      <c r="AK76" s="84">
        <f ca="1">IF(Assumptions!$C$109="Cash",0,IF(AK79="No",0,SUMIFS($D75:AK75,$D4:AK4,"&gt;"&amp;AK$78)))</f>
        <v>0</v>
      </c>
      <c r="AL76" s="84">
        <f ca="1">IF(Assumptions!$C$109="Cash",0,IF(AL79="No",0,SUMIFS($D75:AL75,$D4:AL4,"&gt;"&amp;AL$78)))</f>
        <v>0</v>
      </c>
      <c r="AM76" s="84">
        <f ca="1">IF(Assumptions!$C$109="Cash",0,IF(AM79="No",0,SUMIFS($D75:AM75,$D4:AM4,"&gt;"&amp;AM$78)))</f>
        <v>0</v>
      </c>
      <c r="AN76" s="84">
        <f ca="1">IF(Assumptions!$C$109="Cash",0,IF(AN79="No",0,SUMIFS($D75:AN75,$D4:AN4,"&gt;"&amp;AN$78)))</f>
        <v>0</v>
      </c>
      <c r="AO76" s="84">
        <f ca="1">IF(Assumptions!$C$109="Cash",0,IF(AO79="No",0,SUMIFS($D75:AO75,$D4:AO4,"&gt;"&amp;AO$78)))</f>
        <v>0</v>
      </c>
      <c r="AP76" s="84">
        <f ca="1">IF(Assumptions!$C$109="Cash",0,IF(AP79="No",0,SUMIFS($D75:AP75,$D4:AP4,"&gt;"&amp;AP$78)))</f>
        <v>0</v>
      </c>
      <c r="AQ76" s="84">
        <f ca="1">IF(Assumptions!$C$109="Cash",0,IF(AQ79="No",0,SUMIFS($D75:AQ75,$D4:AQ4,"&gt;"&amp;AQ$78)))</f>
        <v>0</v>
      </c>
      <c r="AR76" s="84">
        <f ca="1">IF(Assumptions!$C$109="Cash",0,IF(AR79="No",0,SUMIFS($D75:AR75,$D4:AR4,"&gt;"&amp;AR$78)))</f>
        <v>0</v>
      </c>
      <c r="AS76" s="84">
        <f ca="1">IF(Assumptions!$C$109="Cash",0,IF(AS79="No",0,SUMIFS($D75:AS75,$D4:AS4,"&gt;"&amp;AS$78)))</f>
        <v>0</v>
      </c>
      <c r="AT76" s="84">
        <f ca="1">IF(Assumptions!$C$109="Cash",0,IF(AT79="No",0,SUMIFS($D75:AT75,$D4:AT4,"&gt;"&amp;AT$78)))</f>
        <v>0</v>
      </c>
      <c r="AU76" s="84">
        <f ca="1">IF(Assumptions!$C$109="Cash",0,IF(AU79="No",0,SUMIFS($D75:AU75,$D4:AU4,"&gt;"&amp;AU$78)))</f>
        <v>0</v>
      </c>
      <c r="AV76" s="84">
        <f ca="1">IF(Assumptions!$C$109="Cash",0,IF(AV79="No",0,SUMIFS($D75:AV75,$D4:AV4,"&gt;"&amp;AV$78)))</f>
        <v>0</v>
      </c>
      <c r="AW76" s="84">
        <f ca="1">IF(Assumptions!$C$109="Cash",0,IF(AW79="No",0,SUMIFS($D75:AW75,$D4:AW4,"&gt;"&amp;AW$78)))</f>
        <v>0</v>
      </c>
      <c r="AX76" s="84">
        <f ca="1">IF(Assumptions!$C$109="Cash",0,IF(AX79="No",0,SUMIFS($D75:AX75,$D4:AX4,"&gt;"&amp;AX$78)))</f>
        <v>0</v>
      </c>
      <c r="AY76" s="84">
        <f ca="1">IF(Assumptions!$C$109="Cash",0,IF(AY79="No",0,SUMIFS($D75:AY75,$D4:AY4,"&gt;"&amp;AY$78)))</f>
        <v>0</v>
      </c>
      <c r="AZ76" s="84">
        <f ca="1">IF(Assumptions!$C$109="Cash",0,IF(AZ79="No",0,SUMIFS($D75:AZ75,$D4:AZ4,"&gt;"&amp;AZ$78)))</f>
        <v>0</v>
      </c>
      <c r="BA76" s="84">
        <f ca="1">IF(Assumptions!$C$109="Cash",0,IF(BA79="No",0,SUMIFS($D75:BA75,$D4:BA4,"&gt;"&amp;BA$78)))</f>
        <v>0</v>
      </c>
      <c r="BB76" s="84">
        <f ca="1">IF(Assumptions!$C$109="Cash",0,IF(BB79="No",0,SUMIFS($D75:BB75,$D4:BB4,"&gt;"&amp;BB$78)))</f>
        <v>0</v>
      </c>
      <c r="BC76" s="84">
        <f ca="1">IF(Assumptions!$C$109="Cash",0,IF(BC79="No",0,SUMIFS($D75:BC75,$D4:BC4,"&gt;"&amp;BC$78)))</f>
        <v>0</v>
      </c>
      <c r="BD76" s="128"/>
      <c r="BE76" s="128"/>
      <c r="BF76" s="128"/>
      <c r="BG76" s="128"/>
      <c r="BH76" s="128"/>
    </row>
    <row r="77" spans="1:60" s="122" customFormat="1" ht="16.149999999999999" customHeight="1" x14ac:dyDescent="0.25">
      <c r="A77" s="186"/>
      <c r="B77" s="122" t="s">
        <v>274</v>
      </c>
      <c r="C77" s="123">
        <f ca="1">OFFSET(Pay!$P$2,MATCH(C$4,Pay!$P$3:$P$18,1),0,1,1)</f>
        <v>44247</v>
      </c>
      <c r="D77" s="123">
        <f ca="1">OFFSET(Pay!$P$2,MATCH(D$4,Pay!$P$3:$P$18,1),0,1,1)</f>
        <v>44247</v>
      </c>
      <c r="E77" s="123">
        <f ca="1">OFFSET(Pay!$P$2,MATCH(E$4,Pay!$P$3:$P$18,1),0,1,1)</f>
        <v>44247</v>
      </c>
      <c r="F77" s="123">
        <f ca="1">OFFSET(Pay!$P$2,MATCH(F$4,Pay!$P$3:$P$18,1),0,1,1)</f>
        <v>44247</v>
      </c>
      <c r="G77" s="123">
        <f ca="1">OFFSET(Pay!$P$2,MATCH(G$4,Pay!$P$3:$P$18,1),0,1,1)</f>
        <v>44247</v>
      </c>
      <c r="H77" s="123">
        <f ca="1">OFFSET(Pay!$P$2,MATCH(H$4,Pay!$P$3:$P$18,1),0,1,1)</f>
        <v>44247</v>
      </c>
      <c r="I77" s="123">
        <f ca="1">OFFSET(Pay!$P$2,MATCH(I$4,Pay!$P$3:$P$18,1),0,1,1)</f>
        <v>44247</v>
      </c>
      <c r="J77" s="123">
        <f ca="1">OFFSET(Pay!$P$2,MATCH(J$4,Pay!$P$3:$P$18,1),0,1,1)</f>
        <v>44247</v>
      </c>
      <c r="K77" s="123">
        <f ca="1">OFFSET(Pay!$P$2,MATCH(K$4,Pay!$P$3:$P$18,1),0,1,1)</f>
        <v>44247</v>
      </c>
      <c r="L77" s="123">
        <f ca="1">OFFSET(Pay!$P$2,MATCH(L$4,Pay!$P$3:$P$18,1),0,1,1)</f>
        <v>44247</v>
      </c>
      <c r="M77" s="123">
        <f ca="1">OFFSET(Pay!$P$2,MATCH(M$4,Pay!$P$3:$P$18,1),0,1,1)</f>
        <v>44247</v>
      </c>
      <c r="N77" s="123">
        <f ca="1">OFFSET(Pay!$P$2,MATCH(N$4,Pay!$P$3:$P$18,1),0,1,1)</f>
        <v>44247</v>
      </c>
      <c r="O77" s="123">
        <f ca="1">OFFSET(Pay!$P$2,MATCH(O$4,Pay!$P$3:$P$18,1),0,1,1)</f>
        <v>44247</v>
      </c>
      <c r="P77" s="123">
        <f ca="1">OFFSET(Pay!$P$2,MATCH(P$4,Pay!$P$3:$P$18,1),0,1,1)</f>
        <v>44247</v>
      </c>
      <c r="Q77" s="123">
        <f ca="1">OFFSET(Pay!$P$2,MATCH(Q$4,Pay!$P$3:$P$18,1),0,1,1)</f>
        <v>44247</v>
      </c>
      <c r="R77" s="123">
        <f ca="1">OFFSET(Pay!$P$2,MATCH(R$4,Pay!$P$3:$P$18,1),0,1,1)</f>
        <v>44247</v>
      </c>
      <c r="S77" s="123">
        <f ca="1">OFFSET(Pay!$P$2,MATCH(S$4,Pay!$P$3:$P$18,1),0,1,1)</f>
        <v>44247</v>
      </c>
      <c r="T77" s="123">
        <f ca="1">OFFSET(Pay!$P$2,MATCH(T$4,Pay!$P$3:$P$18,1),0,1,1)</f>
        <v>44247</v>
      </c>
      <c r="U77" s="123">
        <f ca="1">OFFSET(Pay!$P$2,MATCH(U$4,Pay!$P$3:$P$18,1),0,1,1)</f>
        <v>44247</v>
      </c>
      <c r="V77" s="123">
        <f ca="1">OFFSET(Pay!$P$2,MATCH(V$4,Pay!$P$3:$P$18,1),0,1,1)</f>
        <v>44247</v>
      </c>
      <c r="W77" s="123">
        <f ca="1">OFFSET(Pay!$P$2,MATCH(W$4,Pay!$P$3:$P$18,1),0,1,1)</f>
        <v>44247</v>
      </c>
      <c r="X77" s="123">
        <f ca="1">OFFSET(Pay!$P$2,MATCH(X$4,Pay!$P$3:$P$18,1),0,1,1)</f>
        <v>44247</v>
      </c>
      <c r="Y77" s="123">
        <f ca="1">OFFSET(Pay!$P$2,MATCH(Y$4,Pay!$P$3:$P$18,1),0,1,1)</f>
        <v>44247</v>
      </c>
      <c r="Z77" s="123">
        <f ca="1">OFFSET(Pay!$P$2,MATCH(Z$4,Pay!$P$3:$P$18,1),0,1,1)</f>
        <v>44247</v>
      </c>
      <c r="AA77" s="123">
        <f ca="1">OFFSET(Pay!$P$2,MATCH(AA$4,Pay!$P$3:$P$18,1),0,1,1)</f>
        <v>44247</v>
      </c>
      <c r="AB77" s="123">
        <f ca="1">OFFSET(Pay!$P$2,MATCH(AB$4,Pay!$P$3:$P$18,1),0,1,1)</f>
        <v>44247</v>
      </c>
      <c r="AC77" s="123">
        <f ca="1">OFFSET(Pay!$P$2,MATCH(AC$4,Pay!$P$3:$P$18,1),0,1,1)</f>
        <v>44247</v>
      </c>
      <c r="AD77" s="123">
        <f ca="1">OFFSET(Pay!$P$2,MATCH(AD$4,Pay!$P$3:$P$18,1),0,1,1)</f>
        <v>44247</v>
      </c>
      <c r="AE77" s="123">
        <f ca="1">OFFSET(Pay!$P$2,MATCH(AE$4,Pay!$P$3:$P$18,1),0,1,1)</f>
        <v>44247</v>
      </c>
      <c r="AF77" s="123">
        <f ca="1">OFFSET(Pay!$P$2,MATCH(AF$4,Pay!$P$3:$P$18,1),0,1,1)</f>
        <v>44247</v>
      </c>
      <c r="AG77" s="123">
        <f ca="1">OFFSET(Pay!$P$2,MATCH(AG$4,Pay!$P$3:$P$18,1),0,1,1)</f>
        <v>44247</v>
      </c>
      <c r="AH77" s="123">
        <f ca="1">OFFSET(Pay!$P$2,MATCH(AH$4,Pay!$P$3:$P$18,1),0,1,1)</f>
        <v>44247</v>
      </c>
      <c r="AI77" s="123">
        <f ca="1">OFFSET(Pay!$P$2,MATCH(AI$4,Pay!$P$3:$P$18,1),0,1,1)</f>
        <v>44247</v>
      </c>
      <c r="AJ77" s="123">
        <f ca="1">OFFSET(Pay!$P$2,MATCH(AJ$4,Pay!$P$3:$P$18,1),0,1,1)</f>
        <v>44247</v>
      </c>
      <c r="AK77" s="123">
        <f ca="1">OFFSET(Pay!$P$2,MATCH(AK$4,Pay!$P$3:$P$18,1),0,1,1)</f>
        <v>44247</v>
      </c>
      <c r="AL77" s="123">
        <f ca="1">OFFSET(Pay!$P$2,MATCH(AL$4,Pay!$P$3:$P$18,1),0,1,1)</f>
        <v>44247</v>
      </c>
      <c r="AM77" s="123">
        <f ca="1">OFFSET(Pay!$P$2,MATCH(AM$4,Pay!$P$3:$P$18,1),0,1,1)</f>
        <v>44247</v>
      </c>
      <c r="AN77" s="123">
        <f ca="1">OFFSET(Pay!$P$2,MATCH(AN$4,Pay!$P$3:$P$18,1),0,1,1)</f>
        <v>44247</v>
      </c>
      <c r="AO77" s="123">
        <f ca="1">OFFSET(Pay!$P$2,MATCH(AO$4,Pay!$P$3:$P$18,1),0,1,1)</f>
        <v>44247</v>
      </c>
      <c r="AP77" s="123">
        <f ca="1">OFFSET(Pay!$P$2,MATCH(AP$4,Pay!$P$3:$P$18,1),0,1,1)</f>
        <v>44247</v>
      </c>
      <c r="AQ77" s="123">
        <f ca="1">OFFSET(Pay!$P$2,MATCH(AQ$4,Pay!$P$3:$P$18,1),0,1,1)</f>
        <v>44247</v>
      </c>
      <c r="AR77" s="123">
        <f ca="1">OFFSET(Pay!$P$2,MATCH(AR$4,Pay!$P$3:$P$18,1),0,1,1)</f>
        <v>44247</v>
      </c>
      <c r="AS77" s="123">
        <f ca="1">OFFSET(Pay!$P$2,MATCH(AS$4,Pay!$P$3:$P$18,1),0,1,1)</f>
        <v>44247</v>
      </c>
      <c r="AT77" s="123">
        <f ca="1">OFFSET(Pay!$P$2,MATCH(AT$4,Pay!$P$3:$P$18,1),0,1,1)</f>
        <v>44247</v>
      </c>
      <c r="AU77" s="123">
        <f ca="1">OFFSET(Pay!$P$2,MATCH(AU$4,Pay!$P$3:$P$18,1),0,1,1)</f>
        <v>44247</v>
      </c>
      <c r="AV77" s="123">
        <f ca="1">OFFSET(Pay!$P$2,MATCH(AV$4,Pay!$P$3:$P$18,1),0,1,1)</f>
        <v>44247</v>
      </c>
      <c r="AW77" s="123">
        <f ca="1">OFFSET(Pay!$P$2,MATCH(AW$4,Pay!$P$3:$P$18,1),0,1,1)</f>
        <v>44247</v>
      </c>
      <c r="AX77" s="123">
        <f ca="1">OFFSET(Pay!$P$2,MATCH(AX$4,Pay!$P$3:$P$18,1),0,1,1)</f>
        <v>44247</v>
      </c>
      <c r="AY77" s="123">
        <f ca="1">OFFSET(Pay!$P$2,MATCH(AY$4,Pay!$P$3:$P$18,1),0,1,1)</f>
        <v>44247</v>
      </c>
      <c r="AZ77" s="123">
        <f ca="1">OFFSET(Pay!$P$2,MATCH(AZ$4,Pay!$P$3:$P$18,1),0,1,1)</f>
        <v>44247</v>
      </c>
      <c r="BA77" s="123">
        <f ca="1">OFFSET(Pay!$P$2,MATCH(BA$4,Pay!$P$3:$P$18,1),0,1,1)</f>
        <v>44247</v>
      </c>
      <c r="BB77" s="123">
        <f ca="1">OFFSET(Pay!$P$2,MATCH(BB$4,Pay!$P$3:$P$18,1),0,1,1)</f>
        <v>44612</v>
      </c>
      <c r="BC77" s="123">
        <f ca="1">OFFSET(Pay!$P$2,MATCH(BC$4,Pay!$P$3:$P$18,1),0,1,1)</f>
        <v>44612</v>
      </c>
      <c r="BD77" s="129"/>
      <c r="BE77" s="129"/>
      <c r="BF77" s="129"/>
      <c r="BG77" s="129"/>
      <c r="BH77" s="129"/>
    </row>
    <row r="78" spans="1:60" s="122" customFormat="1" ht="16.149999999999999" customHeight="1" x14ac:dyDescent="0.25">
      <c r="A78" s="186"/>
      <c r="B78" s="122" t="s">
        <v>258</v>
      </c>
      <c r="C78" s="123">
        <f ca="1">OFFSET(Pay!$Q$2,MATCH(C$4,Pay!$Q$3:$Q$18,1),0,1,1)</f>
        <v>43910</v>
      </c>
      <c r="D78" s="123">
        <f ca="1">OFFSET(Pay!$Q$2,MATCH(D$4,Pay!$Q$3:$Q$18,1),0,1,1)</f>
        <v>43910</v>
      </c>
      <c r="E78" s="123">
        <f ca="1">OFFSET(Pay!$Q$2,MATCH(E$4,Pay!$Q$3:$Q$18,1),0,1,1)</f>
        <v>43910</v>
      </c>
      <c r="F78" s="123">
        <f ca="1">OFFSET(Pay!$Q$2,MATCH(F$4,Pay!$Q$3:$Q$18,1),0,1,1)</f>
        <v>44275</v>
      </c>
      <c r="G78" s="123">
        <f ca="1">OFFSET(Pay!$Q$2,MATCH(G$4,Pay!$Q$3:$Q$18,1),0,1,1)</f>
        <v>44275</v>
      </c>
      <c r="H78" s="123">
        <f ca="1">OFFSET(Pay!$Q$2,MATCH(H$4,Pay!$Q$3:$Q$18,1),0,1,1)</f>
        <v>44275</v>
      </c>
      <c r="I78" s="123">
        <f ca="1">OFFSET(Pay!$Q$2,MATCH(I$4,Pay!$Q$3:$Q$18,1),0,1,1)</f>
        <v>44275</v>
      </c>
      <c r="J78" s="123">
        <f ca="1">OFFSET(Pay!$Q$2,MATCH(J$4,Pay!$Q$3:$Q$18,1),0,1,1)</f>
        <v>44275</v>
      </c>
      <c r="K78" s="123">
        <f ca="1">OFFSET(Pay!$Q$2,MATCH(K$4,Pay!$Q$3:$Q$18,1),0,1,1)</f>
        <v>44275</v>
      </c>
      <c r="L78" s="123">
        <f ca="1">OFFSET(Pay!$Q$2,MATCH(L$4,Pay!$Q$3:$Q$18,1),0,1,1)</f>
        <v>44275</v>
      </c>
      <c r="M78" s="123">
        <f ca="1">OFFSET(Pay!$Q$2,MATCH(M$4,Pay!$Q$3:$Q$18,1),0,1,1)</f>
        <v>44275</v>
      </c>
      <c r="N78" s="123">
        <f ca="1">OFFSET(Pay!$Q$2,MATCH(N$4,Pay!$Q$3:$Q$18,1),0,1,1)</f>
        <v>44275</v>
      </c>
      <c r="O78" s="123">
        <f ca="1">OFFSET(Pay!$Q$2,MATCH(O$4,Pay!$Q$3:$Q$18,1),0,1,1)</f>
        <v>44275</v>
      </c>
      <c r="P78" s="123">
        <f ca="1">OFFSET(Pay!$Q$2,MATCH(P$4,Pay!$Q$3:$Q$18,1),0,1,1)</f>
        <v>44275</v>
      </c>
      <c r="Q78" s="123">
        <f ca="1">OFFSET(Pay!$Q$2,MATCH(Q$4,Pay!$Q$3:$Q$18,1),0,1,1)</f>
        <v>44275</v>
      </c>
      <c r="R78" s="123">
        <f ca="1">OFFSET(Pay!$Q$2,MATCH(R$4,Pay!$Q$3:$Q$18,1),0,1,1)</f>
        <v>44275</v>
      </c>
      <c r="S78" s="123">
        <f ca="1">OFFSET(Pay!$Q$2,MATCH(S$4,Pay!$Q$3:$Q$18,1),0,1,1)</f>
        <v>44275</v>
      </c>
      <c r="T78" s="123">
        <f ca="1">OFFSET(Pay!$Q$2,MATCH(T$4,Pay!$Q$3:$Q$18,1),0,1,1)</f>
        <v>44275</v>
      </c>
      <c r="U78" s="123">
        <f ca="1">OFFSET(Pay!$Q$2,MATCH(U$4,Pay!$Q$3:$Q$18,1),0,1,1)</f>
        <v>44275</v>
      </c>
      <c r="V78" s="123">
        <f ca="1">OFFSET(Pay!$Q$2,MATCH(V$4,Pay!$Q$3:$Q$18,1),0,1,1)</f>
        <v>44275</v>
      </c>
      <c r="W78" s="123">
        <f ca="1">OFFSET(Pay!$Q$2,MATCH(W$4,Pay!$Q$3:$Q$18,1),0,1,1)</f>
        <v>44275</v>
      </c>
      <c r="X78" s="123">
        <f ca="1">OFFSET(Pay!$Q$2,MATCH(X$4,Pay!$Q$3:$Q$18,1),0,1,1)</f>
        <v>44275</v>
      </c>
      <c r="Y78" s="123">
        <f ca="1">OFFSET(Pay!$Q$2,MATCH(Y$4,Pay!$Q$3:$Q$18,1),0,1,1)</f>
        <v>44275</v>
      </c>
      <c r="Z78" s="123">
        <f ca="1">OFFSET(Pay!$Q$2,MATCH(Z$4,Pay!$Q$3:$Q$18,1),0,1,1)</f>
        <v>44275</v>
      </c>
      <c r="AA78" s="123">
        <f ca="1">OFFSET(Pay!$Q$2,MATCH(AA$4,Pay!$Q$3:$Q$18,1),0,1,1)</f>
        <v>44275</v>
      </c>
      <c r="AB78" s="123">
        <f ca="1">OFFSET(Pay!$Q$2,MATCH(AB$4,Pay!$Q$3:$Q$18,1),0,1,1)</f>
        <v>44275</v>
      </c>
      <c r="AC78" s="123">
        <f ca="1">OFFSET(Pay!$Q$2,MATCH(AC$4,Pay!$Q$3:$Q$18,1),0,1,1)</f>
        <v>44275</v>
      </c>
      <c r="AD78" s="123">
        <f ca="1">OFFSET(Pay!$Q$2,MATCH(AD$4,Pay!$Q$3:$Q$18,1),0,1,1)</f>
        <v>44275</v>
      </c>
      <c r="AE78" s="123">
        <f ca="1">OFFSET(Pay!$Q$2,MATCH(AE$4,Pay!$Q$3:$Q$18,1),0,1,1)</f>
        <v>44275</v>
      </c>
      <c r="AF78" s="123">
        <f ca="1">OFFSET(Pay!$Q$2,MATCH(AF$4,Pay!$Q$3:$Q$18,1),0,1,1)</f>
        <v>44275</v>
      </c>
      <c r="AG78" s="123">
        <f ca="1">OFFSET(Pay!$Q$2,MATCH(AG$4,Pay!$Q$3:$Q$18,1),0,1,1)</f>
        <v>44275</v>
      </c>
      <c r="AH78" s="123">
        <f ca="1">OFFSET(Pay!$Q$2,MATCH(AH$4,Pay!$Q$3:$Q$18,1),0,1,1)</f>
        <v>44275</v>
      </c>
      <c r="AI78" s="123">
        <f ca="1">OFFSET(Pay!$Q$2,MATCH(AI$4,Pay!$Q$3:$Q$18,1),0,1,1)</f>
        <v>44275</v>
      </c>
      <c r="AJ78" s="123">
        <f ca="1">OFFSET(Pay!$Q$2,MATCH(AJ$4,Pay!$Q$3:$Q$18,1),0,1,1)</f>
        <v>44275</v>
      </c>
      <c r="AK78" s="123">
        <f ca="1">OFFSET(Pay!$Q$2,MATCH(AK$4,Pay!$Q$3:$Q$18,1),0,1,1)</f>
        <v>44275</v>
      </c>
      <c r="AL78" s="123">
        <f ca="1">OFFSET(Pay!$Q$2,MATCH(AL$4,Pay!$Q$3:$Q$18,1),0,1,1)</f>
        <v>44275</v>
      </c>
      <c r="AM78" s="123">
        <f ca="1">OFFSET(Pay!$Q$2,MATCH(AM$4,Pay!$Q$3:$Q$18,1),0,1,1)</f>
        <v>44275</v>
      </c>
      <c r="AN78" s="123">
        <f ca="1">OFFSET(Pay!$Q$2,MATCH(AN$4,Pay!$Q$3:$Q$18,1),0,1,1)</f>
        <v>44275</v>
      </c>
      <c r="AO78" s="123">
        <f ca="1">OFFSET(Pay!$Q$2,MATCH(AO$4,Pay!$Q$3:$Q$18,1),0,1,1)</f>
        <v>44275</v>
      </c>
      <c r="AP78" s="123">
        <f ca="1">OFFSET(Pay!$Q$2,MATCH(AP$4,Pay!$Q$3:$Q$18,1),0,1,1)</f>
        <v>44275</v>
      </c>
      <c r="AQ78" s="123">
        <f ca="1">OFFSET(Pay!$Q$2,MATCH(AQ$4,Pay!$Q$3:$Q$18,1),0,1,1)</f>
        <v>44275</v>
      </c>
      <c r="AR78" s="123">
        <f ca="1">OFFSET(Pay!$Q$2,MATCH(AR$4,Pay!$Q$3:$Q$18,1),0,1,1)</f>
        <v>44275</v>
      </c>
      <c r="AS78" s="123">
        <f ca="1">OFFSET(Pay!$Q$2,MATCH(AS$4,Pay!$Q$3:$Q$18,1),0,1,1)</f>
        <v>44275</v>
      </c>
      <c r="AT78" s="123">
        <f ca="1">OFFSET(Pay!$Q$2,MATCH(AT$4,Pay!$Q$3:$Q$18,1),0,1,1)</f>
        <v>44275</v>
      </c>
      <c r="AU78" s="123">
        <f ca="1">OFFSET(Pay!$Q$2,MATCH(AU$4,Pay!$Q$3:$Q$18,1),0,1,1)</f>
        <v>44275</v>
      </c>
      <c r="AV78" s="123">
        <f ca="1">OFFSET(Pay!$Q$2,MATCH(AV$4,Pay!$Q$3:$Q$18,1),0,1,1)</f>
        <v>44275</v>
      </c>
      <c r="AW78" s="123">
        <f ca="1">OFFSET(Pay!$Q$2,MATCH(AW$4,Pay!$Q$3:$Q$18,1),0,1,1)</f>
        <v>44275</v>
      </c>
      <c r="AX78" s="123">
        <f ca="1">OFFSET(Pay!$Q$2,MATCH(AX$4,Pay!$Q$3:$Q$18,1),0,1,1)</f>
        <v>44275</v>
      </c>
      <c r="AY78" s="123">
        <f ca="1">OFFSET(Pay!$Q$2,MATCH(AY$4,Pay!$Q$3:$Q$18,1),0,1,1)</f>
        <v>44275</v>
      </c>
      <c r="AZ78" s="123">
        <f ca="1">OFFSET(Pay!$Q$2,MATCH(AZ$4,Pay!$Q$3:$Q$18,1),0,1,1)</f>
        <v>44275</v>
      </c>
      <c r="BA78" s="123">
        <f ca="1">OFFSET(Pay!$Q$2,MATCH(BA$4,Pay!$Q$3:$Q$18,1),0,1,1)</f>
        <v>44275</v>
      </c>
      <c r="BB78" s="123">
        <f ca="1">OFFSET(Pay!$Q$2,MATCH(BB$4,Pay!$Q$3:$Q$18,1),0,1,1)</f>
        <v>44275</v>
      </c>
      <c r="BC78" s="123">
        <f ca="1">OFFSET(Pay!$Q$2,MATCH(BC$4,Pay!$Q$3:$Q$18,1),0,1,1)</f>
        <v>44275</v>
      </c>
      <c r="BD78" s="129"/>
      <c r="BE78" s="129"/>
      <c r="BF78" s="129"/>
      <c r="BG78" s="129"/>
      <c r="BH78" s="129"/>
    </row>
    <row r="79" spans="1:60" s="41" customFormat="1" ht="16.149999999999999" customHeight="1" x14ac:dyDescent="0.25">
      <c r="A79" s="188"/>
      <c r="B79" s="130" t="s">
        <v>275</v>
      </c>
      <c r="C79" s="25" t="str">
        <f ca="1">IF(C77&gt;C78,"Yes","No")</f>
        <v>Yes</v>
      </c>
      <c r="D79" s="25" t="str">
        <f t="shared" ref="D79:BC79" ca="1" si="26">IF(D77&gt;D78,"Yes","No")</f>
        <v>Yes</v>
      </c>
      <c r="E79" s="25" t="str">
        <f t="shared" ca="1" si="26"/>
        <v>Yes</v>
      </c>
      <c r="F79" s="25" t="str">
        <f t="shared" ca="1" si="26"/>
        <v>No</v>
      </c>
      <c r="G79" s="25" t="str">
        <f t="shared" ca="1" si="26"/>
        <v>No</v>
      </c>
      <c r="H79" s="25" t="str">
        <f t="shared" ca="1" si="26"/>
        <v>No</v>
      </c>
      <c r="I79" s="25" t="str">
        <f t="shared" ca="1" si="26"/>
        <v>No</v>
      </c>
      <c r="J79" s="25" t="str">
        <f t="shared" ca="1" si="26"/>
        <v>No</v>
      </c>
      <c r="K79" s="25" t="str">
        <f t="shared" ca="1" si="26"/>
        <v>No</v>
      </c>
      <c r="L79" s="25" t="str">
        <f t="shared" ca="1" si="26"/>
        <v>No</v>
      </c>
      <c r="M79" s="25" t="str">
        <f t="shared" ca="1" si="26"/>
        <v>No</v>
      </c>
      <c r="N79" s="25" t="str">
        <f t="shared" ca="1" si="26"/>
        <v>No</v>
      </c>
      <c r="O79" s="25" t="str">
        <f t="shared" ca="1" si="26"/>
        <v>No</v>
      </c>
      <c r="P79" s="25" t="str">
        <f t="shared" ca="1" si="26"/>
        <v>No</v>
      </c>
      <c r="Q79" s="25" t="str">
        <f t="shared" ca="1" si="26"/>
        <v>No</v>
      </c>
      <c r="R79" s="25" t="str">
        <f t="shared" ca="1" si="26"/>
        <v>No</v>
      </c>
      <c r="S79" s="25" t="str">
        <f t="shared" ca="1" si="26"/>
        <v>No</v>
      </c>
      <c r="T79" s="25" t="str">
        <f t="shared" ca="1" si="26"/>
        <v>No</v>
      </c>
      <c r="U79" s="25" t="str">
        <f t="shared" ca="1" si="26"/>
        <v>No</v>
      </c>
      <c r="V79" s="25" t="str">
        <f t="shared" ca="1" si="26"/>
        <v>No</v>
      </c>
      <c r="W79" s="25" t="str">
        <f t="shared" ca="1" si="26"/>
        <v>No</v>
      </c>
      <c r="X79" s="25" t="str">
        <f t="shared" ca="1" si="26"/>
        <v>No</v>
      </c>
      <c r="Y79" s="25" t="str">
        <f t="shared" ca="1" si="26"/>
        <v>No</v>
      </c>
      <c r="Z79" s="25" t="str">
        <f t="shared" ca="1" si="26"/>
        <v>No</v>
      </c>
      <c r="AA79" s="25" t="str">
        <f t="shared" ca="1" si="26"/>
        <v>No</v>
      </c>
      <c r="AB79" s="25" t="str">
        <f t="shared" ca="1" si="26"/>
        <v>No</v>
      </c>
      <c r="AC79" s="25" t="str">
        <f t="shared" ca="1" si="26"/>
        <v>No</v>
      </c>
      <c r="AD79" s="25" t="str">
        <f t="shared" ca="1" si="26"/>
        <v>No</v>
      </c>
      <c r="AE79" s="25" t="str">
        <f t="shared" ca="1" si="26"/>
        <v>No</v>
      </c>
      <c r="AF79" s="25" t="str">
        <f t="shared" ca="1" si="26"/>
        <v>No</v>
      </c>
      <c r="AG79" s="25" t="str">
        <f t="shared" ca="1" si="26"/>
        <v>No</v>
      </c>
      <c r="AH79" s="25" t="str">
        <f t="shared" ca="1" si="26"/>
        <v>No</v>
      </c>
      <c r="AI79" s="25" t="str">
        <f t="shared" ca="1" si="26"/>
        <v>No</v>
      </c>
      <c r="AJ79" s="25" t="str">
        <f t="shared" ca="1" si="26"/>
        <v>No</v>
      </c>
      <c r="AK79" s="25" t="str">
        <f t="shared" ca="1" si="26"/>
        <v>No</v>
      </c>
      <c r="AL79" s="25" t="str">
        <f t="shared" ca="1" si="26"/>
        <v>No</v>
      </c>
      <c r="AM79" s="25" t="str">
        <f t="shared" ca="1" si="26"/>
        <v>No</v>
      </c>
      <c r="AN79" s="25" t="str">
        <f t="shared" ca="1" si="26"/>
        <v>No</v>
      </c>
      <c r="AO79" s="25" t="str">
        <f t="shared" ca="1" si="26"/>
        <v>No</v>
      </c>
      <c r="AP79" s="25" t="str">
        <f t="shared" ca="1" si="26"/>
        <v>No</v>
      </c>
      <c r="AQ79" s="25" t="str">
        <f t="shared" ca="1" si="26"/>
        <v>No</v>
      </c>
      <c r="AR79" s="25" t="str">
        <f t="shared" ca="1" si="26"/>
        <v>No</v>
      </c>
      <c r="AS79" s="25" t="str">
        <f t="shared" ca="1" si="26"/>
        <v>No</v>
      </c>
      <c r="AT79" s="25" t="str">
        <f t="shared" ca="1" si="26"/>
        <v>No</v>
      </c>
      <c r="AU79" s="25" t="str">
        <f t="shared" ca="1" si="26"/>
        <v>No</v>
      </c>
      <c r="AV79" s="25" t="str">
        <f t="shared" ca="1" si="26"/>
        <v>No</v>
      </c>
      <c r="AW79" s="25" t="str">
        <f t="shared" ca="1" si="26"/>
        <v>No</v>
      </c>
      <c r="AX79" s="25" t="str">
        <f t="shared" ca="1" si="26"/>
        <v>No</v>
      </c>
      <c r="AY79" s="25" t="str">
        <f t="shared" ca="1" si="26"/>
        <v>No</v>
      </c>
      <c r="AZ79" s="25" t="str">
        <f t="shared" ca="1" si="26"/>
        <v>No</v>
      </c>
      <c r="BA79" s="25" t="str">
        <f t="shared" ca="1" si="26"/>
        <v>No</v>
      </c>
      <c r="BB79" s="25" t="str">
        <f t="shared" ca="1" si="26"/>
        <v>Yes</v>
      </c>
      <c r="BC79" s="25" t="str">
        <f t="shared" ca="1" si="26"/>
        <v>Yes</v>
      </c>
      <c r="BD79" s="40"/>
      <c r="BE79" s="40"/>
      <c r="BF79" s="40"/>
      <c r="BG79" s="40"/>
      <c r="BH79" s="40"/>
    </row>
  </sheetData>
  <phoneticPr fontId="3" type="noConversion"/>
  <pageMargins left="0.59055118110236227" right="0.59055118110236227" top="0.59055118110236227" bottom="0.59055118110236227" header="0.39370078740157483" footer="0.39370078740157483"/>
  <pageSetup paperSize="9" scale="54" fitToWidth="5" orientation="landscape"/>
  <headerFooter alignWithMargins="0">
    <oddFooter>&amp;C&amp;9Page &amp;P of &amp;N</oddFooter>
  </headerFooter>
  <colBreaks count="4" manualBreakCount="4">
    <brk id="16" max="43" man="1"/>
    <brk id="29" max="43" man="1"/>
    <brk id="42" max="43" man="1"/>
    <brk id="55" max="43" man="1"/>
  </colBreak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M165"/>
  <sheetViews>
    <sheetView zoomScale="95" workbookViewId="0">
      <pane ySplit="8" topLeftCell="A9" activePane="bottomLeft" state="frozen"/>
      <selection pane="bottomLeft" activeCell="A8" sqref="A8"/>
    </sheetView>
  </sheetViews>
  <sheetFormatPr defaultColWidth="9.140625" defaultRowHeight="16.149999999999999" customHeight="1" x14ac:dyDescent="0.25"/>
  <cols>
    <col min="1" max="1" width="15.7109375" style="142" customWidth="1"/>
    <col min="2" max="2" width="15.7109375" style="150" customWidth="1"/>
    <col min="3" max="8" width="13.7109375" style="16" customWidth="1"/>
    <col min="9" max="9" width="13.7109375" style="132" customWidth="1"/>
    <col min="10" max="13" width="15.7109375" style="16" customWidth="1"/>
    <col min="14" max="18" width="15.7109375" style="5" customWidth="1"/>
    <col min="19" max="16384" width="9.140625" style="5"/>
  </cols>
  <sheetData>
    <row r="1" spans="1:13" ht="16.149999999999999" customHeight="1" x14ac:dyDescent="0.25">
      <c r="A1" s="162" t="str">
        <f>IF(ISBLANK(Assumptions!$C$4),"Example Limited",Assumptions!$C$4)</f>
        <v>Example (Pty) Limited</v>
      </c>
      <c r="B1" s="131"/>
      <c r="D1" s="3"/>
      <c r="H1" s="89"/>
    </row>
    <row r="2" spans="1:13" ht="16.149999999999999" customHeight="1" x14ac:dyDescent="0.25">
      <c r="A2" s="133" t="s">
        <v>176</v>
      </c>
      <c r="B2" s="134"/>
    </row>
    <row r="3" spans="1:13" ht="16.149999999999999" customHeight="1" x14ac:dyDescent="0.25">
      <c r="A3" s="133"/>
      <c r="B3" s="134"/>
    </row>
    <row r="4" spans="1:13" ht="16.149999999999999" customHeight="1" x14ac:dyDescent="0.25">
      <c r="A4" s="135" t="s">
        <v>33</v>
      </c>
      <c r="B4" s="136">
        <f>Assumptions!$C$76</f>
        <v>0.10249999999999999</v>
      </c>
      <c r="D4" s="137"/>
    </row>
    <row r="5" spans="1:13" ht="16.149999999999999" customHeight="1" x14ac:dyDescent="0.25">
      <c r="A5" s="138" t="s">
        <v>38</v>
      </c>
      <c r="B5" s="139">
        <f>Assumptions!$C$77</f>
        <v>10</v>
      </c>
      <c r="D5" s="140"/>
    </row>
    <row r="6" spans="1:13" ht="16.149999999999999" customHeight="1" x14ac:dyDescent="0.25">
      <c r="A6" s="138" t="s">
        <v>39</v>
      </c>
      <c r="B6" s="139" t="str">
        <f>Assumptions!$C$78</f>
        <v>No</v>
      </c>
      <c r="D6" s="141"/>
    </row>
    <row r="7" spans="1:13" ht="16.149999999999999" customHeight="1" x14ac:dyDescent="0.25">
      <c r="B7" s="143" t="s">
        <v>50</v>
      </c>
    </row>
    <row r="8" spans="1:13" s="149" customFormat="1" ht="25.5" x14ac:dyDescent="0.25">
      <c r="A8" s="144" t="s">
        <v>85</v>
      </c>
      <c r="B8" s="145" t="s">
        <v>84</v>
      </c>
      <c r="C8" s="146" t="s">
        <v>43</v>
      </c>
      <c r="D8" s="146" t="s">
        <v>278</v>
      </c>
      <c r="E8" s="146" t="s">
        <v>42</v>
      </c>
      <c r="F8" s="146" t="s">
        <v>279</v>
      </c>
      <c r="G8" s="146" t="s">
        <v>49</v>
      </c>
      <c r="H8" s="146" t="s">
        <v>44</v>
      </c>
      <c r="I8" s="147" t="s">
        <v>87</v>
      </c>
      <c r="J8" s="148"/>
      <c r="K8" s="148"/>
      <c r="L8" s="148"/>
      <c r="M8" s="148"/>
    </row>
    <row r="9" spans="1:13" s="100" customFormat="1" ht="16.149999999999999" customHeight="1" x14ac:dyDescent="0.25">
      <c r="A9" s="135">
        <f ca="1">IF(ISBLANK(Assumptions!$C$5)=TRUE,DATE(YEAR(TODAY()),MONTH(TODAY()),1),DATE(YEAR(Assumptions!$C$5),MONTH(Assumptions!$C$5),DAY(Assumptions!$C$5)))</f>
        <v>44256</v>
      </c>
      <c r="B9" s="150">
        <f ca="1">IF(Assumptions!$C$79&gt;=DAY($A$9),DATE(YEAR(A9),MONTH(A9),IF(AND(MONTH($A$9)=2,Assumptions!$C$79&gt;28),28,Assumptions!$C$79)),DATE(YEAR(A9),MONTH(A9)+1,IF(AND(MONTH($A$9)=2,Assumptions!$C$79&gt;28),28,Assumptions!$C$79)))</f>
        <v>44260</v>
      </c>
      <c r="C9" s="151">
        <v>0</v>
      </c>
      <c r="D9" s="151">
        <f ca="1">-SUMIF(Assumptions!$A$81:$C$104,"LT1",Assumptions!$C$81:$C$104)</f>
        <v>1200000</v>
      </c>
      <c r="E9" s="151">
        <v>0</v>
      </c>
      <c r="F9" s="151">
        <v>0</v>
      </c>
      <c r="G9" s="152">
        <f t="shared" ref="G9:G40" si="0">IF($B$6="Yes",0,E9-F9)</f>
        <v>0</v>
      </c>
      <c r="H9" s="153">
        <f ca="1">IF(ROUND(SUM(C9:D9,-G9),0)=0,0,IF($B$6="Yes",SUM($D$9:D9),SUM(C9:D9,-G9)))</f>
        <v>1200000</v>
      </c>
      <c r="I9" s="132" t="str">
        <f>"-"</f>
        <v>-</v>
      </c>
      <c r="J9" s="151"/>
      <c r="K9" s="151"/>
      <c r="L9" s="151"/>
      <c r="M9" s="151"/>
    </row>
    <row r="10" spans="1:13" s="100" customFormat="1" ht="16.149999999999999" customHeight="1" x14ac:dyDescent="0.25">
      <c r="A10" s="135">
        <f ca="1">IF(ISBLANK(Assumptions!$C$5)=TRUE,DATE(YEAR(TODAY()),MONTH(TODAY()),7),DATE(YEAR(Assumptions!$C$5),MONTH(Assumptions!$C$5),DAY(Assumptions!$C$5)+6))</f>
        <v>44262</v>
      </c>
      <c r="B10" s="150">
        <f ca="1">IF(AND(B9&gt;A9,B9&lt;=A10),B9,DATE(YEAR(A10),MONTH(A10),IF(AND(MONTH(A10)=2,Assumptions!$C$79&gt;28),28,Assumptions!$C$79)))</f>
        <v>44260</v>
      </c>
      <c r="C10" s="151">
        <f ca="1">H9</f>
        <v>1200000</v>
      </c>
      <c r="D10" s="151">
        <f ca="1">IF(ISNA(MATCH($A10,Months,0))=TRUE,0,OFFSET(CashFlow!$B$35,0,MATCH($A10,Months,0),1,1))</f>
        <v>0</v>
      </c>
      <c r="E10" s="152">
        <f ca="1">IF(AND(B10&gt;A9,B10&lt;=A10),IF($B$6="Yes",0,IF(ROW(D10)-ROW($D$9)&gt;$B$5*52,-PMT($B$4/12,$B$5*12,SUM(OFFSET(D10,0,0,-$B$5*12,1)),0,0),-PMT($B$4/12,$B$5*12,SUM(OFFSET(D10,0,0,ROW($D$8)-ROW(D10),1)),0,0))),0)</f>
        <v>16024.680225213191</v>
      </c>
      <c r="F10" s="152">
        <f ca="1">IF(AND(B10&gt;A9,B10&lt;=A10),(H9+D10)*$B$4/12,0)</f>
        <v>10249.999999999998</v>
      </c>
      <c r="G10" s="152">
        <f t="shared" ca="1" si="0"/>
        <v>5774.6802252131929</v>
      </c>
      <c r="H10" s="153">
        <f ca="1">IF(ROUND(SUM(C10:D10,-G10),0)=0,0,IF($B$6="Yes",SUM($D$9:D10),SUM(C10:D10,-G10)))</f>
        <v>1194225.3197747867</v>
      </c>
      <c r="I10" s="154">
        <f ca="1">IF(E10&gt;0,MAX(I$9:I9)+1,"-")</f>
        <v>1</v>
      </c>
      <c r="J10" s="151"/>
      <c r="K10" s="151"/>
      <c r="L10" s="151"/>
      <c r="M10" s="151"/>
    </row>
    <row r="11" spans="1:13" s="100" customFormat="1" ht="16.149999999999999" customHeight="1" x14ac:dyDescent="0.25">
      <c r="A11" s="135">
        <f ca="1">DATE(YEAR(A10),MONTH(A10),DAY(A10)+7)</f>
        <v>44269</v>
      </c>
      <c r="B11" s="150">
        <f ca="1">IF(AND(B10&gt;A10,B10&lt;=A11),B10,DATE(YEAR(A11),MONTH(A11),IF(AND(MONTH(A11)=2,Assumptions!$C$79&gt;28),28,Assumptions!$C$79)))</f>
        <v>44260</v>
      </c>
      <c r="C11" s="151">
        <f t="shared" ref="C11:C61" ca="1" si="1">H10</f>
        <v>1194225.3197747867</v>
      </c>
      <c r="D11" s="151">
        <f ca="1">IF(ISNA(MATCH($A11,Months,0))=TRUE,0,OFFSET(CashFlow!$B$35,0,MATCH($A11,Months,0),1,1))</f>
        <v>0</v>
      </c>
      <c r="E11" s="152">
        <f t="shared" ref="E11:E61" ca="1" si="2">IF(AND(B11&gt;A10,B11&lt;=A11),IF($B$6="Yes",0,IF(ROW(D11)-ROW($D$9)&gt;$B$5*52,-PMT($B$4/12,$B$5*12,SUM(OFFSET(D11,0,0,-$B$5*12,1)),0,0),-PMT($B$4/12,$B$5*12,SUM(OFFSET(D11,0,0,ROW($D$8)-ROW(D11),1)),0,0))),0)</f>
        <v>0</v>
      </c>
      <c r="F11" s="152">
        <f t="shared" ref="F11:F61" ca="1" si="3">IF(AND(B11&gt;A10,B11&lt;=A11),(H10+D11)*$B$4/12,0)</f>
        <v>0</v>
      </c>
      <c r="G11" s="152">
        <f t="shared" ca="1" si="0"/>
        <v>0</v>
      </c>
      <c r="H11" s="153">
        <f ca="1">IF(ROUND(SUM(C11:D11,-G11),0)=0,0,IF($B$6="Yes",SUM($D$9:D11),SUM(C11:D11,-G11)))</f>
        <v>1194225.3197747867</v>
      </c>
      <c r="I11" s="154" t="str">
        <f ca="1">IF(E11&gt;0,MAX(I$9:I10)+1,"-")</f>
        <v>-</v>
      </c>
      <c r="J11" s="151"/>
      <c r="K11" s="151"/>
      <c r="L11" s="151"/>
      <c r="M11" s="151"/>
    </row>
    <row r="12" spans="1:13" s="100" customFormat="1" ht="16.149999999999999" customHeight="1" x14ac:dyDescent="0.25">
      <c r="A12" s="135">
        <f t="shared" ref="A12:A61" ca="1" si="4">DATE(YEAR(A11),MONTH(A11),DAY(A11)+7)</f>
        <v>44276</v>
      </c>
      <c r="B12" s="150">
        <f ca="1">IF(AND(B11&gt;A11,B11&lt;=A12),B11,DATE(YEAR(A12),MONTH(A12),IF(AND(MONTH(A12)=2,Assumptions!$C$79&gt;28),28,Assumptions!$C$79)))</f>
        <v>44260</v>
      </c>
      <c r="C12" s="151">
        <f t="shared" ca="1" si="1"/>
        <v>1194225.3197747867</v>
      </c>
      <c r="D12" s="151">
        <f ca="1">IF(ISNA(MATCH($A12,Months,0))=TRUE,0,OFFSET(CashFlow!$B$35,0,MATCH($A12,Months,0),1,1))</f>
        <v>0</v>
      </c>
      <c r="E12" s="152">
        <f t="shared" ca="1" si="2"/>
        <v>0</v>
      </c>
      <c r="F12" s="152">
        <f t="shared" ca="1" si="3"/>
        <v>0</v>
      </c>
      <c r="G12" s="152">
        <f t="shared" ca="1" si="0"/>
        <v>0</v>
      </c>
      <c r="H12" s="153">
        <f ca="1">IF(ROUND(SUM(C12:D12,-G12),0)=0,0,IF($B$6="Yes",SUM($D$9:D12),SUM(C12:D12,-G12)))</f>
        <v>1194225.3197747867</v>
      </c>
      <c r="I12" s="154" t="str">
        <f ca="1">IF(E12&gt;0,MAX(I$9:I11)+1,"-")</f>
        <v>-</v>
      </c>
      <c r="J12" s="151"/>
      <c r="K12" s="151"/>
      <c r="L12" s="151"/>
      <c r="M12" s="151"/>
    </row>
    <row r="13" spans="1:13" s="100" customFormat="1" ht="16.149999999999999" customHeight="1" x14ac:dyDescent="0.25">
      <c r="A13" s="135">
        <f t="shared" ca="1" si="4"/>
        <v>44283</v>
      </c>
      <c r="B13" s="150">
        <f ca="1">IF(AND(B12&gt;A12,B12&lt;=A13),B12,DATE(YEAR(A13),MONTH(A13),IF(AND(MONTH(A13)=2,Assumptions!$C$79&gt;28),28,Assumptions!$C$79)))</f>
        <v>44260</v>
      </c>
      <c r="C13" s="151">
        <f t="shared" ca="1" si="1"/>
        <v>1194225.3197747867</v>
      </c>
      <c r="D13" s="151">
        <f ca="1">IF(ISNA(MATCH($A13,Months,0))=TRUE,0,OFFSET(CashFlow!$B$35,0,MATCH($A13,Months,0),1,1))</f>
        <v>0</v>
      </c>
      <c r="E13" s="152">
        <f t="shared" ca="1" si="2"/>
        <v>0</v>
      </c>
      <c r="F13" s="152">
        <f t="shared" ca="1" si="3"/>
        <v>0</v>
      </c>
      <c r="G13" s="152">
        <f t="shared" ca="1" si="0"/>
        <v>0</v>
      </c>
      <c r="H13" s="153">
        <f ca="1">IF(ROUND(SUM(C13:D13,-G13),0)=0,0,IF($B$6="Yes",SUM($D$9:D13),SUM(C13:D13,-G13)))</f>
        <v>1194225.3197747867</v>
      </c>
      <c r="I13" s="154" t="str">
        <f ca="1">IF(E13&gt;0,MAX(I$9:I12)+1,"-")</f>
        <v>-</v>
      </c>
      <c r="J13" s="151"/>
      <c r="K13" s="151"/>
      <c r="L13" s="151"/>
      <c r="M13" s="151"/>
    </row>
    <row r="14" spans="1:13" s="100" customFormat="1" ht="16.149999999999999" customHeight="1" x14ac:dyDescent="0.25">
      <c r="A14" s="135">
        <f t="shared" ca="1" si="4"/>
        <v>44290</v>
      </c>
      <c r="B14" s="150">
        <f ca="1">IF(AND(B13&gt;A13,B13&lt;=A14),B13,DATE(YEAR(A14),MONTH(A14),IF(AND(MONTH(A14)=2,Assumptions!$C$79&gt;28),28,Assumptions!$C$79)))</f>
        <v>44291</v>
      </c>
      <c r="C14" s="151">
        <f t="shared" ca="1" si="1"/>
        <v>1194225.3197747867</v>
      </c>
      <c r="D14" s="151">
        <f ca="1">IF(ISNA(MATCH($A14,Months,0))=TRUE,0,OFFSET(CashFlow!$B$35,0,MATCH($A14,Months,0),1,1))</f>
        <v>0</v>
      </c>
      <c r="E14" s="152">
        <f t="shared" ca="1" si="2"/>
        <v>0</v>
      </c>
      <c r="F14" s="152">
        <f t="shared" ca="1" si="3"/>
        <v>0</v>
      </c>
      <c r="G14" s="152">
        <f t="shared" ca="1" si="0"/>
        <v>0</v>
      </c>
      <c r="H14" s="153">
        <f ca="1">IF(ROUND(SUM(C14:D14,-G14),0)=0,0,IF($B$6="Yes",SUM($D$9:D14),SUM(C14:D14,-G14)))</f>
        <v>1194225.3197747867</v>
      </c>
      <c r="I14" s="154" t="str">
        <f ca="1">IF(E14&gt;0,MAX(I$9:I13)+1,"-")</f>
        <v>-</v>
      </c>
      <c r="J14" s="151"/>
      <c r="K14" s="151"/>
      <c r="L14" s="151"/>
      <c r="M14" s="151"/>
    </row>
    <row r="15" spans="1:13" s="100" customFormat="1" ht="16.149999999999999" customHeight="1" x14ac:dyDescent="0.25">
      <c r="A15" s="135">
        <f t="shared" ca="1" si="4"/>
        <v>44297</v>
      </c>
      <c r="B15" s="150">
        <f ca="1">IF(AND(B14&gt;A14,B14&lt;=A15),B14,DATE(YEAR(A15),MONTH(A15),IF(AND(MONTH(A15)=2,Assumptions!$C$79&gt;28),28,Assumptions!$C$79)))</f>
        <v>44291</v>
      </c>
      <c r="C15" s="151">
        <f t="shared" ca="1" si="1"/>
        <v>1194225.3197747867</v>
      </c>
      <c r="D15" s="151">
        <f ca="1">IF(ISNA(MATCH($A15,Months,0))=TRUE,0,OFFSET(CashFlow!$B$35,0,MATCH($A15,Months,0),1,1))</f>
        <v>0</v>
      </c>
      <c r="E15" s="152">
        <f t="shared" ca="1" si="2"/>
        <v>16024.680225213191</v>
      </c>
      <c r="F15" s="152">
        <f t="shared" ca="1" si="3"/>
        <v>10200.674606409635</v>
      </c>
      <c r="G15" s="152">
        <f t="shared" ca="1" si="0"/>
        <v>5824.005618803556</v>
      </c>
      <c r="H15" s="153">
        <f ca="1">IF(ROUND(SUM(C15:D15,-G15),0)=0,0,IF($B$6="Yes",SUM($D$9:D15),SUM(C15:D15,-G15)))</f>
        <v>1188401.314155983</v>
      </c>
      <c r="I15" s="154">
        <f ca="1">IF(E15&gt;0,MAX(I$9:I14)+1,"-")</f>
        <v>2</v>
      </c>
      <c r="J15" s="151"/>
      <c r="K15" s="151"/>
      <c r="L15" s="151"/>
      <c r="M15" s="151"/>
    </row>
    <row r="16" spans="1:13" s="100" customFormat="1" ht="16.149999999999999" customHeight="1" x14ac:dyDescent="0.25">
      <c r="A16" s="135">
        <f t="shared" ca="1" si="4"/>
        <v>44304</v>
      </c>
      <c r="B16" s="150">
        <f ca="1">IF(AND(B15&gt;A15,B15&lt;=A16),B15,DATE(YEAR(A16),MONTH(A16),IF(AND(MONTH(A16)=2,Assumptions!$C$79&gt;28),28,Assumptions!$C$79)))</f>
        <v>44291</v>
      </c>
      <c r="C16" s="151">
        <f t="shared" ca="1" si="1"/>
        <v>1188401.314155983</v>
      </c>
      <c r="D16" s="151">
        <f ca="1">IF(ISNA(MATCH($A16,Months,0))=TRUE,0,OFFSET(CashFlow!$B$35,0,MATCH($A16,Months,0),1,1))</f>
        <v>0</v>
      </c>
      <c r="E16" s="152">
        <f t="shared" ca="1" si="2"/>
        <v>0</v>
      </c>
      <c r="F16" s="152">
        <f t="shared" ca="1" si="3"/>
        <v>0</v>
      </c>
      <c r="G16" s="152">
        <f t="shared" ca="1" si="0"/>
        <v>0</v>
      </c>
      <c r="H16" s="153">
        <f ca="1">IF(ROUND(SUM(C16:D16,-G16),0)=0,0,IF($B$6="Yes",SUM($D$9:D16),SUM(C16:D16,-G16)))</f>
        <v>1188401.314155983</v>
      </c>
      <c r="I16" s="154" t="str">
        <f ca="1">IF(E16&gt;0,MAX(I$9:I15)+1,"-")</f>
        <v>-</v>
      </c>
      <c r="J16" s="151"/>
      <c r="K16" s="151"/>
      <c r="L16" s="151"/>
      <c r="M16" s="151"/>
    </row>
    <row r="17" spans="1:13" s="100" customFormat="1" ht="16.149999999999999" customHeight="1" x14ac:dyDescent="0.25">
      <c r="A17" s="135">
        <f t="shared" ca="1" si="4"/>
        <v>44311</v>
      </c>
      <c r="B17" s="150">
        <f ca="1">IF(AND(B16&gt;A16,B16&lt;=A17),B16,DATE(YEAR(A17),MONTH(A17),IF(AND(MONTH(A17)=2,Assumptions!$C$79&gt;28),28,Assumptions!$C$79)))</f>
        <v>44291</v>
      </c>
      <c r="C17" s="151">
        <f t="shared" ca="1" si="1"/>
        <v>1188401.314155983</v>
      </c>
      <c r="D17" s="151">
        <f ca="1">IF(ISNA(MATCH($A17,Months,0))=TRUE,0,OFFSET(CashFlow!$B$35,0,MATCH($A17,Months,0),1,1))</f>
        <v>0</v>
      </c>
      <c r="E17" s="152">
        <f t="shared" ca="1" si="2"/>
        <v>0</v>
      </c>
      <c r="F17" s="152">
        <f t="shared" ca="1" si="3"/>
        <v>0</v>
      </c>
      <c r="G17" s="152">
        <f t="shared" ca="1" si="0"/>
        <v>0</v>
      </c>
      <c r="H17" s="153">
        <f ca="1">IF(ROUND(SUM(C17:D17,-G17),0)=0,0,IF($B$6="Yes",SUM($D$9:D17),SUM(C17:D17,-G17)))</f>
        <v>1188401.314155983</v>
      </c>
      <c r="I17" s="154" t="str">
        <f ca="1">IF(E17&gt;0,MAX(I$9:I16)+1,"-")</f>
        <v>-</v>
      </c>
      <c r="J17" s="151"/>
      <c r="K17" s="151"/>
      <c r="L17" s="151"/>
      <c r="M17" s="151"/>
    </row>
    <row r="18" spans="1:13" s="100" customFormat="1" ht="16.149999999999999" customHeight="1" x14ac:dyDescent="0.25">
      <c r="A18" s="135">
        <f t="shared" ca="1" si="4"/>
        <v>44318</v>
      </c>
      <c r="B18" s="150">
        <f ca="1">IF(AND(B17&gt;A17,B17&lt;=A18),B17,DATE(YEAR(A18),MONTH(A18),IF(AND(MONTH(A18)=2,Assumptions!$C$79&gt;28),28,Assumptions!$C$79)))</f>
        <v>44321</v>
      </c>
      <c r="C18" s="151">
        <f t="shared" ca="1" si="1"/>
        <v>1188401.314155983</v>
      </c>
      <c r="D18" s="151">
        <f ca="1">IF(ISNA(MATCH($A18,Months,0))=TRUE,0,OFFSET(CashFlow!$B$35,0,MATCH($A18,Months,0),1,1))</f>
        <v>0</v>
      </c>
      <c r="E18" s="152">
        <f t="shared" ca="1" si="2"/>
        <v>0</v>
      </c>
      <c r="F18" s="152">
        <f t="shared" ca="1" si="3"/>
        <v>0</v>
      </c>
      <c r="G18" s="152">
        <f t="shared" ca="1" si="0"/>
        <v>0</v>
      </c>
      <c r="H18" s="153">
        <f ca="1">IF(ROUND(SUM(C18:D18,-G18),0)=0,0,IF($B$6="Yes",SUM($D$9:D18),SUM(C18:D18,-G18)))</f>
        <v>1188401.314155983</v>
      </c>
      <c r="I18" s="154" t="str">
        <f ca="1">IF(E18&gt;0,MAX(I$9:I17)+1,"-")</f>
        <v>-</v>
      </c>
      <c r="J18" s="151"/>
      <c r="K18" s="151"/>
      <c r="L18" s="151"/>
      <c r="M18" s="151"/>
    </row>
    <row r="19" spans="1:13" s="100" customFormat="1" ht="16.149999999999999" customHeight="1" x14ac:dyDescent="0.25">
      <c r="A19" s="135">
        <f t="shared" ca="1" si="4"/>
        <v>44325</v>
      </c>
      <c r="B19" s="150">
        <f ca="1">IF(AND(B18&gt;A18,B18&lt;=A19),B18,DATE(YEAR(A19),MONTH(A19),IF(AND(MONTH(A19)=2,Assumptions!$C$79&gt;28),28,Assumptions!$C$79)))</f>
        <v>44321</v>
      </c>
      <c r="C19" s="151">
        <f t="shared" ca="1" si="1"/>
        <v>1188401.314155983</v>
      </c>
      <c r="D19" s="151">
        <f ca="1">IF(ISNA(MATCH($A19,Months,0))=TRUE,0,OFFSET(CashFlow!$B$35,0,MATCH($A19,Months,0),1,1))</f>
        <v>0</v>
      </c>
      <c r="E19" s="152">
        <f t="shared" ca="1" si="2"/>
        <v>16024.680225213191</v>
      </c>
      <c r="F19" s="152">
        <f t="shared" ca="1" si="3"/>
        <v>10150.927891749021</v>
      </c>
      <c r="G19" s="152">
        <f t="shared" ca="1" si="0"/>
        <v>5873.7523334641701</v>
      </c>
      <c r="H19" s="153">
        <f ca="1">IF(ROUND(SUM(C19:D19,-G19),0)=0,0,IF($B$6="Yes",SUM($D$9:D19),SUM(C19:D19,-G19)))</f>
        <v>1182527.5618225189</v>
      </c>
      <c r="I19" s="154">
        <f ca="1">IF(E19&gt;0,MAX(I$9:I18)+1,"-")</f>
        <v>3</v>
      </c>
      <c r="J19" s="151"/>
      <c r="K19" s="151"/>
      <c r="L19" s="151"/>
      <c r="M19" s="151"/>
    </row>
    <row r="20" spans="1:13" ht="16.149999999999999" customHeight="1" x14ac:dyDescent="0.25">
      <c r="A20" s="135">
        <f t="shared" ca="1" si="4"/>
        <v>44332</v>
      </c>
      <c r="B20" s="150">
        <f ca="1">IF(AND(B19&gt;A19,B19&lt;=A20),B19,DATE(YEAR(A20),MONTH(A20),IF(AND(MONTH(A20)=2,Assumptions!$C$79&gt;28),28,Assumptions!$C$79)))</f>
        <v>44321</v>
      </c>
      <c r="C20" s="151">
        <f t="shared" ca="1" si="1"/>
        <v>1182527.5618225189</v>
      </c>
      <c r="D20" s="151">
        <f ca="1">IF(ISNA(MATCH($A20,Months,0))=TRUE,0,OFFSET(CashFlow!$B$35,0,MATCH($A20,Months,0),1,1))</f>
        <v>0</v>
      </c>
      <c r="E20" s="152">
        <f t="shared" ca="1" si="2"/>
        <v>0</v>
      </c>
      <c r="F20" s="152">
        <f t="shared" ca="1" si="3"/>
        <v>0</v>
      </c>
      <c r="G20" s="152">
        <f t="shared" ca="1" si="0"/>
        <v>0</v>
      </c>
      <c r="H20" s="153">
        <f ca="1">IF(ROUND(SUM(C20:D20,-G20),0)=0,0,IF($B$6="Yes",SUM($D$9:D20),SUM(C20:D20,-G20)))</f>
        <v>1182527.5618225189</v>
      </c>
      <c r="I20" s="154" t="str">
        <f ca="1">IF(E20&gt;0,MAX(I$9:I19)+1,"-")</f>
        <v>-</v>
      </c>
    </row>
    <row r="21" spans="1:13" ht="16.149999999999999" customHeight="1" x14ac:dyDescent="0.25">
      <c r="A21" s="135">
        <f t="shared" ca="1" si="4"/>
        <v>44339</v>
      </c>
      <c r="B21" s="150">
        <f ca="1">IF(AND(B20&gt;A20,B20&lt;=A21),B20,DATE(YEAR(A21),MONTH(A21),IF(AND(MONTH(A21)=2,Assumptions!$C$79&gt;28),28,Assumptions!$C$79)))</f>
        <v>44321</v>
      </c>
      <c r="C21" s="151">
        <f t="shared" ca="1" si="1"/>
        <v>1182527.5618225189</v>
      </c>
      <c r="D21" s="151">
        <f ca="1">IF(ISNA(MATCH($A21,Months,0))=TRUE,0,OFFSET(CashFlow!$B$35,0,MATCH($A21,Months,0),1,1))</f>
        <v>0</v>
      </c>
      <c r="E21" s="152">
        <f t="shared" ca="1" si="2"/>
        <v>0</v>
      </c>
      <c r="F21" s="152">
        <f t="shared" ca="1" si="3"/>
        <v>0</v>
      </c>
      <c r="G21" s="152">
        <f t="shared" ca="1" si="0"/>
        <v>0</v>
      </c>
      <c r="H21" s="153">
        <f ca="1">IF(ROUND(SUM(C21:D21,-G21),0)=0,0,IF($B$6="Yes",SUM($D$9:D21),SUM(C21:D21,-G21)))</f>
        <v>1182527.5618225189</v>
      </c>
      <c r="I21" s="154" t="str">
        <f ca="1">IF(E21&gt;0,MAX(I$9:I20)+1,"-")</f>
        <v>-</v>
      </c>
    </row>
    <row r="22" spans="1:13" ht="16.149999999999999" customHeight="1" x14ac:dyDescent="0.25">
      <c r="A22" s="135">
        <f t="shared" ca="1" si="4"/>
        <v>44346</v>
      </c>
      <c r="B22" s="150">
        <f ca="1">IF(AND(B21&gt;A21,B21&lt;=A22),B21,DATE(YEAR(A22),MONTH(A22),IF(AND(MONTH(A22)=2,Assumptions!$C$79&gt;28),28,Assumptions!$C$79)))</f>
        <v>44321</v>
      </c>
      <c r="C22" s="151">
        <f t="shared" ca="1" si="1"/>
        <v>1182527.5618225189</v>
      </c>
      <c r="D22" s="151">
        <f ca="1">IF(ISNA(MATCH($A22,Months,0))=TRUE,0,OFFSET(CashFlow!$B$35,0,MATCH($A22,Months,0),1,1))</f>
        <v>0</v>
      </c>
      <c r="E22" s="152">
        <f t="shared" ca="1" si="2"/>
        <v>0</v>
      </c>
      <c r="F22" s="152">
        <f t="shared" ca="1" si="3"/>
        <v>0</v>
      </c>
      <c r="G22" s="152">
        <f t="shared" ca="1" si="0"/>
        <v>0</v>
      </c>
      <c r="H22" s="153">
        <f ca="1">IF(ROUND(SUM(C22:D22,-G22),0)=0,0,IF($B$6="Yes",SUM($D$9:D22),SUM(C22:D22,-G22)))</f>
        <v>1182527.5618225189</v>
      </c>
      <c r="I22" s="154" t="str">
        <f ca="1">IF(E22&gt;0,MAX(I$9:I21)+1,"-")</f>
        <v>-</v>
      </c>
    </row>
    <row r="23" spans="1:13" s="156" customFormat="1" ht="16.149999999999999" customHeight="1" x14ac:dyDescent="0.25">
      <c r="A23" s="135">
        <f t="shared" ca="1" si="4"/>
        <v>44353</v>
      </c>
      <c r="B23" s="150">
        <f ca="1">IF(AND(B22&gt;A22,B22&lt;=A23),B22,DATE(YEAR(A23),MONTH(A23),IF(AND(MONTH(A23)=2,Assumptions!$C$79&gt;28),28,Assumptions!$C$79)))</f>
        <v>44352</v>
      </c>
      <c r="C23" s="151">
        <f t="shared" ca="1" si="1"/>
        <v>1182527.5618225189</v>
      </c>
      <c r="D23" s="151">
        <f ca="1">IF(ISNA(MATCH($A23,Months,0))=TRUE,0,OFFSET(CashFlow!$B$35,0,MATCH($A23,Months,0),1,1))</f>
        <v>0</v>
      </c>
      <c r="E23" s="152">
        <f t="shared" ca="1" si="2"/>
        <v>16024.680225213191</v>
      </c>
      <c r="F23" s="152">
        <f t="shared" ca="1" si="3"/>
        <v>10100.756257234016</v>
      </c>
      <c r="G23" s="152">
        <f t="shared" ca="1" si="0"/>
        <v>5923.9239679791754</v>
      </c>
      <c r="H23" s="153">
        <f ca="1">IF(ROUND(SUM(C23:D23,-G23),0)=0,0,IF($B$6="Yes",SUM($D$9:D23),SUM(C23:D23,-G23)))</f>
        <v>1176603.6378545398</v>
      </c>
      <c r="I23" s="154">
        <f ca="1">IF(E23&gt;0,MAX(I$9:I22)+1,"-")</f>
        <v>4</v>
      </c>
      <c r="J23" s="155"/>
      <c r="K23" s="155"/>
      <c r="L23" s="155"/>
      <c r="M23" s="155"/>
    </row>
    <row r="24" spans="1:13" ht="16.149999999999999" customHeight="1" x14ac:dyDescent="0.25">
      <c r="A24" s="135">
        <f t="shared" ca="1" si="4"/>
        <v>44360</v>
      </c>
      <c r="B24" s="150">
        <f ca="1">IF(AND(B23&gt;A23,B23&lt;=A24),B23,DATE(YEAR(A24),MONTH(A24),IF(AND(MONTH(A24)=2,Assumptions!$C$79&gt;28),28,Assumptions!$C$79)))</f>
        <v>44352</v>
      </c>
      <c r="C24" s="151">
        <f t="shared" ca="1" si="1"/>
        <v>1176603.6378545398</v>
      </c>
      <c r="D24" s="151">
        <f ca="1">IF(ISNA(MATCH($A24,Months,0))=TRUE,0,OFFSET(CashFlow!$B$35,0,MATCH($A24,Months,0),1,1))</f>
        <v>0</v>
      </c>
      <c r="E24" s="152">
        <f t="shared" ca="1" si="2"/>
        <v>0</v>
      </c>
      <c r="F24" s="152">
        <f t="shared" ca="1" si="3"/>
        <v>0</v>
      </c>
      <c r="G24" s="152">
        <f t="shared" ca="1" si="0"/>
        <v>0</v>
      </c>
      <c r="H24" s="153">
        <f ca="1">IF(ROUND(SUM(C24:D24,-G24),0)=0,0,IF($B$6="Yes",SUM($D$9:D24),SUM(C24:D24,-G24)))</f>
        <v>1176603.6378545398</v>
      </c>
      <c r="I24" s="154" t="str">
        <f ca="1">IF(E24&gt;0,MAX(I$9:I23)+1,"-")</f>
        <v>-</v>
      </c>
    </row>
    <row r="25" spans="1:13" ht="16.149999999999999" customHeight="1" x14ac:dyDescent="0.25">
      <c r="A25" s="135">
        <f t="shared" ca="1" si="4"/>
        <v>44367</v>
      </c>
      <c r="B25" s="150">
        <f ca="1">IF(AND(B24&gt;A24,B24&lt;=A25),B24,DATE(YEAR(A25),MONTH(A25),IF(AND(MONTH(A25)=2,Assumptions!$C$79&gt;28),28,Assumptions!$C$79)))</f>
        <v>44352</v>
      </c>
      <c r="C25" s="151">
        <f t="shared" ca="1" si="1"/>
        <v>1176603.6378545398</v>
      </c>
      <c r="D25" s="151">
        <f ca="1">IF(ISNA(MATCH($A25,Months,0))=TRUE,0,OFFSET(CashFlow!$B$35,0,MATCH($A25,Months,0),1,1))</f>
        <v>0</v>
      </c>
      <c r="E25" s="152">
        <f t="shared" ca="1" si="2"/>
        <v>0</v>
      </c>
      <c r="F25" s="152">
        <f t="shared" ca="1" si="3"/>
        <v>0</v>
      </c>
      <c r="G25" s="152">
        <f t="shared" ca="1" si="0"/>
        <v>0</v>
      </c>
      <c r="H25" s="153">
        <f ca="1">IF(ROUND(SUM(C25:D25,-G25),0)=0,0,IF($B$6="Yes",SUM($D$9:D25),SUM(C25:D25,-G25)))</f>
        <v>1176603.6378545398</v>
      </c>
      <c r="I25" s="154" t="str">
        <f ca="1">IF(E25&gt;0,MAX(I$9:I24)+1,"-")</f>
        <v>-</v>
      </c>
    </row>
    <row r="26" spans="1:13" ht="16.149999999999999" customHeight="1" x14ac:dyDescent="0.25">
      <c r="A26" s="135">
        <f t="shared" ca="1" si="4"/>
        <v>44374</v>
      </c>
      <c r="B26" s="150">
        <f ca="1">IF(AND(B25&gt;A25,B25&lt;=A26),B25,DATE(YEAR(A26),MONTH(A26),IF(AND(MONTH(A26)=2,Assumptions!$C$79&gt;28),28,Assumptions!$C$79)))</f>
        <v>44352</v>
      </c>
      <c r="C26" s="151">
        <f t="shared" ca="1" si="1"/>
        <v>1176603.6378545398</v>
      </c>
      <c r="D26" s="151">
        <f ca="1">IF(ISNA(MATCH($A26,Months,0))=TRUE,0,OFFSET(CashFlow!$B$35,0,MATCH($A26,Months,0),1,1))</f>
        <v>0</v>
      </c>
      <c r="E26" s="152">
        <f t="shared" ca="1" si="2"/>
        <v>0</v>
      </c>
      <c r="F26" s="152">
        <f t="shared" ca="1" si="3"/>
        <v>0</v>
      </c>
      <c r="G26" s="152">
        <f t="shared" ca="1" si="0"/>
        <v>0</v>
      </c>
      <c r="H26" s="153">
        <f ca="1">IF(ROUND(SUM(C26:D26,-G26),0)=0,0,IF($B$6="Yes",SUM($D$9:D26),SUM(C26:D26,-G26)))</f>
        <v>1176603.6378545398</v>
      </c>
      <c r="I26" s="154" t="str">
        <f ca="1">IF(E26&gt;0,MAX(I$9:I25)+1,"-")</f>
        <v>-</v>
      </c>
    </row>
    <row r="27" spans="1:13" ht="16.149999999999999" customHeight="1" x14ac:dyDescent="0.25">
      <c r="A27" s="135">
        <f t="shared" ca="1" si="4"/>
        <v>44381</v>
      </c>
      <c r="B27" s="150">
        <f ca="1">IF(AND(B26&gt;A26,B26&lt;=A27),B26,DATE(YEAR(A27),MONTH(A27),IF(AND(MONTH(A27)=2,Assumptions!$C$79&gt;28),28,Assumptions!$C$79)))</f>
        <v>44382</v>
      </c>
      <c r="C27" s="151">
        <f t="shared" ca="1" si="1"/>
        <v>1176603.6378545398</v>
      </c>
      <c r="D27" s="151">
        <f ca="1">IF(ISNA(MATCH($A27,Months,0))=TRUE,0,OFFSET(CashFlow!$B$35,0,MATCH($A27,Months,0),1,1))</f>
        <v>0</v>
      </c>
      <c r="E27" s="152">
        <f t="shared" ca="1" si="2"/>
        <v>0</v>
      </c>
      <c r="F27" s="152">
        <f t="shared" ca="1" si="3"/>
        <v>0</v>
      </c>
      <c r="G27" s="152">
        <f t="shared" ca="1" si="0"/>
        <v>0</v>
      </c>
      <c r="H27" s="153">
        <f ca="1">IF(ROUND(SUM(C27:D27,-G27),0)=0,0,IF($B$6="Yes",SUM($D$9:D27),SUM(C27:D27,-G27)))</f>
        <v>1176603.6378545398</v>
      </c>
      <c r="I27" s="154" t="str">
        <f ca="1">IF(E27&gt;0,MAX(I$9:I26)+1,"-")</f>
        <v>-</v>
      </c>
    </row>
    <row r="28" spans="1:13" ht="16.149999999999999" customHeight="1" x14ac:dyDescent="0.25">
      <c r="A28" s="135">
        <f t="shared" ca="1" si="4"/>
        <v>44388</v>
      </c>
      <c r="B28" s="150">
        <f ca="1">IF(AND(B27&gt;A27,B27&lt;=A28),B27,DATE(YEAR(A28),MONTH(A28),IF(AND(MONTH(A28)=2,Assumptions!$C$79&gt;28),28,Assumptions!$C$79)))</f>
        <v>44382</v>
      </c>
      <c r="C28" s="151">
        <f t="shared" ca="1" si="1"/>
        <v>1176603.6378545398</v>
      </c>
      <c r="D28" s="151">
        <f ca="1">IF(ISNA(MATCH($A28,Months,0))=TRUE,0,OFFSET(CashFlow!$B$35,0,MATCH($A28,Months,0),1,1))</f>
        <v>0</v>
      </c>
      <c r="E28" s="152">
        <f t="shared" ca="1" si="2"/>
        <v>16024.680225213191</v>
      </c>
      <c r="F28" s="152">
        <f t="shared" ca="1" si="3"/>
        <v>10050.156073340861</v>
      </c>
      <c r="G28" s="152">
        <f t="shared" ca="1" si="0"/>
        <v>5974.5241518723305</v>
      </c>
      <c r="H28" s="153">
        <f ca="1">IF(ROUND(SUM(C28:D28,-G28),0)=0,0,IF($B$6="Yes",SUM($D$9:D28),SUM(C28:D28,-G28)))</f>
        <v>1170629.1137026674</v>
      </c>
      <c r="I28" s="154">
        <f ca="1">IF(E28&gt;0,MAX(I$9:I27)+1,"-")</f>
        <v>5</v>
      </c>
    </row>
    <row r="29" spans="1:13" ht="16.149999999999999" customHeight="1" x14ac:dyDescent="0.25">
      <c r="A29" s="135">
        <f t="shared" ca="1" si="4"/>
        <v>44395</v>
      </c>
      <c r="B29" s="150">
        <f ca="1">IF(AND(B28&gt;A28,B28&lt;=A29),B28,DATE(YEAR(A29),MONTH(A29),IF(AND(MONTH(A29)=2,Assumptions!$C$79&gt;28),28,Assumptions!$C$79)))</f>
        <v>44382</v>
      </c>
      <c r="C29" s="151">
        <f t="shared" ca="1" si="1"/>
        <v>1170629.1137026674</v>
      </c>
      <c r="D29" s="151">
        <f ca="1">IF(ISNA(MATCH($A29,Months,0))=TRUE,0,OFFSET(CashFlow!$B$35,0,MATCH($A29,Months,0),1,1))</f>
        <v>0</v>
      </c>
      <c r="E29" s="152">
        <f t="shared" ca="1" si="2"/>
        <v>0</v>
      </c>
      <c r="F29" s="152">
        <f t="shared" ca="1" si="3"/>
        <v>0</v>
      </c>
      <c r="G29" s="152">
        <f t="shared" ca="1" si="0"/>
        <v>0</v>
      </c>
      <c r="H29" s="153">
        <f ca="1">IF(ROUND(SUM(C29:D29,-G29),0)=0,0,IF($B$6="Yes",SUM($D$9:D29),SUM(C29:D29,-G29)))</f>
        <v>1170629.1137026674</v>
      </c>
      <c r="I29" s="154" t="str">
        <f ca="1">IF(E29&gt;0,MAX(I$9:I28)+1,"-")</f>
        <v>-</v>
      </c>
    </row>
    <row r="30" spans="1:13" ht="16.149999999999999" customHeight="1" x14ac:dyDescent="0.25">
      <c r="A30" s="135">
        <f t="shared" ca="1" si="4"/>
        <v>44402</v>
      </c>
      <c r="B30" s="150">
        <f ca="1">IF(AND(B29&gt;A29,B29&lt;=A30),B29,DATE(YEAR(A30),MONTH(A30),IF(AND(MONTH(A30)=2,Assumptions!$C$79&gt;28),28,Assumptions!$C$79)))</f>
        <v>44382</v>
      </c>
      <c r="C30" s="151">
        <f t="shared" ca="1" si="1"/>
        <v>1170629.1137026674</v>
      </c>
      <c r="D30" s="151">
        <f ca="1">IF(ISNA(MATCH($A30,Months,0))=TRUE,0,OFFSET(CashFlow!$B$35,0,MATCH($A30,Months,0),1,1))</f>
        <v>0</v>
      </c>
      <c r="E30" s="152">
        <f t="shared" ca="1" si="2"/>
        <v>0</v>
      </c>
      <c r="F30" s="152">
        <f t="shared" ca="1" si="3"/>
        <v>0</v>
      </c>
      <c r="G30" s="152">
        <f t="shared" ca="1" si="0"/>
        <v>0</v>
      </c>
      <c r="H30" s="153">
        <f ca="1">IF(ROUND(SUM(C30:D30,-G30),0)=0,0,IF($B$6="Yes",SUM($D$9:D30),SUM(C30:D30,-G30)))</f>
        <v>1170629.1137026674</v>
      </c>
      <c r="I30" s="154" t="str">
        <f ca="1">IF(E30&gt;0,MAX(I$9:I29)+1,"-")</f>
        <v>-</v>
      </c>
    </row>
    <row r="31" spans="1:13" ht="16.149999999999999" customHeight="1" x14ac:dyDescent="0.25">
      <c r="A31" s="135">
        <f t="shared" ca="1" si="4"/>
        <v>44409</v>
      </c>
      <c r="B31" s="150">
        <f ca="1">IF(AND(B30&gt;A30,B30&lt;=A31),B30,DATE(YEAR(A31),MONTH(A31),IF(AND(MONTH(A31)=2,Assumptions!$C$79&gt;28),28,Assumptions!$C$79)))</f>
        <v>44413</v>
      </c>
      <c r="C31" s="151">
        <f t="shared" ca="1" si="1"/>
        <v>1170629.1137026674</v>
      </c>
      <c r="D31" s="151">
        <f ca="1">IF(ISNA(MATCH($A31,Months,0))=TRUE,0,OFFSET(CashFlow!$B$35,0,MATCH($A31,Months,0),1,1))</f>
        <v>0</v>
      </c>
      <c r="E31" s="152">
        <f t="shared" ca="1" si="2"/>
        <v>0</v>
      </c>
      <c r="F31" s="152">
        <f t="shared" ca="1" si="3"/>
        <v>0</v>
      </c>
      <c r="G31" s="152">
        <f t="shared" ca="1" si="0"/>
        <v>0</v>
      </c>
      <c r="H31" s="153">
        <f ca="1">IF(ROUND(SUM(C31:D31,-G31),0)=0,0,IF($B$6="Yes",SUM($D$9:D31),SUM(C31:D31,-G31)))</f>
        <v>1170629.1137026674</v>
      </c>
      <c r="I31" s="154" t="str">
        <f ca="1">IF(E31&gt;0,MAX(I$9:I30)+1,"-")</f>
        <v>-</v>
      </c>
    </row>
    <row r="32" spans="1:13" ht="16.149999999999999" customHeight="1" x14ac:dyDescent="0.25">
      <c r="A32" s="135">
        <f t="shared" ca="1" si="4"/>
        <v>44416</v>
      </c>
      <c r="B32" s="150">
        <f ca="1">IF(AND(B31&gt;A31,B31&lt;=A32),B31,DATE(YEAR(A32),MONTH(A32),IF(AND(MONTH(A32)=2,Assumptions!$C$79&gt;28),28,Assumptions!$C$79)))</f>
        <v>44413</v>
      </c>
      <c r="C32" s="151">
        <f t="shared" ca="1" si="1"/>
        <v>1170629.1137026674</v>
      </c>
      <c r="D32" s="151">
        <f ca="1">IF(ISNA(MATCH($A32,Months,0))=TRUE,0,OFFSET(CashFlow!$B$35,0,MATCH($A32,Months,0),1,1))</f>
        <v>0</v>
      </c>
      <c r="E32" s="152">
        <f t="shared" ca="1" si="2"/>
        <v>16024.680225213191</v>
      </c>
      <c r="F32" s="152">
        <f t="shared" ca="1" si="3"/>
        <v>9999.123679543618</v>
      </c>
      <c r="G32" s="152">
        <f t="shared" ca="1" si="0"/>
        <v>6025.5565456695731</v>
      </c>
      <c r="H32" s="153">
        <f ca="1">IF(ROUND(SUM(C32:D32,-G32),0)=0,0,IF($B$6="Yes",SUM($D$9:D32),SUM(C32:D32,-G32)))</f>
        <v>1164603.5571569977</v>
      </c>
      <c r="I32" s="154">
        <f ca="1">IF(E32&gt;0,MAX(I$9:I31)+1,"-")</f>
        <v>6</v>
      </c>
    </row>
    <row r="33" spans="1:9" ht="16.149999999999999" customHeight="1" x14ac:dyDescent="0.25">
      <c r="A33" s="135">
        <f t="shared" ca="1" si="4"/>
        <v>44423</v>
      </c>
      <c r="B33" s="150">
        <f ca="1">IF(AND(B32&gt;A32,B32&lt;=A33),B32,DATE(YEAR(A33),MONTH(A33),IF(AND(MONTH(A33)=2,Assumptions!$C$79&gt;28),28,Assumptions!$C$79)))</f>
        <v>44413</v>
      </c>
      <c r="C33" s="151">
        <f t="shared" ca="1" si="1"/>
        <v>1164603.5571569977</v>
      </c>
      <c r="D33" s="151">
        <f ca="1">IF(ISNA(MATCH($A33,Months,0))=TRUE,0,OFFSET(CashFlow!$B$35,0,MATCH($A33,Months,0),1,1))</f>
        <v>0</v>
      </c>
      <c r="E33" s="152">
        <f t="shared" ca="1" si="2"/>
        <v>0</v>
      </c>
      <c r="F33" s="152">
        <f t="shared" ca="1" si="3"/>
        <v>0</v>
      </c>
      <c r="G33" s="152">
        <f t="shared" ca="1" si="0"/>
        <v>0</v>
      </c>
      <c r="H33" s="153">
        <f ca="1">IF(ROUND(SUM(C33:D33,-G33),0)=0,0,IF($B$6="Yes",SUM($D$9:D33),SUM(C33:D33,-G33)))</f>
        <v>1164603.5571569977</v>
      </c>
      <c r="I33" s="154" t="str">
        <f ca="1">IF(E33&gt;0,MAX(I$9:I32)+1,"-")</f>
        <v>-</v>
      </c>
    </row>
    <row r="34" spans="1:9" ht="16.149999999999999" customHeight="1" x14ac:dyDescent="0.25">
      <c r="A34" s="135">
        <f t="shared" ca="1" si="4"/>
        <v>44430</v>
      </c>
      <c r="B34" s="150">
        <f ca="1">IF(AND(B33&gt;A33,B33&lt;=A34),B33,DATE(YEAR(A34),MONTH(A34),IF(AND(MONTH(A34)=2,Assumptions!$C$79&gt;28),28,Assumptions!$C$79)))</f>
        <v>44413</v>
      </c>
      <c r="C34" s="151">
        <f t="shared" ca="1" si="1"/>
        <v>1164603.5571569977</v>
      </c>
      <c r="D34" s="151">
        <f ca="1">IF(ISNA(MATCH($A34,Months,0))=TRUE,0,OFFSET(CashFlow!$B$35,0,MATCH($A34,Months,0),1,1))</f>
        <v>0</v>
      </c>
      <c r="E34" s="152">
        <f t="shared" ca="1" si="2"/>
        <v>0</v>
      </c>
      <c r="F34" s="152">
        <f t="shared" ca="1" si="3"/>
        <v>0</v>
      </c>
      <c r="G34" s="152">
        <f t="shared" ca="1" si="0"/>
        <v>0</v>
      </c>
      <c r="H34" s="153">
        <f ca="1">IF(ROUND(SUM(C34:D34,-G34),0)=0,0,IF($B$6="Yes",SUM($D$9:D34),SUM(C34:D34,-G34)))</f>
        <v>1164603.5571569977</v>
      </c>
      <c r="I34" s="154" t="str">
        <f ca="1">IF(E34&gt;0,MAX(I$9:I33)+1,"-")</f>
        <v>-</v>
      </c>
    </row>
    <row r="35" spans="1:9" ht="16.149999999999999" customHeight="1" x14ac:dyDescent="0.25">
      <c r="A35" s="135">
        <f t="shared" ca="1" si="4"/>
        <v>44437</v>
      </c>
      <c r="B35" s="150">
        <f ca="1">IF(AND(B34&gt;A34,B34&lt;=A35),B34,DATE(YEAR(A35),MONTH(A35),IF(AND(MONTH(A35)=2,Assumptions!$C$79&gt;28),28,Assumptions!$C$79)))</f>
        <v>44413</v>
      </c>
      <c r="C35" s="151">
        <f t="shared" ca="1" si="1"/>
        <v>1164603.5571569977</v>
      </c>
      <c r="D35" s="151">
        <f ca="1">IF(ISNA(MATCH($A35,Months,0))=TRUE,0,OFFSET(CashFlow!$B$35,0,MATCH($A35,Months,0),1,1))</f>
        <v>0</v>
      </c>
      <c r="E35" s="152">
        <f t="shared" ca="1" si="2"/>
        <v>0</v>
      </c>
      <c r="F35" s="152">
        <f t="shared" ca="1" si="3"/>
        <v>0</v>
      </c>
      <c r="G35" s="152">
        <f t="shared" ca="1" si="0"/>
        <v>0</v>
      </c>
      <c r="H35" s="153">
        <f ca="1">IF(ROUND(SUM(C35:D35,-G35),0)=0,0,IF($B$6="Yes",SUM($D$9:D35),SUM(C35:D35,-G35)))</f>
        <v>1164603.5571569977</v>
      </c>
      <c r="I35" s="154" t="str">
        <f ca="1">IF(E35&gt;0,MAX(I$9:I34)+1,"-")</f>
        <v>-</v>
      </c>
    </row>
    <row r="36" spans="1:9" ht="16.149999999999999" customHeight="1" x14ac:dyDescent="0.25">
      <c r="A36" s="135">
        <f t="shared" ca="1" si="4"/>
        <v>44444</v>
      </c>
      <c r="B36" s="150">
        <f ca="1">IF(AND(B35&gt;A35,B35&lt;=A36),B35,DATE(YEAR(A36),MONTH(A36),IF(AND(MONTH(A36)=2,Assumptions!$C$79&gt;28),28,Assumptions!$C$79)))</f>
        <v>44444</v>
      </c>
      <c r="C36" s="151">
        <f t="shared" ca="1" si="1"/>
        <v>1164603.5571569977</v>
      </c>
      <c r="D36" s="151">
        <f ca="1">IF(ISNA(MATCH($A36,Months,0))=TRUE,0,OFFSET(CashFlow!$B$35,0,MATCH($A36,Months,0),1,1))</f>
        <v>0</v>
      </c>
      <c r="E36" s="152">
        <f t="shared" ca="1" si="2"/>
        <v>16024.680225213191</v>
      </c>
      <c r="F36" s="152">
        <f t="shared" ca="1" si="3"/>
        <v>9947.6553840493561</v>
      </c>
      <c r="G36" s="152">
        <f t="shared" ca="1" si="0"/>
        <v>6077.0248411638349</v>
      </c>
      <c r="H36" s="153">
        <f ca="1">IF(ROUND(SUM(C36:D36,-G36),0)=0,0,IF($B$6="Yes",SUM($D$9:D36),SUM(C36:D36,-G36)))</f>
        <v>1158526.532315834</v>
      </c>
      <c r="I36" s="154">
        <f ca="1">IF(E36&gt;0,MAX(I$9:I35)+1,"-")</f>
        <v>7</v>
      </c>
    </row>
    <row r="37" spans="1:9" ht="16.149999999999999" customHeight="1" x14ac:dyDescent="0.25">
      <c r="A37" s="135">
        <f t="shared" ca="1" si="4"/>
        <v>44451</v>
      </c>
      <c r="B37" s="150">
        <f ca="1">IF(AND(B36&gt;A36,B36&lt;=A37),B36,DATE(YEAR(A37),MONTH(A37),IF(AND(MONTH(A37)=2,Assumptions!$C$79&gt;28),28,Assumptions!$C$79)))</f>
        <v>44444</v>
      </c>
      <c r="C37" s="151">
        <f t="shared" ca="1" si="1"/>
        <v>1158526.532315834</v>
      </c>
      <c r="D37" s="151">
        <f ca="1">IF(ISNA(MATCH($A37,Months,0))=TRUE,0,OFFSET(CashFlow!$B$35,0,MATCH($A37,Months,0),1,1))</f>
        <v>0</v>
      </c>
      <c r="E37" s="152">
        <f t="shared" ca="1" si="2"/>
        <v>0</v>
      </c>
      <c r="F37" s="152">
        <f t="shared" ca="1" si="3"/>
        <v>0</v>
      </c>
      <c r="G37" s="152">
        <f t="shared" ca="1" si="0"/>
        <v>0</v>
      </c>
      <c r="H37" s="153">
        <f ca="1">IF(ROUND(SUM(C37:D37,-G37),0)=0,0,IF($B$6="Yes",SUM($D$9:D37),SUM(C37:D37,-G37)))</f>
        <v>1158526.532315834</v>
      </c>
      <c r="I37" s="154" t="str">
        <f ca="1">IF(E37&gt;0,MAX(I$9:I36)+1,"-")</f>
        <v>-</v>
      </c>
    </row>
    <row r="38" spans="1:9" ht="16.149999999999999" customHeight="1" x14ac:dyDescent="0.25">
      <c r="A38" s="135">
        <f t="shared" ca="1" si="4"/>
        <v>44458</v>
      </c>
      <c r="B38" s="150">
        <f ca="1">IF(AND(B37&gt;A37,B37&lt;=A38),B37,DATE(YEAR(A38),MONTH(A38),IF(AND(MONTH(A38)=2,Assumptions!$C$79&gt;28),28,Assumptions!$C$79)))</f>
        <v>44444</v>
      </c>
      <c r="C38" s="151">
        <f t="shared" ca="1" si="1"/>
        <v>1158526.532315834</v>
      </c>
      <c r="D38" s="151">
        <f ca="1">IF(ISNA(MATCH($A38,Months,0))=TRUE,0,OFFSET(CashFlow!$B$35,0,MATCH($A38,Months,0),1,1))</f>
        <v>0</v>
      </c>
      <c r="E38" s="152">
        <f t="shared" ca="1" si="2"/>
        <v>0</v>
      </c>
      <c r="F38" s="152">
        <f t="shared" ca="1" si="3"/>
        <v>0</v>
      </c>
      <c r="G38" s="152">
        <f t="shared" ca="1" si="0"/>
        <v>0</v>
      </c>
      <c r="H38" s="153">
        <f ca="1">IF(ROUND(SUM(C38:D38,-G38),0)=0,0,IF($B$6="Yes",SUM($D$9:D38),SUM(C38:D38,-G38)))</f>
        <v>1158526.532315834</v>
      </c>
      <c r="I38" s="154" t="str">
        <f ca="1">IF(E38&gt;0,MAX(I$9:I37)+1,"-")</f>
        <v>-</v>
      </c>
    </row>
    <row r="39" spans="1:9" ht="16.149999999999999" customHeight="1" x14ac:dyDescent="0.25">
      <c r="A39" s="135">
        <f t="shared" ca="1" si="4"/>
        <v>44465</v>
      </c>
      <c r="B39" s="150">
        <f ca="1">IF(AND(B38&gt;A38,B38&lt;=A39),B38,DATE(YEAR(A39),MONTH(A39),IF(AND(MONTH(A39)=2,Assumptions!$C$79&gt;28),28,Assumptions!$C$79)))</f>
        <v>44444</v>
      </c>
      <c r="C39" s="151">
        <f t="shared" ca="1" si="1"/>
        <v>1158526.532315834</v>
      </c>
      <c r="D39" s="151">
        <f ca="1">IF(ISNA(MATCH($A39,Months,0))=TRUE,0,OFFSET(CashFlow!$B$35,0,MATCH($A39,Months,0),1,1))</f>
        <v>0</v>
      </c>
      <c r="E39" s="152">
        <f t="shared" ca="1" si="2"/>
        <v>0</v>
      </c>
      <c r="F39" s="152">
        <f t="shared" ca="1" si="3"/>
        <v>0</v>
      </c>
      <c r="G39" s="152">
        <f t="shared" ca="1" si="0"/>
        <v>0</v>
      </c>
      <c r="H39" s="153">
        <f ca="1">IF(ROUND(SUM(C39:D39,-G39),0)=0,0,IF($B$6="Yes",SUM($D$9:D39),SUM(C39:D39,-G39)))</f>
        <v>1158526.532315834</v>
      </c>
      <c r="I39" s="154" t="str">
        <f ca="1">IF(E39&gt;0,MAX(I$9:I38)+1,"-")</f>
        <v>-</v>
      </c>
    </row>
    <row r="40" spans="1:9" ht="16.149999999999999" customHeight="1" x14ac:dyDescent="0.25">
      <c r="A40" s="135">
        <f t="shared" ca="1" si="4"/>
        <v>44472</v>
      </c>
      <c r="B40" s="150">
        <f ca="1">IF(AND(B39&gt;A39,B39&lt;=A40),B39,DATE(YEAR(A40),MONTH(A40),IF(AND(MONTH(A40)=2,Assumptions!$C$79&gt;28),28,Assumptions!$C$79)))</f>
        <v>44474</v>
      </c>
      <c r="C40" s="151">
        <f t="shared" ca="1" si="1"/>
        <v>1158526.532315834</v>
      </c>
      <c r="D40" s="151">
        <f ca="1">IF(ISNA(MATCH($A40,Months,0))=TRUE,0,OFFSET(CashFlow!$B$35,0,MATCH($A40,Months,0),1,1))</f>
        <v>0</v>
      </c>
      <c r="E40" s="152">
        <f t="shared" ca="1" si="2"/>
        <v>0</v>
      </c>
      <c r="F40" s="152">
        <f t="shared" ca="1" si="3"/>
        <v>0</v>
      </c>
      <c r="G40" s="152">
        <f t="shared" ca="1" si="0"/>
        <v>0</v>
      </c>
      <c r="H40" s="153">
        <f ca="1">IF(ROUND(SUM(C40:D40,-G40),0)=0,0,IF($B$6="Yes",SUM($D$9:D40),SUM(C40:D40,-G40)))</f>
        <v>1158526.532315834</v>
      </c>
      <c r="I40" s="154" t="str">
        <f ca="1">IF(E40&gt;0,MAX(I$9:I39)+1,"-")</f>
        <v>-</v>
      </c>
    </row>
    <row r="41" spans="1:9" ht="16.149999999999999" customHeight="1" x14ac:dyDescent="0.25">
      <c r="A41" s="135">
        <f t="shared" ca="1" si="4"/>
        <v>44479</v>
      </c>
      <c r="B41" s="150">
        <f ca="1">IF(AND(B40&gt;A40,B40&lt;=A41),B40,DATE(YEAR(A41),MONTH(A41),IF(AND(MONTH(A41)=2,Assumptions!$C$79&gt;28),28,Assumptions!$C$79)))</f>
        <v>44474</v>
      </c>
      <c r="C41" s="151">
        <f t="shared" ca="1" si="1"/>
        <v>1158526.532315834</v>
      </c>
      <c r="D41" s="151">
        <f ca="1">IF(ISNA(MATCH($A41,Months,0))=TRUE,0,OFFSET(CashFlow!$B$35,0,MATCH($A41,Months,0),1,1))</f>
        <v>0</v>
      </c>
      <c r="E41" s="152">
        <f t="shared" ca="1" si="2"/>
        <v>16024.680225213191</v>
      </c>
      <c r="F41" s="152">
        <f t="shared" ca="1" si="3"/>
        <v>9895.7474635310809</v>
      </c>
      <c r="G41" s="152">
        <f t="shared" ref="G41:G61" ca="1" si="5">IF($B$6="Yes",0,E41-F41)</f>
        <v>6128.9327616821101</v>
      </c>
      <c r="H41" s="153">
        <f ca="1">IF(ROUND(SUM(C41:D41,-G41),0)=0,0,IF($B$6="Yes",SUM($D$9:D41),SUM(C41:D41,-G41)))</f>
        <v>1152397.5995541518</v>
      </c>
      <c r="I41" s="154">
        <f ca="1">IF(E41&gt;0,MAX(I$9:I40)+1,"-")</f>
        <v>8</v>
      </c>
    </row>
    <row r="42" spans="1:9" ht="16.149999999999999" customHeight="1" x14ac:dyDescent="0.25">
      <c r="A42" s="135">
        <f t="shared" ca="1" si="4"/>
        <v>44486</v>
      </c>
      <c r="B42" s="150">
        <f ca="1">IF(AND(B41&gt;A41,B41&lt;=A42),B41,DATE(YEAR(A42),MONTH(A42),IF(AND(MONTH(A42)=2,Assumptions!$C$79&gt;28),28,Assumptions!$C$79)))</f>
        <v>44474</v>
      </c>
      <c r="C42" s="151">
        <f t="shared" ca="1" si="1"/>
        <v>1152397.5995541518</v>
      </c>
      <c r="D42" s="151">
        <f ca="1">IF(ISNA(MATCH($A42,Months,0))=TRUE,0,OFFSET(CashFlow!$B$35,0,MATCH($A42,Months,0),1,1))</f>
        <v>0</v>
      </c>
      <c r="E42" s="152">
        <f t="shared" ca="1" si="2"/>
        <v>0</v>
      </c>
      <c r="F42" s="152">
        <f t="shared" ca="1" si="3"/>
        <v>0</v>
      </c>
      <c r="G42" s="152">
        <f t="shared" ca="1" si="5"/>
        <v>0</v>
      </c>
      <c r="H42" s="153">
        <f ca="1">IF(ROUND(SUM(C42:D42,-G42),0)=0,0,IF($B$6="Yes",SUM($D$9:D42),SUM(C42:D42,-G42)))</f>
        <v>1152397.5995541518</v>
      </c>
      <c r="I42" s="154" t="str">
        <f ca="1">IF(E42&gt;0,MAX(I$9:I41)+1,"-")</f>
        <v>-</v>
      </c>
    </row>
    <row r="43" spans="1:9" ht="16.149999999999999" customHeight="1" x14ac:dyDescent="0.25">
      <c r="A43" s="135">
        <f t="shared" ca="1" si="4"/>
        <v>44493</v>
      </c>
      <c r="B43" s="150">
        <f ca="1">IF(AND(B42&gt;A42,B42&lt;=A43),B42,DATE(YEAR(A43),MONTH(A43),IF(AND(MONTH(A43)=2,Assumptions!$C$79&gt;28),28,Assumptions!$C$79)))</f>
        <v>44474</v>
      </c>
      <c r="C43" s="151">
        <f t="shared" ca="1" si="1"/>
        <v>1152397.5995541518</v>
      </c>
      <c r="D43" s="151">
        <f ca="1">IF(ISNA(MATCH($A43,Months,0))=TRUE,0,OFFSET(CashFlow!$B$35,0,MATCH($A43,Months,0),1,1))</f>
        <v>0</v>
      </c>
      <c r="E43" s="152">
        <f t="shared" ca="1" si="2"/>
        <v>0</v>
      </c>
      <c r="F43" s="152">
        <f t="shared" ca="1" si="3"/>
        <v>0</v>
      </c>
      <c r="G43" s="152">
        <f t="shared" ca="1" si="5"/>
        <v>0</v>
      </c>
      <c r="H43" s="153">
        <f ca="1">IF(ROUND(SUM(C43:D43,-G43),0)=0,0,IF($B$6="Yes",SUM($D$9:D43),SUM(C43:D43,-G43)))</f>
        <v>1152397.5995541518</v>
      </c>
      <c r="I43" s="154" t="str">
        <f ca="1">IF(E43&gt;0,MAX(I$9:I42)+1,"-")</f>
        <v>-</v>
      </c>
    </row>
    <row r="44" spans="1:9" ht="16.149999999999999" customHeight="1" x14ac:dyDescent="0.25">
      <c r="A44" s="135">
        <f t="shared" ca="1" si="4"/>
        <v>44500</v>
      </c>
      <c r="B44" s="150">
        <f ca="1">IF(AND(B43&gt;A43,B43&lt;=A44),B43,DATE(YEAR(A44),MONTH(A44),IF(AND(MONTH(A44)=2,Assumptions!$C$79&gt;28),28,Assumptions!$C$79)))</f>
        <v>44474</v>
      </c>
      <c r="C44" s="151">
        <f t="shared" ca="1" si="1"/>
        <v>1152397.5995541518</v>
      </c>
      <c r="D44" s="151">
        <f ca="1">IF(ISNA(MATCH($A44,Months,0))=TRUE,0,OFFSET(CashFlow!$B$35,0,MATCH($A44,Months,0),1,1))</f>
        <v>0</v>
      </c>
      <c r="E44" s="152">
        <f t="shared" ca="1" si="2"/>
        <v>0</v>
      </c>
      <c r="F44" s="152">
        <f t="shared" ca="1" si="3"/>
        <v>0</v>
      </c>
      <c r="G44" s="152">
        <f t="shared" ca="1" si="5"/>
        <v>0</v>
      </c>
      <c r="H44" s="153">
        <f ca="1">IF(ROUND(SUM(C44:D44,-G44),0)=0,0,IF($B$6="Yes",SUM($D$9:D44),SUM(C44:D44,-G44)))</f>
        <v>1152397.5995541518</v>
      </c>
      <c r="I44" s="154" t="str">
        <f ca="1">IF(E44&gt;0,MAX(I$9:I43)+1,"-")</f>
        <v>-</v>
      </c>
    </row>
    <row r="45" spans="1:9" ht="16.149999999999999" customHeight="1" x14ac:dyDescent="0.25">
      <c r="A45" s="135">
        <f t="shared" ca="1" si="4"/>
        <v>44507</v>
      </c>
      <c r="B45" s="150">
        <f ca="1">IF(AND(B44&gt;A44,B44&lt;=A45),B44,DATE(YEAR(A45),MONTH(A45),IF(AND(MONTH(A45)=2,Assumptions!$C$79&gt;28),28,Assumptions!$C$79)))</f>
        <v>44505</v>
      </c>
      <c r="C45" s="151">
        <f t="shared" ca="1" si="1"/>
        <v>1152397.5995541518</v>
      </c>
      <c r="D45" s="151">
        <f ca="1">IF(ISNA(MATCH($A45,Months,0))=TRUE,0,OFFSET(CashFlow!$B$35,0,MATCH($A45,Months,0),1,1))</f>
        <v>0</v>
      </c>
      <c r="E45" s="152">
        <f t="shared" ca="1" si="2"/>
        <v>16024.680225213191</v>
      </c>
      <c r="F45" s="152">
        <f t="shared" ca="1" si="3"/>
        <v>9843.3961628583802</v>
      </c>
      <c r="G45" s="152">
        <f t="shared" ca="1" si="5"/>
        <v>6181.2840623548109</v>
      </c>
      <c r="H45" s="153">
        <f ca="1">IF(ROUND(SUM(C45:D45,-G45),0)=0,0,IF($B$6="Yes",SUM($D$9:D45),SUM(C45:D45,-G45)))</f>
        <v>1146216.3154917969</v>
      </c>
      <c r="I45" s="154">
        <f ca="1">IF(E45&gt;0,MAX(I$9:I44)+1,"-")</f>
        <v>9</v>
      </c>
    </row>
    <row r="46" spans="1:9" ht="16.149999999999999" customHeight="1" x14ac:dyDescent="0.25">
      <c r="A46" s="135">
        <f t="shared" ca="1" si="4"/>
        <v>44514</v>
      </c>
      <c r="B46" s="150">
        <f ca="1">IF(AND(B45&gt;A45,B45&lt;=A46),B45,DATE(YEAR(A46),MONTH(A46),IF(AND(MONTH(A46)=2,Assumptions!$C$79&gt;28),28,Assumptions!$C$79)))</f>
        <v>44505</v>
      </c>
      <c r="C46" s="151">
        <f t="shared" ca="1" si="1"/>
        <v>1146216.3154917969</v>
      </c>
      <c r="D46" s="151">
        <f ca="1">IF(ISNA(MATCH($A46,Months,0))=TRUE,0,OFFSET(CashFlow!$B$35,0,MATCH($A46,Months,0),1,1))</f>
        <v>0</v>
      </c>
      <c r="E46" s="152">
        <f t="shared" ca="1" si="2"/>
        <v>0</v>
      </c>
      <c r="F46" s="152">
        <f t="shared" ca="1" si="3"/>
        <v>0</v>
      </c>
      <c r="G46" s="152">
        <f t="shared" ca="1" si="5"/>
        <v>0</v>
      </c>
      <c r="H46" s="153">
        <f ca="1">IF(ROUND(SUM(C46:D46,-G46),0)=0,0,IF($B$6="Yes",SUM($D$9:D46),SUM(C46:D46,-G46)))</f>
        <v>1146216.3154917969</v>
      </c>
      <c r="I46" s="154" t="str">
        <f ca="1">IF(E46&gt;0,MAX(I$9:I45)+1,"-")</f>
        <v>-</v>
      </c>
    </row>
    <row r="47" spans="1:9" ht="16.149999999999999" customHeight="1" x14ac:dyDescent="0.25">
      <c r="A47" s="135">
        <f t="shared" ca="1" si="4"/>
        <v>44521</v>
      </c>
      <c r="B47" s="150">
        <f ca="1">IF(AND(B46&gt;A46,B46&lt;=A47),B46,DATE(YEAR(A47),MONTH(A47),IF(AND(MONTH(A47)=2,Assumptions!$C$79&gt;28),28,Assumptions!$C$79)))</f>
        <v>44505</v>
      </c>
      <c r="C47" s="151">
        <f t="shared" ca="1" si="1"/>
        <v>1146216.3154917969</v>
      </c>
      <c r="D47" s="151">
        <f ca="1">IF(ISNA(MATCH($A47,Months,0))=TRUE,0,OFFSET(CashFlow!$B$35,0,MATCH($A47,Months,0),1,1))</f>
        <v>0</v>
      </c>
      <c r="E47" s="152">
        <f t="shared" ca="1" si="2"/>
        <v>0</v>
      </c>
      <c r="F47" s="152">
        <f t="shared" ca="1" si="3"/>
        <v>0</v>
      </c>
      <c r="G47" s="152">
        <f t="shared" ca="1" si="5"/>
        <v>0</v>
      </c>
      <c r="H47" s="153">
        <f ca="1">IF(ROUND(SUM(C47:D47,-G47),0)=0,0,IF($B$6="Yes",SUM($D$9:D47),SUM(C47:D47,-G47)))</f>
        <v>1146216.3154917969</v>
      </c>
      <c r="I47" s="154" t="str">
        <f ca="1">IF(E47&gt;0,MAX(I$9:I46)+1,"-")</f>
        <v>-</v>
      </c>
    </row>
    <row r="48" spans="1:9" ht="16.149999999999999" customHeight="1" x14ac:dyDescent="0.25">
      <c r="A48" s="135">
        <f t="shared" ca="1" si="4"/>
        <v>44528</v>
      </c>
      <c r="B48" s="150">
        <f ca="1">IF(AND(B47&gt;A47,B47&lt;=A48),B47,DATE(YEAR(A48),MONTH(A48),IF(AND(MONTH(A48)=2,Assumptions!$C$79&gt;28),28,Assumptions!$C$79)))</f>
        <v>44505</v>
      </c>
      <c r="C48" s="151">
        <f t="shared" ca="1" si="1"/>
        <v>1146216.3154917969</v>
      </c>
      <c r="D48" s="151">
        <f ca="1">IF(ISNA(MATCH($A48,Months,0))=TRUE,0,OFFSET(CashFlow!$B$35,0,MATCH($A48,Months,0),1,1))</f>
        <v>0</v>
      </c>
      <c r="E48" s="152">
        <f t="shared" ca="1" si="2"/>
        <v>0</v>
      </c>
      <c r="F48" s="152">
        <f t="shared" ca="1" si="3"/>
        <v>0</v>
      </c>
      <c r="G48" s="152">
        <f t="shared" ca="1" si="5"/>
        <v>0</v>
      </c>
      <c r="H48" s="153">
        <f ca="1">IF(ROUND(SUM(C48:D48,-G48),0)=0,0,IF($B$6="Yes",SUM($D$9:D48),SUM(C48:D48,-G48)))</f>
        <v>1146216.3154917969</v>
      </c>
      <c r="I48" s="154" t="str">
        <f ca="1">IF(E48&gt;0,MAX(I$9:I47)+1,"-")</f>
        <v>-</v>
      </c>
    </row>
    <row r="49" spans="1:9" ht="16.149999999999999" customHeight="1" x14ac:dyDescent="0.25">
      <c r="A49" s="135">
        <f t="shared" ca="1" si="4"/>
        <v>44535</v>
      </c>
      <c r="B49" s="150">
        <f ca="1">IF(AND(B48&gt;A48,B48&lt;=A49),B48,DATE(YEAR(A49),MONTH(A49),IF(AND(MONTH(A49)=2,Assumptions!$C$79&gt;28),28,Assumptions!$C$79)))</f>
        <v>44535</v>
      </c>
      <c r="C49" s="151">
        <f t="shared" ca="1" si="1"/>
        <v>1146216.3154917969</v>
      </c>
      <c r="D49" s="151">
        <f ca="1">IF(ISNA(MATCH($A49,Months,0))=TRUE,0,OFFSET(CashFlow!$B$35,0,MATCH($A49,Months,0),1,1))</f>
        <v>0</v>
      </c>
      <c r="E49" s="152">
        <f t="shared" ca="1" si="2"/>
        <v>16024.680225213191</v>
      </c>
      <c r="F49" s="152">
        <f t="shared" ca="1" si="3"/>
        <v>9790.5976948257648</v>
      </c>
      <c r="G49" s="152">
        <f t="shared" ca="1" si="5"/>
        <v>6234.0825303874262</v>
      </c>
      <c r="H49" s="153">
        <f ca="1">IF(ROUND(SUM(C49:D49,-G49),0)=0,0,IF($B$6="Yes",SUM($D$9:D49),SUM(C49:D49,-G49)))</f>
        <v>1139982.2329614095</v>
      </c>
      <c r="I49" s="154">
        <f ca="1">IF(E49&gt;0,MAX(I$9:I48)+1,"-")</f>
        <v>10</v>
      </c>
    </row>
    <row r="50" spans="1:9" ht="16.149999999999999" customHeight="1" x14ac:dyDescent="0.25">
      <c r="A50" s="135">
        <f t="shared" ca="1" si="4"/>
        <v>44542</v>
      </c>
      <c r="B50" s="150">
        <f ca="1">IF(AND(B49&gt;A49,B49&lt;=A50),B49,DATE(YEAR(A50),MONTH(A50),IF(AND(MONTH(A50)=2,Assumptions!$C$79&gt;28),28,Assumptions!$C$79)))</f>
        <v>44535</v>
      </c>
      <c r="C50" s="151">
        <f t="shared" ca="1" si="1"/>
        <v>1139982.2329614095</v>
      </c>
      <c r="D50" s="151">
        <f ca="1">IF(ISNA(MATCH($A50,Months,0))=TRUE,0,OFFSET(CashFlow!$B$35,0,MATCH($A50,Months,0),1,1))</f>
        <v>0</v>
      </c>
      <c r="E50" s="152">
        <f t="shared" ca="1" si="2"/>
        <v>0</v>
      </c>
      <c r="F50" s="152">
        <f t="shared" ca="1" si="3"/>
        <v>0</v>
      </c>
      <c r="G50" s="152">
        <f t="shared" ca="1" si="5"/>
        <v>0</v>
      </c>
      <c r="H50" s="153">
        <f ca="1">IF(ROUND(SUM(C50:D50,-G50),0)=0,0,IF($B$6="Yes",SUM($D$9:D50),SUM(C50:D50,-G50)))</f>
        <v>1139982.2329614095</v>
      </c>
      <c r="I50" s="154" t="str">
        <f ca="1">IF(E50&gt;0,MAX(I$9:I49)+1,"-")</f>
        <v>-</v>
      </c>
    </row>
    <row r="51" spans="1:9" ht="16.149999999999999" customHeight="1" x14ac:dyDescent="0.25">
      <c r="A51" s="135">
        <f t="shared" ca="1" si="4"/>
        <v>44549</v>
      </c>
      <c r="B51" s="150">
        <f ca="1">IF(AND(B50&gt;A50,B50&lt;=A51),B50,DATE(YEAR(A51),MONTH(A51),IF(AND(MONTH(A51)=2,Assumptions!$C$79&gt;28),28,Assumptions!$C$79)))</f>
        <v>44535</v>
      </c>
      <c r="C51" s="151">
        <f t="shared" ca="1" si="1"/>
        <v>1139982.2329614095</v>
      </c>
      <c r="D51" s="151">
        <f ca="1">IF(ISNA(MATCH($A51,Months,0))=TRUE,0,OFFSET(CashFlow!$B$35,0,MATCH($A51,Months,0),1,1))</f>
        <v>0</v>
      </c>
      <c r="E51" s="152">
        <f t="shared" ca="1" si="2"/>
        <v>0</v>
      </c>
      <c r="F51" s="152">
        <f t="shared" ca="1" si="3"/>
        <v>0</v>
      </c>
      <c r="G51" s="152">
        <f t="shared" ca="1" si="5"/>
        <v>0</v>
      </c>
      <c r="H51" s="153">
        <f ca="1">IF(ROUND(SUM(C51:D51,-G51),0)=0,0,IF($B$6="Yes",SUM($D$9:D51),SUM(C51:D51,-G51)))</f>
        <v>1139982.2329614095</v>
      </c>
      <c r="I51" s="154" t="str">
        <f ca="1">IF(E51&gt;0,MAX(I$9:I50)+1,"-")</f>
        <v>-</v>
      </c>
    </row>
    <row r="52" spans="1:9" ht="16.149999999999999" customHeight="1" x14ac:dyDescent="0.25">
      <c r="A52" s="135">
        <f t="shared" ca="1" si="4"/>
        <v>44556</v>
      </c>
      <c r="B52" s="150">
        <f ca="1">IF(AND(B51&gt;A51,B51&lt;=A52),B51,DATE(YEAR(A52),MONTH(A52),IF(AND(MONTH(A52)=2,Assumptions!$C$79&gt;28),28,Assumptions!$C$79)))</f>
        <v>44535</v>
      </c>
      <c r="C52" s="151">
        <f t="shared" ca="1" si="1"/>
        <v>1139982.2329614095</v>
      </c>
      <c r="D52" s="151">
        <f ca="1">IF(ISNA(MATCH($A52,Months,0))=TRUE,0,OFFSET(CashFlow!$B$35,0,MATCH($A52,Months,0),1,1))</f>
        <v>0</v>
      </c>
      <c r="E52" s="152">
        <f t="shared" ca="1" si="2"/>
        <v>0</v>
      </c>
      <c r="F52" s="152">
        <f t="shared" ca="1" si="3"/>
        <v>0</v>
      </c>
      <c r="G52" s="152">
        <f t="shared" ca="1" si="5"/>
        <v>0</v>
      </c>
      <c r="H52" s="153">
        <f ca="1">IF(ROUND(SUM(C52:D52,-G52),0)=0,0,IF($B$6="Yes",SUM($D$9:D52),SUM(C52:D52,-G52)))</f>
        <v>1139982.2329614095</v>
      </c>
      <c r="I52" s="154" t="str">
        <f ca="1">IF(E52&gt;0,MAX(I$9:I51)+1,"-")</f>
        <v>-</v>
      </c>
    </row>
    <row r="53" spans="1:9" ht="16.149999999999999" customHeight="1" x14ac:dyDescent="0.25">
      <c r="A53" s="135">
        <f t="shared" ca="1" si="4"/>
        <v>44563</v>
      </c>
      <c r="B53" s="150">
        <f ca="1">IF(AND(B52&gt;A52,B52&lt;=A53),B52,DATE(YEAR(A53),MONTH(A53),IF(AND(MONTH(A53)=2,Assumptions!$C$79&gt;28),28,Assumptions!$C$79)))</f>
        <v>44566</v>
      </c>
      <c r="C53" s="151">
        <f t="shared" ca="1" si="1"/>
        <v>1139982.2329614095</v>
      </c>
      <c r="D53" s="151">
        <f ca="1">IF(ISNA(MATCH($A53,Months,0))=TRUE,0,OFFSET(CashFlow!$B$35,0,MATCH($A53,Months,0),1,1))</f>
        <v>0</v>
      </c>
      <c r="E53" s="152">
        <f t="shared" ca="1" si="2"/>
        <v>0</v>
      </c>
      <c r="F53" s="152">
        <f t="shared" ca="1" si="3"/>
        <v>0</v>
      </c>
      <c r="G53" s="152">
        <f t="shared" ca="1" si="5"/>
        <v>0</v>
      </c>
      <c r="H53" s="153">
        <f ca="1">IF(ROUND(SUM(C53:D53,-G53),0)=0,0,IF($B$6="Yes",SUM($D$9:D53),SUM(C53:D53,-G53)))</f>
        <v>1139982.2329614095</v>
      </c>
      <c r="I53" s="154" t="str">
        <f ca="1">IF(E53&gt;0,MAX(I$9:I52)+1,"-")</f>
        <v>-</v>
      </c>
    </row>
    <row r="54" spans="1:9" ht="16.149999999999999" customHeight="1" x14ac:dyDescent="0.25">
      <c r="A54" s="135">
        <f t="shared" ca="1" si="4"/>
        <v>44570</v>
      </c>
      <c r="B54" s="150">
        <f ca="1">IF(AND(B53&gt;A53,B53&lt;=A54),B53,DATE(YEAR(A54),MONTH(A54),IF(AND(MONTH(A54)=2,Assumptions!$C$79&gt;28),28,Assumptions!$C$79)))</f>
        <v>44566</v>
      </c>
      <c r="C54" s="151">
        <f t="shared" ca="1" si="1"/>
        <v>1139982.2329614095</v>
      </c>
      <c r="D54" s="151">
        <f ca="1">IF(ISNA(MATCH($A54,Months,0))=TRUE,0,OFFSET(CashFlow!$B$35,0,MATCH($A54,Months,0),1,1))</f>
        <v>0</v>
      </c>
      <c r="E54" s="152">
        <f t="shared" ca="1" si="2"/>
        <v>16024.680225213191</v>
      </c>
      <c r="F54" s="152">
        <f t="shared" ca="1" si="3"/>
        <v>9737.3482398787055</v>
      </c>
      <c r="G54" s="152">
        <f t="shared" ca="1" si="5"/>
        <v>6287.3319853344856</v>
      </c>
      <c r="H54" s="153">
        <f ca="1">IF(ROUND(SUM(C54:D54,-G54),0)=0,0,IF($B$6="Yes",SUM($D$9:D54),SUM(C54:D54,-G54)))</f>
        <v>1133694.9009760751</v>
      </c>
      <c r="I54" s="154">
        <f ca="1">IF(E54&gt;0,MAX(I$9:I53)+1,"-")</f>
        <v>11</v>
      </c>
    </row>
    <row r="55" spans="1:9" ht="16.149999999999999" customHeight="1" x14ac:dyDescent="0.25">
      <c r="A55" s="135">
        <f t="shared" ca="1" si="4"/>
        <v>44577</v>
      </c>
      <c r="B55" s="150">
        <f ca="1">IF(AND(B54&gt;A54,B54&lt;=A55),B54,DATE(YEAR(A55),MONTH(A55),IF(AND(MONTH(A55)=2,Assumptions!$C$79&gt;28),28,Assumptions!$C$79)))</f>
        <v>44566</v>
      </c>
      <c r="C55" s="151">
        <f t="shared" ca="1" si="1"/>
        <v>1133694.9009760751</v>
      </c>
      <c r="D55" s="151">
        <f ca="1">IF(ISNA(MATCH($A55,Months,0))=TRUE,0,OFFSET(CashFlow!$B$35,0,MATCH($A55,Months,0),1,1))</f>
        <v>0</v>
      </c>
      <c r="E55" s="152">
        <f t="shared" ca="1" si="2"/>
        <v>0</v>
      </c>
      <c r="F55" s="152">
        <f t="shared" ca="1" si="3"/>
        <v>0</v>
      </c>
      <c r="G55" s="152">
        <f t="shared" ca="1" si="5"/>
        <v>0</v>
      </c>
      <c r="H55" s="153">
        <f ca="1">IF(ROUND(SUM(C55:D55,-G55),0)=0,0,IF($B$6="Yes",SUM($D$9:D55),SUM(C55:D55,-G55)))</f>
        <v>1133694.9009760751</v>
      </c>
      <c r="I55" s="154" t="str">
        <f ca="1">IF(E55&gt;0,MAX(I$9:I54)+1,"-")</f>
        <v>-</v>
      </c>
    </row>
    <row r="56" spans="1:9" ht="16.149999999999999" customHeight="1" x14ac:dyDescent="0.25">
      <c r="A56" s="135">
        <f t="shared" ca="1" si="4"/>
        <v>44584</v>
      </c>
      <c r="B56" s="150">
        <f ca="1">IF(AND(B55&gt;A55,B55&lt;=A56),B55,DATE(YEAR(A56),MONTH(A56),IF(AND(MONTH(A56)=2,Assumptions!$C$79&gt;28),28,Assumptions!$C$79)))</f>
        <v>44566</v>
      </c>
      <c r="C56" s="151">
        <f t="shared" ca="1" si="1"/>
        <v>1133694.9009760751</v>
      </c>
      <c r="D56" s="151">
        <f ca="1">IF(ISNA(MATCH($A56,Months,0))=TRUE,0,OFFSET(CashFlow!$B$35,0,MATCH($A56,Months,0),1,1))</f>
        <v>0</v>
      </c>
      <c r="E56" s="152">
        <f t="shared" ca="1" si="2"/>
        <v>0</v>
      </c>
      <c r="F56" s="152">
        <f t="shared" ca="1" si="3"/>
        <v>0</v>
      </c>
      <c r="G56" s="152">
        <f t="shared" ca="1" si="5"/>
        <v>0</v>
      </c>
      <c r="H56" s="153">
        <f ca="1">IF(ROUND(SUM(C56:D56,-G56),0)=0,0,IF($B$6="Yes",SUM($D$9:D56),SUM(C56:D56,-G56)))</f>
        <v>1133694.9009760751</v>
      </c>
      <c r="I56" s="154" t="str">
        <f ca="1">IF(E56&gt;0,MAX(I$9:I55)+1,"-")</f>
        <v>-</v>
      </c>
    </row>
    <row r="57" spans="1:9" ht="16.149999999999999" customHeight="1" x14ac:dyDescent="0.25">
      <c r="A57" s="135">
        <f t="shared" ca="1" si="4"/>
        <v>44591</v>
      </c>
      <c r="B57" s="150">
        <f ca="1">IF(AND(B56&gt;A56,B56&lt;=A57),B56,DATE(YEAR(A57),MONTH(A57),IF(AND(MONTH(A57)=2,Assumptions!$C$79&gt;28),28,Assumptions!$C$79)))</f>
        <v>44566</v>
      </c>
      <c r="C57" s="151">
        <f t="shared" ca="1" si="1"/>
        <v>1133694.9009760751</v>
      </c>
      <c r="D57" s="151">
        <f ca="1">IF(ISNA(MATCH($A57,Months,0))=TRUE,0,OFFSET(CashFlow!$B$35,0,MATCH($A57,Months,0),1,1))</f>
        <v>0</v>
      </c>
      <c r="E57" s="152">
        <f t="shared" ca="1" si="2"/>
        <v>0</v>
      </c>
      <c r="F57" s="152">
        <f t="shared" ca="1" si="3"/>
        <v>0</v>
      </c>
      <c r="G57" s="152">
        <f t="shared" ca="1" si="5"/>
        <v>0</v>
      </c>
      <c r="H57" s="153">
        <f ca="1">IF(ROUND(SUM(C57:D57,-G57),0)=0,0,IF($B$6="Yes",SUM($D$9:D57),SUM(C57:D57,-G57)))</f>
        <v>1133694.9009760751</v>
      </c>
      <c r="I57" s="154" t="str">
        <f ca="1">IF(E57&gt;0,MAX(I$9:I56)+1,"-")</f>
        <v>-</v>
      </c>
    </row>
    <row r="58" spans="1:9" ht="16.149999999999999" customHeight="1" x14ac:dyDescent="0.25">
      <c r="A58" s="135">
        <f t="shared" ca="1" si="4"/>
        <v>44598</v>
      </c>
      <c r="B58" s="150">
        <f ca="1">IF(AND(B57&gt;A57,B57&lt;=A58),B57,DATE(YEAR(A58),MONTH(A58),IF(AND(MONTH(A58)=2,Assumptions!$C$79&gt;28),28,Assumptions!$C$79)))</f>
        <v>44597</v>
      </c>
      <c r="C58" s="151">
        <f t="shared" ca="1" si="1"/>
        <v>1133694.9009760751</v>
      </c>
      <c r="D58" s="151">
        <f ca="1">IF(ISNA(MATCH($A58,Months,0))=TRUE,0,OFFSET(CashFlow!$B$35,0,MATCH($A58,Months,0),1,1))</f>
        <v>0</v>
      </c>
      <c r="E58" s="152">
        <f t="shared" ca="1" si="2"/>
        <v>16024.680225213191</v>
      </c>
      <c r="F58" s="152">
        <f t="shared" ca="1" si="3"/>
        <v>9683.6439458373079</v>
      </c>
      <c r="G58" s="152">
        <f t="shared" ca="1" si="5"/>
        <v>6341.0362793758832</v>
      </c>
      <c r="H58" s="153">
        <f ca="1">IF(ROUND(SUM(C58:D58,-G58),0)=0,0,IF($B$6="Yes",SUM($D$9:D58),SUM(C58:D58,-G58)))</f>
        <v>1127353.8646966992</v>
      </c>
      <c r="I58" s="154">
        <f ca="1">IF(E58&gt;0,MAX(I$9:I57)+1,"-")</f>
        <v>12</v>
      </c>
    </row>
    <row r="59" spans="1:9" ht="16.149999999999999" customHeight="1" x14ac:dyDescent="0.25">
      <c r="A59" s="135">
        <f t="shared" ca="1" si="4"/>
        <v>44605</v>
      </c>
      <c r="B59" s="150">
        <f ca="1">IF(AND(B58&gt;A58,B58&lt;=A59),B58,DATE(YEAR(A59),MONTH(A59),IF(AND(MONTH(A59)=2,Assumptions!$C$79&gt;28),28,Assumptions!$C$79)))</f>
        <v>44597</v>
      </c>
      <c r="C59" s="151">
        <f t="shared" ca="1" si="1"/>
        <v>1127353.8646966992</v>
      </c>
      <c r="D59" s="151">
        <f ca="1">IF(ISNA(MATCH($A59,Months,0))=TRUE,0,OFFSET(CashFlow!$B$35,0,MATCH($A59,Months,0),1,1))</f>
        <v>0</v>
      </c>
      <c r="E59" s="152">
        <f t="shared" ca="1" si="2"/>
        <v>0</v>
      </c>
      <c r="F59" s="152">
        <f t="shared" ca="1" si="3"/>
        <v>0</v>
      </c>
      <c r="G59" s="152">
        <f t="shared" ca="1" si="5"/>
        <v>0</v>
      </c>
      <c r="H59" s="153">
        <f ca="1">IF(ROUND(SUM(C59:D59,-G59),0)=0,0,IF($B$6="Yes",SUM($D$9:D59),SUM(C59:D59,-G59)))</f>
        <v>1127353.8646966992</v>
      </c>
      <c r="I59" s="154" t="str">
        <f ca="1">IF(E59&gt;0,MAX(I$9:I58)+1,"-")</f>
        <v>-</v>
      </c>
    </row>
    <row r="60" spans="1:9" ht="16.149999999999999" customHeight="1" x14ac:dyDescent="0.25">
      <c r="A60" s="135">
        <f t="shared" ca="1" si="4"/>
        <v>44612</v>
      </c>
      <c r="B60" s="150">
        <f ca="1">IF(AND(B59&gt;A59,B59&lt;=A60),B59,DATE(YEAR(A60),MONTH(A60),IF(AND(MONTH(A60)=2,Assumptions!$C$79&gt;28),28,Assumptions!$C$79)))</f>
        <v>44597</v>
      </c>
      <c r="C60" s="151">
        <f t="shared" ca="1" si="1"/>
        <v>1127353.8646966992</v>
      </c>
      <c r="D60" s="151">
        <f ca="1">IF(ISNA(MATCH($A60,Months,0))=TRUE,0,OFFSET(CashFlow!$B$35,0,MATCH($A60,Months,0),1,1))</f>
        <v>0</v>
      </c>
      <c r="E60" s="152">
        <f t="shared" ca="1" si="2"/>
        <v>0</v>
      </c>
      <c r="F60" s="152">
        <f t="shared" ca="1" si="3"/>
        <v>0</v>
      </c>
      <c r="G60" s="152">
        <f t="shared" ca="1" si="5"/>
        <v>0</v>
      </c>
      <c r="H60" s="153">
        <f ca="1">IF(ROUND(SUM(C60:D60,-G60),0)=0,0,IF($B$6="Yes",SUM($D$9:D60),SUM(C60:D60,-G60)))</f>
        <v>1127353.8646966992</v>
      </c>
      <c r="I60" s="154" t="str">
        <f ca="1">IF(E60&gt;0,MAX(I$9:I59)+1,"-")</f>
        <v>-</v>
      </c>
    </row>
    <row r="61" spans="1:9" ht="16.149999999999999" customHeight="1" x14ac:dyDescent="0.25">
      <c r="A61" s="135">
        <f t="shared" ca="1" si="4"/>
        <v>44619</v>
      </c>
      <c r="B61" s="150">
        <f ca="1">IF(AND(B60&gt;A60,B60&lt;=A61),B60,DATE(YEAR(A61),MONTH(A61),IF(AND(MONTH(A61)=2,Assumptions!$C$79&gt;28),28,Assumptions!$C$79)))</f>
        <v>44597</v>
      </c>
      <c r="C61" s="151">
        <f t="shared" ca="1" si="1"/>
        <v>1127353.8646966992</v>
      </c>
      <c r="D61" s="151">
        <f ca="1">IF(ISNA(MATCH($A61,Months,0))=TRUE,0,OFFSET(CashFlow!$B$35,0,MATCH($A61,Months,0),1,1))</f>
        <v>0</v>
      </c>
      <c r="E61" s="152">
        <f t="shared" ca="1" si="2"/>
        <v>0</v>
      </c>
      <c r="F61" s="152">
        <f t="shared" ca="1" si="3"/>
        <v>0</v>
      </c>
      <c r="G61" s="152">
        <f t="shared" ca="1" si="5"/>
        <v>0</v>
      </c>
      <c r="H61" s="153">
        <f ca="1">IF(ROUND(SUM(C61:D61,-G61),0)=0,0,IF($B$6="Yes",SUM($D$9:D61),SUM(C61:D61,-G61)))</f>
        <v>1127353.8646966992</v>
      </c>
      <c r="I61" s="154" t="str">
        <f ca="1">IF(E61&gt;0,MAX(I$9:I60)+1,"-")</f>
        <v>-</v>
      </c>
    </row>
    <row r="62" spans="1:9" ht="16.149999999999999" customHeight="1" x14ac:dyDescent="0.25">
      <c r="C62" s="151"/>
      <c r="D62" s="151"/>
      <c r="E62" s="152"/>
      <c r="F62" s="152"/>
      <c r="G62" s="152"/>
      <c r="H62" s="153"/>
    </row>
    <row r="63" spans="1:9" ht="16.149999999999999" customHeight="1" x14ac:dyDescent="0.25">
      <c r="C63" s="151"/>
      <c r="D63" s="151"/>
      <c r="E63" s="152"/>
      <c r="F63" s="152"/>
      <c r="G63" s="152"/>
      <c r="H63" s="153"/>
    </row>
    <row r="64" spans="1:9" ht="16.149999999999999" customHeight="1" x14ac:dyDescent="0.25">
      <c r="C64" s="151"/>
      <c r="D64" s="151"/>
      <c r="E64" s="152"/>
      <c r="F64" s="152"/>
      <c r="G64" s="152"/>
      <c r="H64" s="153"/>
    </row>
    <row r="65" spans="3:8" ht="16.149999999999999" customHeight="1" x14ac:dyDescent="0.25">
      <c r="C65" s="151"/>
      <c r="D65" s="151"/>
      <c r="E65" s="152"/>
      <c r="F65" s="152"/>
      <c r="G65" s="152"/>
      <c r="H65" s="153"/>
    </row>
    <row r="66" spans="3:8" ht="16.149999999999999" customHeight="1" x14ac:dyDescent="0.25">
      <c r="C66" s="151"/>
      <c r="D66" s="151"/>
      <c r="E66" s="152"/>
      <c r="F66" s="152"/>
      <c r="G66" s="152"/>
      <c r="H66" s="153"/>
    </row>
    <row r="67" spans="3:8" ht="16.149999999999999" customHeight="1" x14ac:dyDescent="0.25">
      <c r="C67" s="151"/>
      <c r="D67" s="151"/>
      <c r="E67" s="152"/>
      <c r="F67" s="152"/>
      <c r="G67" s="152"/>
      <c r="H67" s="153"/>
    </row>
    <row r="68" spans="3:8" ht="16.149999999999999" customHeight="1" x14ac:dyDescent="0.25">
      <c r="C68" s="151"/>
      <c r="D68" s="151"/>
      <c r="E68" s="152"/>
      <c r="F68" s="152"/>
      <c r="G68" s="152"/>
      <c r="H68" s="153"/>
    </row>
    <row r="69" spans="3:8" ht="16.149999999999999" customHeight="1" x14ac:dyDescent="0.25">
      <c r="C69" s="151"/>
      <c r="D69" s="151"/>
      <c r="E69" s="152"/>
      <c r="F69" s="152"/>
      <c r="G69" s="152"/>
      <c r="H69" s="153"/>
    </row>
    <row r="70" spans="3:8" ht="16.149999999999999" customHeight="1" x14ac:dyDescent="0.25">
      <c r="C70" s="151"/>
      <c r="D70" s="151"/>
      <c r="E70" s="152"/>
      <c r="F70" s="152"/>
      <c r="G70" s="152"/>
      <c r="H70" s="153"/>
    </row>
    <row r="71" spans="3:8" ht="16.149999999999999" customHeight="1" x14ac:dyDescent="0.25">
      <c r="C71" s="151"/>
      <c r="D71" s="151"/>
      <c r="E71" s="152"/>
      <c r="F71" s="152"/>
      <c r="G71" s="152"/>
      <c r="H71" s="153"/>
    </row>
    <row r="72" spans="3:8" ht="16.149999999999999" customHeight="1" x14ac:dyDescent="0.25">
      <c r="C72" s="151"/>
      <c r="D72" s="151"/>
      <c r="E72" s="152"/>
      <c r="F72" s="152"/>
      <c r="G72" s="152"/>
      <c r="H72" s="153"/>
    </row>
    <row r="73" spans="3:8" ht="16.149999999999999" customHeight="1" x14ac:dyDescent="0.25">
      <c r="C73" s="151"/>
      <c r="D73" s="151"/>
      <c r="E73" s="152"/>
      <c r="F73" s="152"/>
      <c r="G73" s="152"/>
      <c r="H73" s="153"/>
    </row>
    <row r="74" spans="3:8" ht="16.149999999999999" customHeight="1" x14ac:dyDescent="0.25">
      <c r="C74" s="151"/>
      <c r="D74" s="151"/>
      <c r="E74" s="152"/>
      <c r="F74" s="152"/>
      <c r="G74" s="152"/>
      <c r="H74" s="153"/>
    </row>
    <row r="75" spans="3:8" ht="16.149999999999999" customHeight="1" x14ac:dyDescent="0.25">
      <c r="C75" s="151"/>
      <c r="D75" s="151"/>
      <c r="E75" s="152"/>
      <c r="F75" s="152"/>
      <c r="G75" s="152"/>
      <c r="H75" s="153"/>
    </row>
    <row r="76" spans="3:8" ht="16.149999999999999" customHeight="1" x14ac:dyDescent="0.25">
      <c r="C76" s="151"/>
      <c r="D76" s="151"/>
      <c r="E76" s="152"/>
      <c r="F76" s="152"/>
      <c r="G76" s="152"/>
      <c r="H76" s="153"/>
    </row>
    <row r="77" spans="3:8" ht="16.149999999999999" customHeight="1" x14ac:dyDescent="0.25">
      <c r="C77" s="151"/>
      <c r="D77" s="151"/>
      <c r="E77" s="152"/>
      <c r="F77" s="152"/>
      <c r="G77" s="152"/>
      <c r="H77" s="153"/>
    </row>
    <row r="78" spans="3:8" ht="16.149999999999999" customHeight="1" x14ac:dyDescent="0.25">
      <c r="C78" s="151"/>
      <c r="D78" s="151"/>
      <c r="E78" s="152"/>
      <c r="F78" s="152"/>
      <c r="G78" s="152"/>
      <c r="H78" s="153"/>
    </row>
    <row r="79" spans="3:8" ht="16.149999999999999" customHeight="1" x14ac:dyDescent="0.25">
      <c r="C79" s="151"/>
      <c r="D79" s="151"/>
      <c r="E79" s="152"/>
      <c r="F79" s="152"/>
      <c r="G79" s="152"/>
      <c r="H79" s="153"/>
    </row>
    <row r="80" spans="3:8" ht="16.149999999999999" customHeight="1" x14ac:dyDescent="0.25">
      <c r="C80" s="151"/>
      <c r="D80" s="151"/>
      <c r="E80" s="152"/>
      <c r="F80" s="152"/>
      <c r="G80" s="152"/>
      <c r="H80" s="153"/>
    </row>
    <row r="81" spans="3:8" ht="16.149999999999999" customHeight="1" x14ac:dyDescent="0.25">
      <c r="C81" s="151"/>
      <c r="D81" s="151"/>
      <c r="E81" s="152"/>
      <c r="F81" s="152"/>
      <c r="G81" s="152"/>
      <c r="H81" s="153"/>
    </row>
    <row r="82" spans="3:8" ht="16.149999999999999" customHeight="1" x14ac:dyDescent="0.25">
      <c r="C82" s="151"/>
      <c r="D82" s="151"/>
      <c r="E82" s="152"/>
      <c r="F82" s="152"/>
      <c r="G82" s="152"/>
      <c r="H82" s="153"/>
    </row>
    <row r="83" spans="3:8" ht="16.149999999999999" customHeight="1" x14ac:dyDescent="0.25">
      <c r="C83" s="151"/>
      <c r="D83" s="151"/>
      <c r="E83" s="152"/>
      <c r="F83" s="152"/>
      <c r="G83" s="152"/>
      <c r="H83" s="153"/>
    </row>
    <row r="84" spans="3:8" ht="16.149999999999999" customHeight="1" x14ac:dyDescent="0.25">
      <c r="C84" s="151"/>
      <c r="D84" s="151"/>
      <c r="E84" s="152"/>
      <c r="F84" s="152"/>
      <c r="G84" s="152"/>
      <c r="H84" s="153"/>
    </row>
    <row r="85" spans="3:8" ht="16.149999999999999" customHeight="1" x14ac:dyDescent="0.25">
      <c r="C85" s="151"/>
      <c r="D85" s="151"/>
      <c r="E85" s="152"/>
      <c r="F85" s="152"/>
      <c r="G85" s="152"/>
      <c r="H85" s="153"/>
    </row>
    <row r="86" spans="3:8" ht="16.149999999999999" customHeight="1" x14ac:dyDescent="0.25">
      <c r="C86" s="151"/>
      <c r="D86" s="151"/>
      <c r="E86" s="152"/>
      <c r="F86" s="152"/>
      <c r="G86" s="152"/>
      <c r="H86" s="153"/>
    </row>
    <row r="87" spans="3:8" ht="16.149999999999999" customHeight="1" x14ac:dyDescent="0.25">
      <c r="C87" s="151"/>
      <c r="D87" s="151"/>
      <c r="E87" s="152"/>
      <c r="F87" s="152"/>
      <c r="G87" s="152"/>
      <c r="H87" s="153"/>
    </row>
    <row r="88" spans="3:8" ht="16.149999999999999" customHeight="1" x14ac:dyDescent="0.25">
      <c r="C88" s="151"/>
      <c r="D88" s="151"/>
      <c r="E88" s="152"/>
      <c r="F88" s="152"/>
      <c r="G88" s="152"/>
      <c r="H88" s="153"/>
    </row>
    <row r="89" spans="3:8" ht="16.149999999999999" customHeight="1" x14ac:dyDescent="0.25">
      <c r="C89" s="151"/>
      <c r="D89" s="151"/>
      <c r="E89" s="152"/>
      <c r="F89" s="152"/>
      <c r="G89" s="152"/>
      <c r="H89" s="153"/>
    </row>
    <row r="90" spans="3:8" ht="16.149999999999999" customHeight="1" x14ac:dyDescent="0.25">
      <c r="C90" s="151"/>
      <c r="D90" s="151"/>
      <c r="E90" s="152"/>
      <c r="F90" s="152"/>
      <c r="G90" s="152"/>
      <c r="H90" s="153"/>
    </row>
    <row r="91" spans="3:8" ht="16.149999999999999" customHeight="1" x14ac:dyDescent="0.25">
      <c r="C91" s="151"/>
      <c r="D91" s="151"/>
      <c r="E91" s="152"/>
      <c r="F91" s="152"/>
      <c r="G91" s="152"/>
      <c r="H91" s="153"/>
    </row>
    <row r="92" spans="3:8" ht="16.149999999999999" customHeight="1" x14ac:dyDescent="0.25">
      <c r="C92" s="151"/>
      <c r="D92" s="151"/>
      <c r="E92" s="152"/>
      <c r="F92" s="152"/>
      <c r="G92" s="152"/>
      <c r="H92" s="153"/>
    </row>
    <row r="93" spans="3:8" ht="16.149999999999999" customHeight="1" x14ac:dyDescent="0.25">
      <c r="C93" s="151"/>
      <c r="D93" s="151"/>
      <c r="E93" s="152"/>
      <c r="F93" s="152"/>
      <c r="G93" s="152"/>
      <c r="H93" s="153"/>
    </row>
    <row r="94" spans="3:8" ht="16.149999999999999" customHeight="1" x14ac:dyDescent="0.25">
      <c r="C94" s="151"/>
      <c r="D94" s="151"/>
      <c r="E94" s="152"/>
      <c r="F94" s="152"/>
      <c r="G94" s="152"/>
      <c r="H94" s="153"/>
    </row>
    <row r="95" spans="3:8" ht="16.149999999999999" customHeight="1" x14ac:dyDescent="0.25">
      <c r="C95" s="151"/>
      <c r="D95" s="151"/>
      <c r="E95" s="152"/>
      <c r="F95" s="152"/>
      <c r="G95" s="152"/>
      <c r="H95" s="153"/>
    </row>
    <row r="96" spans="3:8" ht="16.149999999999999" customHeight="1" x14ac:dyDescent="0.25">
      <c r="C96" s="151"/>
      <c r="D96" s="151"/>
      <c r="E96" s="152"/>
      <c r="F96" s="152"/>
      <c r="G96" s="152"/>
      <c r="H96" s="153"/>
    </row>
    <row r="97" spans="3:8" ht="16.149999999999999" customHeight="1" x14ac:dyDescent="0.25">
      <c r="C97" s="151"/>
      <c r="D97" s="151"/>
      <c r="E97" s="152"/>
      <c r="F97" s="152"/>
      <c r="G97" s="152"/>
      <c r="H97" s="153"/>
    </row>
    <row r="98" spans="3:8" ht="16.149999999999999" customHeight="1" x14ac:dyDescent="0.25">
      <c r="C98" s="151"/>
      <c r="D98" s="151"/>
      <c r="E98" s="152"/>
      <c r="F98" s="152"/>
      <c r="G98" s="152"/>
      <c r="H98" s="153"/>
    </row>
    <row r="99" spans="3:8" ht="16.149999999999999" customHeight="1" x14ac:dyDescent="0.25">
      <c r="C99" s="151"/>
      <c r="D99" s="151"/>
      <c r="E99" s="152"/>
      <c r="F99" s="152"/>
      <c r="G99" s="152"/>
      <c r="H99" s="153"/>
    </row>
    <row r="100" spans="3:8" ht="16.149999999999999" customHeight="1" x14ac:dyDescent="0.25">
      <c r="C100" s="151"/>
      <c r="D100" s="151"/>
      <c r="E100" s="152"/>
      <c r="F100" s="152"/>
      <c r="G100" s="152"/>
      <c r="H100" s="153"/>
    </row>
    <row r="101" spans="3:8" ht="16.149999999999999" customHeight="1" x14ac:dyDescent="0.25">
      <c r="C101" s="151"/>
      <c r="D101" s="151"/>
      <c r="E101" s="152"/>
      <c r="F101" s="152"/>
      <c r="G101" s="152"/>
      <c r="H101" s="153"/>
    </row>
    <row r="102" spans="3:8" ht="16.149999999999999" customHeight="1" x14ac:dyDescent="0.25">
      <c r="C102" s="151"/>
      <c r="D102" s="151"/>
      <c r="E102" s="152"/>
      <c r="F102" s="152"/>
      <c r="G102" s="152"/>
      <c r="H102" s="153"/>
    </row>
    <row r="103" spans="3:8" ht="16.149999999999999" customHeight="1" x14ac:dyDescent="0.25">
      <c r="C103" s="151"/>
      <c r="D103" s="151"/>
      <c r="E103" s="152"/>
      <c r="F103" s="152"/>
      <c r="G103" s="152"/>
      <c r="H103" s="153"/>
    </row>
    <row r="104" spans="3:8" ht="16.149999999999999" customHeight="1" x14ac:dyDescent="0.25">
      <c r="C104" s="151"/>
      <c r="D104" s="151"/>
      <c r="E104" s="152"/>
      <c r="F104" s="152"/>
      <c r="G104" s="152"/>
      <c r="H104" s="153"/>
    </row>
    <row r="105" spans="3:8" ht="16.149999999999999" customHeight="1" x14ac:dyDescent="0.25">
      <c r="C105" s="151"/>
      <c r="D105" s="151"/>
      <c r="E105" s="152"/>
      <c r="F105" s="152"/>
      <c r="G105" s="152"/>
      <c r="H105" s="153"/>
    </row>
    <row r="106" spans="3:8" ht="16.149999999999999" customHeight="1" x14ac:dyDescent="0.25">
      <c r="C106" s="151"/>
      <c r="D106" s="151"/>
      <c r="E106" s="152"/>
      <c r="F106" s="152"/>
      <c r="G106" s="152"/>
      <c r="H106" s="153"/>
    </row>
    <row r="107" spans="3:8" ht="16.149999999999999" customHeight="1" x14ac:dyDescent="0.25">
      <c r="C107" s="151"/>
      <c r="D107" s="151"/>
      <c r="E107" s="152"/>
      <c r="F107" s="152"/>
      <c r="G107" s="152"/>
      <c r="H107" s="153"/>
    </row>
    <row r="108" spans="3:8" ht="16.149999999999999" customHeight="1" x14ac:dyDescent="0.25">
      <c r="C108" s="151"/>
      <c r="D108" s="151"/>
      <c r="E108" s="152"/>
      <c r="F108" s="152"/>
      <c r="G108" s="152"/>
      <c r="H108" s="153"/>
    </row>
    <row r="109" spans="3:8" ht="16.149999999999999" customHeight="1" x14ac:dyDescent="0.25">
      <c r="C109" s="151"/>
      <c r="D109" s="151"/>
      <c r="E109" s="152"/>
      <c r="F109" s="152"/>
      <c r="G109" s="152"/>
      <c r="H109" s="153"/>
    </row>
    <row r="110" spans="3:8" ht="16.149999999999999" customHeight="1" x14ac:dyDescent="0.25">
      <c r="C110" s="151"/>
      <c r="D110" s="151"/>
      <c r="E110" s="152"/>
      <c r="F110" s="152"/>
      <c r="G110" s="152"/>
      <c r="H110" s="153"/>
    </row>
    <row r="111" spans="3:8" ht="16.149999999999999" customHeight="1" x14ac:dyDescent="0.25">
      <c r="C111" s="151"/>
      <c r="D111" s="151"/>
      <c r="E111" s="152"/>
      <c r="F111" s="152"/>
      <c r="G111" s="152"/>
      <c r="H111" s="153"/>
    </row>
    <row r="112" spans="3:8" ht="16.149999999999999" customHeight="1" x14ac:dyDescent="0.25">
      <c r="C112" s="151"/>
      <c r="D112" s="151"/>
      <c r="E112" s="152"/>
      <c r="F112" s="152"/>
      <c r="G112" s="152"/>
      <c r="H112" s="153"/>
    </row>
    <row r="113" spans="3:8" ht="16.149999999999999" customHeight="1" x14ac:dyDescent="0.25">
      <c r="C113" s="151"/>
      <c r="D113" s="151"/>
      <c r="E113" s="152"/>
      <c r="F113" s="152"/>
      <c r="G113" s="152"/>
      <c r="H113" s="153"/>
    </row>
    <row r="114" spans="3:8" ht="16.149999999999999" customHeight="1" x14ac:dyDescent="0.25">
      <c r="C114" s="151"/>
      <c r="D114" s="151"/>
      <c r="E114" s="152"/>
      <c r="F114" s="152"/>
      <c r="G114" s="152"/>
      <c r="H114" s="153"/>
    </row>
    <row r="115" spans="3:8" ht="16.149999999999999" customHeight="1" x14ac:dyDescent="0.25">
      <c r="C115" s="151"/>
      <c r="D115" s="151"/>
      <c r="E115" s="152"/>
      <c r="F115" s="152"/>
      <c r="G115" s="152"/>
      <c r="H115" s="153"/>
    </row>
    <row r="116" spans="3:8" ht="16.149999999999999" customHeight="1" x14ac:dyDescent="0.25">
      <c r="C116" s="151"/>
      <c r="D116" s="151"/>
      <c r="E116" s="152"/>
      <c r="F116" s="152"/>
      <c r="G116" s="152"/>
      <c r="H116" s="153"/>
    </row>
    <row r="117" spans="3:8" ht="16.149999999999999" customHeight="1" x14ac:dyDescent="0.25">
      <c r="C117" s="151"/>
      <c r="D117" s="151"/>
      <c r="E117" s="152"/>
      <c r="F117" s="152"/>
      <c r="G117" s="152"/>
      <c r="H117" s="153"/>
    </row>
    <row r="118" spans="3:8" ht="16.149999999999999" customHeight="1" x14ac:dyDescent="0.25">
      <c r="C118" s="151"/>
      <c r="D118" s="151"/>
      <c r="E118" s="152"/>
      <c r="F118" s="152"/>
      <c r="G118" s="152"/>
      <c r="H118" s="153"/>
    </row>
    <row r="119" spans="3:8" ht="16.149999999999999" customHeight="1" x14ac:dyDescent="0.25">
      <c r="C119" s="151"/>
      <c r="D119" s="151"/>
      <c r="E119" s="152"/>
      <c r="F119" s="152"/>
      <c r="G119" s="152"/>
      <c r="H119" s="153"/>
    </row>
    <row r="120" spans="3:8" ht="16.149999999999999" customHeight="1" x14ac:dyDescent="0.25">
      <c r="C120" s="151"/>
      <c r="D120" s="151"/>
      <c r="E120" s="152"/>
      <c r="F120" s="152"/>
      <c r="G120" s="152"/>
      <c r="H120" s="153"/>
    </row>
    <row r="121" spans="3:8" ht="16.149999999999999" customHeight="1" x14ac:dyDescent="0.25">
      <c r="C121" s="151"/>
      <c r="D121" s="151"/>
      <c r="E121" s="152"/>
      <c r="F121" s="152"/>
      <c r="G121" s="152"/>
      <c r="H121" s="153"/>
    </row>
    <row r="122" spans="3:8" ht="16.149999999999999" customHeight="1" x14ac:dyDescent="0.25">
      <c r="C122" s="151"/>
      <c r="D122" s="151"/>
      <c r="E122" s="152"/>
      <c r="F122" s="152"/>
      <c r="G122" s="152"/>
      <c r="H122" s="153"/>
    </row>
    <row r="123" spans="3:8" ht="16.149999999999999" customHeight="1" x14ac:dyDescent="0.25">
      <c r="C123" s="151"/>
      <c r="D123" s="151"/>
      <c r="E123" s="152"/>
      <c r="F123" s="152"/>
      <c r="G123" s="152"/>
      <c r="H123" s="153"/>
    </row>
    <row r="124" spans="3:8" ht="16.149999999999999" customHeight="1" x14ac:dyDescent="0.25">
      <c r="C124" s="151"/>
      <c r="D124" s="151"/>
      <c r="E124" s="152"/>
      <c r="F124" s="152"/>
      <c r="G124" s="152"/>
      <c r="H124" s="153"/>
    </row>
    <row r="125" spans="3:8" ht="16.149999999999999" customHeight="1" x14ac:dyDescent="0.25">
      <c r="C125" s="151"/>
      <c r="D125" s="151"/>
      <c r="E125" s="152"/>
      <c r="F125" s="152"/>
      <c r="G125" s="152"/>
      <c r="H125" s="153"/>
    </row>
    <row r="126" spans="3:8" ht="16.149999999999999" customHeight="1" x14ac:dyDescent="0.25">
      <c r="C126" s="151"/>
      <c r="D126" s="151"/>
      <c r="E126" s="152"/>
      <c r="F126" s="152"/>
      <c r="G126" s="152"/>
      <c r="H126" s="153"/>
    </row>
    <row r="127" spans="3:8" ht="16.149999999999999" customHeight="1" x14ac:dyDescent="0.25">
      <c r="C127" s="151"/>
      <c r="D127" s="151"/>
      <c r="E127" s="152"/>
      <c r="F127" s="152"/>
      <c r="G127" s="152"/>
      <c r="H127" s="153"/>
    </row>
    <row r="128" spans="3:8" ht="16.149999999999999" customHeight="1" x14ac:dyDescent="0.25">
      <c r="C128" s="151"/>
      <c r="D128" s="151"/>
      <c r="E128" s="152"/>
      <c r="F128" s="152"/>
      <c r="G128" s="152"/>
      <c r="H128" s="153"/>
    </row>
    <row r="129" spans="3:8" ht="16.149999999999999" customHeight="1" x14ac:dyDescent="0.25">
      <c r="C129" s="151"/>
      <c r="D129" s="151"/>
      <c r="E129" s="152"/>
      <c r="F129" s="152"/>
      <c r="G129" s="152"/>
      <c r="H129" s="153"/>
    </row>
    <row r="130" spans="3:8" ht="16.149999999999999" customHeight="1" x14ac:dyDescent="0.25">
      <c r="C130" s="151"/>
      <c r="D130" s="151"/>
      <c r="E130" s="152"/>
      <c r="F130" s="152"/>
      <c r="G130" s="152"/>
      <c r="H130" s="153"/>
    </row>
    <row r="131" spans="3:8" ht="16.149999999999999" customHeight="1" x14ac:dyDescent="0.25">
      <c r="C131" s="151"/>
      <c r="D131" s="151"/>
      <c r="E131" s="152"/>
      <c r="F131" s="152"/>
      <c r="G131" s="152"/>
      <c r="H131" s="153"/>
    </row>
    <row r="132" spans="3:8" ht="16.149999999999999" customHeight="1" x14ac:dyDescent="0.25">
      <c r="C132" s="151"/>
      <c r="D132" s="151"/>
      <c r="E132" s="152"/>
      <c r="F132" s="152"/>
      <c r="G132" s="152"/>
      <c r="H132" s="153"/>
    </row>
    <row r="133" spans="3:8" ht="16.149999999999999" customHeight="1" x14ac:dyDescent="0.25">
      <c r="C133" s="151"/>
      <c r="D133" s="151"/>
      <c r="E133" s="152"/>
      <c r="F133" s="152"/>
      <c r="G133" s="152"/>
      <c r="H133" s="153"/>
    </row>
    <row r="134" spans="3:8" ht="16.149999999999999" customHeight="1" x14ac:dyDescent="0.25">
      <c r="C134" s="151"/>
      <c r="D134" s="151"/>
      <c r="E134" s="152"/>
      <c r="F134" s="152"/>
      <c r="G134" s="152"/>
      <c r="H134" s="153"/>
    </row>
    <row r="135" spans="3:8" ht="16.149999999999999" customHeight="1" x14ac:dyDescent="0.25">
      <c r="C135" s="151"/>
      <c r="D135" s="151"/>
      <c r="E135" s="152"/>
      <c r="F135" s="152"/>
      <c r="G135" s="152"/>
      <c r="H135" s="153"/>
    </row>
    <row r="136" spans="3:8" ht="16.149999999999999" customHeight="1" x14ac:dyDescent="0.25">
      <c r="C136" s="151"/>
      <c r="D136" s="151"/>
      <c r="E136" s="152"/>
      <c r="F136" s="152"/>
      <c r="G136" s="152"/>
      <c r="H136" s="153"/>
    </row>
    <row r="137" spans="3:8" ht="16.149999999999999" customHeight="1" x14ac:dyDescent="0.25">
      <c r="C137" s="151"/>
      <c r="D137" s="151"/>
      <c r="E137" s="152"/>
      <c r="F137" s="152"/>
      <c r="G137" s="152"/>
      <c r="H137" s="153"/>
    </row>
    <row r="138" spans="3:8" ht="16.149999999999999" customHeight="1" x14ac:dyDescent="0.25">
      <c r="C138" s="151"/>
      <c r="D138" s="151"/>
      <c r="E138" s="152"/>
      <c r="F138" s="152"/>
      <c r="G138" s="152"/>
      <c r="H138" s="153"/>
    </row>
    <row r="139" spans="3:8" ht="16.149999999999999" customHeight="1" x14ac:dyDescent="0.25">
      <c r="C139" s="151"/>
      <c r="D139" s="151"/>
      <c r="E139" s="152"/>
      <c r="F139" s="152"/>
      <c r="G139" s="152"/>
      <c r="H139" s="153"/>
    </row>
    <row r="140" spans="3:8" ht="16.149999999999999" customHeight="1" x14ac:dyDescent="0.25">
      <c r="C140" s="151"/>
      <c r="D140" s="151"/>
      <c r="E140" s="152"/>
      <c r="F140" s="152"/>
      <c r="G140" s="152"/>
      <c r="H140" s="153"/>
    </row>
    <row r="141" spans="3:8" ht="16.149999999999999" customHeight="1" x14ac:dyDescent="0.25">
      <c r="C141" s="151"/>
      <c r="D141" s="151"/>
      <c r="E141" s="152"/>
      <c r="F141" s="152"/>
      <c r="G141" s="152"/>
      <c r="H141" s="153"/>
    </row>
    <row r="142" spans="3:8" ht="16.149999999999999" customHeight="1" x14ac:dyDescent="0.25">
      <c r="C142" s="151"/>
      <c r="D142" s="151"/>
      <c r="E142" s="152"/>
      <c r="F142" s="152"/>
      <c r="G142" s="152"/>
      <c r="H142" s="153"/>
    </row>
    <row r="143" spans="3:8" ht="16.149999999999999" customHeight="1" x14ac:dyDescent="0.25">
      <c r="C143" s="151"/>
      <c r="D143" s="151"/>
      <c r="E143" s="152"/>
      <c r="F143" s="152"/>
      <c r="G143" s="152"/>
      <c r="H143" s="153"/>
    </row>
    <row r="144" spans="3:8" ht="16.149999999999999" customHeight="1" x14ac:dyDescent="0.25">
      <c r="C144" s="151"/>
      <c r="D144" s="151"/>
      <c r="E144" s="152"/>
      <c r="F144" s="152"/>
      <c r="G144" s="152"/>
      <c r="H144" s="153"/>
    </row>
    <row r="145" spans="3:8" ht="16.149999999999999" customHeight="1" x14ac:dyDescent="0.25">
      <c r="C145" s="151"/>
      <c r="D145" s="151"/>
      <c r="E145" s="152"/>
      <c r="F145" s="152"/>
      <c r="G145" s="152"/>
      <c r="H145" s="153"/>
    </row>
    <row r="146" spans="3:8" ht="16.149999999999999" customHeight="1" x14ac:dyDescent="0.25">
      <c r="C146" s="151"/>
      <c r="D146" s="151"/>
      <c r="E146" s="152"/>
      <c r="F146" s="152"/>
      <c r="G146" s="152"/>
      <c r="H146" s="153"/>
    </row>
    <row r="147" spans="3:8" ht="16.149999999999999" customHeight="1" x14ac:dyDescent="0.25">
      <c r="C147" s="151"/>
      <c r="D147" s="151"/>
      <c r="E147" s="152"/>
      <c r="F147" s="152"/>
      <c r="G147" s="152"/>
      <c r="H147" s="153"/>
    </row>
    <row r="148" spans="3:8" ht="16.149999999999999" customHeight="1" x14ac:dyDescent="0.25">
      <c r="C148" s="151"/>
      <c r="D148" s="151"/>
      <c r="E148" s="152"/>
      <c r="F148" s="152"/>
      <c r="G148" s="152"/>
      <c r="H148" s="153"/>
    </row>
    <row r="149" spans="3:8" ht="16.149999999999999" customHeight="1" x14ac:dyDescent="0.25">
      <c r="C149" s="151"/>
      <c r="D149" s="151"/>
      <c r="E149" s="152"/>
      <c r="F149" s="152"/>
      <c r="G149" s="152"/>
      <c r="H149" s="153"/>
    </row>
    <row r="150" spans="3:8" ht="16.149999999999999" customHeight="1" x14ac:dyDescent="0.25">
      <c r="C150" s="151"/>
      <c r="D150" s="151"/>
      <c r="E150" s="152"/>
      <c r="F150" s="152"/>
      <c r="G150" s="152"/>
      <c r="H150" s="153"/>
    </row>
    <row r="151" spans="3:8" ht="16.149999999999999" customHeight="1" x14ac:dyDescent="0.25">
      <c r="C151" s="151"/>
      <c r="D151" s="151"/>
      <c r="E151" s="152"/>
      <c r="F151" s="152"/>
      <c r="G151" s="152"/>
      <c r="H151" s="153"/>
    </row>
    <row r="152" spans="3:8" ht="16.149999999999999" customHeight="1" x14ac:dyDescent="0.25">
      <c r="C152" s="151"/>
      <c r="D152" s="151"/>
      <c r="E152" s="152"/>
      <c r="F152" s="152"/>
      <c r="G152" s="152"/>
      <c r="H152" s="153"/>
    </row>
    <row r="153" spans="3:8" ht="16.149999999999999" customHeight="1" x14ac:dyDescent="0.25">
      <c r="C153" s="151"/>
      <c r="D153" s="151"/>
      <c r="E153" s="152"/>
      <c r="F153" s="152"/>
      <c r="G153" s="152"/>
      <c r="H153" s="153"/>
    </row>
    <row r="154" spans="3:8" ht="16.149999999999999" customHeight="1" x14ac:dyDescent="0.25">
      <c r="C154" s="151"/>
      <c r="D154" s="151"/>
      <c r="E154" s="152"/>
      <c r="F154" s="152"/>
      <c r="G154" s="152"/>
      <c r="H154" s="153"/>
    </row>
    <row r="155" spans="3:8" ht="16.149999999999999" customHeight="1" x14ac:dyDescent="0.25">
      <c r="C155" s="151"/>
      <c r="D155" s="151"/>
      <c r="E155" s="152"/>
      <c r="F155" s="152"/>
      <c r="G155" s="152"/>
      <c r="H155" s="153"/>
    </row>
    <row r="156" spans="3:8" ht="16.149999999999999" customHeight="1" x14ac:dyDescent="0.25">
      <c r="C156" s="151"/>
      <c r="D156" s="151"/>
      <c r="E156" s="152"/>
      <c r="F156" s="152"/>
      <c r="G156" s="152"/>
      <c r="H156" s="153"/>
    </row>
    <row r="157" spans="3:8" ht="16.149999999999999" customHeight="1" x14ac:dyDescent="0.25">
      <c r="C157" s="151"/>
      <c r="D157" s="151"/>
      <c r="E157" s="152"/>
      <c r="F157" s="152"/>
      <c r="G157" s="152"/>
      <c r="H157" s="153"/>
    </row>
    <row r="158" spans="3:8" ht="16.149999999999999" customHeight="1" x14ac:dyDescent="0.25">
      <c r="C158" s="151"/>
      <c r="D158" s="151"/>
      <c r="E158" s="152"/>
      <c r="F158" s="152"/>
      <c r="G158" s="152"/>
      <c r="H158" s="153"/>
    </row>
    <row r="159" spans="3:8" ht="16.149999999999999" customHeight="1" x14ac:dyDescent="0.25">
      <c r="C159" s="151"/>
      <c r="D159" s="151"/>
      <c r="E159" s="152"/>
      <c r="F159" s="152"/>
      <c r="G159" s="152"/>
      <c r="H159" s="153"/>
    </row>
    <row r="160" spans="3:8" ht="16.149999999999999" customHeight="1" x14ac:dyDescent="0.25">
      <c r="C160" s="151"/>
      <c r="D160" s="151"/>
      <c r="E160" s="152"/>
      <c r="F160" s="152"/>
      <c r="G160" s="152"/>
      <c r="H160" s="153"/>
    </row>
    <row r="161" spans="3:8" ht="16.149999999999999" customHeight="1" x14ac:dyDescent="0.25">
      <c r="C161" s="151"/>
      <c r="D161" s="151"/>
      <c r="E161" s="152"/>
      <c r="F161" s="152"/>
      <c r="G161" s="152"/>
      <c r="H161" s="153"/>
    </row>
    <row r="162" spans="3:8" ht="16.149999999999999" customHeight="1" x14ac:dyDescent="0.25">
      <c r="C162" s="151"/>
      <c r="D162" s="151"/>
      <c r="E162" s="152"/>
      <c r="F162" s="152"/>
      <c r="G162" s="152"/>
      <c r="H162" s="153"/>
    </row>
    <row r="163" spans="3:8" ht="16.149999999999999" customHeight="1" x14ac:dyDescent="0.25">
      <c r="C163" s="151"/>
      <c r="D163" s="151"/>
      <c r="E163" s="152"/>
      <c r="F163" s="152"/>
      <c r="G163" s="152"/>
      <c r="H163" s="153"/>
    </row>
    <row r="164" spans="3:8" ht="16.149999999999999" customHeight="1" x14ac:dyDescent="0.25">
      <c r="C164" s="151"/>
      <c r="D164" s="151"/>
      <c r="E164" s="152"/>
      <c r="F164" s="152"/>
      <c r="G164" s="152"/>
      <c r="H164" s="153"/>
    </row>
    <row r="165" spans="3:8" ht="16.149999999999999" customHeight="1" x14ac:dyDescent="0.25">
      <c r="C165" s="151"/>
      <c r="D165" s="151"/>
      <c r="E165" s="152"/>
      <c r="F165" s="152"/>
      <c r="G165" s="152"/>
      <c r="H165" s="153"/>
    </row>
  </sheetData>
  <phoneticPr fontId="3" type="noConversion"/>
  <printOptions horizontalCentered="1"/>
  <pageMargins left="0.59055118110236227" right="0.59055118110236227" top="0.59055118110236227" bottom="0.59055118110236227" header="0.39370078740157483" footer="0.39370078740157483"/>
  <pageSetup paperSize="9" scale="72" fitToHeight="0" orientation="portrait"/>
  <headerFooter alignWithMargins="0">
    <oddFooter>&amp;C&amp;9Page &amp;P of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M165"/>
  <sheetViews>
    <sheetView zoomScale="95" workbookViewId="0">
      <pane ySplit="8" topLeftCell="A9" activePane="bottomLeft" state="frozen"/>
      <selection pane="bottomLeft" activeCell="A8" sqref="A8"/>
    </sheetView>
  </sheetViews>
  <sheetFormatPr defaultColWidth="9.140625" defaultRowHeight="16.149999999999999" customHeight="1" x14ac:dyDescent="0.25"/>
  <cols>
    <col min="1" max="1" width="15.7109375" style="142" customWidth="1"/>
    <col min="2" max="2" width="15.7109375" style="150" customWidth="1"/>
    <col min="3" max="8" width="13.7109375" style="16" customWidth="1"/>
    <col min="9" max="9" width="13.7109375" style="132" customWidth="1"/>
    <col min="10" max="13" width="15.7109375" style="16" customWidth="1"/>
    <col min="14" max="18" width="15.7109375" style="5" customWidth="1"/>
    <col min="19" max="16384" width="9.140625" style="5"/>
  </cols>
  <sheetData>
    <row r="1" spans="1:13" ht="16.149999999999999" customHeight="1" x14ac:dyDescent="0.25">
      <c r="A1" s="162" t="str">
        <f>IF(ISBLANK(Assumptions!$C$4),"Example Limited",Assumptions!$C$4)</f>
        <v>Example (Pty) Limited</v>
      </c>
      <c r="B1" s="131"/>
      <c r="D1" s="3"/>
      <c r="H1" s="89"/>
    </row>
    <row r="2" spans="1:13" ht="16.149999999999999" customHeight="1" x14ac:dyDescent="0.25">
      <c r="A2" s="133" t="s">
        <v>177</v>
      </c>
      <c r="B2" s="134"/>
    </row>
    <row r="3" spans="1:13" ht="16.149999999999999" customHeight="1" x14ac:dyDescent="0.25">
      <c r="A3" s="133"/>
      <c r="B3" s="134"/>
    </row>
    <row r="4" spans="1:13" ht="16.149999999999999" customHeight="1" x14ac:dyDescent="0.25">
      <c r="A4" s="135" t="s">
        <v>33</v>
      </c>
      <c r="B4" s="136">
        <f>Assumptions!$D$76</f>
        <v>9.2499999999999999E-2</v>
      </c>
      <c r="D4" s="137"/>
    </row>
    <row r="5" spans="1:13" ht="16.149999999999999" customHeight="1" x14ac:dyDescent="0.25">
      <c r="A5" s="138" t="s">
        <v>38</v>
      </c>
      <c r="B5" s="139">
        <f>Assumptions!$D$77</f>
        <v>8</v>
      </c>
      <c r="D5" s="140"/>
    </row>
    <row r="6" spans="1:13" ht="16.149999999999999" customHeight="1" x14ac:dyDescent="0.25">
      <c r="A6" s="138" t="s">
        <v>39</v>
      </c>
      <c r="B6" s="139" t="str">
        <f>Assumptions!$D$78</f>
        <v>No</v>
      </c>
      <c r="D6" s="141"/>
    </row>
    <row r="7" spans="1:13" ht="16.149999999999999" customHeight="1" x14ac:dyDescent="0.25">
      <c r="B7" s="143" t="s">
        <v>50</v>
      </c>
    </row>
    <row r="8" spans="1:13" s="149" customFormat="1" ht="25.5" x14ac:dyDescent="0.25">
      <c r="A8" s="144" t="s">
        <v>85</v>
      </c>
      <c r="B8" s="145" t="s">
        <v>84</v>
      </c>
      <c r="C8" s="146" t="s">
        <v>43</v>
      </c>
      <c r="D8" s="146" t="s">
        <v>278</v>
      </c>
      <c r="E8" s="146" t="s">
        <v>42</v>
      </c>
      <c r="F8" s="146" t="s">
        <v>279</v>
      </c>
      <c r="G8" s="146" t="s">
        <v>49</v>
      </c>
      <c r="H8" s="146" t="s">
        <v>44</v>
      </c>
      <c r="I8" s="147" t="s">
        <v>87</v>
      </c>
      <c r="J8" s="148"/>
      <c r="K8" s="148"/>
      <c r="L8" s="148"/>
      <c r="M8" s="148"/>
    </row>
    <row r="9" spans="1:13" s="100" customFormat="1" ht="16.149999999999999" customHeight="1" x14ac:dyDescent="0.25">
      <c r="A9" s="135">
        <f ca="1">IF(ISBLANK(Assumptions!$C$5)=TRUE,DATE(YEAR(TODAY()),MONTH(TODAY()),1),DATE(YEAR(Assumptions!$C$5),MONTH(Assumptions!$C$5),DAY(Assumptions!$C$5)))</f>
        <v>44256</v>
      </c>
      <c r="B9" s="150">
        <f ca="1">IF(Assumptions!$D$79&gt;=DAY($A$9),DATE(YEAR(A9),MONTH(A9),IF(AND(MONTH($A$9)=2,Assumptions!$D$79&gt;28),28,Assumptions!$D$79)),DATE(YEAR(A9),MONTH(A9)+1,IF(AND(MONTH($A$9)=2,Assumptions!$D$79&gt;28),28,Assumptions!$D$79)))</f>
        <v>44285</v>
      </c>
      <c r="C9" s="151">
        <v>0</v>
      </c>
      <c r="D9" s="151">
        <f ca="1">-SUMIF(Assumptions!$A$81:$C$104,"LT2",Assumptions!$C$81:$C$104)</f>
        <v>500000</v>
      </c>
      <c r="E9" s="151">
        <v>0</v>
      </c>
      <c r="F9" s="151">
        <v>0</v>
      </c>
      <c r="G9" s="152">
        <f t="shared" ref="G9:G61" si="0">IF($B$6="Yes",0,E9-F9)</f>
        <v>0</v>
      </c>
      <c r="H9" s="153">
        <f ca="1">IF(ROUND(SUM(C9:D9,-G9),0)=0,0,IF($B$6="Yes",SUM($D$9:D9),SUM(C9:D9,-G9)))</f>
        <v>500000</v>
      </c>
      <c r="I9" s="132" t="str">
        <f>"-"</f>
        <v>-</v>
      </c>
      <c r="J9" s="151"/>
      <c r="K9" s="151"/>
      <c r="L9" s="151"/>
      <c r="M9" s="151"/>
    </row>
    <row r="10" spans="1:13" s="100" customFormat="1" ht="16.149999999999999" customHeight="1" x14ac:dyDescent="0.25">
      <c r="A10" s="135">
        <f ca="1">IF(ISBLANK(Assumptions!$C$5)=TRUE,DATE(YEAR(TODAY()),MONTH(TODAY()),7),DATE(YEAR(Assumptions!$C$5),MONTH(Assumptions!$C$5),DAY(Assumptions!$C$5)+6))</f>
        <v>44262</v>
      </c>
      <c r="B10" s="150">
        <f ca="1">IF(AND(B9&gt;A9,B9&lt;=A10),B9,DATE(YEAR(A10),MONTH(A10),IF(AND(MONTH(A10)=2,Assumptions!$D$79&gt;28),28,Assumptions!$D$79)))</f>
        <v>44285</v>
      </c>
      <c r="C10" s="151">
        <f ca="1">H9</f>
        <v>500000</v>
      </c>
      <c r="D10" s="151">
        <f ca="1">IF(ISNA(MATCH($A10,Months,0))=TRUE,0,OFFSET(CashFlow!$B$36,0,MATCH($A10,Months,0),1,1))</f>
        <v>0</v>
      </c>
      <c r="E10" s="152">
        <f ca="1">IF(AND(B10&gt;A9,B10&lt;=A10),IF($B$6="Yes",0,IF(ROW(D10)-ROW($D$9)&gt;$B$5*52,-PMT($B$4/12,$B$5*12,SUM(OFFSET(D10,0,0,-$B$5*12,1)),0,0),-PMT($B$4/12,$B$5*12,SUM(OFFSET(D10,0,0,ROW($D$8)-ROW(D10),1)),0,0))),0)</f>
        <v>0</v>
      </c>
      <c r="F10" s="152">
        <f ca="1">IF(AND(B10&gt;A9,B10&lt;=A10),(H9+D10)*$B$4/12,0)</f>
        <v>0</v>
      </c>
      <c r="G10" s="152">
        <f t="shared" ca="1" si="0"/>
        <v>0</v>
      </c>
      <c r="H10" s="153">
        <f ca="1">IF(ROUND(SUM(C10:D10,-G10),0)=0,0,IF($B$6="Yes",SUM($D$9:D10),SUM(C10:D10,-G10)))</f>
        <v>500000</v>
      </c>
      <c r="I10" s="154" t="str">
        <f ca="1">IF(E10&gt;0,MAX(I$9:I9)+1,"-")</f>
        <v>-</v>
      </c>
      <c r="J10" s="151"/>
      <c r="K10" s="151"/>
      <c r="L10" s="151"/>
      <c r="M10" s="151"/>
    </row>
    <row r="11" spans="1:13" s="100" customFormat="1" ht="16.149999999999999" customHeight="1" x14ac:dyDescent="0.25">
      <c r="A11" s="135">
        <f ca="1">DATE(YEAR(A10),MONTH(A10),DAY(A10)+7)</f>
        <v>44269</v>
      </c>
      <c r="B11" s="150">
        <f ca="1">IF(AND(B10&gt;A10,B10&lt;=A11),B10,DATE(YEAR(A11),MONTH(A11),IF(AND(MONTH(A11)=2,Assumptions!$D$79&gt;28),28,Assumptions!$D$79)))</f>
        <v>44285</v>
      </c>
      <c r="C11" s="151">
        <f t="shared" ref="C11:C61" ca="1" si="1">H10</f>
        <v>500000</v>
      </c>
      <c r="D11" s="151">
        <f ca="1">IF(ISNA(MATCH($A11,Months,0))=TRUE,0,OFFSET(CashFlow!$B$36,0,MATCH($A11,Months,0),1,1))</f>
        <v>0</v>
      </c>
      <c r="E11" s="152">
        <f t="shared" ref="E11:E61" ca="1" si="2">IF(AND(B11&gt;A10,B11&lt;=A11),IF($B$6="Yes",0,IF(ROW(D11)-ROW($D$9)&gt;$B$5*52,-PMT($B$4/12,$B$5*12,SUM(OFFSET(D11,0,0,-$B$5*12,1)),0,0),-PMT($B$4/12,$B$5*12,SUM(OFFSET(D11,0,0,ROW($D$8)-ROW(D11),1)),0,0))),0)</f>
        <v>0</v>
      </c>
      <c r="F11" s="152">
        <f t="shared" ref="F11:F61" ca="1" si="3">IF(AND(B11&gt;A10,B11&lt;=A11),(H10+D11)*$B$4/12,0)</f>
        <v>0</v>
      </c>
      <c r="G11" s="152">
        <f t="shared" ca="1" si="0"/>
        <v>0</v>
      </c>
      <c r="H11" s="153">
        <f ca="1">IF(ROUND(SUM(C11:D11,-G11),0)=0,0,IF($B$6="Yes",SUM($D$9:D11),SUM(C11:D11,-G11)))</f>
        <v>500000</v>
      </c>
      <c r="I11" s="154" t="str">
        <f ca="1">IF(E11&gt;0,MAX(I$9:I10)+1,"-")</f>
        <v>-</v>
      </c>
      <c r="J11" s="151"/>
      <c r="K11" s="151"/>
      <c r="L11" s="151"/>
      <c r="M11" s="151"/>
    </row>
    <row r="12" spans="1:13" s="100" customFormat="1" ht="16.149999999999999" customHeight="1" x14ac:dyDescent="0.25">
      <c r="A12" s="135">
        <f t="shared" ref="A12:A61" ca="1" si="4">DATE(YEAR(A11),MONTH(A11),DAY(A11)+7)</f>
        <v>44276</v>
      </c>
      <c r="B12" s="150">
        <f ca="1">IF(AND(B11&gt;A11,B11&lt;=A12),B11,DATE(YEAR(A12),MONTH(A12),IF(AND(MONTH(A12)=2,Assumptions!$D$79&gt;28),28,Assumptions!$D$79)))</f>
        <v>44285</v>
      </c>
      <c r="C12" s="151">
        <f t="shared" ca="1" si="1"/>
        <v>500000</v>
      </c>
      <c r="D12" s="151">
        <f ca="1">IF(ISNA(MATCH($A12,Months,0))=TRUE,0,OFFSET(CashFlow!$B$36,0,MATCH($A12,Months,0),1,1))</f>
        <v>0</v>
      </c>
      <c r="E12" s="152">
        <f t="shared" ca="1" si="2"/>
        <v>0</v>
      </c>
      <c r="F12" s="152">
        <f t="shared" ca="1" si="3"/>
        <v>0</v>
      </c>
      <c r="G12" s="152">
        <f t="shared" ca="1" si="0"/>
        <v>0</v>
      </c>
      <c r="H12" s="153">
        <f ca="1">IF(ROUND(SUM(C12:D12,-G12),0)=0,0,IF($B$6="Yes",SUM($D$9:D12),SUM(C12:D12,-G12)))</f>
        <v>500000</v>
      </c>
      <c r="I12" s="154" t="str">
        <f ca="1">IF(E12&gt;0,MAX(I$9:I11)+1,"-")</f>
        <v>-</v>
      </c>
      <c r="J12" s="151"/>
      <c r="K12" s="151"/>
      <c r="L12" s="151"/>
      <c r="M12" s="151"/>
    </row>
    <row r="13" spans="1:13" s="100" customFormat="1" ht="16.149999999999999" customHeight="1" x14ac:dyDescent="0.25">
      <c r="A13" s="135">
        <f t="shared" ca="1" si="4"/>
        <v>44283</v>
      </c>
      <c r="B13" s="150">
        <f ca="1">IF(AND(B12&gt;A12,B12&lt;=A13),B12,DATE(YEAR(A13),MONTH(A13),IF(AND(MONTH(A13)=2,Assumptions!$D$79&gt;28),28,Assumptions!$D$79)))</f>
        <v>44285</v>
      </c>
      <c r="C13" s="151">
        <f t="shared" ca="1" si="1"/>
        <v>500000</v>
      </c>
      <c r="D13" s="151">
        <f ca="1">IF(ISNA(MATCH($A13,Months,0))=TRUE,0,OFFSET(CashFlow!$B$36,0,MATCH($A13,Months,0),1,1))</f>
        <v>0</v>
      </c>
      <c r="E13" s="152">
        <f t="shared" ca="1" si="2"/>
        <v>0</v>
      </c>
      <c r="F13" s="152">
        <f t="shared" ca="1" si="3"/>
        <v>0</v>
      </c>
      <c r="G13" s="152">
        <f t="shared" ca="1" si="0"/>
        <v>0</v>
      </c>
      <c r="H13" s="153">
        <f ca="1">IF(ROUND(SUM(C13:D13,-G13),0)=0,0,IF($B$6="Yes",SUM($D$9:D13),SUM(C13:D13,-G13)))</f>
        <v>500000</v>
      </c>
      <c r="I13" s="154" t="str">
        <f ca="1">IF(E13&gt;0,MAX(I$9:I12)+1,"-")</f>
        <v>-</v>
      </c>
      <c r="J13" s="151"/>
      <c r="K13" s="151"/>
      <c r="L13" s="151"/>
      <c r="M13" s="151"/>
    </row>
    <row r="14" spans="1:13" s="100" customFormat="1" ht="16.149999999999999" customHeight="1" x14ac:dyDescent="0.25">
      <c r="A14" s="135">
        <f t="shared" ca="1" si="4"/>
        <v>44290</v>
      </c>
      <c r="B14" s="150">
        <f ca="1">IF(AND(B13&gt;A13,B13&lt;=A14),B13,DATE(YEAR(A14),MONTH(A14),IF(AND(MONTH(A14)=2,Assumptions!$D$79&gt;28),28,Assumptions!$D$79)))</f>
        <v>44285</v>
      </c>
      <c r="C14" s="151">
        <f t="shared" ca="1" si="1"/>
        <v>500000</v>
      </c>
      <c r="D14" s="151">
        <f ca="1">IF(ISNA(MATCH($A14,Months,0))=TRUE,0,OFFSET(CashFlow!$B$36,0,MATCH($A14,Months,0),1,1))</f>
        <v>0</v>
      </c>
      <c r="E14" s="152">
        <f t="shared" ca="1" si="2"/>
        <v>7390.1100802133533</v>
      </c>
      <c r="F14" s="152">
        <f t="shared" ca="1" si="3"/>
        <v>3854.1666666666665</v>
      </c>
      <c r="G14" s="152">
        <f t="shared" ca="1" si="0"/>
        <v>3535.9434135466868</v>
      </c>
      <c r="H14" s="153">
        <f ca="1">IF(ROUND(SUM(C14:D14,-G14),0)=0,0,IF($B$6="Yes",SUM($D$9:D14),SUM(C14:D14,-G14)))</f>
        <v>496464.05658645334</v>
      </c>
      <c r="I14" s="154">
        <f ca="1">IF(E14&gt;0,MAX(I$9:I13)+1,"-")</f>
        <v>1</v>
      </c>
      <c r="J14" s="151"/>
      <c r="K14" s="151"/>
      <c r="L14" s="151"/>
      <c r="M14" s="151"/>
    </row>
    <row r="15" spans="1:13" s="100" customFormat="1" ht="16.149999999999999" customHeight="1" x14ac:dyDescent="0.25">
      <c r="A15" s="135">
        <f t="shared" ca="1" si="4"/>
        <v>44297</v>
      </c>
      <c r="B15" s="150">
        <f ca="1">IF(AND(B14&gt;A14,B14&lt;=A15),B14,DATE(YEAR(A15),MONTH(A15),IF(AND(MONTH(A15)=2,Assumptions!$D$79&gt;28),28,Assumptions!$D$79)))</f>
        <v>44316</v>
      </c>
      <c r="C15" s="151">
        <f t="shared" ca="1" si="1"/>
        <v>496464.05658645334</v>
      </c>
      <c r="D15" s="151">
        <f ca="1">IF(ISNA(MATCH($A15,Months,0))=TRUE,0,OFFSET(CashFlow!$B$36,0,MATCH($A15,Months,0),1,1))</f>
        <v>0</v>
      </c>
      <c r="E15" s="152">
        <f t="shared" ca="1" si="2"/>
        <v>0</v>
      </c>
      <c r="F15" s="152">
        <f t="shared" ca="1" si="3"/>
        <v>0</v>
      </c>
      <c r="G15" s="152">
        <f t="shared" ca="1" si="0"/>
        <v>0</v>
      </c>
      <c r="H15" s="153">
        <f ca="1">IF(ROUND(SUM(C15:D15,-G15),0)=0,0,IF($B$6="Yes",SUM($D$9:D15),SUM(C15:D15,-G15)))</f>
        <v>496464.05658645334</v>
      </c>
      <c r="I15" s="154" t="str">
        <f ca="1">IF(E15&gt;0,MAX(I$9:I14)+1,"-")</f>
        <v>-</v>
      </c>
      <c r="J15" s="151"/>
      <c r="K15" s="151"/>
      <c r="L15" s="151"/>
      <c r="M15" s="151"/>
    </row>
    <row r="16" spans="1:13" s="100" customFormat="1" ht="16.149999999999999" customHeight="1" x14ac:dyDescent="0.25">
      <c r="A16" s="135">
        <f t="shared" ca="1" si="4"/>
        <v>44304</v>
      </c>
      <c r="B16" s="150">
        <f ca="1">IF(AND(B15&gt;A15,B15&lt;=A16),B15,DATE(YEAR(A16),MONTH(A16),IF(AND(MONTH(A16)=2,Assumptions!$D$79&gt;28),28,Assumptions!$D$79)))</f>
        <v>44316</v>
      </c>
      <c r="C16" s="151">
        <f t="shared" ca="1" si="1"/>
        <v>496464.05658645334</v>
      </c>
      <c r="D16" s="151">
        <f ca="1">IF(ISNA(MATCH($A16,Months,0))=TRUE,0,OFFSET(CashFlow!$B$36,0,MATCH($A16,Months,0),1,1))</f>
        <v>0</v>
      </c>
      <c r="E16" s="152">
        <f t="shared" ca="1" si="2"/>
        <v>0</v>
      </c>
      <c r="F16" s="152">
        <f t="shared" ca="1" si="3"/>
        <v>0</v>
      </c>
      <c r="G16" s="152">
        <f t="shared" ca="1" si="0"/>
        <v>0</v>
      </c>
      <c r="H16" s="153">
        <f ca="1">IF(ROUND(SUM(C16:D16,-G16),0)=0,0,IF($B$6="Yes",SUM($D$9:D16),SUM(C16:D16,-G16)))</f>
        <v>496464.05658645334</v>
      </c>
      <c r="I16" s="154" t="str">
        <f ca="1">IF(E16&gt;0,MAX(I$9:I15)+1,"-")</f>
        <v>-</v>
      </c>
      <c r="J16" s="151"/>
      <c r="K16" s="151"/>
      <c r="L16" s="151"/>
      <c r="M16" s="151"/>
    </row>
    <row r="17" spans="1:13" s="100" customFormat="1" ht="16.149999999999999" customHeight="1" x14ac:dyDescent="0.25">
      <c r="A17" s="135">
        <f t="shared" ca="1" si="4"/>
        <v>44311</v>
      </c>
      <c r="B17" s="150">
        <f ca="1">IF(AND(B16&gt;A16,B16&lt;=A17),B16,DATE(YEAR(A17),MONTH(A17),IF(AND(MONTH(A17)=2,Assumptions!$D$79&gt;28),28,Assumptions!$D$79)))</f>
        <v>44316</v>
      </c>
      <c r="C17" s="151">
        <f t="shared" ca="1" si="1"/>
        <v>496464.05658645334</v>
      </c>
      <c r="D17" s="151">
        <f ca="1">IF(ISNA(MATCH($A17,Months,0))=TRUE,0,OFFSET(CashFlow!$B$36,0,MATCH($A17,Months,0),1,1))</f>
        <v>0</v>
      </c>
      <c r="E17" s="152">
        <f t="shared" ca="1" si="2"/>
        <v>0</v>
      </c>
      <c r="F17" s="152">
        <f t="shared" ca="1" si="3"/>
        <v>0</v>
      </c>
      <c r="G17" s="152">
        <f t="shared" ca="1" si="0"/>
        <v>0</v>
      </c>
      <c r="H17" s="153">
        <f ca="1">IF(ROUND(SUM(C17:D17,-G17),0)=0,0,IF($B$6="Yes",SUM($D$9:D17),SUM(C17:D17,-G17)))</f>
        <v>496464.05658645334</v>
      </c>
      <c r="I17" s="154" t="str">
        <f ca="1">IF(E17&gt;0,MAX(I$9:I16)+1,"-")</f>
        <v>-</v>
      </c>
      <c r="J17" s="151"/>
      <c r="K17" s="151"/>
      <c r="L17" s="151"/>
      <c r="M17" s="151"/>
    </row>
    <row r="18" spans="1:13" s="100" customFormat="1" ht="16.149999999999999" customHeight="1" x14ac:dyDescent="0.25">
      <c r="A18" s="135">
        <f t="shared" ca="1" si="4"/>
        <v>44318</v>
      </c>
      <c r="B18" s="150">
        <f ca="1">IF(AND(B17&gt;A17,B17&lt;=A18),B17,DATE(YEAR(A18),MONTH(A18),IF(AND(MONTH(A18)=2,Assumptions!$D$79&gt;28),28,Assumptions!$D$79)))</f>
        <v>44316</v>
      </c>
      <c r="C18" s="151">
        <f t="shared" ca="1" si="1"/>
        <v>496464.05658645334</v>
      </c>
      <c r="D18" s="151">
        <f ca="1">IF(ISNA(MATCH($A18,Months,0))=TRUE,0,OFFSET(CashFlow!$B$36,0,MATCH($A18,Months,0),1,1))</f>
        <v>0</v>
      </c>
      <c r="E18" s="152">
        <f t="shared" ca="1" si="2"/>
        <v>7390.1100802133533</v>
      </c>
      <c r="F18" s="152">
        <f t="shared" ca="1" si="3"/>
        <v>3826.9104361872446</v>
      </c>
      <c r="G18" s="152">
        <f t="shared" ca="1" si="0"/>
        <v>3563.1996440261087</v>
      </c>
      <c r="H18" s="153">
        <f ca="1">IF(ROUND(SUM(C18:D18,-G18),0)=0,0,IF($B$6="Yes",SUM($D$9:D18),SUM(C18:D18,-G18)))</f>
        <v>492900.85694242723</v>
      </c>
      <c r="I18" s="154">
        <f ca="1">IF(E18&gt;0,MAX(I$9:I17)+1,"-")</f>
        <v>2</v>
      </c>
      <c r="J18" s="151"/>
      <c r="K18" s="151"/>
      <c r="L18" s="151"/>
      <c r="M18" s="151"/>
    </row>
    <row r="19" spans="1:13" s="100" customFormat="1" ht="16.149999999999999" customHeight="1" x14ac:dyDescent="0.25">
      <c r="A19" s="135">
        <f t="shared" ca="1" si="4"/>
        <v>44325</v>
      </c>
      <c r="B19" s="150">
        <f ca="1">IF(AND(B18&gt;A18,B18&lt;=A19),B18,DATE(YEAR(A19),MONTH(A19),IF(AND(MONTH(A19)=2,Assumptions!$D$79&gt;28),28,Assumptions!$D$79)))</f>
        <v>44346</v>
      </c>
      <c r="C19" s="151">
        <f t="shared" ca="1" si="1"/>
        <v>492900.85694242723</v>
      </c>
      <c r="D19" s="151">
        <f ca="1">IF(ISNA(MATCH($A19,Months,0))=TRUE,0,OFFSET(CashFlow!$B$36,0,MATCH($A19,Months,0),1,1))</f>
        <v>0</v>
      </c>
      <c r="E19" s="152">
        <f t="shared" ca="1" si="2"/>
        <v>0</v>
      </c>
      <c r="F19" s="152">
        <f t="shared" ca="1" si="3"/>
        <v>0</v>
      </c>
      <c r="G19" s="152">
        <f t="shared" ca="1" si="0"/>
        <v>0</v>
      </c>
      <c r="H19" s="153">
        <f ca="1">IF(ROUND(SUM(C19:D19,-G19),0)=0,0,IF($B$6="Yes",SUM($D$9:D19),SUM(C19:D19,-G19)))</f>
        <v>492900.85694242723</v>
      </c>
      <c r="I19" s="154" t="str">
        <f ca="1">IF(E19&gt;0,MAX(I$9:I18)+1,"-")</f>
        <v>-</v>
      </c>
      <c r="J19" s="151"/>
      <c r="K19" s="151"/>
      <c r="L19" s="151"/>
      <c r="M19" s="151"/>
    </row>
    <row r="20" spans="1:13" ht="16.149999999999999" customHeight="1" x14ac:dyDescent="0.25">
      <c r="A20" s="135">
        <f t="shared" ca="1" si="4"/>
        <v>44332</v>
      </c>
      <c r="B20" s="150">
        <f ca="1">IF(AND(B19&gt;A19,B19&lt;=A20),B19,DATE(YEAR(A20),MONTH(A20),IF(AND(MONTH(A20)=2,Assumptions!$D$79&gt;28),28,Assumptions!$D$79)))</f>
        <v>44346</v>
      </c>
      <c r="C20" s="151">
        <f t="shared" ca="1" si="1"/>
        <v>492900.85694242723</v>
      </c>
      <c r="D20" s="151">
        <f ca="1">IF(ISNA(MATCH($A20,Months,0))=TRUE,0,OFFSET(CashFlow!$B$36,0,MATCH($A20,Months,0),1,1))</f>
        <v>0</v>
      </c>
      <c r="E20" s="152">
        <f t="shared" ca="1" si="2"/>
        <v>0</v>
      </c>
      <c r="F20" s="152">
        <f t="shared" ca="1" si="3"/>
        <v>0</v>
      </c>
      <c r="G20" s="152">
        <f t="shared" ca="1" si="0"/>
        <v>0</v>
      </c>
      <c r="H20" s="153">
        <f ca="1">IF(ROUND(SUM(C20:D20,-G20),0)=0,0,IF($B$6="Yes",SUM($D$9:D20),SUM(C20:D20,-G20)))</f>
        <v>492900.85694242723</v>
      </c>
      <c r="I20" s="154" t="str">
        <f ca="1">IF(E20&gt;0,MAX(I$9:I19)+1,"-")</f>
        <v>-</v>
      </c>
    </row>
    <row r="21" spans="1:13" ht="16.149999999999999" customHeight="1" x14ac:dyDescent="0.25">
      <c r="A21" s="135">
        <f t="shared" ca="1" si="4"/>
        <v>44339</v>
      </c>
      <c r="B21" s="150">
        <f ca="1">IF(AND(B20&gt;A20,B20&lt;=A21),B20,DATE(YEAR(A21),MONTH(A21),IF(AND(MONTH(A21)=2,Assumptions!$D$79&gt;28),28,Assumptions!$D$79)))</f>
        <v>44346</v>
      </c>
      <c r="C21" s="151">
        <f t="shared" ca="1" si="1"/>
        <v>492900.85694242723</v>
      </c>
      <c r="D21" s="151">
        <f ca="1">IF(ISNA(MATCH($A21,Months,0))=TRUE,0,OFFSET(CashFlow!$B$36,0,MATCH($A21,Months,0),1,1))</f>
        <v>0</v>
      </c>
      <c r="E21" s="152">
        <f t="shared" ca="1" si="2"/>
        <v>0</v>
      </c>
      <c r="F21" s="152">
        <f t="shared" ca="1" si="3"/>
        <v>0</v>
      </c>
      <c r="G21" s="152">
        <f t="shared" ca="1" si="0"/>
        <v>0</v>
      </c>
      <c r="H21" s="153">
        <f ca="1">IF(ROUND(SUM(C21:D21,-G21),0)=0,0,IF($B$6="Yes",SUM($D$9:D21),SUM(C21:D21,-G21)))</f>
        <v>492900.85694242723</v>
      </c>
      <c r="I21" s="154" t="str">
        <f ca="1">IF(E21&gt;0,MAX(I$9:I20)+1,"-")</f>
        <v>-</v>
      </c>
    </row>
    <row r="22" spans="1:13" ht="16.149999999999999" customHeight="1" x14ac:dyDescent="0.25">
      <c r="A22" s="135">
        <f t="shared" ca="1" si="4"/>
        <v>44346</v>
      </c>
      <c r="B22" s="150">
        <f ca="1">IF(AND(B21&gt;A21,B21&lt;=A22),B21,DATE(YEAR(A22),MONTH(A22),IF(AND(MONTH(A22)=2,Assumptions!$D$79&gt;28),28,Assumptions!$D$79)))</f>
        <v>44346</v>
      </c>
      <c r="C22" s="151">
        <f t="shared" ca="1" si="1"/>
        <v>492900.85694242723</v>
      </c>
      <c r="D22" s="151">
        <f ca="1">IF(ISNA(MATCH($A22,Months,0))=TRUE,0,OFFSET(CashFlow!$B$36,0,MATCH($A22,Months,0),1,1))</f>
        <v>0</v>
      </c>
      <c r="E22" s="152">
        <f t="shared" ca="1" si="2"/>
        <v>7390.1100802133533</v>
      </c>
      <c r="F22" s="152">
        <f t="shared" ca="1" si="3"/>
        <v>3799.4441055978764</v>
      </c>
      <c r="G22" s="152">
        <f t="shared" ca="1" si="0"/>
        <v>3590.6659746154769</v>
      </c>
      <c r="H22" s="153">
        <f ca="1">IF(ROUND(SUM(C22:D22,-G22),0)=0,0,IF($B$6="Yes",SUM($D$9:D22),SUM(C22:D22,-G22)))</f>
        <v>489310.19096781174</v>
      </c>
      <c r="I22" s="154">
        <f ca="1">IF(E22&gt;0,MAX(I$9:I21)+1,"-")</f>
        <v>3</v>
      </c>
    </row>
    <row r="23" spans="1:13" s="156" customFormat="1" ht="16.149999999999999" customHeight="1" x14ac:dyDescent="0.25">
      <c r="A23" s="135">
        <f t="shared" ca="1" si="4"/>
        <v>44353</v>
      </c>
      <c r="B23" s="150">
        <f ca="1">IF(AND(B22&gt;A22,B22&lt;=A23),B22,DATE(YEAR(A23),MONTH(A23),IF(AND(MONTH(A23)=2,Assumptions!$D$79&gt;28),28,Assumptions!$D$79)))</f>
        <v>44377</v>
      </c>
      <c r="C23" s="151">
        <f t="shared" ca="1" si="1"/>
        <v>489310.19096781174</v>
      </c>
      <c r="D23" s="151">
        <f ca="1">IF(ISNA(MATCH($A23,Months,0))=TRUE,0,OFFSET(CashFlow!$B$36,0,MATCH($A23,Months,0),1,1))</f>
        <v>0</v>
      </c>
      <c r="E23" s="152">
        <f t="shared" ca="1" si="2"/>
        <v>0</v>
      </c>
      <c r="F23" s="152">
        <f t="shared" ca="1" si="3"/>
        <v>0</v>
      </c>
      <c r="G23" s="152">
        <f t="shared" ca="1" si="0"/>
        <v>0</v>
      </c>
      <c r="H23" s="153">
        <f ca="1">IF(ROUND(SUM(C23:D23,-G23),0)=0,0,IF($B$6="Yes",SUM($D$9:D23),SUM(C23:D23,-G23)))</f>
        <v>489310.19096781174</v>
      </c>
      <c r="I23" s="154" t="str">
        <f ca="1">IF(E23&gt;0,MAX(I$9:I22)+1,"-")</f>
        <v>-</v>
      </c>
      <c r="J23" s="155"/>
      <c r="K23" s="155"/>
      <c r="L23" s="155"/>
      <c r="M23" s="155"/>
    </row>
    <row r="24" spans="1:13" ht="16.149999999999999" customHeight="1" x14ac:dyDescent="0.25">
      <c r="A24" s="135">
        <f t="shared" ca="1" si="4"/>
        <v>44360</v>
      </c>
      <c r="B24" s="150">
        <f ca="1">IF(AND(B23&gt;A23,B23&lt;=A24),B23,DATE(YEAR(A24),MONTH(A24),IF(AND(MONTH(A24)=2,Assumptions!$D$79&gt;28),28,Assumptions!$D$79)))</f>
        <v>44377</v>
      </c>
      <c r="C24" s="151">
        <f t="shared" ca="1" si="1"/>
        <v>489310.19096781174</v>
      </c>
      <c r="D24" s="151">
        <f ca="1">IF(ISNA(MATCH($A24,Months,0))=TRUE,0,OFFSET(CashFlow!$B$36,0,MATCH($A24,Months,0),1,1))</f>
        <v>0</v>
      </c>
      <c r="E24" s="152">
        <f t="shared" ca="1" si="2"/>
        <v>0</v>
      </c>
      <c r="F24" s="152">
        <f t="shared" ca="1" si="3"/>
        <v>0</v>
      </c>
      <c r="G24" s="152">
        <f t="shared" ca="1" si="0"/>
        <v>0</v>
      </c>
      <c r="H24" s="153">
        <f ca="1">IF(ROUND(SUM(C24:D24,-G24),0)=0,0,IF($B$6="Yes",SUM($D$9:D24),SUM(C24:D24,-G24)))</f>
        <v>489310.19096781174</v>
      </c>
      <c r="I24" s="154" t="str">
        <f ca="1">IF(E24&gt;0,MAX(I$9:I23)+1,"-")</f>
        <v>-</v>
      </c>
    </row>
    <row r="25" spans="1:13" ht="16.149999999999999" customHeight="1" x14ac:dyDescent="0.25">
      <c r="A25" s="135">
        <f t="shared" ca="1" si="4"/>
        <v>44367</v>
      </c>
      <c r="B25" s="150">
        <f ca="1">IF(AND(B24&gt;A24,B24&lt;=A25),B24,DATE(YEAR(A25),MONTH(A25),IF(AND(MONTH(A25)=2,Assumptions!$D$79&gt;28),28,Assumptions!$D$79)))</f>
        <v>44377</v>
      </c>
      <c r="C25" s="151">
        <f t="shared" ca="1" si="1"/>
        <v>489310.19096781174</v>
      </c>
      <c r="D25" s="151">
        <f ca="1">IF(ISNA(MATCH($A25,Months,0))=TRUE,0,OFFSET(CashFlow!$B$36,0,MATCH($A25,Months,0),1,1))</f>
        <v>0</v>
      </c>
      <c r="E25" s="152">
        <f t="shared" ca="1" si="2"/>
        <v>0</v>
      </c>
      <c r="F25" s="152">
        <f t="shared" ca="1" si="3"/>
        <v>0</v>
      </c>
      <c r="G25" s="152">
        <f t="shared" ca="1" si="0"/>
        <v>0</v>
      </c>
      <c r="H25" s="153">
        <f ca="1">IF(ROUND(SUM(C25:D25,-G25),0)=0,0,IF($B$6="Yes",SUM($D$9:D25),SUM(C25:D25,-G25)))</f>
        <v>489310.19096781174</v>
      </c>
      <c r="I25" s="154" t="str">
        <f ca="1">IF(E25&gt;0,MAX(I$9:I24)+1,"-")</f>
        <v>-</v>
      </c>
    </row>
    <row r="26" spans="1:13" ht="16.149999999999999" customHeight="1" x14ac:dyDescent="0.25">
      <c r="A26" s="135">
        <f t="shared" ca="1" si="4"/>
        <v>44374</v>
      </c>
      <c r="B26" s="150">
        <f ca="1">IF(AND(B25&gt;A25,B25&lt;=A26),B25,DATE(YEAR(A26),MONTH(A26),IF(AND(MONTH(A26)=2,Assumptions!$D$79&gt;28),28,Assumptions!$D$79)))</f>
        <v>44377</v>
      </c>
      <c r="C26" s="151">
        <f t="shared" ca="1" si="1"/>
        <v>489310.19096781174</v>
      </c>
      <c r="D26" s="151">
        <f ca="1">IF(ISNA(MATCH($A26,Months,0))=TRUE,0,OFFSET(CashFlow!$B$36,0,MATCH($A26,Months,0),1,1))</f>
        <v>0</v>
      </c>
      <c r="E26" s="152">
        <f t="shared" ca="1" si="2"/>
        <v>0</v>
      </c>
      <c r="F26" s="152">
        <f t="shared" ca="1" si="3"/>
        <v>0</v>
      </c>
      <c r="G26" s="152">
        <f t="shared" ca="1" si="0"/>
        <v>0</v>
      </c>
      <c r="H26" s="153">
        <f ca="1">IF(ROUND(SUM(C26:D26,-G26),0)=0,0,IF($B$6="Yes",SUM($D$9:D26),SUM(C26:D26,-G26)))</f>
        <v>489310.19096781174</v>
      </c>
      <c r="I26" s="154" t="str">
        <f ca="1">IF(E26&gt;0,MAX(I$9:I25)+1,"-")</f>
        <v>-</v>
      </c>
    </row>
    <row r="27" spans="1:13" ht="16.149999999999999" customHeight="1" x14ac:dyDescent="0.25">
      <c r="A27" s="135">
        <f t="shared" ca="1" si="4"/>
        <v>44381</v>
      </c>
      <c r="B27" s="150">
        <f ca="1">IF(AND(B26&gt;A26,B26&lt;=A27),B26,DATE(YEAR(A27),MONTH(A27),IF(AND(MONTH(A27)=2,Assumptions!$D$79&gt;28),28,Assumptions!$D$79)))</f>
        <v>44377</v>
      </c>
      <c r="C27" s="151">
        <f t="shared" ca="1" si="1"/>
        <v>489310.19096781174</v>
      </c>
      <c r="D27" s="151">
        <f ca="1">IF(ISNA(MATCH($A27,Months,0))=TRUE,0,OFFSET(CashFlow!$B$36,0,MATCH($A27,Months,0),1,1))</f>
        <v>0</v>
      </c>
      <c r="E27" s="152">
        <f t="shared" ca="1" si="2"/>
        <v>7390.1100802133533</v>
      </c>
      <c r="F27" s="152">
        <f t="shared" ca="1" si="3"/>
        <v>3771.7660553768819</v>
      </c>
      <c r="G27" s="152">
        <f t="shared" ca="1" si="0"/>
        <v>3618.3440248364714</v>
      </c>
      <c r="H27" s="153">
        <f ca="1">IF(ROUND(SUM(C27:D27,-G27),0)=0,0,IF($B$6="Yes",SUM($D$9:D27),SUM(C27:D27,-G27)))</f>
        <v>485691.84694297524</v>
      </c>
      <c r="I27" s="154">
        <f ca="1">IF(E27&gt;0,MAX(I$9:I26)+1,"-")</f>
        <v>4</v>
      </c>
    </row>
    <row r="28" spans="1:13" ht="16.149999999999999" customHeight="1" x14ac:dyDescent="0.25">
      <c r="A28" s="135">
        <f t="shared" ca="1" si="4"/>
        <v>44388</v>
      </c>
      <c r="B28" s="150">
        <f ca="1">IF(AND(B27&gt;A27,B27&lt;=A28),B27,DATE(YEAR(A28),MONTH(A28),IF(AND(MONTH(A28)=2,Assumptions!$D$79&gt;28),28,Assumptions!$D$79)))</f>
        <v>44407</v>
      </c>
      <c r="C28" s="151">
        <f t="shared" ca="1" si="1"/>
        <v>485691.84694297524</v>
      </c>
      <c r="D28" s="151">
        <f ca="1">IF(ISNA(MATCH($A28,Months,0))=TRUE,0,OFFSET(CashFlow!$B$36,0,MATCH($A28,Months,0),1,1))</f>
        <v>0</v>
      </c>
      <c r="E28" s="152">
        <f t="shared" ca="1" si="2"/>
        <v>0</v>
      </c>
      <c r="F28" s="152">
        <f t="shared" ca="1" si="3"/>
        <v>0</v>
      </c>
      <c r="G28" s="152">
        <f t="shared" ca="1" si="0"/>
        <v>0</v>
      </c>
      <c r="H28" s="153">
        <f ca="1">IF(ROUND(SUM(C28:D28,-G28),0)=0,0,IF($B$6="Yes",SUM($D$9:D28),SUM(C28:D28,-G28)))</f>
        <v>485691.84694297524</v>
      </c>
      <c r="I28" s="154" t="str">
        <f ca="1">IF(E28&gt;0,MAX(I$9:I27)+1,"-")</f>
        <v>-</v>
      </c>
    </row>
    <row r="29" spans="1:13" ht="16.149999999999999" customHeight="1" x14ac:dyDescent="0.25">
      <c r="A29" s="135">
        <f t="shared" ca="1" si="4"/>
        <v>44395</v>
      </c>
      <c r="B29" s="150">
        <f ca="1">IF(AND(B28&gt;A28,B28&lt;=A29),B28,DATE(YEAR(A29),MONTH(A29),IF(AND(MONTH(A29)=2,Assumptions!$D$79&gt;28),28,Assumptions!$D$79)))</f>
        <v>44407</v>
      </c>
      <c r="C29" s="151">
        <f t="shared" ca="1" si="1"/>
        <v>485691.84694297524</v>
      </c>
      <c r="D29" s="151">
        <f ca="1">IF(ISNA(MATCH($A29,Months,0))=TRUE,0,OFFSET(CashFlow!$B$36,0,MATCH($A29,Months,0),1,1))</f>
        <v>0</v>
      </c>
      <c r="E29" s="152">
        <f t="shared" ca="1" si="2"/>
        <v>0</v>
      </c>
      <c r="F29" s="152">
        <f t="shared" ca="1" si="3"/>
        <v>0</v>
      </c>
      <c r="G29" s="152">
        <f t="shared" ca="1" si="0"/>
        <v>0</v>
      </c>
      <c r="H29" s="153">
        <f ca="1">IF(ROUND(SUM(C29:D29,-G29),0)=0,0,IF($B$6="Yes",SUM($D$9:D29),SUM(C29:D29,-G29)))</f>
        <v>485691.84694297524</v>
      </c>
      <c r="I29" s="154" t="str">
        <f ca="1">IF(E29&gt;0,MAX(I$9:I28)+1,"-")</f>
        <v>-</v>
      </c>
    </row>
    <row r="30" spans="1:13" ht="16.149999999999999" customHeight="1" x14ac:dyDescent="0.25">
      <c r="A30" s="135">
        <f t="shared" ca="1" si="4"/>
        <v>44402</v>
      </c>
      <c r="B30" s="150">
        <f ca="1">IF(AND(B29&gt;A29,B29&lt;=A30),B29,DATE(YEAR(A30),MONTH(A30),IF(AND(MONTH(A30)=2,Assumptions!$D$79&gt;28),28,Assumptions!$D$79)))</f>
        <v>44407</v>
      </c>
      <c r="C30" s="151">
        <f t="shared" ca="1" si="1"/>
        <v>485691.84694297524</v>
      </c>
      <c r="D30" s="151">
        <f ca="1">IF(ISNA(MATCH($A30,Months,0))=TRUE,0,OFFSET(CashFlow!$B$36,0,MATCH($A30,Months,0),1,1))</f>
        <v>0</v>
      </c>
      <c r="E30" s="152">
        <f t="shared" ca="1" si="2"/>
        <v>0</v>
      </c>
      <c r="F30" s="152">
        <f t="shared" ca="1" si="3"/>
        <v>0</v>
      </c>
      <c r="G30" s="152">
        <f t="shared" ca="1" si="0"/>
        <v>0</v>
      </c>
      <c r="H30" s="153">
        <f ca="1">IF(ROUND(SUM(C30:D30,-G30),0)=0,0,IF($B$6="Yes",SUM($D$9:D30),SUM(C30:D30,-G30)))</f>
        <v>485691.84694297524</v>
      </c>
      <c r="I30" s="154" t="str">
        <f ca="1">IF(E30&gt;0,MAX(I$9:I29)+1,"-")</f>
        <v>-</v>
      </c>
    </row>
    <row r="31" spans="1:13" ht="16.149999999999999" customHeight="1" x14ac:dyDescent="0.25">
      <c r="A31" s="135">
        <f t="shared" ca="1" si="4"/>
        <v>44409</v>
      </c>
      <c r="B31" s="150">
        <f ca="1">IF(AND(B30&gt;A30,B30&lt;=A31),B30,DATE(YEAR(A31),MONTH(A31),IF(AND(MONTH(A31)=2,Assumptions!$D$79&gt;28),28,Assumptions!$D$79)))</f>
        <v>44407</v>
      </c>
      <c r="C31" s="151">
        <f t="shared" ca="1" si="1"/>
        <v>485691.84694297524</v>
      </c>
      <c r="D31" s="151">
        <f ca="1">IF(ISNA(MATCH($A31,Months,0))=TRUE,0,OFFSET(CashFlow!$B$36,0,MATCH($A31,Months,0),1,1))</f>
        <v>0</v>
      </c>
      <c r="E31" s="152">
        <f t="shared" ca="1" si="2"/>
        <v>7390.1100802133533</v>
      </c>
      <c r="F31" s="152">
        <f t="shared" ca="1" si="3"/>
        <v>3743.8746535187674</v>
      </c>
      <c r="G31" s="152">
        <f t="shared" ca="1" si="0"/>
        <v>3646.2354266945858</v>
      </c>
      <c r="H31" s="153">
        <f ca="1">IF(ROUND(SUM(C31:D31,-G31),0)=0,0,IF($B$6="Yes",SUM($D$9:D31),SUM(C31:D31,-G31)))</f>
        <v>482045.61151628068</v>
      </c>
      <c r="I31" s="154">
        <f ca="1">IF(E31&gt;0,MAX(I$9:I30)+1,"-")</f>
        <v>5</v>
      </c>
    </row>
    <row r="32" spans="1:13" ht="16.149999999999999" customHeight="1" x14ac:dyDescent="0.25">
      <c r="A32" s="135">
        <f t="shared" ca="1" si="4"/>
        <v>44416</v>
      </c>
      <c r="B32" s="150">
        <f ca="1">IF(AND(B31&gt;A31,B31&lt;=A32),B31,DATE(YEAR(A32),MONTH(A32),IF(AND(MONTH(A32)=2,Assumptions!$D$79&gt;28),28,Assumptions!$D$79)))</f>
        <v>44438</v>
      </c>
      <c r="C32" s="151">
        <f t="shared" ca="1" si="1"/>
        <v>482045.61151628068</v>
      </c>
      <c r="D32" s="151">
        <f ca="1">IF(ISNA(MATCH($A32,Months,0))=TRUE,0,OFFSET(CashFlow!$B$36,0,MATCH($A32,Months,0),1,1))</f>
        <v>100000</v>
      </c>
      <c r="E32" s="152">
        <f t="shared" ca="1" si="2"/>
        <v>0</v>
      </c>
      <c r="F32" s="152">
        <f t="shared" ca="1" si="3"/>
        <v>0</v>
      </c>
      <c r="G32" s="152">
        <f t="shared" ca="1" si="0"/>
        <v>0</v>
      </c>
      <c r="H32" s="153">
        <f ca="1">IF(ROUND(SUM(C32:D32,-G32),0)=0,0,IF($B$6="Yes",SUM($D$9:D32),SUM(C32:D32,-G32)))</f>
        <v>582045.61151628068</v>
      </c>
      <c r="I32" s="154" t="str">
        <f ca="1">IF(E32&gt;0,MAX(I$9:I31)+1,"-")</f>
        <v>-</v>
      </c>
    </row>
    <row r="33" spans="1:9" ht="16.149999999999999" customHeight="1" x14ac:dyDescent="0.25">
      <c r="A33" s="135">
        <f t="shared" ca="1" si="4"/>
        <v>44423</v>
      </c>
      <c r="B33" s="150">
        <f ca="1">IF(AND(B32&gt;A32,B32&lt;=A33),B32,DATE(YEAR(A33),MONTH(A33),IF(AND(MONTH(A33)=2,Assumptions!$D$79&gt;28),28,Assumptions!$D$79)))</f>
        <v>44438</v>
      </c>
      <c r="C33" s="151">
        <f t="shared" ca="1" si="1"/>
        <v>582045.61151628068</v>
      </c>
      <c r="D33" s="151">
        <f ca="1">IF(ISNA(MATCH($A33,Months,0))=TRUE,0,OFFSET(CashFlow!$B$36,0,MATCH($A33,Months,0),1,1))</f>
        <v>0</v>
      </c>
      <c r="E33" s="152">
        <f t="shared" ca="1" si="2"/>
        <v>0</v>
      </c>
      <c r="F33" s="152">
        <f t="shared" ca="1" si="3"/>
        <v>0</v>
      </c>
      <c r="G33" s="152">
        <f t="shared" ca="1" si="0"/>
        <v>0</v>
      </c>
      <c r="H33" s="153">
        <f ca="1">IF(ROUND(SUM(C33:D33,-G33),0)=0,0,IF($B$6="Yes",SUM($D$9:D33),SUM(C33:D33,-G33)))</f>
        <v>582045.61151628068</v>
      </c>
      <c r="I33" s="154" t="str">
        <f ca="1">IF(E33&gt;0,MAX(I$9:I32)+1,"-")</f>
        <v>-</v>
      </c>
    </row>
    <row r="34" spans="1:9" ht="16.149999999999999" customHeight="1" x14ac:dyDescent="0.25">
      <c r="A34" s="135">
        <f t="shared" ca="1" si="4"/>
        <v>44430</v>
      </c>
      <c r="B34" s="150">
        <f ca="1">IF(AND(B33&gt;A33,B33&lt;=A34),B33,DATE(YEAR(A34),MONTH(A34),IF(AND(MONTH(A34)=2,Assumptions!$D$79&gt;28),28,Assumptions!$D$79)))</f>
        <v>44438</v>
      </c>
      <c r="C34" s="151">
        <f t="shared" ca="1" si="1"/>
        <v>582045.61151628068</v>
      </c>
      <c r="D34" s="151">
        <f ca="1">IF(ISNA(MATCH($A34,Months,0))=TRUE,0,OFFSET(CashFlow!$B$36,0,MATCH($A34,Months,0),1,1))</f>
        <v>0</v>
      </c>
      <c r="E34" s="152">
        <f t="shared" ca="1" si="2"/>
        <v>0</v>
      </c>
      <c r="F34" s="152">
        <f t="shared" ca="1" si="3"/>
        <v>0</v>
      </c>
      <c r="G34" s="152">
        <f t="shared" ca="1" si="0"/>
        <v>0</v>
      </c>
      <c r="H34" s="153">
        <f ca="1">IF(ROUND(SUM(C34:D34,-G34),0)=0,0,IF($B$6="Yes",SUM($D$9:D34),SUM(C34:D34,-G34)))</f>
        <v>582045.61151628068</v>
      </c>
      <c r="I34" s="154" t="str">
        <f ca="1">IF(E34&gt;0,MAX(I$9:I33)+1,"-")</f>
        <v>-</v>
      </c>
    </row>
    <row r="35" spans="1:9" ht="16.149999999999999" customHeight="1" x14ac:dyDescent="0.25">
      <c r="A35" s="135">
        <f t="shared" ca="1" si="4"/>
        <v>44437</v>
      </c>
      <c r="B35" s="150">
        <f ca="1">IF(AND(B34&gt;A34,B34&lt;=A35),B34,DATE(YEAR(A35),MONTH(A35),IF(AND(MONTH(A35)=2,Assumptions!$D$79&gt;28),28,Assumptions!$D$79)))</f>
        <v>44438</v>
      </c>
      <c r="C35" s="151">
        <f t="shared" ca="1" si="1"/>
        <v>582045.61151628068</v>
      </c>
      <c r="D35" s="151">
        <f ca="1">IF(ISNA(MATCH($A35,Months,0))=TRUE,0,OFFSET(CashFlow!$B$36,0,MATCH($A35,Months,0),1,1))</f>
        <v>0</v>
      </c>
      <c r="E35" s="152">
        <f t="shared" ca="1" si="2"/>
        <v>0</v>
      </c>
      <c r="F35" s="152">
        <f t="shared" ca="1" si="3"/>
        <v>0</v>
      </c>
      <c r="G35" s="152">
        <f t="shared" ca="1" si="0"/>
        <v>0</v>
      </c>
      <c r="H35" s="153">
        <f ca="1">IF(ROUND(SUM(C35:D35,-G35),0)=0,0,IF($B$6="Yes",SUM($D$9:D35),SUM(C35:D35,-G35)))</f>
        <v>582045.61151628068</v>
      </c>
      <c r="I35" s="154" t="str">
        <f ca="1">IF(E35&gt;0,MAX(I$9:I34)+1,"-")</f>
        <v>-</v>
      </c>
    </row>
    <row r="36" spans="1:9" ht="16.149999999999999" customHeight="1" x14ac:dyDescent="0.25">
      <c r="A36" s="135">
        <f t="shared" ca="1" si="4"/>
        <v>44444</v>
      </c>
      <c r="B36" s="150">
        <f ca="1">IF(AND(B35&gt;A35,B35&lt;=A36),B35,DATE(YEAR(A36),MONTH(A36),IF(AND(MONTH(A36)=2,Assumptions!$D$79&gt;28),28,Assumptions!$D$79)))</f>
        <v>44438</v>
      </c>
      <c r="C36" s="151">
        <f t="shared" ca="1" si="1"/>
        <v>582045.61151628068</v>
      </c>
      <c r="D36" s="151">
        <f ca="1">IF(ISNA(MATCH($A36,Months,0))=TRUE,0,OFFSET(CashFlow!$B$36,0,MATCH($A36,Months,0),1,1))</f>
        <v>0</v>
      </c>
      <c r="E36" s="152">
        <f t="shared" ca="1" si="2"/>
        <v>8868.1320962560239</v>
      </c>
      <c r="F36" s="152">
        <f t="shared" ca="1" si="3"/>
        <v>4486.6015887713302</v>
      </c>
      <c r="G36" s="152">
        <f t="shared" ca="1" si="0"/>
        <v>4381.5305074846938</v>
      </c>
      <c r="H36" s="153">
        <f ca="1">IF(ROUND(SUM(C36:D36,-G36),0)=0,0,IF($B$6="Yes",SUM($D$9:D36),SUM(C36:D36,-G36)))</f>
        <v>577664.081008796</v>
      </c>
      <c r="I36" s="154">
        <f ca="1">IF(E36&gt;0,MAX(I$9:I35)+1,"-")</f>
        <v>6</v>
      </c>
    </row>
    <row r="37" spans="1:9" ht="16.149999999999999" customHeight="1" x14ac:dyDescent="0.25">
      <c r="A37" s="135">
        <f t="shared" ca="1" si="4"/>
        <v>44451</v>
      </c>
      <c r="B37" s="150">
        <f ca="1">IF(AND(B36&gt;A36,B36&lt;=A37),B36,DATE(YEAR(A37),MONTH(A37),IF(AND(MONTH(A37)=2,Assumptions!$D$79&gt;28),28,Assumptions!$D$79)))</f>
        <v>44469</v>
      </c>
      <c r="C37" s="151">
        <f t="shared" ca="1" si="1"/>
        <v>577664.081008796</v>
      </c>
      <c r="D37" s="151">
        <f ca="1">IF(ISNA(MATCH($A37,Months,0))=TRUE,0,OFFSET(CashFlow!$B$36,0,MATCH($A37,Months,0),1,1))</f>
        <v>0</v>
      </c>
      <c r="E37" s="152">
        <f t="shared" ca="1" si="2"/>
        <v>0</v>
      </c>
      <c r="F37" s="152">
        <f t="shared" ca="1" si="3"/>
        <v>0</v>
      </c>
      <c r="G37" s="152">
        <f t="shared" ca="1" si="0"/>
        <v>0</v>
      </c>
      <c r="H37" s="153">
        <f ca="1">IF(ROUND(SUM(C37:D37,-G37),0)=0,0,IF($B$6="Yes",SUM($D$9:D37),SUM(C37:D37,-G37)))</f>
        <v>577664.081008796</v>
      </c>
      <c r="I37" s="154" t="str">
        <f ca="1">IF(E37&gt;0,MAX(I$9:I36)+1,"-")</f>
        <v>-</v>
      </c>
    </row>
    <row r="38" spans="1:9" ht="16.149999999999999" customHeight="1" x14ac:dyDescent="0.25">
      <c r="A38" s="135">
        <f t="shared" ca="1" si="4"/>
        <v>44458</v>
      </c>
      <c r="B38" s="150">
        <f ca="1">IF(AND(B37&gt;A37,B37&lt;=A38),B37,DATE(YEAR(A38),MONTH(A38),IF(AND(MONTH(A38)=2,Assumptions!$D$79&gt;28),28,Assumptions!$D$79)))</f>
        <v>44469</v>
      </c>
      <c r="C38" s="151">
        <f t="shared" ca="1" si="1"/>
        <v>577664.081008796</v>
      </c>
      <c r="D38" s="151">
        <f ca="1">IF(ISNA(MATCH($A38,Months,0))=TRUE,0,OFFSET(CashFlow!$B$36,0,MATCH($A38,Months,0),1,1))</f>
        <v>0</v>
      </c>
      <c r="E38" s="152">
        <f t="shared" ca="1" si="2"/>
        <v>0</v>
      </c>
      <c r="F38" s="152">
        <f t="shared" ca="1" si="3"/>
        <v>0</v>
      </c>
      <c r="G38" s="152">
        <f t="shared" ca="1" si="0"/>
        <v>0</v>
      </c>
      <c r="H38" s="153">
        <f ca="1">IF(ROUND(SUM(C38:D38,-G38),0)=0,0,IF($B$6="Yes",SUM($D$9:D38),SUM(C38:D38,-G38)))</f>
        <v>577664.081008796</v>
      </c>
      <c r="I38" s="154" t="str">
        <f ca="1">IF(E38&gt;0,MAX(I$9:I37)+1,"-")</f>
        <v>-</v>
      </c>
    </row>
    <row r="39" spans="1:9" ht="16.149999999999999" customHeight="1" x14ac:dyDescent="0.25">
      <c r="A39" s="135">
        <f t="shared" ca="1" si="4"/>
        <v>44465</v>
      </c>
      <c r="B39" s="150">
        <f ca="1">IF(AND(B38&gt;A38,B38&lt;=A39),B38,DATE(YEAR(A39),MONTH(A39),IF(AND(MONTH(A39)=2,Assumptions!$D$79&gt;28),28,Assumptions!$D$79)))</f>
        <v>44469</v>
      </c>
      <c r="C39" s="151">
        <f t="shared" ca="1" si="1"/>
        <v>577664.081008796</v>
      </c>
      <c r="D39" s="151">
        <f ca="1">IF(ISNA(MATCH($A39,Months,0))=TRUE,0,OFFSET(CashFlow!$B$36,0,MATCH($A39,Months,0),1,1))</f>
        <v>0</v>
      </c>
      <c r="E39" s="152">
        <f t="shared" ca="1" si="2"/>
        <v>0</v>
      </c>
      <c r="F39" s="152">
        <f t="shared" ca="1" si="3"/>
        <v>0</v>
      </c>
      <c r="G39" s="152">
        <f t="shared" ca="1" si="0"/>
        <v>0</v>
      </c>
      <c r="H39" s="153">
        <f ca="1">IF(ROUND(SUM(C39:D39,-G39),0)=0,0,IF($B$6="Yes",SUM($D$9:D39),SUM(C39:D39,-G39)))</f>
        <v>577664.081008796</v>
      </c>
      <c r="I39" s="154" t="str">
        <f ca="1">IF(E39&gt;0,MAX(I$9:I38)+1,"-")</f>
        <v>-</v>
      </c>
    </row>
    <row r="40" spans="1:9" ht="16.149999999999999" customHeight="1" x14ac:dyDescent="0.25">
      <c r="A40" s="135">
        <f t="shared" ca="1" si="4"/>
        <v>44472</v>
      </c>
      <c r="B40" s="150">
        <f ca="1">IF(AND(B39&gt;A39,B39&lt;=A40),B39,DATE(YEAR(A40),MONTH(A40),IF(AND(MONTH(A40)=2,Assumptions!$D$79&gt;28),28,Assumptions!$D$79)))</f>
        <v>44469</v>
      </c>
      <c r="C40" s="151">
        <f t="shared" ca="1" si="1"/>
        <v>577664.081008796</v>
      </c>
      <c r="D40" s="151">
        <f ca="1">IF(ISNA(MATCH($A40,Months,0))=TRUE,0,OFFSET(CashFlow!$B$36,0,MATCH($A40,Months,0),1,1))</f>
        <v>0</v>
      </c>
      <c r="E40" s="152">
        <f t="shared" ca="1" si="2"/>
        <v>8868.1320962560239</v>
      </c>
      <c r="F40" s="152">
        <f t="shared" ca="1" si="3"/>
        <v>4452.8272911094691</v>
      </c>
      <c r="G40" s="152">
        <f t="shared" ca="1" si="0"/>
        <v>4415.3048051465548</v>
      </c>
      <c r="H40" s="153">
        <f ca="1">IF(ROUND(SUM(C40:D40,-G40),0)=0,0,IF($B$6="Yes",SUM($D$9:D40),SUM(C40:D40,-G40)))</f>
        <v>573248.77620364947</v>
      </c>
      <c r="I40" s="154">
        <f ca="1">IF(E40&gt;0,MAX(I$9:I39)+1,"-")</f>
        <v>7</v>
      </c>
    </row>
    <row r="41" spans="1:9" ht="16.149999999999999" customHeight="1" x14ac:dyDescent="0.25">
      <c r="A41" s="135">
        <f t="shared" ca="1" si="4"/>
        <v>44479</v>
      </c>
      <c r="B41" s="150">
        <f ca="1">IF(AND(B40&gt;A40,B40&lt;=A41),B40,DATE(YEAR(A41),MONTH(A41),IF(AND(MONTH(A41)=2,Assumptions!$D$79&gt;28),28,Assumptions!$D$79)))</f>
        <v>44499</v>
      </c>
      <c r="C41" s="151">
        <f t="shared" ca="1" si="1"/>
        <v>573248.77620364947</v>
      </c>
      <c r="D41" s="151">
        <f ca="1">IF(ISNA(MATCH($A41,Months,0))=TRUE,0,OFFSET(CashFlow!$B$36,0,MATCH($A41,Months,0),1,1))</f>
        <v>0</v>
      </c>
      <c r="E41" s="152">
        <f t="shared" ca="1" si="2"/>
        <v>0</v>
      </c>
      <c r="F41" s="152">
        <f t="shared" ca="1" si="3"/>
        <v>0</v>
      </c>
      <c r="G41" s="152">
        <f t="shared" ca="1" si="0"/>
        <v>0</v>
      </c>
      <c r="H41" s="153">
        <f ca="1">IF(ROUND(SUM(C41:D41,-G41),0)=0,0,IF($B$6="Yes",SUM($D$9:D41),SUM(C41:D41,-G41)))</f>
        <v>573248.77620364947</v>
      </c>
      <c r="I41" s="154" t="str">
        <f ca="1">IF(E41&gt;0,MAX(I$9:I40)+1,"-")</f>
        <v>-</v>
      </c>
    </row>
    <row r="42" spans="1:9" ht="16.149999999999999" customHeight="1" x14ac:dyDescent="0.25">
      <c r="A42" s="135">
        <f t="shared" ca="1" si="4"/>
        <v>44486</v>
      </c>
      <c r="B42" s="150">
        <f ca="1">IF(AND(B41&gt;A41,B41&lt;=A42),B41,DATE(YEAR(A42),MONTH(A42),IF(AND(MONTH(A42)=2,Assumptions!$D$79&gt;28),28,Assumptions!$D$79)))</f>
        <v>44499</v>
      </c>
      <c r="C42" s="151">
        <f t="shared" ca="1" si="1"/>
        <v>573248.77620364947</v>
      </c>
      <c r="D42" s="151">
        <f ca="1">IF(ISNA(MATCH($A42,Months,0))=TRUE,0,OFFSET(CashFlow!$B$36,0,MATCH($A42,Months,0),1,1))</f>
        <v>0</v>
      </c>
      <c r="E42" s="152">
        <f t="shared" ca="1" si="2"/>
        <v>0</v>
      </c>
      <c r="F42" s="152">
        <f t="shared" ca="1" si="3"/>
        <v>0</v>
      </c>
      <c r="G42" s="152">
        <f t="shared" ca="1" si="0"/>
        <v>0</v>
      </c>
      <c r="H42" s="153">
        <f ca="1">IF(ROUND(SUM(C42:D42,-G42),0)=0,0,IF($B$6="Yes",SUM($D$9:D42),SUM(C42:D42,-G42)))</f>
        <v>573248.77620364947</v>
      </c>
      <c r="I42" s="154" t="str">
        <f ca="1">IF(E42&gt;0,MAX(I$9:I41)+1,"-")</f>
        <v>-</v>
      </c>
    </row>
    <row r="43" spans="1:9" ht="16.149999999999999" customHeight="1" x14ac:dyDescent="0.25">
      <c r="A43" s="135">
        <f t="shared" ca="1" si="4"/>
        <v>44493</v>
      </c>
      <c r="B43" s="150">
        <f ca="1">IF(AND(B42&gt;A42,B42&lt;=A43),B42,DATE(YEAR(A43),MONTH(A43),IF(AND(MONTH(A43)=2,Assumptions!$D$79&gt;28),28,Assumptions!$D$79)))</f>
        <v>44499</v>
      </c>
      <c r="C43" s="151">
        <f t="shared" ca="1" si="1"/>
        <v>573248.77620364947</v>
      </c>
      <c r="D43" s="151">
        <f ca="1">IF(ISNA(MATCH($A43,Months,0))=TRUE,0,OFFSET(CashFlow!$B$36,0,MATCH($A43,Months,0),1,1))</f>
        <v>0</v>
      </c>
      <c r="E43" s="152">
        <f t="shared" ca="1" si="2"/>
        <v>0</v>
      </c>
      <c r="F43" s="152">
        <f t="shared" ca="1" si="3"/>
        <v>0</v>
      </c>
      <c r="G43" s="152">
        <f t="shared" ca="1" si="0"/>
        <v>0</v>
      </c>
      <c r="H43" s="153">
        <f ca="1">IF(ROUND(SUM(C43:D43,-G43),0)=0,0,IF($B$6="Yes",SUM($D$9:D43),SUM(C43:D43,-G43)))</f>
        <v>573248.77620364947</v>
      </c>
      <c r="I43" s="154" t="str">
        <f ca="1">IF(E43&gt;0,MAX(I$9:I42)+1,"-")</f>
        <v>-</v>
      </c>
    </row>
    <row r="44" spans="1:9" ht="16.149999999999999" customHeight="1" x14ac:dyDescent="0.25">
      <c r="A44" s="135">
        <f t="shared" ca="1" si="4"/>
        <v>44500</v>
      </c>
      <c r="B44" s="150">
        <f ca="1">IF(AND(B43&gt;A43,B43&lt;=A44),B43,DATE(YEAR(A44),MONTH(A44),IF(AND(MONTH(A44)=2,Assumptions!$D$79&gt;28),28,Assumptions!$D$79)))</f>
        <v>44499</v>
      </c>
      <c r="C44" s="151">
        <f t="shared" ca="1" si="1"/>
        <v>573248.77620364947</v>
      </c>
      <c r="D44" s="151">
        <f ca="1">IF(ISNA(MATCH($A44,Months,0))=TRUE,0,OFFSET(CashFlow!$B$36,0,MATCH($A44,Months,0),1,1))</f>
        <v>0</v>
      </c>
      <c r="E44" s="152">
        <f t="shared" ca="1" si="2"/>
        <v>8868.1320962560239</v>
      </c>
      <c r="F44" s="152">
        <f t="shared" ca="1" si="3"/>
        <v>4418.7926499031319</v>
      </c>
      <c r="G44" s="152">
        <f t="shared" ca="1" si="0"/>
        <v>4449.3394463528921</v>
      </c>
      <c r="H44" s="153">
        <f ca="1">IF(ROUND(SUM(C44:D44,-G44),0)=0,0,IF($B$6="Yes",SUM($D$9:D44),SUM(C44:D44,-G44)))</f>
        <v>568799.43675729656</v>
      </c>
      <c r="I44" s="154">
        <f ca="1">IF(E44&gt;0,MAX(I$9:I43)+1,"-")</f>
        <v>8</v>
      </c>
    </row>
    <row r="45" spans="1:9" ht="16.149999999999999" customHeight="1" x14ac:dyDescent="0.25">
      <c r="A45" s="135">
        <f t="shared" ca="1" si="4"/>
        <v>44507</v>
      </c>
      <c r="B45" s="150">
        <f ca="1">IF(AND(B44&gt;A44,B44&lt;=A45),B44,DATE(YEAR(A45),MONTH(A45),IF(AND(MONTH(A45)=2,Assumptions!$D$79&gt;28),28,Assumptions!$D$79)))</f>
        <v>44530</v>
      </c>
      <c r="C45" s="151">
        <f t="shared" ca="1" si="1"/>
        <v>568799.43675729656</v>
      </c>
      <c r="D45" s="151">
        <f ca="1">IF(ISNA(MATCH($A45,Months,0))=TRUE,0,OFFSET(CashFlow!$B$36,0,MATCH($A45,Months,0),1,1))</f>
        <v>0</v>
      </c>
      <c r="E45" s="152">
        <f t="shared" ca="1" si="2"/>
        <v>0</v>
      </c>
      <c r="F45" s="152">
        <f t="shared" ca="1" si="3"/>
        <v>0</v>
      </c>
      <c r="G45" s="152">
        <f t="shared" ca="1" si="0"/>
        <v>0</v>
      </c>
      <c r="H45" s="153">
        <f ca="1">IF(ROUND(SUM(C45:D45,-G45),0)=0,0,IF($B$6="Yes",SUM($D$9:D45),SUM(C45:D45,-G45)))</f>
        <v>568799.43675729656</v>
      </c>
      <c r="I45" s="154" t="str">
        <f ca="1">IF(E45&gt;0,MAX(I$9:I44)+1,"-")</f>
        <v>-</v>
      </c>
    </row>
    <row r="46" spans="1:9" ht="16.149999999999999" customHeight="1" x14ac:dyDescent="0.25">
      <c r="A46" s="135">
        <f t="shared" ca="1" si="4"/>
        <v>44514</v>
      </c>
      <c r="B46" s="150">
        <f ca="1">IF(AND(B45&gt;A45,B45&lt;=A46),B45,DATE(YEAR(A46),MONTH(A46),IF(AND(MONTH(A46)=2,Assumptions!$D$79&gt;28),28,Assumptions!$D$79)))</f>
        <v>44530</v>
      </c>
      <c r="C46" s="151">
        <f t="shared" ca="1" si="1"/>
        <v>568799.43675729656</v>
      </c>
      <c r="D46" s="151">
        <f ca="1">IF(ISNA(MATCH($A46,Months,0))=TRUE,0,OFFSET(CashFlow!$B$36,0,MATCH($A46,Months,0),1,1))</f>
        <v>0</v>
      </c>
      <c r="E46" s="152">
        <f t="shared" ca="1" si="2"/>
        <v>0</v>
      </c>
      <c r="F46" s="152">
        <f t="shared" ca="1" si="3"/>
        <v>0</v>
      </c>
      <c r="G46" s="152">
        <f t="shared" ca="1" si="0"/>
        <v>0</v>
      </c>
      <c r="H46" s="153">
        <f ca="1">IF(ROUND(SUM(C46:D46,-G46),0)=0,0,IF($B$6="Yes",SUM($D$9:D46),SUM(C46:D46,-G46)))</f>
        <v>568799.43675729656</v>
      </c>
      <c r="I46" s="154" t="str">
        <f ca="1">IF(E46&gt;0,MAX(I$9:I45)+1,"-")</f>
        <v>-</v>
      </c>
    </row>
    <row r="47" spans="1:9" ht="16.149999999999999" customHeight="1" x14ac:dyDescent="0.25">
      <c r="A47" s="135">
        <f t="shared" ca="1" si="4"/>
        <v>44521</v>
      </c>
      <c r="B47" s="150">
        <f ca="1">IF(AND(B46&gt;A46,B46&lt;=A47),B46,DATE(YEAR(A47),MONTH(A47),IF(AND(MONTH(A47)=2,Assumptions!$D$79&gt;28),28,Assumptions!$D$79)))</f>
        <v>44530</v>
      </c>
      <c r="C47" s="151">
        <f t="shared" ca="1" si="1"/>
        <v>568799.43675729656</v>
      </c>
      <c r="D47" s="151">
        <f ca="1">IF(ISNA(MATCH($A47,Months,0))=TRUE,0,OFFSET(CashFlow!$B$36,0,MATCH($A47,Months,0),1,1))</f>
        <v>0</v>
      </c>
      <c r="E47" s="152">
        <f t="shared" ca="1" si="2"/>
        <v>0</v>
      </c>
      <c r="F47" s="152">
        <f t="shared" ca="1" si="3"/>
        <v>0</v>
      </c>
      <c r="G47" s="152">
        <f t="shared" ca="1" si="0"/>
        <v>0</v>
      </c>
      <c r="H47" s="153">
        <f ca="1">IF(ROUND(SUM(C47:D47,-G47),0)=0,0,IF($B$6="Yes",SUM($D$9:D47),SUM(C47:D47,-G47)))</f>
        <v>568799.43675729656</v>
      </c>
      <c r="I47" s="154" t="str">
        <f ca="1">IF(E47&gt;0,MAX(I$9:I46)+1,"-")</f>
        <v>-</v>
      </c>
    </row>
    <row r="48" spans="1:9" ht="16.149999999999999" customHeight="1" x14ac:dyDescent="0.25">
      <c r="A48" s="135">
        <f t="shared" ca="1" si="4"/>
        <v>44528</v>
      </c>
      <c r="B48" s="150">
        <f ca="1">IF(AND(B47&gt;A47,B47&lt;=A48),B47,DATE(YEAR(A48),MONTH(A48),IF(AND(MONTH(A48)=2,Assumptions!$D$79&gt;28),28,Assumptions!$D$79)))</f>
        <v>44530</v>
      </c>
      <c r="C48" s="151">
        <f t="shared" ca="1" si="1"/>
        <v>568799.43675729656</v>
      </c>
      <c r="D48" s="151">
        <f ca="1">IF(ISNA(MATCH($A48,Months,0))=TRUE,0,OFFSET(CashFlow!$B$36,0,MATCH($A48,Months,0),1,1))</f>
        <v>0</v>
      </c>
      <c r="E48" s="152">
        <f t="shared" ca="1" si="2"/>
        <v>0</v>
      </c>
      <c r="F48" s="152">
        <f t="shared" ca="1" si="3"/>
        <v>0</v>
      </c>
      <c r="G48" s="152">
        <f t="shared" ca="1" si="0"/>
        <v>0</v>
      </c>
      <c r="H48" s="153">
        <f ca="1">IF(ROUND(SUM(C48:D48,-G48),0)=0,0,IF($B$6="Yes",SUM($D$9:D48),SUM(C48:D48,-G48)))</f>
        <v>568799.43675729656</v>
      </c>
      <c r="I48" s="154" t="str">
        <f ca="1">IF(E48&gt;0,MAX(I$9:I47)+1,"-")</f>
        <v>-</v>
      </c>
    </row>
    <row r="49" spans="1:9" ht="16.149999999999999" customHeight="1" x14ac:dyDescent="0.25">
      <c r="A49" s="135">
        <f t="shared" ca="1" si="4"/>
        <v>44535</v>
      </c>
      <c r="B49" s="150">
        <f ca="1">IF(AND(B48&gt;A48,B48&lt;=A49),B48,DATE(YEAR(A49),MONTH(A49),IF(AND(MONTH(A49)=2,Assumptions!$D$79&gt;28),28,Assumptions!$D$79)))</f>
        <v>44530</v>
      </c>
      <c r="C49" s="151">
        <f t="shared" ca="1" si="1"/>
        <v>568799.43675729656</v>
      </c>
      <c r="D49" s="151">
        <f ca="1">IF(ISNA(MATCH($A49,Months,0))=TRUE,0,OFFSET(CashFlow!$B$36,0,MATCH($A49,Months,0),1,1))</f>
        <v>0</v>
      </c>
      <c r="E49" s="152">
        <f t="shared" ca="1" si="2"/>
        <v>8868.1320962560239</v>
      </c>
      <c r="F49" s="152">
        <f t="shared" ca="1" si="3"/>
        <v>4384.4956583374942</v>
      </c>
      <c r="G49" s="152">
        <f t="shared" ca="1" si="0"/>
        <v>4483.6364379185297</v>
      </c>
      <c r="H49" s="153">
        <f ca="1">IF(ROUND(SUM(C49:D49,-G49),0)=0,0,IF($B$6="Yes",SUM($D$9:D49),SUM(C49:D49,-G49)))</f>
        <v>564315.80031937803</v>
      </c>
      <c r="I49" s="154">
        <f ca="1">IF(E49&gt;0,MAX(I$9:I48)+1,"-")</f>
        <v>9</v>
      </c>
    </row>
    <row r="50" spans="1:9" ht="16.149999999999999" customHeight="1" x14ac:dyDescent="0.25">
      <c r="A50" s="135">
        <f t="shared" ca="1" si="4"/>
        <v>44542</v>
      </c>
      <c r="B50" s="150">
        <f ca="1">IF(AND(B49&gt;A49,B49&lt;=A50),B49,DATE(YEAR(A50),MONTH(A50),IF(AND(MONTH(A50)=2,Assumptions!$D$79&gt;28),28,Assumptions!$D$79)))</f>
        <v>44560</v>
      </c>
      <c r="C50" s="151">
        <f t="shared" ca="1" si="1"/>
        <v>564315.80031937803</v>
      </c>
      <c r="D50" s="151">
        <f ca="1">IF(ISNA(MATCH($A50,Months,0))=TRUE,0,OFFSET(CashFlow!$B$36,0,MATCH($A50,Months,0),1,1))</f>
        <v>0</v>
      </c>
      <c r="E50" s="152">
        <f t="shared" ca="1" si="2"/>
        <v>0</v>
      </c>
      <c r="F50" s="152">
        <f t="shared" ca="1" si="3"/>
        <v>0</v>
      </c>
      <c r="G50" s="152">
        <f t="shared" ca="1" si="0"/>
        <v>0</v>
      </c>
      <c r="H50" s="153">
        <f ca="1">IF(ROUND(SUM(C50:D50,-G50),0)=0,0,IF($B$6="Yes",SUM($D$9:D50),SUM(C50:D50,-G50)))</f>
        <v>564315.80031937803</v>
      </c>
      <c r="I50" s="154" t="str">
        <f ca="1">IF(E50&gt;0,MAX(I$9:I49)+1,"-")</f>
        <v>-</v>
      </c>
    </row>
    <row r="51" spans="1:9" ht="16.149999999999999" customHeight="1" x14ac:dyDescent="0.25">
      <c r="A51" s="135">
        <f t="shared" ca="1" si="4"/>
        <v>44549</v>
      </c>
      <c r="B51" s="150">
        <f ca="1">IF(AND(B50&gt;A50,B50&lt;=A51),B50,DATE(YEAR(A51),MONTH(A51),IF(AND(MONTH(A51)=2,Assumptions!$D$79&gt;28),28,Assumptions!$D$79)))</f>
        <v>44560</v>
      </c>
      <c r="C51" s="151">
        <f t="shared" ca="1" si="1"/>
        <v>564315.80031937803</v>
      </c>
      <c r="D51" s="151">
        <f ca="1">IF(ISNA(MATCH($A51,Months,0))=TRUE,0,OFFSET(CashFlow!$B$36,0,MATCH($A51,Months,0),1,1))</f>
        <v>0</v>
      </c>
      <c r="E51" s="152">
        <f t="shared" ca="1" si="2"/>
        <v>0</v>
      </c>
      <c r="F51" s="152">
        <f t="shared" ca="1" si="3"/>
        <v>0</v>
      </c>
      <c r="G51" s="152">
        <f t="shared" ca="1" si="0"/>
        <v>0</v>
      </c>
      <c r="H51" s="153">
        <f ca="1">IF(ROUND(SUM(C51:D51,-G51),0)=0,0,IF($B$6="Yes",SUM($D$9:D51),SUM(C51:D51,-G51)))</f>
        <v>564315.80031937803</v>
      </c>
      <c r="I51" s="154" t="str">
        <f ca="1">IF(E51&gt;0,MAX(I$9:I50)+1,"-")</f>
        <v>-</v>
      </c>
    </row>
    <row r="52" spans="1:9" ht="16.149999999999999" customHeight="1" x14ac:dyDescent="0.25">
      <c r="A52" s="135">
        <f t="shared" ca="1" si="4"/>
        <v>44556</v>
      </c>
      <c r="B52" s="150">
        <f ca="1">IF(AND(B51&gt;A51,B51&lt;=A52),B51,DATE(YEAR(A52),MONTH(A52),IF(AND(MONTH(A52)=2,Assumptions!$D$79&gt;28),28,Assumptions!$D$79)))</f>
        <v>44560</v>
      </c>
      <c r="C52" s="151">
        <f t="shared" ca="1" si="1"/>
        <v>564315.80031937803</v>
      </c>
      <c r="D52" s="151">
        <f ca="1">IF(ISNA(MATCH($A52,Months,0))=TRUE,0,OFFSET(CashFlow!$B$36,0,MATCH($A52,Months,0),1,1))</f>
        <v>0</v>
      </c>
      <c r="E52" s="152">
        <f t="shared" ca="1" si="2"/>
        <v>0</v>
      </c>
      <c r="F52" s="152">
        <f t="shared" ca="1" si="3"/>
        <v>0</v>
      </c>
      <c r="G52" s="152">
        <f t="shared" ca="1" si="0"/>
        <v>0</v>
      </c>
      <c r="H52" s="153">
        <f ca="1">IF(ROUND(SUM(C52:D52,-G52),0)=0,0,IF($B$6="Yes",SUM($D$9:D52),SUM(C52:D52,-G52)))</f>
        <v>564315.80031937803</v>
      </c>
      <c r="I52" s="154" t="str">
        <f ca="1">IF(E52&gt;0,MAX(I$9:I51)+1,"-")</f>
        <v>-</v>
      </c>
    </row>
    <row r="53" spans="1:9" ht="16.149999999999999" customHeight="1" x14ac:dyDescent="0.25">
      <c r="A53" s="135">
        <f t="shared" ca="1" si="4"/>
        <v>44563</v>
      </c>
      <c r="B53" s="150">
        <f ca="1">IF(AND(B52&gt;A52,B52&lt;=A53),B52,DATE(YEAR(A53),MONTH(A53),IF(AND(MONTH(A53)=2,Assumptions!$D$79&gt;28),28,Assumptions!$D$79)))</f>
        <v>44560</v>
      </c>
      <c r="C53" s="151">
        <f t="shared" ca="1" si="1"/>
        <v>564315.80031937803</v>
      </c>
      <c r="D53" s="151">
        <f ca="1">IF(ISNA(MATCH($A53,Months,0))=TRUE,0,OFFSET(CashFlow!$B$36,0,MATCH($A53,Months,0),1,1))</f>
        <v>0</v>
      </c>
      <c r="E53" s="152">
        <f t="shared" ca="1" si="2"/>
        <v>8868.1320962560239</v>
      </c>
      <c r="F53" s="152">
        <f t="shared" ca="1" si="3"/>
        <v>4349.9342941285386</v>
      </c>
      <c r="G53" s="152">
        <f t="shared" ca="1" si="0"/>
        <v>4518.1978021274854</v>
      </c>
      <c r="H53" s="153">
        <f ca="1">IF(ROUND(SUM(C53:D53,-G53),0)=0,0,IF($B$6="Yes",SUM($D$9:D53),SUM(C53:D53,-G53)))</f>
        <v>559797.60251725058</v>
      </c>
      <c r="I53" s="154">
        <f ca="1">IF(E53&gt;0,MAX(I$9:I52)+1,"-")</f>
        <v>10</v>
      </c>
    </row>
    <row r="54" spans="1:9" ht="16.149999999999999" customHeight="1" x14ac:dyDescent="0.25">
      <c r="A54" s="135">
        <f t="shared" ca="1" si="4"/>
        <v>44570</v>
      </c>
      <c r="B54" s="150">
        <f ca="1">IF(AND(B53&gt;A53,B53&lt;=A54),B53,DATE(YEAR(A54),MONTH(A54),IF(AND(MONTH(A54)=2,Assumptions!$D$79&gt;28),28,Assumptions!$D$79)))</f>
        <v>44591</v>
      </c>
      <c r="C54" s="151">
        <f t="shared" ca="1" si="1"/>
        <v>559797.60251725058</v>
      </c>
      <c r="D54" s="151">
        <f ca="1">IF(ISNA(MATCH($A54,Months,0))=TRUE,0,OFFSET(CashFlow!$B$36,0,MATCH($A54,Months,0),1,1))</f>
        <v>0</v>
      </c>
      <c r="E54" s="152">
        <f t="shared" ca="1" si="2"/>
        <v>0</v>
      </c>
      <c r="F54" s="152">
        <f t="shared" ca="1" si="3"/>
        <v>0</v>
      </c>
      <c r="G54" s="152">
        <f t="shared" ca="1" si="0"/>
        <v>0</v>
      </c>
      <c r="H54" s="153">
        <f ca="1">IF(ROUND(SUM(C54:D54,-G54),0)=0,0,IF($B$6="Yes",SUM($D$9:D54),SUM(C54:D54,-G54)))</f>
        <v>559797.60251725058</v>
      </c>
      <c r="I54" s="154" t="str">
        <f ca="1">IF(E54&gt;0,MAX(I$9:I53)+1,"-")</f>
        <v>-</v>
      </c>
    </row>
    <row r="55" spans="1:9" ht="16.149999999999999" customHeight="1" x14ac:dyDescent="0.25">
      <c r="A55" s="135">
        <f t="shared" ca="1" si="4"/>
        <v>44577</v>
      </c>
      <c r="B55" s="150">
        <f ca="1">IF(AND(B54&gt;A54,B54&lt;=A55),B54,DATE(YEAR(A55),MONTH(A55),IF(AND(MONTH(A55)=2,Assumptions!$D$79&gt;28),28,Assumptions!$D$79)))</f>
        <v>44591</v>
      </c>
      <c r="C55" s="151">
        <f t="shared" ca="1" si="1"/>
        <v>559797.60251725058</v>
      </c>
      <c r="D55" s="151">
        <f ca="1">IF(ISNA(MATCH($A55,Months,0))=TRUE,0,OFFSET(CashFlow!$B$36,0,MATCH($A55,Months,0),1,1))</f>
        <v>0</v>
      </c>
      <c r="E55" s="152">
        <f t="shared" ca="1" si="2"/>
        <v>0</v>
      </c>
      <c r="F55" s="152">
        <f t="shared" ca="1" si="3"/>
        <v>0</v>
      </c>
      <c r="G55" s="152">
        <f t="shared" ca="1" si="0"/>
        <v>0</v>
      </c>
      <c r="H55" s="153">
        <f ca="1">IF(ROUND(SUM(C55:D55,-G55),0)=0,0,IF($B$6="Yes",SUM($D$9:D55),SUM(C55:D55,-G55)))</f>
        <v>559797.60251725058</v>
      </c>
      <c r="I55" s="154" t="str">
        <f ca="1">IF(E55&gt;0,MAX(I$9:I54)+1,"-")</f>
        <v>-</v>
      </c>
    </row>
    <row r="56" spans="1:9" ht="16.149999999999999" customHeight="1" x14ac:dyDescent="0.25">
      <c r="A56" s="135">
        <f t="shared" ca="1" si="4"/>
        <v>44584</v>
      </c>
      <c r="B56" s="150">
        <f ca="1">IF(AND(B55&gt;A55,B55&lt;=A56),B55,DATE(YEAR(A56),MONTH(A56),IF(AND(MONTH(A56)=2,Assumptions!$D$79&gt;28),28,Assumptions!$D$79)))</f>
        <v>44591</v>
      </c>
      <c r="C56" s="151">
        <f t="shared" ca="1" si="1"/>
        <v>559797.60251725058</v>
      </c>
      <c r="D56" s="151">
        <f ca="1">IF(ISNA(MATCH($A56,Months,0))=TRUE,0,OFFSET(CashFlow!$B$36,0,MATCH($A56,Months,0),1,1))</f>
        <v>0</v>
      </c>
      <c r="E56" s="152">
        <f t="shared" ca="1" si="2"/>
        <v>0</v>
      </c>
      <c r="F56" s="152">
        <f t="shared" ca="1" si="3"/>
        <v>0</v>
      </c>
      <c r="G56" s="152">
        <f t="shared" ca="1" si="0"/>
        <v>0</v>
      </c>
      <c r="H56" s="153">
        <f ca="1">IF(ROUND(SUM(C56:D56,-G56),0)=0,0,IF($B$6="Yes",SUM($D$9:D56),SUM(C56:D56,-G56)))</f>
        <v>559797.60251725058</v>
      </c>
      <c r="I56" s="154" t="str">
        <f ca="1">IF(E56&gt;0,MAX(I$9:I55)+1,"-")</f>
        <v>-</v>
      </c>
    </row>
    <row r="57" spans="1:9" ht="16.149999999999999" customHeight="1" x14ac:dyDescent="0.25">
      <c r="A57" s="135">
        <f t="shared" ca="1" si="4"/>
        <v>44591</v>
      </c>
      <c r="B57" s="150">
        <f ca="1">IF(AND(B56&gt;A56,B56&lt;=A57),B56,DATE(YEAR(A57),MONTH(A57),IF(AND(MONTH(A57)=2,Assumptions!$D$79&gt;28),28,Assumptions!$D$79)))</f>
        <v>44591</v>
      </c>
      <c r="C57" s="151">
        <f t="shared" ca="1" si="1"/>
        <v>559797.60251725058</v>
      </c>
      <c r="D57" s="151">
        <f ca="1">IF(ISNA(MATCH($A57,Months,0))=TRUE,0,OFFSET(CashFlow!$B$36,0,MATCH($A57,Months,0),1,1))</f>
        <v>0</v>
      </c>
      <c r="E57" s="152">
        <f t="shared" ca="1" si="2"/>
        <v>8868.1320962560239</v>
      </c>
      <c r="F57" s="152">
        <f t="shared" ca="1" si="3"/>
        <v>4315.1065194038065</v>
      </c>
      <c r="G57" s="152">
        <f t="shared" ca="1" si="0"/>
        <v>4553.0255768522175</v>
      </c>
      <c r="H57" s="153">
        <f ca="1">IF(ROUND(SUM(C57:D57,-G57),0)=0,0,IF($B$6="Yes",SUM($D$9:D57),SUM(C57:D57,-G57)))</f>
        <v>555244.57694039831</v>
      </c>
      <c r="I57" s="154">
        <f ca="1">IF(E57&gt;0,MAX(I$9:I56)+1,"-")</f>
        <v>11</v>
      </c>
    </row>
    <row r="58" spans="1:9" ht="16.149999999999999" customHeight="1" x14ac:dyDescent="0.25">
      <c r="A58" s="135">
        <f t="shared" ca="1" si="4"/>
        <v>44598</v>
      </c>
      <c r="B58" s="150">
        <f ca="1">IF(AND(B57&gt;A57,B57&lt;=A58),B57,DATE(YEAR(A58),MONTH(A58),IF(AND(MONTH(A58)=2,Assumptions!$D$79&gt;28),28,Assumptions!$D$79)))</f>
        <v>44620</v>
      </c>
      <c r="C58" s="151">
        <f t="shared" ca="1" si="1"/>
        <v>555244.57694039831</v>
      </c>
      <c r="D58" s="151">
        <f ca="1">IF(ISNA(MATCH($A58,Months,0))=TRUE,0,OFFSET(CashFlow!$B$36,0,MATCH($A58,Months,0),1,1))</f>
        <v>0</v>
      </c>
      <c r="E58" s="152">
        <f t="shared" ca="1" si="2"/>
        <v>0</v>
      </c>
      <c r="F58" s="152">
        <f t="shared" ca="1" si="3"/>
        <v>0</v>
      </c>
      <c r="G58" s="152">
        <f t="shared" ca="1" si="0"/>
        <v>0</v>
      </c>
      <c r="H58" s="153">
        <f ca="1">IF(ROUND(SUM(C58:D58,-G58),0)=0,0,IF($B$6="Yes",SUM($D$9:D58),SUM(C58:D58,-G58)))</f>
        <v>555244.57694039831</v>
      </c>
      <c r="I58" s="154" t="str">
        <f ca="1">IF(E58&gt;0,MAX(I$9:I57)+1,"-")</f>
        <v>-</v>
      </c>
    </row>
    <row r="59" spans="1:9" ht="16.149999999999999" customHeight="1" x14ac:dyDescent="0.25">
      <c r="A59" s="135">
        <f t="shared" ca="1" si="4"/>
        <v>44605</v>
      </c>
      <c r="B59" s="150">
        <f ca="1">IF(AND(B58&gt;A58,B58&lt;=A59),B58,DATE(YEAR(A59),MONTH(A59),IF(AND(MONTH(A59)=2,Assumptions!$D$79&gt;28),28,Assumptions!$D$79)))</f>
        <v>44620</v>
      </c>
      <c r="C59" s="151">
        <f t="shared" ca="1" si="1"/>
        <v>555244.57694039831</v>
      </c>
      <c r="D59" s="151">
        <f ca="1">IF(ISNA(MATCH($A59,Months,0))=TRUE,0,OFFSET(CashFlow!$B$36,0,MATCH($A59,Months,0),1,1))</f>
        <v>0</v>
      </c>
      <c r="E59" s="152">
        <f t="shared" ca="1" si="2"/>
        <v>0</v>
      </c>
      <c r="F59" s="152">
        <f t="shared" ca="1" si="3"/>
        <v>0</v>
      </c>
      <c r="G59" s="152">
        <f t="shared" ca="1" si="0"/>
        <v>0</v>
      </c>
      <c r="H59" s="153">
        <f ca="1">IF(ROUND(SUM(C59:D59,-G59),0)=0,0,IF($B$6="Yes",SUM($D$9:D59),SUM(C59:D59,-G59)))</f>
        <v>555244.57694039831</v>
      </c>
      <c r="I59" s="154" t="str">
        <f ca="1">IF(E59&gt;0,MAX(I$9:I58)+1,"-")</f>
        <v>-</v>
      </c>
    </row>
    <row r="60" spans="1:9" ht="16.149999999999999" customHeight="1" x14ac:dyDescent="0.25">
      <c r="A60" s="135">
        <f t="shared" ca="1" si="4"/>
        <v>44612</v>
      </c>
      <c r="B60" s="150">
        <f ca="1">IF(AND(B59&gt;A59,B59&lt;=A60),B59,DATE(YEAR(A60),MONTH(A60),IF(AND(MONTH(A60)=2,Assumptions!$D$79&gt;28),28,Assumptions!$D$79)))</f>
        <v>44620</v>
      </c>
      <c r="C60" s="151">
        <f t="shared" ca="1" si="1"/>
        <v>555244.57694039831</v>
      </c>
      <c r="D60" s="151">
        <f ca="1">IF(ISNA(MATCH($A60,Months,0))=TRUE,0,OFFSET(CashFlow!$B$36,0,MATCH($A60,Months,0),1,1))</f>
        <v>0</v>
      </c>
      <c r="E60" s="152">
        <f t="shared" ca="1" si="2"/>
        <v>0</v>
      </c>
      <c r="F60" s="152">
        <f t="shared" ca="1" si="3"/>
        <v>0</v>
      </c>
      <c r="G60" s="152">
        <f t="shared" ca="1" si="0"/>
        <v>0</v>
      </c>
      <c r="H60" s="153">
        <f ca="1">IF(ROUND(SUM(C60:D60,-G60),0)=0,0,IF($B$6="Yes",SUM($D$9:D60),SUM(C60:D60,-G60)))</f>
        <v>555244.57694039831</v>
      </c>
      <c r="I60" s="154" t="str">
        <f ca="1">IF(E60&gt;0,MAX(I$9:I59)+1,"-")</f>
        <v>-</v>
      </c>
    </row>
    <row r="61" spans="1:9" ht="16.149999999999999" customHeight="1" x14ac:dyDescent="0.25">
      <c r="A61" s="135">
        <f t="shared" ca="1" si="4"/>
        <v>44619</v>
      </c>
      <c r="B61" s="150">
        <f ca="1">IF(AND(B60&gt;A60,B60&lt;=A61),B60,DATE(YEAR(A61),MONTH(A61),IF(AND(MONTH(A61)=2,Assumptions!$D$79&gt;28),28,Assumptions!$D$79)))</f>
        <v>44620</v>
      </c>
      <c r="C61" s="151">
        <f t="shared" ca="1" si="1"/>
        <v>555244.57694039831</v>
      </c>
      <c r="D61" s="151">
        <f ca="1">IF(ISNA(MATCH($A61,Months,0))=TRUE,0,OFFSET(CashFlow!$B$36,0,MATCH($A61,Months,0),1,1))</f>
        <v>0</v>
      </c>
      <c r="E61" s="152">
        <f t="shared" ca="1" si="2"/>
        <v>0</v>
      </c>
      <c r="F61" s="152">
        <f t="shared" ca="1" si="3"/>
        <v>0</v>
      </c>
      <c r="G61" s="152">
        <f t="shared" ca="1" si="0"/>
        <v>0</v>
      </c>
      <c r="H61" s="153">
        <f ca="1">IF(ROUND(SUM(C61:D61,-G61),0)=0,0,IF($B$6="Yes",SUM($D$9:D61),SUM(C61:D61,-G61)))</f>
        <v>555244.57694039831</v>
      </c>
      <c r="I61" s="154" t="str">
        <f ca="1">IF(E61&gt;0,MAX(I$9:I60)+1,"-")</f>
        <v>-</v>
      </c>
    </row>
    <row r="62" spans="1:9" ht="16.149999999999999" customHeight="1" x14ac:dyDescent="0.25">
      <c r="C62" s="151"/>
      <c r="D62" s="151"/>
      <c r="E62" s="152"/>
      <c r="F62" s="152"/>
      <c r="G62" s="152"/>
      <c r="H62" s="153"/>
    </row>
    <row r="63" spans="1:9" ht="16.149999999999999" customHeight="1" x14ac:dyDescent="0.25">
      <c r="C63" s="151"/>
      <c r="D63" s="151"/>
      <c r="E63" s="152"/>
      <c r="F63" s="152"/>
      <c r="G63" s="152"/>
      <c r="H63" s="153"/>
    </row>
    <row r="64" spans="1:9" ht="16.149999999999999" customHeight="1" x14ac:dyDescent="0.25">
      <c r="C64" s="151"/>
      <c r="D64" s="151"/>
      <c r="E64" s="152"/>
      <c r="F64" s="152"/>
      <c r="G64" s="152"/>
      <c r="H64" s="153"/>
    </row>
    <row r="65" spans="3:8" ht="16.149999999999999" customHeight="1" x14ac:dyDescent="0.25">
      <c r="C65" s="151"/>
      <c r="D65" s="151"/>
      <c r="E65" s="152"/>
      <c r="F65" s="152"/>
      <c r="G65" s="152"/>
      <c r="H65" s="153"/>
    </row>
    <row r="66" spans="3:8" ht="16.149999999999999" customHeight="1" x14ac:dyDescent="0.25">
      <c r="C66" s="151"/>
      <c r="D66" s="151"/>
      <c r="E66" s="152"/>
      <c r="F66" s="152"/>
      <c r="G66" s="152"/>
      <c r="H66" s="153"/>
    </row>
    <row r="67" spans="3:8" ht="16.149999999999999" customHeight="1" x14ac:dyDescent="0.25">
      <c r="C67" s="151"/>
      <c r="D67" s="151"/>
      <c r="E67" s="152"/>
      <c r="F67" s="152"/>
      <c r="G67" s="152"/>
      <c r="H67" s="153"/>
    </row>
    <row r="68" spans="3:8" ht="16.149999999999999" customHeight="1" x14ac:dyDescent="0.25">
      <c r="C68" s="151"/>
      <c r="D68" s="151"/>
      <c r="E68" s="152"/>
      <c r="F68" s="152"/>
      <c r="G68" s="152"/>
      <c r="H68" s="153"/>
    </row>
    <row r="69" spans="3:8" ht="16.149999999999999" customHeight="1" x14ac:dyDescent="0.25">
      <c r="C69" s="151"/>
      <c r="D69" s="151"/>
      <c r="E69" s="152"/>
      <c r="F69" s="152"/>
      <c r="G69" s="152"/>
      <c r="H69" s="153"/>
    </row>
    <row r="70" spans="3:8" ht="16.149999999999999" customHeight="1" x14ac:dyDescent="0.25">
      <c r="C70" s="151"/>
      <c r="D70" s="151"/>
      <c r="E70" s="152"/>
      <c r="F70" s="152"/>
      <c r="G70" s="152"/>
      <c r="H70" s="153"/>
    </row>
    <row r="71" spans="3:8" ht="16.149999999999999" customHeight="1" x14ac:dyDescent="0.25">
      <c r="C71" s="151"/>
      <c r="D71" s="151"/>
      <c r="E71" s="152"/>
      <c r="F71" s="152"/>
      <c r="G71" s="152"/>
      <c r="H71" s="153"/>
    </row>
    <row r="72" spans="3:8" ht="16.149999999999999" customHeight="1" x14ac:dyDescent="0.25">
      <c r="C72" s="151"/>
      <c r="D72" s="151"/>
      <c r="E72" s="152"/>
      <c r="F72" s="152"/>
      <c r="G72" s="152"/>
      <c r="H72" s="153"/>
    </row>
    <row r="73" spans="3:8" ht="16.149999999999999" customHeight="1" x14ac:dyDescent="0.25">
      <c r="C73" s="151"/>
      <c r="D73" s="151"/>
      <c r="E73" s="152"/>
      <c r="F73" s="152"/>
      <c r="G73" s="152"/>
      <c r="H73" s="153"/>
    </row>
    <row r="74" spans="3:8" ht="16.149999999999999" customHeight="1" x14ac:dyDescent="0.25">
      <c r="C74" s="151"/>
      <c r="D74" s="151"/>
      <c r="E74" s="152"/>
      <c r="F74" s="152"/>
      <c r="G74" s="152"/>
      <c r="H74" s="153"/>
    </row>
    <row r="75" spans="3:8" ht="16.149999999999999" customHeight="1" x14ac:dyDescent="0.25">
      <c r="C75" s="151"/>
      <c r="D75" s="151"/>
      <c r="E75" s="152"/>
      <c r="F75" s="152"/>
      <c r="G75" s="152"/>
      <c r="H75" s="153"/>
    </row>
    <row r="76" spans="3:8" ht="16.149999999999999" customHeight="1" x14ac:dyDescent="0.25">
      <c r="C76" s="151"/>
      <c r="D76" s="151"/>
      <c r="E76" s="152"/>
      <c r="F76" s="152"/>
      <c r="G76" s="152"/>
      <c r="H76" s="153"/>
    </row>
    <row r="77" spans="3:8" ht="16.149999999999999" customHeight="1" x14ac:dyDescent="0.25">
      <c r="C77" s="151"/>
      <c r="D77" s="151"/>
      <c r="E77" s="152"/>
      <c r="F77" s="152"/>
      <c r="G77" s="152"/>
      <c r="H77" s="153"/>
    </row>
    <row r="78" spans="3:8" ht="16.149999999999999" customHeight="1" x14ac:dyDescent="0.25">
      <c r="C78" s="151"/>
      <c r="D78" s="151"/>
      <c r="E78" s="152"/>
      <c r="F78" s="152"/>
      <c r="G78" s="152"/>
      <c r="H78" s="153"/>
    </row>
    <row r="79" spans="3:8" ht="16.149999999999999" customHeight="1" x14ac:dyDescent="0.25">
      <c r="C79" s="151"/>
      <c r="D79" s="151"/>
      <c r="E79" s="152"/>
      <c r="F79" s="152"/>
      <c r="G79" s="152"/>
      <c r="H79" s="153"/>
    </row>
    <row r="80" spans="3:8" ht="16.149999999999999" customHeight="1" x14ac:dyDescent="0.25">
      <c r="C80" s="151"/>
      <c r="D80" s="151"/>
      <c r="E80" s="152"/>
      <c r="F80" s="152"/>
      <c r="G80" s="152"/>
      <c r="H80" s="153"/>
    </row>
    <row r="81" spans="3:8" ht="16.149999999999999" customHeight="1" x14ac:dyDescent="0.25">
      <c r="C81" s="151"/>
      <c r="D81" s="151"/>
      <c r="E81" s="152"/>
      <c r="F81" s="152"/>
      <c r="G81" s="152"/>
      <c r="H81" s="153"/>
    </row>
    <row r="82" spans="3:8" ht="16.149999999999999" customHeight="1" x14ac:dyDescent="0.25">
      <c r="C82" s="151"/>
      <c r="D82" s="151"/>
      <c r="E82" s="152"/>
      <c r="F82" s="152"/>
      <c r="G82" s="152"/>
      <c r="H82" s="153"/>
    </row>
    <row r="83" spans="3:8" ht="16.149999999999999" customHeight="1" x14ac:dyDescent="0.25">
      <c r="C83" s="151"/>
      <c r="D83" s="151"/>
      <c r="E83" s="152"/>
      <c r="F83" s="152"/>
      <c r="G83" s="152"/>
      <c r="H83" s="153"/>
    </row>
    <row r="84" spans="3:8" ht="16.149999999999999" customHeight="1" x14ac:dyDescent="0.25">
      <c r="C84" s="151"/>
      <c r="D84" s="151"/>
      <c r="E84" s="152"/>
      <c r="F84" s="152"/>
      <c r="G84" s="152"/>
      <c r="H84" s="153"/>
    </row>
    <row r="85" spans="3:8" ht="16.149999999999999" customHeight="1" x14ac:dyDescent="0.25">
      <c r="C85" s="151"/>
      <c r="D85" s="151"/>
      <c r="E85" s="152"/>
      <c r="F85" s="152"/>
      <c r="G85" s="152"/>
      <c r="H85" s="153"/>
    </row>
    <row r="86" spans="3:8" ht="16.149999999999999" customHeight="1" x14ac:dyDescent="0.25">
      <c r="C86" s="151"/>
      <c r="D86" s="151"/>
      <c r="E86" s="152"/>
      <c r="F86" s="152"/>
      <c r="G86" s="152"/>
      <c r="H86" s="153"/>
    </row>
    <row r="87" spans="3:8" ht="16.149999999999999" customHeight="1" x14ac:dyDescent="0.25">
      <c r="C87" s="151"/>
      <c r="D87" s="151"/>
      <c r="E87" s="152"/>
      <c r="F87" s="152"/>
      <c r="G87" s="152"/>
      <c r="H87" s="153"/>
    </row>
    <row r="88" spans="3:8" ht="16.149999999999999" customHeight="1" x14ac:dyDescent="0.25">
      <c r="C88" s="151"/>
      <c r="D88" s="151"/>
      <c r="E88" s="152"/>
      <c r="F88" s="152"/>
      <c r="G88" s="152"/>
      <c r="H88" s="153"/>
    </row>
    <row r="89" spans="3:8" ht="16.149999999999999" customHeight="1" x14ac:dyDescent="0.25">
      <c r="C89" s="151"/>
      <c r="D89" s="151"/>
      <c r="E89" s="152"/>
      <c r="F89" s="152"/>
      <c r="G89" s="152"/>
      <c r="H89" s="153"/>
    </row>
    <row r="90" spans="3:8" ht="16.149999999999999" customHeight="1" x14ac:dyDescent="0.25">
      <c r="C90" s="151"/>
      <c r="D90" s="151"/>
      <c r="E90" s="152"/>
      <c r="F90" s="152"/>
      <c r="G90" s="152"/>
      <c r="H90" s="153"/>
    </row>
    <row r="91" spans="3:8" ht="16.149999999999999" customHeight="1" x14ac:dyDescent="0.25">
      <c r="C91" s="151"/>
      <c r="D91" s="151"/>
      <c r="E91" s="152"/>
      <c r="F91" s="152"/>
      <c r="G91" s="152"/>
      <c r="H91" s="153"/>
    </row>
    <row r="92" spans="3:8" ht="16.149999999999999" customHeight="1" x14ac:dyDescent="0.25">
      <c r="C92" s="151"/>
      <c r="D92" s="151"/>
      <c r="E92" s="152"/>
      <c r="F92" s="152"/>
      <c r="G92" s="152"/>
      <c r="H92" s="153"/>
    </row>
    <row r="93" spans="3:8" ht="16.149999999999999" customHeight="1" x14ac:dyDescent="0.25">
      <c r="C93" s="151"/>
      <c r="D93" s="151"/>
      <c r="E93" s="152"/>
      <c r="F93" s="152"/>
      <c r="G93" s="152"/>
      <c r="H93" s="153"/>
    </row>
    <row r="94" spans="3:8" ht="16.149999999999999" customHeight="1" x14ac:dyDescent="0.25">
      <c r="C94" s="151"/>
      <c r="D94" s="151"/>
      <c r="E94" s="152"/>
      <c r="F94" s="152"/>
      <c r="G94" s="152"/>
      <c r="H94" s="153"/>
    </row>
    <row r="95" spans="3:8" ht="16.149999999999999" customHeight="1" x14ac:dyDescent="0.25">
      <c r="C95" s="151"/>
      <c r="D95" s="151"/>
      <c r="E95" s="152"/>
      <c r="F95" s="152"/>
      <c r="G95" s="152"/>
      <c r="H95" s="153"/>
    </row>
    <row r="96" spans="3:8" ht="16.149999999999999" customHeight="1" x14ac:dyDescent="0.25">
      <c r="C96" s="151"/>
      <c r="D96" s="151"/>
      <c r="E96" s="152"/>
      <c r="F96" s="152"/>
      <c r="G96" s="152"/>
      <c r="H96" s="153"/>
    </row>
    <row r="97" spans="3:8" ht="16.149999999999999" customHeight="1" x14ac:dyDescent="0.25">
      <c r="C97" s="151"/>
      <c r="D97" s="151"/>
      <c r="E97" s="152"/>
      <c r="F97" s="152"/>
      <c r="G97" s="152"/>
      <c r="H97" s="153"/>
    </row>
    <row r="98" spans="3:8" ht="16.149999999999999" customHeight="1" x14ac:dyDescent="0.25">
      <c r="C98" s="151"/>
      <c r="D98" s="151"/>
      <c r="E98" s="152"/>
      <c r="F98" s="152"/>
      <c r="G98" s="152"/>
      <c r="H98" s="153"/>
    </row>
    <row r="99" spans="3:8" ht="16.149999999999999" customHeight="1" x14ac:dyDescent="0.25">
      <c r="C99" s="151"/>
      <c r="D99" s="151"/>
      <c r="E99" s="152"/>
      <c r="F99" s="152"/>
      <c r="G99" s="152"/>
      <c r="H99" s="153"/>
    </row>
    <row r="100" spans="3:8" ht="16.149999999999999" customHeight="1" x14ac:dyDescent="0.25">
      <c r="C100" s="151"/>
      <c r="D100" s="151"/>
      <c r="E100" s="152"/>
      <c r="F100" s="152"/>
      <c r="G100" s="152"/>
      <c r="H100" s="153"/>
    </row>
    <row r="101" spans="3:8" ht="16.149999999999999" customHeight="1" x14ac:dyDescent="0.25">
      <c r="C101" s="151"/>
      <c r="D101" s="151"/>
      <c r="E101" s="152"/>
      <c r="F101" s="152"/>
      <c r="G101" s="152"/>
      <c r="H101" s="153"/>
    </row>
    <row r="102" spans="3:8" ht="16.149999999999999" customHeight="1" x14ac:dyDescent="0.25">
      <c r="C102" s="151"/>
      <c r="D102" s="151"/>
      <c r="E102" s="152"/>
      <c r="F102" s="152"/>
      <c r="G102" s="152"/>
      <c r="H102" s="153"/>
    </row>
    <row r="103" spans="3:8" ht="16.149999999999999" customHeight="1" x14ac:dyDescent="0.25">
      <c r="C103" s="151"/>
      <c r="D103" s="151"/>
      <c r="E103" s="152"/>
      <c r="F103" s="152"/>
      <c r="G103" s="152"/>
      <c r="H103" s="153"/>
    </row>
    <row r="104" spans="3:8" ht="16.149999999999999" customHeight="1" x14ac:dyDescent="0.25">
      <c r="C104" s="151"/>
      <c r="D104" s="151"/>
      <c r="E104" s="152"/>
      <c r="F104" s="152"/>
      <c r="G104" s="152"/>
      <c r="H104" s="153"/>
    </row>
    <row r="105" spans="3:8" ht="16.149999999999999" customHeight="1" x14ac:dyDescent="0.25">
      <c r="C105" s="151"/>
      <c r="D105" s="151"/>
      <c r="E105" s="152"/>
      <c r="F105" s="152"/>
      <c r="G105" s="152"/>
      <c r="H105" s="153"/>
    </row>
    <row r="106" spans="3:8" ht="16.149999999999999" customHeight="1" x14ac:dyDescent="0.25">
      <c r="C106" s="151"/>
      <c r="D106" s="151"/>
      <c r="E106" s="152"/>
      <c r="F106" s="152"/>
      <c r="G106" s="152"/>
      <c r="H106" s="153"/>
    </row>
    <row r="107" spans="3:8" ht="16.149999999999999" customHeight="1" x14ac:dyDescent="0.25">
      <c r="C107" s="151"/>
      <c r="D107" s="151"/>
      <c r="E107" s="152"/>
      <c r="F107" s="152"/>
      <c r="G107" s="152"/>
      <c r="H107" s="153"/>
    </row>
    <row r="108" spans="3:8" ht="16.149999999999999" customHeight="1" x14ac:dyDescent="0.25">
      <c r="C108" s="151"/>
      <c r="D108" s="151"/>
      <c r="E108" s="152"/>
      <c r="F108" s="152"/>
      <c r="G108" s="152"/>
      <c r="H108" s="153"/>
    </row>
    <row r="109" spans="3:8" ht="16.149999999999999" customHeight="1" x14ac:dyDescent="0.25">
      <c r="C109" s="151"/>
      <c r="D109" s="151"/>
      <c r="E109" s="152"/>
      <c r="F109" s="152"/>
      <c r="G109" s="152"/>
      <c r="H109" s="153"/>
    </row>
    <row r="110" spans="3:8" ht="16.149999999999999" customHeight="1" x14ac:dyDescent="0.25">
      <c r="C110" s="151"/>
      <c r="D110" s="151"/>
      <c r="E110" s="152"/>
      <c r="F110" s="152"/>
      <c r="G110" s="152"/>
      <c r="H110" s="153"/>
    </row>
    <row r="111" spans="3:8" ht="16.149999999999999" customHeight="1" x14ac:dyDescent="0.25">
      <c r="C111" s="151"/>
      <c r="D111" s="151"/>
      <c r="E111" s="152"/>
      <c r="F111" s="152"/>
      <c r="G111" s="152"/>
      <c r="H111" s="153"/>
    </row>
    <row r="112" spans="3:8" ht="16.149999999999999" customHeight="1" x14ac:dyDescent="0.25">
      <c r="C112" s="151"/>
      <c r="D112" s="151"/>
      <c r="E112" s="152"/>
      <c r="F112" s="152"/>
      <c r="G112" s="152"/>
      <c r="H112" s="153"/>
    </row>
    <row r="113" spans="3:8" ht="16.149999999999999" customHeight="1" x14ac:dyDescent="0.25">
      <c r="C113" s="151"/>
      <c r="D113" s="151"/>
      <c r="E113" s="152"/>
      <c r="F113" s="152"/>
      <c r="G113" s="152"/>
      <c r="H113" s="153"/>
    </row>
    <row r="114" spans="3:8" ht="16.149999999999999" customHeight="1" x14ac:dyDescent="0.25">
      <c r="C114" s="151"/>
      <c r="D114" s="151"/>
      <c r="E114" s="152"/>
      <c r="F114" s="152"/>
      <c r="G114" s="152"/>
      <c r="H114" s="153"/>
    </row>
    <row r="115" spans="3:8" ht="16.149999999999999" customHeight="1" x14ac:dyDescent="0.25">
      <c r="C115" s="151"/>
      <c r="D115" s="151"/>
      <c r="E115" s="152"/>
      <c r="F115" s="152"/>
      <c r="G115" s="152"/>
      <c r="H115" s="153"/>
    </row>
    <row r="116" spans="3:8" ht="16.149999999999999" customHeight="1" x14ac:dyDescent="0.25">
      <c r="C116" s="151"/>
      <c r="D116" s="151"/>
      <c r="E116" s="152"/>
      <c r="F116" s="152"/>
      <c r="G116" s="152"/>
      <c r="H116" s="153"/>
    </row>
    <row r="117" spans="3:8" ht="16.149999999999999" customHeight="1" x14ac:dyDescent="0.25">
      <c r="C117" s="151"/>
      <c r="D117" s="151"/>
      <c r="E117" s="152"/>
      <c r="F117" s="152"/>
      <c r="G117" s="152"/>
      <c r="H117" s="153"/>
    </row>
    <row r="118" spans="3:8" ht="16.149999999999999" customHeight="1" x14ac:dyDescent="0.25">
      <c r="C118" s="151"/>
      <c r="D118" s="151"/>
      <c r="E118" s="152"/>
      <c r="F118" s="152"/>
      <c r="G118" s="152"/>
      <c r="H118" s="153"/>
    </row>
    <row r="119" spans="3:8" ht="16.149999999999999" customHeight="1" x14ac:dyDescent="0.25">
      <c r="C119" s="151"/>
      <c r="D119" s="151"/>
      <c r="E119" s="152"/>
      <c r="F119" s="152"/>
      <c r="G119" s="152"/>
      <c r="H119" s="153"/>
    </row>
    <row r="120" spans="3:8" ht="16.149999999999999" customHeight="1" x14ac:dyDescent="0.25">
      <c r="C120" s="151"/>
      <c r="D120" s="151"/>
      <c r="E120" s="152"/>
      <c r="F120" s="152"/>
      <c r="G120" s="152"/>
      <c r="H120" s="153"/>
    </row>
    <row r="121" spans="3:8" ht="16.149999999999999" customHeight="1" x14ac:dyDescent="0.25">
      <c r="C121" s="151"/>
      <c r="D121" s="151"/>
      <c r="E121" s="152"/>
      <c r="F121" s="152"/>
      <c r="G121" s="152"/>
      <c r="H121" s="153"/>
    </row>
    <row r="122" spans="3:8" ht="16.149999999999999" customHeight="1" x14ac:dyDescent="0.25">
      <c r="C122" s="151"/>
      <c r="D122" s="151"/>
      <c r="E122" s="152"/>
      <c r="F122" s="152"/>
      <c r="G122" s="152"/>
      <c r="H122" s="153"/>
    </row>
    <row r="123" spans="3:8" ht="16.149999999999999" customHeight="1" x14ac:dyDescent="0.25">
      <c r="C123" s="151"/>
      <c r="D123" s="151"/>
      <c r="E123" s="152"/>
      <c r="F123" s="152"/>
      <c r="G123" s="152"/>
      <c r="H123" s="153"/>
    </row>
    <row r="124" spans="3:8" ht="16.149999999999999" customHeight="1" x14ac:dyDescent="0.25">
      <c r="C124" s="151"/>
      <c r="D124" s="151"/>
      <c r="E124" s="152"/>
      <c r="F124" s="152"/>
      <c r="G124" s="152"/>
      <c r="H124" s="153"/>
    </row>
    <row r="125" spans="3:8" ht="16.149999999999999" customHeight="1" x14ac:dyDescent="0.25">
      <c r="C125" s="151"/>
      <c r="D125" s="151"/>
      <c r="E125" s="152"/>
      <c r="F125" s="152"/>
      <c r="G125" s="152"/>
      <c r="H125" s="153"/>
    </row>
    <row r="126" spans="3:8" ht="16.149999999999999" customHeight="1" x14ac:dyDescent="0.25">
      <c r="C126" s="151"/>
      <c r="D126" s="151"/>
      <c r="E126" s="152"/>
      <c r="F126" s="152"/>
      <c r="G126" s="152"/>
      <c r="H126" s="153"/>
    </row>
    <row r="127" spans="3:8" ht="16.149999999999999" customHeight="1" x14ac:dyDescent="0.25">
      <c r="C127" s="151"/>
      <c r="D127" s="151"/>
      <c r="E127" s="152"/>
      <c r="F127" s="152"/>
      <c r="G127" s="152"/>
      <c r="H127" s="153"/>
    </row>
    <row r="128" spans="3:8" ht="16.149999999999999" customHeight="1" x14ac:dyDescent="0.25">
      <c r="C128" s="151"/>
      <c r="D128" s="151"/>
      <c r="E128" s="152"/>
      <c r="F128" s="152"/>
      <c r="G128" s="152"/>
      <c r="H128" s="153"/>
    </row>
    <row r="129" spans="3:8" ht="16.149999999999999" customHeight="1" x14ac:dyDescent="0.25">
      <c r="C129" s="151"/>
      <c r="D129" s="151"/>
      <c r="E129" s="152"/>
      <c r="F129" s="152"/>
      <c r="G129" s="152"/>
      <c r="H129" s="153"/>
    </row>
    <row r="130" spans="3:8" ht="16.149999999999999" customHeight="1" x14ac:dyDescent="0.25">
      <c r="C130" s="151"/>
      <c r="D130" s="151"/>
      <c r="E130" s="152"/>
      <c r="F130" s="152"/>
      <c r="G130" s="152"/>
      <c r="H130" s="153"/>
    </row>
    <row r="131" spans="3:8" ht="16.149999999999999" customHeight="1" x14ac:dyDescent="0.25">
      <c r="C131" s="151"/>
      <c r="D131" s="151"/>
      <c r="E131" s="152"/>
      <c r="F131" s="152"/>
      <c r="G131" s="152"/>
      <c r="H131" s="153"/>
    </row>
    <row r="132" spans="3:8" ht="16.149999999999999" customHeight="1" x14ac:dyDescent="0.25">
      <c r="C132" s="151"/>
      <c r="D132" s="151"/>
      <c r="E132" s="152"/>
      <c r="F132" s="152"/>
      <c r="G132" s="152"/>
      <c r="H132" s="153"/>
    </row>
    <row r="133" spans="3:8" ht="16.149999999999999" customHeight="1" x14ac:dyDescent="0.25">
      <c r="C133" s="151"/>
      <c r="D133" s="151"/>
      <c r="E133" s="152"/>
      <c r="F133" s="152"/>
      <c r="G133" s="152"/>
      <c r="H133" s="153"/>
    </row>
    <row r="134" spans="3:8" ht="16.149999999999999" customHeight="1" x14ac:dyDescent="0.25">
      <c r="C134" s="151"/>
      <c r="D134" s="151"/>
      <c r="E134" s="152"/>
      <c r="F134" s="152"/>
      <c r="G134" s="152"/>
      <c r="H134" s="153"/>
    </row>
    <row r="135" spans="3:8" ht="16.149999999999999" customHeight="1" x14ac:dyDescent="0.25">
      <c r="C135" s="151"/>
      <c r="D135" s="151"/>
      <c r="E135" s="152"/>
      <c r="F135" s="152"/>
      <c r="G135" s="152"/>
      <c r="H135" s="153"/>
    </row>
    <row r="136" spans="3:8" ht="16.149999999999999" customHeight="1" x14ac:dyDescent="0.25">
      <c r="C136" s="151"/>
      <c r="D136" s="151"/>
      <c r="E136" s="152"/>
      <c r="F136" s="152"/>
      <c r="G136" s="152"/>
      <c r="H136" s="153"/>
    </row>
    <row r="137" spans="3:8" ht="16.149999999999999" customHeight="1" x14ac:dyDescent="0.25">
      <c r="C137" s="151"/>
      <c r="D137" s="151"/>
      <c r="E137" s="152"/>
      <c r="F137" s="152"/>
      <c r="G137" s="152"/>
      <c r="H137" s="153"/>
    </row>
    <row r="138" spans="3:8" ht="16.149999999999999" customHeight="1" x14ac:dyDescent="0.25">
      <c r="C138" s="151"/>
      <c r="D138" s="151"/>
      <c r="E138" s="152"/>
      <c r="F138" s="152"/>
      <c r="G138" s="152"/>
      <c r="H138" s="153"/>
    </row>
    <row r="139" spans="3:8" ht="16.149999999999999" customHeight="1" x14ac:dyDescent="0.25">
      <c r="C139" s="151"/>
      <c r="D139" s="151"/>
      <c r="E139" s="152"/>
      <c r="F139" s="152"/>
      <c r="G139" s="152"/>
      <c r="H139" s="153"/>
    </row>
    <row r="140" spans="3:8" ht="16.149999999999999" customHeight="1" x14ac:dyDescent="0.25">
      <c r="C140" s="151"/>
      <c r="D140" s="151"/>
      <c r="E140" s="152"/>
      <c r="F140" s="152"/>
      <c r="G140" s="152"/>
      <c r="H140" s="153"/>
    </row>
    <row r="141" spans="3:8" ht="16.149999999999999" customHeight="1" x14ac:dyDescent="0.25">
      <c r="C141" s="151"/>
      <c r="D141" s="151"/>
      <c r="E141" s="152"/>
      <c r="F141" s="152"/>
      <c r="G141" s="152"/>
      <c r="H141" s="153"/>
    </row>
    <row r="142" spans="3:8" ht="16.149999999999999" customHeight="1" x14ac:dyDescent="0.25">
      <c r="C142" s="151"/>
      <c r="D142" s="151"/>
      <c r="E142" s="152"/>
      <c r="F142" s="152"/>
      <c r="G142" s="152"/>
      <c r="H142" s="153"/>
    </row>
    <row r="143" spans="3:8" ht="16.149999999999999" customHeight="1" x14ac:dyDescent="0.25">
      <c r="C143" s="151"/>
      <c r="D143" s="151"/>
      <c r="E143" s="152"/>
      <c r="F143" s="152"/>
      <c r="G143" s="152"/>
      <c r="H143" s="153"/>
    </row>
    <row r="144" spans="3:8" ht="16.149999999999999" customHeight="1" x14ac:dyDescent="0.25">
      <c r="C144" s="151"/>
      <c r="D144" s="151"/>
      <c r="E144" s="152"/>
      <c r="F144" s="152"/>
      <c r="G144" s="152"/>
      <c r="H144" s="153"/>
    </row>
    <row r="145" spans="3:8" ht="16.149999999999999" customHeight="1" x14ac:dyDescent="0.25">
      <c r="C145" s="151"/>
      <c r="D145" s="151"/>
      <c r="E145" s="152"/>
      <c r="F145" s="152"/>
      <c r="G145" s="152"/>
      <c r="H145" s="153"/>
    </row>
    <row r="146" spans="3:8" ht="16.149999999999999" customHeight="1" x14ac:dyDescent="0.25">
      <c r="C146" s="151"/>
      <c r="D146" s="151"/>
      <c r="E146" s="152"/>
      <c r="F146" s="152"/>
      <c r="G146" s="152"/>
      <c r="H146" s="153"/>
    </row>
    <row r="147" spans="3:8" ht="16.149999999999999" customHeight="1" x14ac:dyDescent="0.25">
      <c r="C147" s="151"/>
      <c r="D147" s="151"/>
      <c r="E147" s="152"/>
      <c r="F147" s="152"/>
      <c r="G147" s="152"/>
      <c r="H147" s="153"/>
    </row>
    <row r="148" spans="3:8" ht="16.149999999999999" customHeight="1" x14ac:dyDescent="0.25">
      <c r="C148" s="151"/>
      <c r="D148" s="151"/>
      <c r="E148" s="152"/>
      <c r="F148" s="152"/>
      <c r="G148" s="152"/>
      <c r="H148" s="153"/>
    </row>
    <row r="149" spans="3:8" ht="16.149999999999999" customHeight="1" x14ac:dyDescent="0.25">
      <c r="C149" s="151"/>
      <c r="D149" s="151"/>
      <c r="E149" s="152"/>
      <c r="F149" s="152"/>
      <c r="G149" s="152"/>
      <c r="H149" s="153"/>
    </row>
    <row r="150" spans="3:8" ht="16.149999999999999" customHeight="1" x14ac:dyDescent="0.25">
      <c r="C150" s="151"/>
      <c r="D150" s="151"/>
      <c r="E150" s="152"/>
      <c r="F150" s="152"/>
      <c r="G150" s="152"/>
      <c r="H150" s="153"/>
    </row>
    <row r="151" spans="3:8" ht="16.149999999999999" customHeight="1" x14ac:dyDescent="0.25">
      <c r="C151" s="151"/>
      <c r="D151" s="151"/>
      <c r="E151" s="152"/>
      <c r="F151" s="152"/>
      <c r="G151" s="152"/>
      <c r="H151" s="153"/>
    </row>
    <row r="152" spans="3:8" ht="16.149999999999999" customHeight="1" x14ac:dyDescent="0.25">
      <c r="C152" s="151"/>
      <c r="D152" s="151"/>
      <c r="E152" s="152"/>
      <c r="F152" s="152"/>
      <c r="G152" s="152"/>
      <c r="H152" s="153"/>
    </row>
    <row r="153" spans="3:8" ht="16.149999999999999" customHeight="1" x14ac:dyDescent="0.25">
      <c r="C153" s="151"/>
      <c r="D153" s="151"/>
      <c r="E153" s="152"/>
      <c r="F153" s="152"/>
      <c r="G153" s="152"/>
      <c r="H153" s="153"/>
    </row>
    <row r="154" spans="3:8" ht="16.149999999999999" customHeight="1" x14ac:dyDescent="0.25">
      <c r="C154" s="151"/>
      <c r="D154" s="151"/>
      <c r="E154" s="152"/>
      <c r="F154" s="152"/>
      <c r="G154" s="152"/>
      <c r="H154" s="153"/>
    </row>
    <row r="155" spans="3:8" ht="16.149999999999999" customHeight="1" x14ac:dyDescent="0.25">
      <c r="C155" s="151"/>
      <c r="D155" s="151"/>
      <c r="E155" s="152"/>
      <c r="F155" s="152"/>
      <c r="G155" s="152"/>
      <c r="H155" s="153"/>
    </row>
    <row r="156" spans="3:8" ht="16.149999999999999" customHeight="1" x14ac:dyDescent="0.25">
      <c r="C156" s="151"/>
      <c r="D156" s="151"/>
      <c r="E156" s="152"/>
      <c r="F156" s="152"/>
      <c r="G156" s="152"/>
      <c r="H156" s="153"/>
    </row>
    <row r="157" spans="3:8" ht="16.149999999999999" customHeight="1" x14ac:dyDescent="0.25">
      <c r="C157" s="151"/>
      <c r="D157" s="151"/>
      <c r="E157" s="152"/>
      <c r="F157" s="152"/>
      <c r="G157" s="152"/>
      <c r="H157" s="153"/>
    </row>
    <row r="158" spans="3:8" ht="16.149999999999999" customHeight="1" x14ac:dyDescent="0.25">
      <c r="C158" s="151"/>
      <c r="D158" s="151"/>
      <c r="E158" s="152"/>
      <c r="F158" s="152"/>
      <c r="G158" s="152"/>
      <c r="H158" s="153"/>
    </row>
    <row r="159" spans="3:8" ht="16.149999999999999" customHeight="1" x14ac:dyDescent="0.25">
      <c r="C159" s="151"/>
      <c r="D159" s="151"/>
      <c r="E159" s="152"/>
      <c r="F159" s="152"/>
      <c r="G159" s="152"/>
      <c r="H159" s="153"/>
    </row>
    <row r="160" spans="3:8" ht="16.149999999999999" customHeight="1" x14ac:dyDescent="0.25">
      <c r="C160" s="151"/>
      <c r="D160" s="151"/>
      <c r="E160" s="152"/>
      <c r="F160" s="152"/>
      <c r="G160" s="152"/>
      <c r="H160" s="153"/>
    </row>
    <row r="161" spans="3:8" ht="16.149999999999999" customHeight="1" x14ac:dyDescent="0.25">
      <c r="C161" s="151"/>
      <c r="D161" s="151"/>
      <c r="E161" s="152"/>
      <c r="F161" s="152"/>
      <c r="G161" s="152"/>
      <c r="H161" s="153"/>
    </row>
    <row r="162" spans="3:8" ht="16.149999999999999" customHeight="1" x14ac:dyDescent="0.25">
      <c r="C162" s="151"/>
      <c r="D162" s="151"/>
      <c r="E162" s="152"/>
      <c r="F162" s="152"/>
      <c r="G162" s="152"/>
      <c r="H162" s="153"/>
    </row>
    <row r="163" spans="3:8" ht="16.149999999999999" customHeight="1" x14ac:dyDescent="0.25">
      <c r="C163" s="151"/>
      <c r="D163" s="151"/>
      <c r="E163" s="152"/>
      <c r="F163" s="152"/>
      <c r="G163" s="152"/>
      <c r="H163" s="153"/>
    </row>
    <row r="164" spans="3:8" ht="16.149999999999999" customHeight="1" x14ac:dyDescent="0.25">
      <c r="C164" s="151"/>
      <c r="D164" s="151"/>
      <c r="E164" s="152"/>
      <c r="F164" s="152"/>
      <c r="G164" s="152"/>
      <c r="H164" s="153"/>
    </row>
    <row r="165" spans="3:8" ht="16.149999999999999" customHeight="1" x14ac:dyDescent="0.25">
      <c r="C165" s="151"/>
      <c r="D165" s="151"/>
      <c r="E165" s="152"/>
      <c r="F165" s="152"/>
      <c r="G165" s="152"/>
      <c r="H165" s="153"/>
    </row>
  </sheetData>
  <printOptions horizontalCentered="1"/>
  <pageMargins left="0.59055118110236227" right="0.59055118110236227" top="0.59055118110236227" bottom="0.59055118110236227" header="0.39370078740157483" footer="0.39370078740157483"/>
  <pageSetup paperSize="9" scale="72" fitToHeight="0" orientation="portrait"/>
  <headerFooter alignWithMargins="0">
    <oddFooter>&amp;C&amp;9Page &amp;P of &amp;N</oddFooter>
  </headerFooter>
</worksheet>
</file>

<file path=customUI/customUI.xml><?xml version="1.0" encoding="utf-8"?>
<customUI xmlns="http://schemas.microsoft.com/office/2006/01/customui">
  <commands>
    <command idMso="FileSave" enabled="false"/>
    <command idMso="FileSaveAs" enabled="false"/>
    <command idMso="FileSaveAsMenu" enabled="false"/>
    <command idMso="FileSaveAsOtherFormats" enabled="false"/>
    <command idMso="FilePrintMenu" enabled="false"/>
    <command idMso="FilePrint" enabled="false"/>
    <command idMso="FilePrintQuick" enabled="false"/>
    <command idMso="FilePrintPreview" enabled="false"/>
    <command idMso="PageSetupPageDialog" enabled="false"/>
    <command idMso="FileSendMenu" enabled="false"/>
    <command idMso="ReviewSendForReview" enabled="false"/>
    <command idMso="SendCopySendNow" enabled="false"/>
    <command idMso="SendCopyToMailRecipient" enabled="false"/>
  </commands>
</customUI>
</file>

<file path=customUI/customUI14.xml><?xml version="1.0" encoding="utf-8"?>
<customUI xmlns="http://schemas.microsoft.com/office/2009/07/customui">
  <commands>
    <command idMso="FileSave" enabled="false"/>
    <command idMso="FileSaveAs" enabled="false"/>
    <command idMso="FileSaveAsMenu" enabled="false"/>
    <command idMso="FileSaveAsOtherFormats" enabled="false"/>
    <command idMso="FilePrintMenu" enabled="false"/>
    <command idMso="FilePrintQuick" enabled="false"/>
    <command idMso="FilePrintPreview" enabled="false"/>
    <command idMso="PrintPreviewAndPrint" enabled="false"/>
    <command idMso="GroupPrintPreviewPrint" enabled="false"/>
    <command idMso="FileSendMenu" enabled="false"/>
    <command idMso="ReviewSendForReview" enabled="false"/>
    <command idMso="SendCopySendNow" enabled="false"/>
    <command idMso="SendCopyToMailRecipient" enabled="false"/>
  </commands>
  <backstage>
    <tab idMso="TabShare" visible="false"/>
    <tab idMso="TabPrint" visible="false"/>
    <tab idMso="TabPublish" visible="false"/>
    <tab idMso="Publish2Tab" visible="false"/>
    <tab idMso="TabSave" visible="false"/>
  </backstage>
</customUI>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Info</vt:lpstr>
      <vt:lpstr>Pay</vt:lpstr>
      <vt:lpstr>BSMonths</vt:lpstr>
      <vt:lpstr>Months</vt:lpstr>
      <vt:lpstr>BalanceSheet!Print_Area</vt:lpstr>
      <vt:lpstr>CashFlow!Print_Area</vt:lpstr>
      <vt:lpstr>IncState!Print_Area</vt:lpstr>
      <vt:lpstr>Instructions!Print_Area</vt:lpstr>
      <vt:lpstr>Assumptions!Print_Titles</vt:lpstr>
      <vt:lpstr>BalanceSheet!Print_Titles</vt:lpstr>
      <vt:lpstr>CashFlow!Print_Titles</vt:lpstr>
      <vt:lpstr>IncState!Print_Titles</vt:lpstr>
      <vt:lpstr>Instructions!Print_Titles</vt:lpstr>
      <vt:lpstr>Leases!Print_Titles</vt:lpstr>
      <vt:lpstr>Loans1!Print_Titles</vt:lpstr>
      <vt:lpstr>Loans2!Print_Titles</vt:lpstr>
      <vt:lpstr>Loans3!Print_Titles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Weekly Cash Flow Forecast Template - Excel Skills</dc:title>
  <dc:subject>Cash Flow Forecast</dc:subject>
  <dc:creator>Excel Skills International</dc:creator>
  <cp:keywords>cash flow template, weekly</cp:keywords>
  <cp:lastModifiedBy>cloudconvert_15</cp:lastModifiedBy>
  <cp:lastPrinted>2020-09-25T13:10:09Z</cp:lastPrinted>
  <dcterms:created xsi:type="dcterms:W3CDTF">2009-07-26T08:36:26Z</dcterms:created>
  <dcterms:modified xsi:type="dcterms:W3CDTF">2024-01-30T16:21:54Z</dcterms:modified>
  <cp:category>Excel 2007+</cp:category>
  <cp:contentStatus>Version 2.0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9cbb4185-b378-45ac-bac2-367d62c82a3c</vt:lpwstr>
  </property>
</Properties>
</file>