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6c1e977707c243d3" Type="http://schemas.microsoft.com/office/2006/relationships/ui/extensibility" Target="customUI/customUI.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ff4def2a93d04f98" Type="http://schemas.microsoft.com/office/2007/relationships/ui/extensibility" Target="customUI/customUI14.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C:\Users\cloudconvert\server\files\tasks\ce1db881-2a91-428b-9ba6-71a11c83d71c\"/>
    </mc:Choice>
  </mc:AlternateContent>
  <xr:revisionPtr revIDLastSave="0" documentId="8_{5E64D5BA-1780-4260-93F5-DC0D533E991D}" xr6:coauthVersionLast="47" xr6:coauthVersionMax="47" xr10:uidLastSave="{00000000-0000-0000-0000-000000000000}"/>
  <bookViews>
    <workbookView xWindow="390" yWindow="390" windowWidth="11520" windowHeight="7875" tabRatio="793" xr2:uid="{00000000-000D-0000-FFFF-FFFF00000000}"/>
  </bookViews>
  <sheets>
    <sheet name="Info" sheetId="8" r:id="rId1"/>
    <sheet name="Trial" sheetId="7" state="veryHidden" r:id="rId2"/>
    <sheet name="Instructions" sheetId="3" state="veryHidden" r:id="rId3"/>
    <sheet name="Setup" sheetId="9" state="veryHidden" r:id="rId4"/>
    <sheet name="Data" sheetId="1" state="veryHidden" r:id="rId5"/>
    <sheet name="Report" sheetId="5" state="veryHidden" r:id="rId6"/>
    <sheet name="Journal" sheetId="6" state="veryHidden" r:id="rId7"/>
  </sheets>
  <definedNames>
    <definedName name="_xlnm._FilterDatabase" localSheetId="4" hidden="1">Data!$A$4:$H$95</definedName>
    <definedName name="Account">Petty[[#Data],[Account Number]]</definedName>
    <definedName name="AccountNo">OFFSET(Report!$A$4,1,0,ROW(Report!$A$17)-ROW(Report!$A$4)-1,2)</definedName>
    <definedName name="AccountOnly">OFFSET(Report!$A$4,1,0,ROW(Report!$A$17)-ROW(Report!$A$4)-1,1)</definedName>
    <definedName name="Amount">Petty[[#Data],[Inclusive Amount]]</definedName>
    <definedName name="AmountExcl">Petty[[#Data],[Exclusive Amount]]</definedName>
    <definedName name="AmountTax1">Petty[[#Data],[Sales Tax 1 Amount]]</definedName>
    <definedName name="AmountTax2">Petty[[#Data],[Sales Tax 2 Amount]]</definedName>
    <definedName name="ErrorCode">Petty[[#Data],[Error Code]]</definedName>
    <definedName name="JnlCount">COUNTA(Journals[[#Data],[Account Number]])</definedName>
    <definedName name="Journal">Petty[[#Data],[Journal Number]]</definedName>
    <definedName name="PayDate">Petty[[#Data],[Transaction Date]]</definedName>
    <definedName name="_xlnm.Print_Area" localSheetId="2">Instructions!$A$1:$A$102</definedName>
    <definedName name="_xlnm.Print_Titles" localSheetId="4">Data!$1:$4</definedName>
    <definedName name="_xlnm.Print_Titles" localSheetId="2">Instructions!$1:$4</definedName>
    <definedName name="TaxCode">OFFSET(Setup!$A$7,1,0,ROW(Setup!$A$11)-ROW(Setup!$A$7)-1,1)</definedName>
    <definedName name="TaxCount">COLUMN(Data!$M$4)-COLUMN(Data!$K$4)</definedName>
    <definedName name="Transactions">Petty[#Data]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5" i="1" l="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A10" i="6"/>
  <c r="A11" i="6"/>
  <c r="A12" i="6"/>
  <c r="A13" i="6"/>
  <c r="A14" i="6"/>
  <c r="A15" i="6"/>
  <c r="A16" i="6"/>
  <c r="A17" i="6"/>
  <c r="A18" i="6"/>
  <c r="A19" i="6"/>
  <c r="A20" i="6"/>
  <c r="A21" i="6"/>
  <c r="A22" i="6"/>
  <c r="A23" i="6"/>
  <c r="A24" i="6"/>
  <c r="A25" i="6"/>
  <c r="A26" i="6"/>
  <c r="A27" i="6"/>
  <c r="A28" i="6"/>
  <c r="A29" i="6"/>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A1" i="6"/>
  <c r="A1" i="5"/>
  <c r="A1" i="1"/>
  <c r="L3" i="1" l="1" a="1"/>
  <c r="L3" i="1" s="1"/>
  <c r="M23" i="1" a="1"/>
  <c r="M23" i="1" s="1"/>
  <c r="M47" i="1" a="1"/>
  <c r="M47" i="1" s="1"/>
  <c r="M7" i="1" a="1"/>
  <c r="M7" i="1" s="1"/>
  <c r="M15" i="1" a="1"/>
  <c r="M15" i="1" s="1"/>
  <c r="M39" i="1" a="1"/>
  <c r="M39" i="1" s="1"/>
  <c r="M31" i="1" a="1"/>
  <c r="M31" i="1" s="1"/>
  <c r="M63" i="1" a="1"/>
  <c r="M63" i="1" s="1"/>
  <c r="M55" i="1" a="1"/>
  <c r="M55" i="1" s="1"/>
  <c r="M79" i="1" a="1"/>
  <c r="M79" i="1" s="1"/>
  <c r="M71" i="1" a="1"/>
  <c r="M71" i="1" s="1"/>
  <c r="M95" i="1" a="1"/>
  <c r="M95" i="1" s="1"/>
  <c r="M87" i="1" a="1"/>
  <c r="M87" i="1" s="1"/>
  <c r="M93" i="1" a="1"/>
  <c r="M93" i="1" s="1"/>
  <c r="M85" i="1" a="1"/>
  <c r="M85" i="1" s="1"/>
  <c r="M77" i="1" a="1"/>
  <c r="M77" i="1" s="1"/>
  <c r="M69" i="1" a="1"/>
  <c r="M69" i="1" s="1"/>
  <c r="M61" i="1" a="1"/>
  <c r="M61" i="1" s="1"/>
  <c r="M53" i="1" a="1"/>
  <c r="M53" i="1" s="1"/>
  <c r="M45" i="1" a="1"/>
  <c r="M45" i="1" s="1"/>
  <c r="M37" i="1" a="1"/>
  <c r="M37" i="1" s="1"/>
  <c r="M29" i="1" a="1"/>
  <c r="M29" i="1" s="1"/>
  <c r="M21" i="1" a="1"/>
  <c r="M21" i="1" s="1"/>
  <c r="M13" i="1" a="1"/>
  <c r="M13" i="1" s="1"/>
  <c r="M5" i="1" a="1"/>
  <c r="M5" i="1" s="1"/>
  <c r="M88" i="1" a="1"/>
  <c r="M88" i="1" s="1"/>
  <c r="M80" i="1" a="1"/>
  <c r="M80" i="1" s="1"/>
  <c r="M72" i="1" a="1"/>
  <c r="M72" i="1" s="1"/>
  <c r="M64" i="1" a="1"/>
  <c r="M64" i="1" s="1"/>
  <c r="M56" i="1" a="1"/>
  <c r="M56" i="1" s="1"/>
  <c r="M48" i="1" a="1"/>
  <c r="M48" i="1" s="1"/>
  <c r="M40" i="1" a="1"/>
  <c r="M40" i="1" s="1"/>
  <c r="M32" i="1" a="1"/>
  <c r="M32" i="1" s="1"/>
  <c r="M24" i="1" a="1"/>
  <c r="M24" i="1" s="1"/>
  <c r="M16" i="1" a="1"/>
  <c r="M16" i="1" s="1"/>
  <c r="M8" i="1" a="1"/>
  <c r="M8" i="1" s="1"/>
  <c r="B9" i="6" a="1"/>
  <c r="B9" i="6" s="1"/>
  <c r="B8" i="6"/>
  <c r="M91" i="1" a="1"/>
  <c r="M91" i="1" s="1"/>
  <c r="M83" i="1" a="1"/>
  <c r="M83" i="1" s="1"/>
  <c r="M75" i="1" a="1"/>
  <c r="M75" i="1" s="1"/>
  <c r="M67" i="1" a="1"/>
  <c r="M67" i="1" s="1"/>
  <c r="M59" i="1" a="1"/>
  <c r="M59" i="1" s="1"/>
  <c r="M51" i="1" a="1"/>
  <c r="M51" i="1" s="1"/>
  <c r="M43" i="1" a="1"/>
  <c r="M43" i="1" s="1"/>
  <c r="M35" i="1" a="1"/>
  <c r="M35" i="1" s="1"/>
  <c r="M27" i="1" a="1"/>
  <c r="M27" i="1" s="1"/>
  <c r="M19" i="1" a="1"/>
  <c r="M19" i="1" s="1"/>
  <c r="M11" i="1" a="1"/>
  <c r="M11" i="1" s="1"/>
  <c r="M90" i="1" a="1"/>
  <c r="M90" i="1" s="1"/>
  <c r="M82" i="1" a="1"/>
  <c r="M82" i="1" s="1"/>
  <c r="M74" i="1" a="1"/>
  <c r="M74" i="1" s="1"/>
  <c r="M66" i="1" a="1"/>
  <c r="M66" i="1" s="1"/>
  <c r="M58" i="1" a="1"/>
  <c r="M58" i="1" s="1"/>
  <c r="M50" i="1" a="1"/>
  <c r="M50" i="1" s="1"/>
  <c r="M42" i="1" a="1"/>
  <c r="M42" i="1" s="1"/>
  <c r="M34" i="1" a="1"/>
  <c r="M34" i="1" s="1"/>
  <c r="M26" i="1" a="1"/>
  <c r="M26" i="1" s="1"/>
  <c r="M18" i="1" a="1"/>
  <c r="M18" i="1" s="1"/>
  <c r="M10" i="1" a="1"/>
  <c r="M10" i="1" s="1"/>
  <c r="M89" i="1" a="1"/>
  <c r="M89" i="1" s="1"/>
  <c r="M81" i="1" a="1"/>
  <c r="M81" i="1" s="1"/>
  <c r="M73" i="1" a="1"/>
  <c r="M73" i="1" s="1"/>
  <c r="M65" i="1" a="1"/>
  <c r="M65" i="1" s="1"/>
  <c r="M57" i="1" a="1"/>
  <c r="M57" i="1" s="1"/>
  <c r="M49" i="1" a="1"/>
  <c r="M49" i="1" s="1"/>
  <c r="M41" i="1" a="1"/>
  <c r="M41" i="1" s="1"/>
  <c r="M33" i="1" a="1"/>
  <c r="M33" i="1" s="1"/>
  <c r="M25" i="1" a="1"/>
  <c r="M25" i="1" s="1"/>
  <c r="M17" i="1" a="1"/>
  <c r="M17" i="1" s="1"/>
  <c r="M9" i="1" a="1"/>
  <c r="M9" i="1" s="1"/>
  <c r="M94" i="1" a="1"/>
  <c r="M94" i="1" s="1"/>
  <c r="M86" i="1" a="1"/>
  <c r="M86" i="1" s="1"/>
  <c r="M78" i="1" a="1"/>
  <c r="M78" i="1" s="1"/>
  <c r="M70" i="1" a="1"/>
  <c r="M70" i="1" s="1"/>
  <c r="M62" i="1" a="1"/>
  <c r="M62" i="1" s="1"/>
  <c r="M54" i="1" a="1"/>
  <c r="M54" i="1" s="1"/>
  <c r="M46" i="1" a="1"/>
  <c r="M46" i="1" s="1"/>
  <c r="M38" i="1" a="1"/>
  <c r="M38" i="1" s="1"/>
  <c r="M30" i="1" a="1"/>
  <c r="M30" i="1" s="1"/>
  <c r="M22" i="1" a="1"/>
  <c r="M22" i="1" s="1"/>
  <c r="M14" i="1" a="1"/>
  <c r="M14" i="1" s="1"/>
  <c r="M6" i="1" a="1"/>
  <c r="M6" i="1" s="1"/>
  <c r="M92" i="1" a="1"/>
  <c r="M92" i="1" s="1"/>
  <c r="M84" i="1" a="1"/>
  <c r="M84" i="1" s="1"/>
  <c r="M76" i="1" a="1"/>
  <c r="M76" i="1" s="1"/>
  <c r="M68" i="1" a="1"/>
  <c r="M68" i="1" s="1"/>
  <c r="M60" i="1" a="1"/>
  <c r="M60" i="1" s="1"/>
  <c r="M52" i="1" a="1"/>
  <c r="M52" i="1" s="1"/>
  <c r="M44" i="1" a="1"/>
  <c r="M44" i="1" s="1"/>
  <c r="M36" i="1" a="1"/>
  <c r="M36" i="1" s="1"/>
  <c r="M28" i="1" a="1"/>
  <c r="M28" i="1" s="1"/>
  <c r="M20" i="1" a="1"/>
  <c r="M20" i="1" s="1"/>
  <c r="M12" i="1" a="1"/>
  <c r="M12" i="1" s="1"/>
  <c r="N5" i="1" l="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B29" i="6" l="1"/>
  <c r="C25" i="6"/>
  <c r="B26" i="6"/>
  <c r="C27" i="6"/>
  <c r="B28" i="6"/>
  <c r="C26" i="6" l="1"/>
  <c r="B25" i="6"/>
  <c r="B27" i="6"/>
  <c r="C29" i="6"/>
  <c r="C28" i="6"/>
  <c r="B24" i="6"/>
  <c r="B23" i="6"/>
  <c r="B22" i="6"/>
  <c r="B21" i="6"/>
  <c r="B20" i="6"/>
  <c r="B19" i="6"/>
  <c r="C4" i="5"/>
  <c r="C16" i="5" s="1" a="1"/>
  <c r="C16" i="5" s="1"/>
  <c r="C15" i="5" l="1"/>
  <c r="K3" i="1"/>
  <c r="C24" i="6"/>
  <c r="C23" i="6"/>
  <c r="C22" i="6"/>
  <c r="C21" i="6"/>
  <c r="C20" i="6"/>
  <c r="C19" i="6"/>
  <c r="C18" i="6"/>
  <c r="C17" i="6"/>
  <c r="C16" i="6"/>
  <c r="C15" i="6"/>
  <c r="C14" i="6"/>
  <c r="C13" i="6"/>
  <c r="C12" i="6"/>
  <c r="C11" i="6"/>
  <c r="C10" i="6"/>
  <c r="G3" i="1"/>
  <c r="D4" i="5"/>
  <c r="D16" i="5" s="1" a="1"/>
  <c r="D16" i="5" s="1"/>
  <c r="C19" i="5"/>
  <c r="O19" i="5" s="1"/>
  <c r="D15" i="5" l="1"/>
  <c r="E4" i="5"/>
  <c r="E16" i="5" s="1" a="1"/>
  <c r="E16" i="5" s="1"/>
  <c r="B13" i="6"/>
  <c r="B17" i="6"/>
  <c r="M3" i="1"/>
  <c r="B10" i="6"/>
  <c r="B14" i="6"/>
  <c r="B18" i="6"/>
  <c r="B12" i="6"/>
  <c r="B16" i="6"/>
  <c r="B15" i="6"/>
  <c r="B11" i="6"/>
  <c r="D14" i="5"/>
  <c r="C14" i="5"/>
  <c r="D13" i="5"/>
  <c r="C13" i="5"/>
  <c r="D12" i="5"/>
  <c r="C12" i="5"/>
  <c r="D11" i="5"/>
  <c r="C11" i="5"/>
  <c r="D10" i="5"/>
  <c r="C10" i="5"/>
  <c r="D9" i="5"/>
  <c r="C9" i="5"/>
  <c r="D8" i="5"/>
  <c r="C8" i="5"/>
  <c r="D7" i="5"/>
  <c r="C7" i="5"/>
  <c r="D6" i="5"/>
  <c r="C6" i="5"/>
  <c r="D5" i="5"/>
  <c r="C5" i="5"/>
  <c r="E15" i="5" l="1"/>
  <c r="B7" i="6" a="1"/>
  <c r="B7" i="6" s="1"/>
  <c r="E7" i="5"/>
  <c r="E9" i="5"/>
  <c r="E11" i="5"/>
  <c r="E5" i="5"/>
  <c r="E13" i="5"/>
  <c r="E6" i="5"/>
  <c r="E10" i="5"/>
  <c r="E14" i="5"/>
  <c r="E8" i="5"/>
  <c r="E12" i="5"/>
  <c r="D17" i="5"/>
  <c r="F4" i="5"/>
  <c r="F16" i="5" s="1" a="1"/>
  <c r="F16" i="5" s="1"/>
  <c r="C17" i="5"/>
  <c r="C21" i="5" s="1"/>
  <c r="D19" i="5" s="1"/>
  <c r="F15" i="5" l="1"/>
  <c r="E17" i="5"/>
  <c r="G4" i="5"/>
  <c r="G16" i="5" s="1" a="1"/>
  <c r="G16" i="5" s="1"/>
  <c r="D21" i="5"/>
  <c r="E19" i="5" s="1"/>
  <c r="F14" i="5"/>
  <c r="F13" i="5"/>
  <c r="F12" i="5"/>
  <c r="F11" i="5"/>
  <c r="F10" i="5"/>
  <c r="F9" i="5"/>
  <c r="F8" i="5"/>
  <c r="F7" i="5"/>
  <c r="F6" i="5"/>
  <c r="F5" i="5"/>
  <c r="G9" i="5" l="1"/>
  <c r="G15" i="5"/>
  <c r="E21" i="5"/>
  <c r="F19" i="5" s="1"/>
  <c r="G8" i="5"/>
  <c r="G10" i="5"/>
  <c r="G13" i="5"/>
  <c r="H4" i="5"/>
  <c r="H16" i="5" s="1" a="1"/>
  <c r="H16" i="5" s="1"/>
  <c r="G11" i="5"/>
  <c r="G6" i="5"/>
  <c r="G14" i="5"/>
  <c r="G12" i="5"/>
  <c r="G5" i="5"/>
  <c r="G7" i="5"/>
  <c r="F17" i="5"/>
  <c r="H14" i="5" l="1"/>
  <c r="H15" i="5"/>
  <c r="F21" i="5"/>
  <c r="G19" i="5" s="1"/>
  <c r="H7" i="5"/>
  <c r="I4" i="5"/>
  <c r="I16" i="5" s="1" a="1"/>
  <c r="I16" i="5" s="1"/>
  <c r="H9" i="5"/>
  <c r="H11" i="5"/>
  <c r="H5" i="5"/>
  <c r="H12" i="5"/>
  <c r="H8" i="5"/>
  <c r="H13" i="5"/>
  <c r="H6" i="5"/>
  <c r="H10" i="5"/>
  <c r="G17" i="5"/>
  <c r="I13" i="5" l="1"/>
  <c r="I15" i="5"/>
  <c r="I6" i="5"/>
  <c r="I10" i="5"/>
  <c r="I14" i="5"/>
  <c r="I7" i="5"/>
  <c r="I11" i="5"/>
  <c r="J4" i="5"/>
  <c r="J16" i="5" s="1" a="1"/>
  <c r="J16" i="5" s="1"/>
  <c r="I8" i="5"/>
  <c r="I12" i="5"/>
  <c r="I5" i="5"/>
  <c r="I9" i="5"/>
  <c r="G21" i="5"/>
  <c r="H19" i="5" s="1"/>
  <c r="H17" i="5"/>
  <c r="K4" i="5" l="1"/>
  <c r="K16" i="5" s="1" a="1"/>
  <c r="K16" i="5" s="1"/>
  <c r="J15" i="5"/>
  <c r="J13" i="5"/>
  <c r="J8" i="5"/>
  <c r="J5" i="5"/>
  <c r="J9" i="5"/>
  <c r="J12" i="5"/>
  <c r="J6" i="5"/>
  <c r="J10" i="5"/>
  <c r="J14" i="5"/>
  <c r="J7" i="5"/>
  <c r="J11" i="5"/>
  <c r="I17" i="5"/>
  <c r="H21" i="5"/>
  <c r="I19" i="5" s="1"/>
  <c r="K14" i="5" l="1"/>
  <c r="K7" i="5"/>
  <c r="K6" i="5"/>
  <c r="K10" i="5"/>
  <c r="K5" i="5"/>
  <c r="K9" i="5"/>
  <c r="K13" i="5"/>
  <c r="K8" i="5"/>
  <c r="K11" i="5"/>
  <c r="K12" i="5"/>
  <c r="L4" i="5"/>
  <c r="L16" i="5" s="1" a="1"/>
  <c r="L16" i="5" s="1"/>
  <c r="K15" i="5"/>
  <c r="J17" i="5"/>
  <c r="I21" i="5"/>
  <c r="J19" i="5" s="1"/>
  <c r="L7" i="5" l="1"/>
  <c r="L8" i="5"/>
  <c r="L10" i="5"/>
  <c r="L11" i="5"/>
  <c r="L12" i="5"/>
  <c r="L5" i="5"/>
  <c r="L9" i="5"/>
  <c r="L6" i="5"/>
  <c r="L13" i="5"/>
  <c r="L14" i="5"/>
  <c r="M4" i="5"/>
  <c r="M16" i="5" s="1" a="1"/>
  <c r="M16" i="5" s="1"/>
  <c r="K17" i="5"/>
  <c r="L15" i="5"/>
  <c r="J21" i="5"/>
  <c r="K19" i="5" s="1"/>
  <c r="M7" i="5" l="1"/>
  <c r="M8" i="5"/>
  <c r="M6" i="5"/>
  <c r="M10" i="5"/>
  <c r="M12" i="5"/>
  <c r="M13" i="5"/>
  <c r="M5" i="5"/>
  <c r="M14" i="5"/>
  <c r="M15" i="5"/>
  <c r="M9" i="5"/>
  <c r="L17" i="5"/>
  <c r="N4" i="5"/>
  <c r="N16" i="5" s="1" a="1"/>
  <c r="N16" i="5" s="1"/>
  <c r="O16" i="5" s="1"/>
  <c r="M11" i="5"/>
  <c r="K21" i="5"/>
  <c r="L19" i="5" s="1"/>
  <c r="N5" i="5" l="1"/>
  <c r="O5" i="5" s="1"/>
  <c r="N6" i="5"/>
  <c r="O6" i="5" s="1"/>
  <c r="N8" i="5"/>
  <c r="O8" i="5" s="1"/>
  <c r="N10" i="5"/>
  <c r="O10" i="5" s="1"/>
  <c r="N14" i="5"/>
  <c r="O14" i="5" s="1"/>
  <c r="N12" i="5"/>
  <c r="O12" i="5" s="1"/>
  <c r="N7" i="5"/>
  <c r="O7" i="5" s="1"/>
  <c r="N13" i="5"/>
  <c r="O13" i="5" s="1"/>
  <c r="L21" i="5"/>
  <c r="M19" i="5" s="1"/>
  <c r="N9" i="5"/>
  <c r="O9" i="5" s="1"/>
  <c r="N15" i="5"/>
  <c r="O15" i="5" s="1"/>
  <c r="N11" i="5"/>
  <c r="O11" i="5" s="1"/>
  <c r="M17" i="5"/>
  <c r="M21" i="5" l="1"/>
  <c r="N19" i="5" s="1"/>
  <c r="O17" i="5"/>
  <c r="O21" i="5" s="1"/>
  <c r="N17" i="5"/>
  <c r="N21"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<sst xmlns="http://schemas.openxmlformats.org/spreadsheetml/2006/main" count="680" uniqueCount="186">
  <si>
    <t>Record Petty Cash Transactions</t>
  </si>
  <si>
    <t>Recording the Opening Balance</t>
  </si>
  <si>
    <t>Petty Cash Report</t>
  </si>
  <si>
    <t>It is also not necessary to use the default account format which consists of a two letter code (indicating income statement accounts) and a 3 digit number for the account number. You can specify any account number format by simply editing the account numbers in column A on the Report sheet and entering the appropriate account descriptions in column B.</t>
  </si>
  <si>
    <t>General Ledger Journal</t>
  </si>
  <si>
    <t>This template enables users to control any petty cash or cash float system independently from the primary accounting system but it will also be necessary to record petty cash expense totals in the primary accounting system. A general ledger journal is commonly used to record petty cash or cash float expenses and we have therefore included the Journal sheet in order to facilitate an automated calculation of the appropriate journal entries.</t>
  </si>
  <si>
    <t>Transaction Date</t>
  </si>
  <si>
    <t>Reference</t>
  </si>
  <si>
    <t>Description</t>
  </si>
  <si>
    <t>Amount</t>
  </si>
  <si>
    <t>O/B</t>
  </si>
  <si>
    <t>Instructions</t>
  </si>
  <si>
    <t>www.excel-skills.com</t>
  </si>
  <si>
    <t>The following sheets are included in this template:</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</si>
  <si>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</si>
  <si>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</si>
  <si>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Postage</t>
  </si>
  <si>
    <t>Stationery</t>
  </si>
  <si>
    <t>© www.excel-skills.com</t>
  </si>
  <si>
    <t>Account Number</t>
  </si>
  <si>
    <t>Account Description</t>
  </si>
  <si>
    <t>Start Date</t>
  </si>
  <si>
    <t>Transactions</t>
  </si>
  <si>
    <t>Opening Balance</t>
  </si>
  <si>
    <t>Paper</t>
  </si>
  <si>
    <t>IS-325</t>
  </si>
  <si>
    <t>IS-365</t>
  </si>
  <si>
    <t>IS-390</t>
  </si>
  <si>
    <t>IS-345</t>
  </si>
  <si>
    <t>IS-310</t>
  </si>
  <si>
    <t>IS-330</t>
  </si>
  <si>
    <t>IS-335</t>
  </si>
  <si>
    <t>IS-355</t>
  </si>
  <si>
    <t>IS-370</t>
  </si>
  <si>
    <t>Advertising &amp; Marketing</t>
  </si>
  <si>
    <t>Computer Expenses</t>
  </si>
  <si>
    <t>Consumables &amp; Cleaning</t>
  </si>
  <si>
    <t>Entertainment</t>
  </si>
  <si>
    <t>Office Expenses</t>
  </si>
  <si>
    <t>Travelling &amp; Accommodation</t>
  </si>
  <si>
    <t>Total</t>
  </si>
  <si>
    <t>Closing Balance</t>
  </si>
  <si>
    <t>Petty Cash Reimbursement</t>
  </si>
  <si>
    <t>Opening</t>
  </si>
  <si>
    <t>Waltons</t>
  </si>
  <si>
    <t>Cash</t>
  </si>
  <si>
    <t>SPAR</t>
  </si>
  <si>
    <t>Excel Skills | Petty Cash Template</t>
  </si>
  <si>
    <t>Cash Wages</t>
  </si>
  <si>
    <t>Bank Account</t>
  </si>
  <si>
    <t>Journal Number</t>
  </si>
  <si>
    <t>Voucher Number</t>
  </si>
  <si>
    <t>Interflora</t>
  </si>
  <si>
    <t>IN1521</t>
  </si>
  <si>
    <t>IN1602</t>
  </si>
  <si>
    <t>IN1683</t>
  </si>
  <si>
    <t>IN1764</t>
  </si>
  <si>
    <t>IN1845</t>
  </si>
  <si>
    <t>IN1926</t>
  </si>
  <si>
    <t>IN2007</t>
  </si>
  <si>
    <t>IN2088</t>
  </si>
  <si>
    <t>IN2169</t>
  </si>
  <si>
    <t>IN2250</t>
  </si>
  <si>
    <t>IN2331</t>
  </si>
  <si>
    <t>IN2412</t>
  </si>
  <si>
    <t>IN2493</t>
  </si>
  <si>
    <t>IN2574</t>
  </si>
  <si>
    <t>IN2655</t>
  </si>
  <si>
    <t>IN2736</t>
  </si>
  <si>
    <t>IN2817</t>
  </si>
  <si>
    <t>IN2898</t>
  </si>
  <si>
    <t>IN2979</t>
  </si>
  <si>
    <t>IN3060</t>
  </si>
  <si>
    <t>IN3141</t>
  </si>
  <si>
    <t>IN3222</t>
  </si>
  <si>
    <t>IN3303</t>
  </si>
  <si>
    <t>IN3384</t>
  </si>
  <si>
    <t>IN3465</t>
  </si>
  <si>
    <t>Flowers - Office</t>
  </si>
  <si>
    <t>BB Printers</t>
  </si>
  <si>
    <t>A122</t>
  </si>
  <si>
    <t>A149</t>
  </si>
  <si>
    <t>A901</t>
  </si>
  <si>
    <t>Printing - Flyers</t>
  </si>
  <si>
    <t>Incredible Connection</t>
  </si>
  <si>
    <t>USB</t>
  </si>
  <si>
    <t>25 CD Pack</t>
  </si>
  <si>
    <t>Ink Cartridge</t>
  </si>
  <si>
    <t>Cleaning Consumables</t>
  </si>
  <si>
    <t>Staff Entertainment</t>
  </si>
  <si>
    <t>Dros</t>
  </si>
  <si>
    <t>Tops</t>
  </si>
  <si>
    <t>IN99823</t>
  </si>
  <si>
    <t>Beck Winery</t>
  </si>
  <si>
    <t>Post Office</t>
  </si>
  <si>
    <t>Casuals</t>
  </si>
  <si>
    <t>Casual Wages</t>
  </si>
  <si>
    <t>WT9120</t>
  </si>
  <si>
    <t>WT9289</t>
  </si>
  <si>
    <t>WT9458</t>
  </si>
  <si>
    <t>WT9627</t>
  </si>
  <si>
    <t>Interpark</t>
  </si>
  <si>
    <t>Parking - Airport</t>
  </si>
  <si>
    <t>Current Bank Account</t>
  </si>
  <si>
    <t>Journal No</t>
  </si>
  <si>
    <t>Petty Cash Control Account</t>
  </si>
  <si>
    <t>BS-400</t>
  </si>
  <si>
    <t>BANK</t>
  </si>
  <si>
    <t>Monthly Total</t>
  </si>
  <si>
    <t>Supplier</t>
  </si>
  <si>
    <t>Inclusive Amount</t>
  </si>
  <si>
    <t>Exclusive Amount</t>
  </si>
  <si>
    <t>Error Code</t>
  </si>
  <si>
    <t>A</t>
  </si>
  <si>
    <t>E</t>
  </si>
  <si>
    <t>BS-600</t>
  </si>
  <si>
    <t>Note: The list box in the Account Number column contains both the account number and the account description, but only the appropriate account number should be selected when allocating transactions. Excel actually does not allow the inclusion of two columns in a list box, but we have implemented a work around in order to provide the account description together with the account number. However, because of the implementation of this feature, you will not be able to enter the account number into this column and all account numbers should therefore be selected from the list box or copied from an existing, similar transaction. You may also notice that all the cells in the Account Number column contain an error message that refers to a data validation error - this is to be expected because of the work around that we implemented and can safely be ignored.</t>
  </si>
  <si>
    <t>Error Codes</t>
  </si>
  <si>
    <t>The following error codes may result from inaccurate input on the Data sheet and will be displayed in the Error Code column and highlighted in orange. The heading of the affected input column will also be highlighted in orange:</t>
  </si>
  <si>
    <t>■ E1 - this error code means that a positive value has been entered in column G for a petty cash transaction or that a negative value has been entered for a reimbursement transaction. All petty cash expenses must be entered as negative values and all reimbursement transactions must be entered as positive values and allocated to the default "BANK" account.</t>
  </si>
  <si>
    <t>Note: Input errors may result in inaccurate petty cash calculations and it is therefore imperative that all errors are resolved before reviewing the petty cash report on the Report sheet.</t>
  </si>
  <si>
    <t>The initial petty cash or cash float opening balance needs to be recorded by entering an opening balance transaction on the Data sheet. The transaction date should be the month end date that precedes the initial template start date that is specified in cell D2 on the Report sheet. The voucher and journal number for this transaction should be nil; the supplier, reference and description should refer to the opening balance; the amount should be the opening balance amount; the "BANK" account should be selected as the account number and a tax code of "E" should be selected from the list box in the tax code column.</t>
  </si>
  <si>
    <t>Example: If the first monthly period that you want to include in the petty cash report is March, the opening balance as at 28 February should be entered as an opening balance transaction on the Data sheet. The transaction date should be 28 February and the opening balance amount should be entered in the Inclusive Amount column. All the opening balances for subsequent periods will be calculated automatically after you amend the start date in cell D2 on the Report sheet.</t>
  </si>
  <si>
    <t>Additional accounts can be added by simply inserting a new row anywhere above the "BANK" account, entering the new account number in column A and the account description in column B and copying all the formulas in the columns with a light blue column heading. You can also delete accounts if you wish to do so but care should be taken not to delete accounts to which entries have been allocated on the Data sheet because this may result in an inaccurate petty cash expense report and balance calculation. If an account is deleted and entries have been allocated to the account, an error code of E2 will be displayed in the Error code column and the codes will only be removed once the appropriate transactions have been allocated to a valid account.</t>
  </si>
  <si>
    <t>Note: All the column headings on the Data sheet contain a filter selection arrow. This useful feature enables you to filter the transactions that are included on this sheet according to requirements. For example, the date filter options can be used to display a complete list of transactions that are dated between the first and last day of any particular month. The totals above the column heading row will also only include the filtered transactions that are included on the sheet.</t>
  </si>
  <si>
    <t>Note: Only the first 20 accounts that are included on the Report sheet will be listed on the Journal sheet. If you require more than 20 expense accounts to be included in your journal entries, simply copy the formulas in one of the existing rows to the appropriate number of new rows. There is no limit on the number of additional accounts that you can include in the journal calculations on the Journal sheet.</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</si>
  <si>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</si>
  <si>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</si>
  <si>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r>
      <t>Data</t>
    </r>
    <r>
      <rPr>
        <sz val="10"/>
        <rFont val="Arial"/>
        <family val="2"/>
      </rPr>
      <t xml:space="preserve"> - all petty cash expenses and reimbursements should be recorded on this sheet.</t>
    </r>
  </si>
  <si>
    <r>
      <t>Voucher Number</t>
    </r>
    <r>
      <rPr>
        <sz val="10"/>
        <rFont val="Arial"/>
        <family val="2"/>
      </rPr>
      <t xml:space="preserve"> - if you are using a petty cash or cash float voucher system, the voucher number should be entered in this column. If you don’t use a voucher system, we recommend that you enter a transaction number in an ascending numerical sequence in this column.</t>
    </r>
  </si>
  <si>
    <r>
      <rPr>
        <b/>
        <sz val="10"/>
        <rFont val="Arial"/>
        <family val="2"/>
      </rPr>
      <t xml:space="preserve">Supplier </t>
    </r>
    <r>
      <rPr>
        <sz val="10"/>
        <rFont val="Arial"/>
        <family val="2"/>
      </rPr>
      <t>- enter the name of the appropriate supplier in this column.</t>
    </r>
  </si>
  <si>
    <r>
      <t xml:space="preserve">Inclusive Amount - </t>
    </r>
    <r>
      <rPr>
        <sz val="10"/>
        <rFont val="Arial"/>
        <family val="2"/>
      </rPr>
      <t>all petty cash expenses should be recorded as negative values and all petty cash reimbursements should be recorded as positive values. All the amounts in this column should include sales tax.</t>
    </r>
  </si>
  <si>
    <r>
      <rPr>
        <b/>
        <sz val="10"/>
        <rFont val="Arial"/>
        <family val="2"/>
      </rPr>
      <t>Error Code</t>
    </r>
    <r>
      <rPr>
        <sz val="10"/>
        <rFont val="Arial"/>
        <family val="2"/>
      </rPr>
      <t xml:space="preserve"> - the formula in this column displays an error code if invalid transaction data is entered. Refer to the Error Codes section of these instructions for more information about the error codes that may be encountered.</t>
    </r>
  </si>
  <si>
    <t>Setup</t>
  </si>
  <si>
    <t>Business Name</t>
  </si>
  <si>
    <t>Example (Pty) Limited</t>
  </si>
  <si>
    <t>Tax Percentages</t>
  </si>
  <si>
    <t>Code</t>
  </si>
  <si>
    <t>Percentage</t>
  </si>
  <si>
    <t>B</t>
  </si>
  <si>
    <t>End of list</t>
  </si>
  <si>
    <t>Petty Cash Template</t>
  </si>
  <si>
    <t>Petty Cash Expense Report</t>
  </si>
  <si>
    <t>Sales Tax 1 Amount</t>
  </si>
  <si>
    <t>Sales Tax 2 Amount</t>
  </si>
  <si>
    <t>Tax 1 Code</t>
  </si>
  <si>
    <t>Tax 2 Code</t>
  </si>
  <si>
    <t>TAX1</t>
  </si>
  <si>
    <t>TAX2</t>
  </si>
  <si>
    <t>BS-610</t>
  </si>
  <si>
    <t>Sales Tax Control 1</t>
  </si>
  <si>
    <t>Sales Tax Control 2</t>
  </si>
  <si>
    <t>Sales Tax - Federal / National</t>
  </si>
  <si>
    <t>Sales Tax - State</t>
  </si>
  <si>
    <t>This template enables users to control the expenses paid through any petty cash or cash float system. All petty cash expenses and reimbursements can be recorded by entering the appropriate transactions details and a monthly petty cash report is automatically produced. The monthly report includes a 12 month summary of expenses by account and also calculates the petty cash or cash float balance at the end of each monthly period. You can add as many accounts as required and the report can be rolled forward for subsequent periods by simply amending the start date of the report.</t>
  </si>
  <si>
    <r>
      <rPr>
        <b/>
        <sz val="10"/>
        <rFont val="Arial"/>
        <family val="2"/>
      </rPr>
      <t>Setup</t>
    </r>
    <r>
      <rPr>
        <sz val="10"/>
        <rFont val="Arial"/>
        <family val="2"/>
      </rPr>
      <t xml:space="preserve"> - this sheet enables users to enter their business name and set up sales tax percentages. The business name is used as a heading on the other sheets and the sales tax percentages are used in all sales tax calculations.</t>
    </r>
  </si>
  <si>
    <r>
      <t>Report</t>
    </r>
    <r>
      <rPr>
        <sz val="10"/>
        <rFont val="Arial"/>
        <family val="2"/>
      </rPr>
      <t xml:space="preserve"> - the 12 month petty cash report on this sheet is automatically compiled based on the transactions entered on the Data sheet and the start date specified in cell D2. The report includes 9 default accounts but you can add as many accounts as required by simply inserting the appropriate number of new rows, entering the account number &amp; description and copying the existing formulas from all the columns with light blue column headings. No other user input is required on this sheet.</t>
    </r>
  </si>
  <si>
    <r>
      <t>Journal</t>
    </r>
    <r>
      <rPr>
        <sz val="10"/>
        <rFont val="Arial"/>
        <family val="2"/>
      </rPr>
      <t xml:space="preserve"> - this sheet includes a general ledger journal summary which enables users to easily record petty cash or cash float expenses in any accounting system. The report is automatically calculated based on the journal number entered in cell B4 - the journal number entered in this cell should be the same as the journal number which was entered in column B when recording transactions on the Data sheet.</t>
    </r>
  </si>
  <si>
    <t>All petty cash or cash float transactions should be entered on the Data sheet. The columns with a yellow column heading require user input while the columns with a light blue column heading contain formulas which are automatically copied for all new transactions entered. The Data sheet includes the following columns:</t>
  </si>
  <si>
    <r>
      <t>Transaction Date -</t>
    </r>
    <r>
      <rPr>
        <sz val="10"/>
        <rFont val="Arial"/>
        <family val="2"/>
      </rPr>
      <t xml:space="preserve"> enter the petty cash transaction date. Note that all dates should be entered in accordance with the regional date settings.</t>
    </r>
  </si>
  <si>
    <r>
      <t xml:space="preserve">Journal Number - </t>
    </r>
    <r>
      <rPr>
        <sz val="10"/>
        <rFont val="Arial"/>
        <family val="2"/>
      </rPr>
      <t>enter a general ledger journal number. This journal number is used to group transactions together when calculating expense account totals for the purpose of recording petty cash expenses in your primary accounting system. The account totals on the Journal sheet are automatically calculated based on the journal number specified in this column.</t>
    </r>
  </si>
  <si>
    <r>
      <t>Reference -</t>
    </r>
    <r>
      <rPr>
        <sz val="10"/>
        <rFont val="Arial"/>
        <family val="2"/>
      </rPr>
      <t xml:space="preserve"> enter a transaction reference in this column which will enable you to trace the petty cash transaction to its supporting documentation. For example an invoice number or a cash receipt number.</t>
    </r>
  </si>
  <si>
    <r>
      <t>Description -</t>
    </r>
    <r>
      <rPr>
        <sz val="10"/>
        <rFont val="Arial"/>
        <family val="2"/>
      </rPr>
      <t xml:space="preserve"> enter a description of the transaction which will enable you to easily determine the nature of the transaction.</t>
    </r>
  </si>
  <si>
    <r>
      <t>Account</t>
    </r>
    <r>
      <rPr>
        <sz val="10"/>
        <rFont val="Arial"/>
        <family val="2"/>
      </rPr>
      <t xml:space="preserve"> - select the appropriate account number from the list box. The list box in this column will include the account numbers and descriptions of all the accounts which have been added to the Report sheet. New accounts will therefore have to be added to the Report sheet before being available for selection.</t>
    </r>
  </si>
  <si>
    <r>
      <rPr>
        <b/>
        <sz val="10"/>
        <rFont val="Arial"/>
        <family val="2"/>
      </rPr>
      <t>Tax 1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first sales tax code is for national or federal sales tax and should therefore be applicable in most countries.</t>
    </r>
  </si>
  <si>
    <r>
      <rPr>
        <b/>
        <sz val="10"/>
        <rFont val="Arial"/>
        <family val="2"/>
      </rPr>
      <t>Tax 2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second sales tax code is for state sales tax - if you do not need two sales tax codes, this column can be deleted.</t>
    </r>
  </si>
  <si>
    <r>
      <rPr>
        <b/>
        <sz val="10"/>
        <rFont val="Arial"/>
        <family val="2"/>
      </rPr>
      <t>Sales Tax 1 Amount</t>
    </r>
    <r>
      <rPr>
        <sz val="10"/>
        <rFont val="Arial"/>
        <family val="2"/>
      </rPr>
      <t xml:space="preserve"> - the sales tax amounts in this column are calculated based on the tax 1 code selected in column I and the sales tax percentages specified on the Setup sheet. The tax 1 calculations are applicable for national or federal sales tax and should therefore apply to most countries. If no sales tax should be calculated, the E tax code can be selected in column I.</t>
    </r>
  </si>
  <si>
    <r>
      <rPr>
        <b/>
        <sz val="10"/>
        <rFont val="Arial"/>
        <family val="2"/>
      </rPr>
      <t>Sales Tax 2 Amount</t>
    </r>
    <r>
      <rPr>
        <sz val="10"/>
        <rFont val="Arial"/>
        <family val="2"/>
      </rPr>
      <t xml:space="preserve"> - the sales tax amounts in this column are calculated based on the tax 2 code selected in column J and the sales tax percentages specified on the Setup sheet. The tax 2 calculations are applicable for state sales tax and may therefore not apply in all countries. If you do not need state sales tax calculations, you can delete this column.</t>
    </r>
  </si>
  <si>
    <r>
      <rPr>
        <b/>
        <sz val="10"/>
        <rFont val="Arial"/>
        <family val="2"/>
      </rPr>
      <t>Exclusive Amount</t>
    </r>
    <r>
      <rPr>
        <sz val="10"/>
        <rFont val="Arial"/>
        <family val="2"/>
      </rPr>
      <t xml:space="preserve"> - the formula in this column deducts the sales tax amounts calculated in the previous two columns from the inclusive amount entered in column G.</t>
    </r>
  </si>
  <si>
    <t>Note: The petty cash reimbursement transactions recorded on the Data sheet should all be allocated to the default "BANK" account by selecting this default account from the list box in column H. The journal number and voucher number for reimbursement transactions should always be nil and the supplier, transaction reference and description should all refer to a reimbursement type transaction.</t>
  </si>
  <si>
    <t>■ E2 - this error code means that the account number selected in column H is invalid. All the accounts added to the Report sheet will be included in the list boxes in column H and the error can therefore be rectified by simply selecting a valid account number from the list box. New accounts must be created on the Report sheet before being available for selection.</t>
  </si>
  <si>
    <t>Removing Second Sales Tax Calculations</t>
  </si>
  <si>
    <t>We have included two sales tax types in the template to accommodate calculating sales tax on a national / federal basis and a state basis. If you do not need both sales tax types, you can delete the second sales tax type. You should not however delete both as this may result in template calculation errors.</t>
  </si>
  <si>
    <t xml:space="preserve">Note: If sales tax is not applicable to your business, we recommend using the "E" sales tax code when recording all entries. No sales tax will then be calculated as the sales tax percentage for this code is zero. </t>
  </si>
  <si>
    <t>Note: No new columns should be added between the exclusive amount and sales tax amount columns on the Data sheet otherwise it may affect some of the sales tax calculations in this template. Also, if you delete the columns for the second sales tax type, the Sales Tax 1 Amount column may display validation warnings but these can safely be ignored as it has no effect on the template calculations. If you do not want to see these validation warnings, just keep both sales tax types and just don't select any tax codes in the second sales tax code column.</t>
  </si>
  <si>
    <t>The second sales tax type can be removed by deleting the Tax 2 Code column (column J) and the Sales Tax 2 Amount (column L) on the Data sheet. You can then also delete the TAX2 account row on the Report sheet and the BS-610 row on the Journal sheet. Completing these three steps will remove the second sales tax type from the template.</t>
  </si>
  <si>
    <t>The business name and sales tax percentages can be entered on the Setup sheet. The business name is used as a heading on all the other sheets and the sales tax percentages are used to calculate the inclusive, exclusive and sales tax amounts.</t>
  </si>
  <si>
    <t>Note: You can add an unlimited number of additional sales tax codes by inserting a new row above the end of list entry, entering the new sales tax code and specifying the appropriate sales tax percentage. If sales tax percentages change, you can therefore simply create a new sales tax code with the new sales tax percentage and use the new code for all transactions after the effective date of the rate change.</t>
  </si>
  <si>
    <t>The sales tax codes in the sales tax section on the Setup sheet are automatically included in the tax code list boxes on the Data sheet. There are two sales tax code types - one for national or federal sales tax and one for state sales tax. The codes created on the Setup sheet are included in both sales tax code list boxes and the sales tax percentages are automatically applied based on the sales tax codes selected for each petty cash transaction.</t>
  </si>
  <si>
    <t xml:space="preserve">The petty cash expense report on the Report sheet is automatically compiled based on the transactions recorded on the Data sheet and the start date specified in cell D2 on the Report sheet. The report includes 9 default accounts but you can add additional accounts and customize the default account numbers and descriptions as required. </t>
  </si>
  <si>
    <t>Note: The default "BANK" account refers to the appropriate bank account which is used to reimburse the petty cash or cash float. This default account has been included in the template in order to record the petty cash reimbursements and to calculate an accurate petty cash balance. The default account should not be amended or deleted otherwise it may result in inaccurate petty cash balance calculations. The "BANK" account should therefore be selected from the list box in column H on the Data sheet for all the petty cash or cash float reimbursement transactions which are entered on the Data sheet.</t>
  </si>
  <si>
    <t>Note: The default "TAX1" and "TAX2" account refer to the appropriate sales tax accounts to which the sales tax on all petty cash transactions should be allocated. This account should not be selected when allocating transactions because sales tax liabilities are typically not settled through petty cash or cash floats.</t>
  </si>
  <si>
    <t>The 12 month reporting period which is included on the Report sheet is determined based on the start date entered in cell D2. After specifying the initial opening balance, the petty cash expense report can be rolled forward for an unlimited number of future periods by simply entering a new start date in cell D2. All the calculations on the Report sheet are automatically adjusted based on the date that is specified.</t>
  </si>
  <si>
    <t>The calculations on the journal sheet are automated and based on the journal number which is specified in cell B4. The journal number entered in this cell should be the same as the journal number entered in column B on the Data sheet. The calculation of the journal entries effectively groups all the entries on the Data sheet that have been assigned the same journal number together in order to reflect one total per expense account for all of these entries.</t>
  </si>
  <si>
    <t>This effectively means that the journal number which is entered in column B on the Data sheet determines which entries are grouped together and for which totals per expense account are calculated on the Journal sheet. After recording the appropriate general ledger journal in the primary accounting system, you can refer back to the journal calculation by simply entering the appropriate journal number in cell B4. The individual transactions that make up the journal entries on the Journal sheet can be listed on the Data sheet by using the filter feature and simply selecting the appropriate journal number.</t>
  </si>
  <si>
    <t>Aside from entering a journal number in cell B4, the only other user input that is required on the Journal sheet is entering the appropriate petty cash control and sales tax control accounts in cells A7 to A9. This input is only required if you need to record petty cash expenses in a primary accounting system and the account numbers which are used for the petty cash control and sales tax control accounts in the primary accounting system should therefore be entered in these input cells.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</si>
</sst>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 #,##0.00_ ;_ * \-#,##0.00_ ;_ * &quot;-&quot;??_ ;_ @_ "/>
    <numFmt numFmtId="165" formatCode="mmm\-yyyy"/>
    <numFmt numFmtId="166" formatCode="0.0%"/>
  </numFmts>
  <fonts count="35" x14ac:knownFonts="1">
    <font>
      <sz val="10"/>
      <name val="Century Gothic"/>
      <family val="2"/>
      <scheme val="minor"/>
    </font>
    <font>
      <sz val="10"/>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sz val="10"/>
      <color indexed="9"/>
      <name val="Century Gothic"/>
      <family val="2"/>
      <scheme val="minor"/>
    </font>
    <font>
      <b/>
      <sz val="10"/>
      <color theme="1"/>
      <name val="Century Gothic"/>
      <family val="2"/>
      <scheme val="minor"/>
    </font>
    <font>
      <b/>
      <sz val="12"/>
      <name val="Arial"/>
      <family val="2"/>
    </font>
    <font>
      <i/>
      <sz val="10"/>
      <name val="Arial"/>
      <family val="2"/>
    </font>
    <font>
      <b/>
      <u/>
      <sz val="10"/>
      <color theme="4" tint="-0.249977111117893"/>
      <name val="Arial"/>
      <family val="2"/>
    </font>
    <font>
      <b/>
      <u/>
      <sz val="10"/>
      <color indexed="17"/>
      <name val="Arial"/>
      <family val="2"/>
    </font>
    <font>
      <b/>
      <sz val="10"/>
      <name val="Arial"/>
      <family val="2"/>
    </font>
    <font>
      <b/>
      <i/>
      <sz val="1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64"/>
      </top>
      <bottom style="thin">
        <color indexed="64"/>
      </bottom>
      <diagonal/>
    </border>
    <border>
      <left style="thin">
        <color indexed="8"/>
      </left>
      <right style="thin">
        <color indexed="64"/>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5">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0" borderId="0" applyNumberFormat="0" applyFill="0" applyBorder="0" applyAlignment="0" applyProtection="0">
      <alignment vertical="top"/>
      <protection locked="0"/>
    </xf>
    <xf numFmtId="0" fontId="14" fillId="7" borderId="1" applyNumberFormat="0" applyAlignment="0" applyProtection="0"/>
    <xf numFmtId="0" fontId="15" fillId="0" borderId="6" applyNumberFormat="0" applyFill="0" applyAlignment="0" applyProtection="0"/>
    <xf numFmtId="0" fontId="16" fillId="22" borderId="0" applyNumberFormat="0" applyBorder="0" applyAlignment="0" applyProtection="0"/>
    <xf numFmtId="0" fontId="1" fillId="23" borderId="7" applyNumberFormat="0" applyFont="0" applyAlignment="0" applyProtection="0"/>
    <xf numFmtId="0" fontId="17" fillId="20" borderId="8" applyNumberFormat="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0" borderId="0" applyNumberFormat="0" applyFill="0" applyBorder="0" applyAlignment="0" applyProtection="0"/>
    <xf numFmtId="9" fontId="21" fillId="0" borderId="0" applyFont="0" applyFill="0" applyBorder="0" applyAlignment="0" applyProtection="0"/>
  </cellStyleXfs>
  <cellXfs count="82">
    <xf numFmtId="0" fontId="0" fillId="0" borderId="0" xfId="0"/>
    <xf numFmtId="0" fontId="22" fillId="0" borderId="0" xfId="0" applyFont="1"/>
    <xf numFmtId="0" fontId="23" fillId="0" borderId="0" xfId="0" applyFont="1" applyAlignment="1" applyProtection="1">
      <alignment horizontal="center"/>
      <protection hidden="1"/>
    </xf>
    <xf numFmtId="0" fontId="23" fillId="0" borderId="0" xfId="0" applyFont="1" applyAlignment="1" applyProtection="1">
      <alignment horizontal="left"/>
      <protection hidden="1"/>
    </xf>
    <xf numFmtId="0" fontId="23" fillId="0" borderId="0" xfId="0" applyFont="1" applyProtection="1">
      <protection hidden="1"/>
    </xf>
    <xf numFmtId="0" fontId="24" fillId="0" borderId="0" xfId="0" applyFont="1" applyProtection="1">
      <protection hidden="1"/>
    </xf>
    <xf numFmtId="164" fontId="24" fillId="0" borderId="0" xfId="28" applyFont="1" applyProtection="1">
      <protection hidden="1"/>
    </xf>
    <xf numFmtId="0" fontId="24" fillId="0" borderId="0" xfId="0" applyFont="1" applyAlignment="1" applyProtection="1">
      <alignment horizontal="center"/>
      <protection hidden="1"/>
    </xf>
    <xf numFmtId="14" fontId="25" fillId="0" borderId="0" xfId="0" applyNumberFormat="1" applyFont="1" applyAlignment="1" applyProtection="1">
      <alignment horizontal="left"/>
      <protection hidden="1"/>
    </xf>
    <xf numFmtId="0" fontId="24" fillId="0" borderId="0" xfId="0" applyFont="1" applyAlignment="1" applyProtection="1">
      <alignment horizontal="left"/>
      <protection hidden="1"/>
    </xf>
    <xf numFmtId="14" fontId="27" fillId="0" borderId="0" xfId="0" applyNumberFormat="1" applyFont="1" applyAlignment="1" applyProtection="1">
      <alignment horizontal="left"/>
      <protection hidden="1"/>
    </xf>
    <xf numFmtId="164" fontId="25" fillId="0" borderId="0" xfId="28" applyFont="1" applyProtection="1">
      <protection hidden="1"/>
    </xf>
    <xf numFmtId="0" fontId="25" fillId="0" borderId="0" xfId="28" applyNumberFormat="1" applyFont="1" applyAlignment="1" applyProtection="1">
      <alignment horizontal="center"/>
      <protection hidden="1"/>
    </xf>
    <xf numFmtId="0" fontId="28" fillId="24" borderId="15" xfId="0" applyNumberFormat="1" applyFont="1" applyFill="1" applyBorder="1" applyAlignment="1" applyProtection="1">
      <alignment horizontal="center" wrapText="1"/>
      <protection hidden="1"/>
    </xf>
    <xf numFmtId="0" fontId="28" fillId="24" borderId="15" xfId="0" applyNumberFormat="1" applyFont="1" applyFill="1" applyBorder="1" applyAlignment="1" applyProtection="1">
      <alignment horizontal="left" wrapText="1"/>
      <protection hidden="1"/>
    </xf>
    <xf numFmtId="0" fontId="28" fillId="24" borderId="15" xfId="0" applyNumberFormat="1" applyFont="1" applyFill="1" applyBorder="1" applyAlignment="1" applyProtection="1">
      <alignment wrapText="1"/>
      <protection hidden="1"/>
    </xf>
    <xf numFmtId="0" fontId="28" fillId="24" borderId="15" xfId="28" applyNumberFormat="1" applyFont="1" applyFill="1" applyBorder="1" applyAlignment="1" applyProtection="1">
      <alignment horizontal="center" wrapText="1"/>
      <protection hidden="1"/>
    </xf>
    <xf numFmtId="0" fontId="28" fillId="24" borderId="16" xfId="28" applyNumberFormat="1" applyFont="1" applyFill="1" applyBorder="1" applyAlignment="1" applyProtection="1">
      <alignment horizontal="center" wrapText="1"/>
      <protection hidden="1"/>
    </xf>
    <xf numFmtId="0" fontId="28" fillId="24" borderId="11" xfId="28" applyNumberFormat="1" applyFont="1" applyFill="1" applyBorder="1" applyAlignment="1" applyProtection="1">
      <alignment horizontal="center" wrapText="1"/>
      <protection hidden="1"/>
    </xf>
    <xf numFmtId="0" fontId="28" fillId="26" borderId="11" xfId="28" applyNumberFormat="1" applyFont="1" applyFill="1" applyBorder="1" applyAlignment="1" applyProtection="1">
      <alignment horizontal="center" wrapText="1"/>
      <protection hidden="1"/>
    </xf>
    <xf numFmtId="0" fontId="28" fillId="0" borderId="0" xfId="0" applyNumberFormat="1" applyFont="1" applyAlignment="1" applyProtection="1">
      <alignment wrapText="1"/>
      <protection hidden="1"/>
    </xf>
    <xf numFmtId="14" fontId="24" fillId="0" borderId="0" xfId="0" applyNumberFormat="1" applyFont="1" applyAlignment="1" applyProtection="1">
      <alignment horizontal="center"/>
      <protection hidden="1"/>
    </xf>
    <xf numFmtId="0" fontId="24" fillId="0" borderId="0" xfId="0" applyNumberFormat="1" applyFont="1" applyAlignment="1" applyProtection="1">
      <alignment horizontal="left"/>
      <protection hidden="1"/>
    </xf>
    <xf numFmtId="0" fontId="24" fillId="0" borderId="0" xfId="28" applyNumberFormat="1" applyFont="1" applyAlignment="1" applyProtection="1">
      <alignment horizontal="center"/>
      <protection hidden="1"/>
    </xf>
    <xf numFmtId="0" fontId="23" fillId="0" borderId="0" xfId="0" applyNumberFormat="1" applyFont="1" applyAlignment="1" applyProtection="1">
      <alignment horizontal="left"/>
      <protection hidden="1"/>
    </xf>
    <xf numFmtId="0" fontId="24" fillId="0" borderId="0" xfId="0" applyNumberFormat="1" applyFont="1" applyProtection="1">
      <protection hidden="1"/>
    </xf>
    <xf numFmtId="0" fontId="24" fillId="0" borderId="0" xfId="28" applyNumberFormat="1" applyFont="1" applyProtection="1">
      <protection hidden="1"/>
    </xf>
    <xf numFmtId="0" fontId="25" fillId="0" borderId="0" xfId="0" applyNumberFormat="1" applyFont="1" applyAlignment="1" applyProtection="1">
      <alignment horizontal="left"/>
      <protection hidden="1"/>
    </xf>
    <xf numFmtId="0" fontId="23" fillId="0" borderId="0" xfId="28" applyNumberFormat="1" applyFont="1" applyAlignment="1" applyProtection="1">
      <alignment horizontal="left"/>
      <protection hidden="1"/>
    </xf>
    <xf numFmtId="14" fontId="24" fillId="24" borderId="11" xfId="28" applyNumberFormat="1" applyFont="1" applyFill="1" applyBorder="1" applyAlignment="1" applyProtection="1">
      <alignment horizontal="center"/>
      <protection hidden="1"/>
    </xf>
    <xf numFmtId="14" fontId="27" fillId="0" borderId="0" xfId="0" applyNumberFormat="1" applyFont="1" applyBorder="1" applyAlignment="1" applyProtection="1">
      <alignment horizontal="left"/>
      <protection hidden="1"/>
    </xf>
    <xf numFmtId="0" fontId="23" fillId="0" borderId="0" xfId="28" applyNumberFormat="1" applyFont="1" applyProtection="1">
      <protection hidden="1"/>
    </xf>
    <xf numFmtId="0" fontId="24" fillId="0" borderId="0" xfId="28" applyNumberFormat="1" applyFont="1" applyFill="1" applyBorder="1" applyAlignment="1" applyProtection="1">
      <alignment horizontal="center"/>
      <protection hidden="1"/>
    </xf>
    <xf numFmtId="0" fontId="23" fillId="24" borderId="10" xfId="28" applyNumberFormat="1" applyFont="1" applyFill="1" applyBorder="1" applyAlignment="1" applyProtection="1">
      <alignment horizontal="left" wrapText="1"/>
      <protection hidden="1"/>
    </xf>
    <xf numFmtId="0" fontId="23" fillId="24" borderId="12" xfId="28" applyNumberFormat="1" applyFont="1" applyFill="1" applyBorder="1" applyAlignment="1" applyProtection="1">
      <alignment horizontal="left" wrapText="1"/>
      <protection hidden="1"/>
    </xf>
    <xf numFmtId="165" fontId="23" fillId="25" borderId="11" xfId="28" applyNumberFormat="1" applyFont="1" applyFill="1" applyBorder="1" applyAlignment="1" applyProtection="1">
      <alignment horizontal="center"/>
      <protection hidden="1"/>
    </xf>
    <xf numFmtId="165" fontId="23" fillId="0" borderId="0" xfId="0" applyNumberFormat="1" applyFont="1" applyProtection="1">
      <protection hidden="1"/>
    </xf>
    <xf numFmtId="43" fontId="24" fillId="0" borderId="0" xfId="28" applyNumberFormat="1" applyFont="1" applyProtection="1">
      <protection hidden="1"/>
    </xf>
    <xf numFmtId="43" fontId="24" fillId="0" borderId="0" xfId="0" applyNumberFormat="1" applyFont="1" applyProtection="1">
      <protection hidden="1"/>
    </xf>
    <xf numFmtId="0" fontId="24" fillId="25" borderId="7" xfId="0" applyNumberFormat="1" applyFont="1" applyFill="1" applyBorder="1" applyAlignment="1" applyProtection="1">
      <alignment horizontal="left"/>
      <protection hidden="1"/>
    </xf>
    <xf numFmtId="0" fontId="24" fillId="25" borderId="7" xfId="0" applyNumberFormat="1" applyFont="1" applyFill="1" applyBorder="1" applyProtection="1">
      <protection hidden="1"/>
    </xf>
    <xf numFmtId="0" fontId="23" fillId="0" borderId="0" xfId="0" applyNumberFormat="1" applyFont="1" applyProtection="1">
      <protection hidden="1"/>
    </xf>
    <xf numFmtId="43" fontId="23" fillId="0" borderId="13" xfId="28" applyNumberFormat="1" applyFont="1" applyBorder="1" applyProtection="1">
      <protection hidden="1"/>
    </xf>
    <xf numFmtId="43" fontId="23" fillId="0" borderId="0" xfId="0" applyNumberFormat="1" applyFont="1" applyProtection="1">
      <protection hidden="1"/>
    </xf>
    <xf numFmtId="43" fontId="23" fillId="0" borderId="0" xfId="28" applyNumberFormat="1" applyFont="1" applyProtection="1">
      <protection hidden="1"/>
    </xf>
    <xf numFmtId="0" fontId="23" fillId="24" borderId="11" xfId="0" applyNumberFormat="1" applyFont="1" applyFill="1" applyBorder="1" applyAlignment="1" applyProtection="1">
      <alignment horizontal="center"/>
      <protection hidden="1"/>
    </xf>
    <xf numFmtId="0" fontId="28" fillId="25" borderId="17" xfId="28" applyNumberFormat="1" applyFont="1" applyFill="1" applyBorder="1" applyAlignment="1" applyProtection="1">
      <alignment horizontal="left" wrapText="1"/>
      <protection hidden="1"/>
    </xf>
    <xf numFmtId="43" fontId="28" fillId="25" borderId="11" xfId="28" applyNumberFormat="1" applyFont="1" applyFill="1" applyBorder="1" applyAlignment="1" applyProtection="1">
      <alignment horizontal="center"/>
      <protection hidden="1"/>
    </xf>
    <xf numFmtId="0" fontId="28" fillId="25" borderId="14" xfId="28" applyNumberFormat="1" applyFont="1" applyFill="1" applyBorder="1" applyAlignment="1" applyProtection="1">
      <alignment horizontal="left" wrapText="1"/>
      <protection hidden="1"/>
    </xf>
    <xf numFmtId="165" fontId="28" fillId="0" borderId="0" xfId="0" applyNumberFormat="1" applyFont="1" applyProtection="1">
      <protection hidden="1"/>
    </xf>
    <xf numFmtId="43" fontId="24" fillId="0" borderId="0" xfId="28" applyNumberFormat="1" applyFont="1" applyFill="1" applyBorder="1" applyAlignment="1" applyProtection="1">
      <alignment horizontal="center"/>
      <protection hidden="1"/>
    </xf>
    <xf numFmtId="0" fontId="25" fillId="0" borderId="0" xfId="28" applyNumberFormat="1" applyFont="1" applyFill="1" applyBorder="1" applyAlignment="1" applyProtection="1">
      <alignment horizontal="left"/>
      <protection hidden="1"/>
    </xf>
    <xf numFmtId="165" fontId="23" fillId="0" borderId="0" xfId="0" applyNumberFormat="1" applyFont="1" applyFill="1" applyAlignment="1" applyProtection="1">
      <protection hidden="1"/>
    </xf>
    <xf numFmtId="0" fontId="26" fillId="0" borderId="0" xfId="0" applyNumberFormat="1" applyFont="1" applyAlignment="1" applyProtection="1">
      <alignment horizontal="left"/>
      <protection hidden="1"/>
    </xf>
    <xf numFmtId="14" fontId="26" fillId="0" borderId="0" xfId="0" applyNumberFormat="1" applyFont="1" applyAlignment="1" applyProtection="1">
      <alignment horizontal="left"/>
      <protection hidden="1"/>
    </xf>
    <xf numFmtId="0" fontId="29" fillId="0" borderId="0" xfId="0" applyFont="1" applyAlignment="1" applyProtection="1">
      <alignment horizontal="left" wrapText="1"/>
      <protection hidden="1"/>
    </xf>
    <xf numFmtId="0" fontId="1" fillId="0" borderId="0" xfId="0" applyFont="1" applyAlignment="1" applyProtection="1">
      <alignment wrapText="1"/>
      <protection hidden="1"/>
    </xf>
    <xf numFmtId="0" fontId="30" fillId="0" borderId="0" xfId="0" applyFont="1" applyAlignment="1" applyProtection="1">
      <alignment horizontal="left" wrapText="1"/>
      <protection hidden="1"/>
    </xf>
    <xf numFmtId="0" fontId="32" fillId="0" borderId="0" xfId="35" applyFont="1" applyAlignment="1" applyProtection="1">
      <alignment horizontal="right" wrapText="1"/>
      <protection hidden="1"/>
    </xf>
    <xf numFmtId="0" fontId="1" fillId="0" borderId="0" xfId="0" applyFont="1" applyAlignment="1" applyProtection="1">
      <alignment horizontal="justify" wrapText="1"/>
      <protection hidden="1"/>
    </xf>
    <xf numFmtId="0" fontId="33" fillId="0" borderId="0" xfId="0" applyFont="1" applyAlignment="1" applyProtection="1">
      <alignment horizontal="justify" wrapText="1"/>
      <protection hidden="1"/>
    </xf>
    <xf numFmtId="0" fontId="1" fillId="0" borderId="0" xfId="0" applyFont="1" applyAlignment="1" applyProtection="1">
      <protection hidden="1"/>
    </xf>
    <xf numFmtId="0" fontId="30" fillId="0" borderId="0" xfId="0" applyFont="1" applyAlignment="1" applyProtection="1">
      <alignment horizontal="justify" wrapText="1"/>
      <protection hidden="1"/>
    </xf>
    <xf numFmtId="0" fontId="34" fillId="0" borderId="0" xfId="0" applyFont="1" applyAlignment="1" applyProtection="1">
      <alignment horizontal="justify" wrapText="1"/>
      <protection hidden="1"/>
    </xf>
    <xf numFmtId="0" fontId="33" fillId="0" borderId="0" xfId="0" applyFont="1" applyAlignment="1">
      <alignment horizontal="justify" wrapText="1"/>
    </xf>
    <xf numFmtId="0" fontId="1" fillId="0" borderId="0" xfId="0" applyFont="1" applyAlignment="1">
      <alignment wrapText="1"/>
    </xf>
    <xf numFmtId="0" fontId="1" fillId="0" borderId="0" xfId="0" applyFont="1" applyAlignment="1">
      <alignment horizontal="justify" wrapText="1"/>
    </xf>
    <xf numFmtId="0" fontId="31" fillId="0" borderId="0" xfId="35" applyFont="1" applyAlignment="1" applyProtection="1">
      <alignment horizontal="left" wrapText="1"/>
      <protection hidden="1"/>
    </xf>
    <xf numFmtId="0" fontId="26" fillId="0" borderId="0" xfId="0" applyFont="1" applyProtection="1">
      <protection hidden="1"/>
    </xf>
    <xf numFmtId="0" fontId="25" fillId="0" borderId="0" xfId="0" applyFont="1" applyProtection="1">
      <protection hidden="1"/>
    </xf>
    <xf numFmtId="0" fontId="24" fillId="24" borderId="11" xfId="44" applyNumberFormat="1" applyFont="1" applyFill="1" applyBorder="1" applyAlignment="1" applyProtection="1">
      <alignment horizontal="left"/>
      <protection hidden="1"/>
    </xf>
    <xf numFmtId="166" fontId="24" fillId="24" borderId="11" xfId="44" applyNumberFormat="1" applyFont="1" applyFill="1" applyBorder="1" applyAlignment="1" applyProtection="1">
      <alignment horizontal="left"/>
      <protection hidden="1"/>
    </xf>
    <xf numFmtId="166" fontId="24" fillId="0" borderId="0" xfId="44" applyNumberFormat="1" applyFont="1" applyFill="1" applyBorder="1" applyAlignment="1" applyProtection="1">
      <alignment horizontal="left"/>
      <protection hidden="1"/>
    </xf>
    <xf numFmtId="0" fontId="23" fillId="0" borderId="0" xfId="28" applyNumberFormat="1" applyFont="1" applyFill="1" applyBorder="1" applyAlignment="1" applyProtection="1">
      <alignment horizontal="center"/>
      <protection hidden="1"/>
    </xf>
    <xf numFmtId="166" fontId="24" fillId="0" borderId="0" xfId="44" applyNumberFormat="1" applyFont="1" applyFill="1" applyBorder="1" applyAlignment="1" applyProtection="1">
      <alignment horizontal="center"/>
      <protection hidden="1"/>
    </xf>
    <xf numFmtId="0" fontId="24" fillId="27" borderId="11" xfId="0" applyNumberFormat="1" applyFont="1" applyFill="1" applyBorder="1" applyAlignment="1" applyProtection="1">
      <alignment horizontal="left"/>
      <protection hidden="1"/>
    </xf>
    <xf numFmtId="0" fontId="33" fillId="0" borderId="0" xfId="0" applyFont="1" applyAlignment="1" applyProtection="1">
      <alignment horizontal="justify" vertical="center" wrapText="1"/>
      <protection hidden="1"/>
    </xf>
    <xf numFmtId="0" fontId="1" fillId="0" borderId="0" xfId="0" applyFont="1" applyAlignment="1" applyProtection="1">
      <alignment horizontal="justify" vertical="center" wrapText="1"/>
      <protection hidden="1"/>
    </xf>
    <xf numFmtId="0" fontId="30" fillId="0" borderId="0" xfId="0" applyFont="1" applyAlignment="1" applyProtection="1">
      <alignment horizontal="justify" vertical="center" wrapText="1"/>
      <protection hidden="1"/>
    </xf>
    <xf numFmtId="14" fontId="28" fillId="24" borderId="15" xfId="0" applyNumberFormat="1" applyFont="1" applyFill="1" applyBorder="1" applyAlignment="1" applyProtection="1">
      <alignment horizontal="center" wrapText="1"/>
      <protection hidden="1"/>
    </xf>
    <xf numFmtId="0" fontId="24" fillId="27" borderId="18" xfId="0" applyFont="1" applyFill="1" applyBorder="1" applyAlignment="1" applyProtection="1">
      <alignment horizontal="left"/>
      <protection hidden="1"/>
    </xf>
    <xf numFmtId="0" fontId="24" fillId="27" borderId="19" xfId="0" applyFont="1" applyFill="1" applyBorder="1" applyAlignment="1" applyProtection="1">
      <alignment horizontal="left"/>
      <protection hidden="1"/>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Input" xfId="36" builtinId="20" customBuiltin="1"/>
    <cellStyle name="Linked Cell" xfId="37" builtinId="24" customBuiltin="1"/>
    <cellStyle name="Neutral" xfId="38" builtinId="28" customBuiltin="1"/>
    <cellStyle name="Normal" xfId="0" builtinId="0" customBuiltin="1"/>
    <cellStyle name="Note" xfId="39" builtinId="10" customBuiltin="1"/>
    <cellStyle name="Output" xfId="40" builtinId="21" customBuiltin="1"/>
    <cellStyle name="Percent" xfId="44" builtinId="5"/>
    <cellStyle name="Title" xfId="41" builtinId="15" customBuiltin="1"/>
    <cellStyle name="Total" xfId="42" builtinId="25" customBuiltin="1"/>
    <cellStyle name="Warning Text" xfId="43" builtinId="11" customBuiltin="1"/>
  </cellStyles>
  <dxfs count="29">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font>
        <strike val="0"/>
        <outline val="0"/>
        <shadow val="0"/>
        <u val="none"/>
        <vertAlign val="baseline"/>
        <sz val="10"/>
        <name val="Century Gothic"/>
        <family val="2"/>
        <scheme val="minor"/>
      </font>
    </dxf>
    <dxf>
      <font>
        <strike val="0"/>
        <outline val="0"/>
        <shadow val="0"/>
        <u val="none"/>
        <vertAlign val="baseline"/>
        <sz val="10"/>
        <color theme="1"/>
        <name val="Century Gothic"/>
        <family val="2"/>
        <scheme val="minor"/>
      </font>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relativeIndent="0" justifyLastLine="0" shrinkToFit="0" readingOrder="0"/>
      <protection locked="1" hidden="1"/>
    </dxf>
    <dxf>
      <border outline="0">
        <top style="thin">
          <color indexed="8"/>
        </top>
      </border>
    </dxf>
    <dxf>
      <font>
        <strike val="0"/>
        <outline val="0"/>
        <shadow val="0"/>
        <u val="none"/>
        <vertAlign val="baseline"/>
        <sz val="10"/>
        <name val="Century Gothic"/>
        <family val="2"/>
        <scheme val="minor"/>
      </font>
      <numFmt numFmtId="0" formatCode="General"/>
      <protection locked="1" hidden="1"/>
    </dxf>
    <dxf>
      <border outline="0">
        <bottom style="thin">
          <color indexed="8"/>
        </bottom>
      </border>
    </dxf>
    <dxf>
      <font>
        <strike val="0"/>
        <outline val="0"/>
        <shadow val="0"/>
        <u val="none"/>
        <vertAlign val="baseline"/>
        <sz val="10"/>
        <color theme="1"/>
        <name val="Century Gothic"/>
        <family val="2"/>
        <scheme val="minor"/>
      </font>
      <numFmt numFmtId="0" formatCode="General"/>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s>
  <tableStyles count="0" defaultTableStyle="TableStyleMedium9" defaultPivotStyle="PivotStyleLight16"/>
  <colors>
    <mruColors>
      <color rgb="FFFFFF99"/>
      <color rgb="FFFF66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27"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petty-cash-template.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B1D8F7F6-8F8A-46B5-9F08-F37F6E4C119C}"/>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FD93830E-B3B9-4981-B0D3-07DB56FC0318}"/>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E79D60EF-203F-4FBE-97B8-E4C80077DFA1}"/>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809A14E7-CC37-4688-B408-35B173DDEAB4}"/>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E29F1AAD-A6B3-4600-B6C2-09392AA3BD9A}"/>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0962E873-BFDE-4DC3-B099-870A5B43A7BE}"/>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PETTY CASH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control the expenses that are paid through any petty cash or cash float system. All petty cash expenses and reimbursements can be recorded by entering the appropriate transactions details and a monthly petty cash report is automatically produced. The monthly report includes a 12 month summary of expenses by account and also calculates the petty cash or cash float balance at the end of each monthly period. You can add as many accounts as required and the report can be rolled forward for subsequent periods by simply amending the start date of the report.</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6FC97C4E-EBA1-4D52-8503-4AD1ADD2036C}"/>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7842128C-0C32-4F0D-86F5-81DFB98284B2}"/>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DC3BF17B-230F-41BD-A217-9DE883E445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167640</xdr:colOff>
      <xdr:row>4</xdr:row>
      <xdr:rowOff>218100</xdr:rowOff>
    </xdr:from>
    <xdr:ext cx="2727960" cy="1114490"/>
    <xdr:sp macro="" textlink="">
      <xdr:nvSpPr>
        <xdr:cNvPr id="10" name="Rectangle 17">
          <a:extLst>
            <a:ext uri="{FF2B5EF4-FFF2-40B4-BE49-F238E27FC236}">
              <a16:creationId xmlns:a16="http://schemas.microsoft.com/office/drawing/2014/main" id="{F8FA9DAC-842A-4161-993A-194A588ABEAB}"/>
            </a:ext>
          </a:extLst>
        </xdr:cNvPr>
        <xdr:cNvSpPr>
          <a:spLocks noChangeArrowheads="1"/>
        </xdr:cNvSpPr>
      </xdr:nvSpPr>
      <xdr:spPr bwMode="auto">
        <a:xfrm>
          <a:off x="7696200" y="964860"/>
          <a:ext cx="272796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2</xdr:col>
      <xdr:colOff>192504</xdr:colOff>
      <xdr:row>5</xdr:row>
      <xdr:rowOff>104201</xdr:rowOff>
    </xdr:from>
    <xdr:ext cx="4523875" cy="1308261"/>
    <xdr:sp macro="" textlink="">
      <xdr:nvSpPr>
        <xdr:cNvPr id="2" name="Rectangle 17">
          <a:extLst>
            <a:ext uri="{FF2B5EF4-FFF2-40B4-BE49-F238E27FC236}">
              <a16:creationId xmlns:a16="http://schemas.microsoft.com/office/drawing/2014/main" id="{883D93A6-96D3-4A6D-A885-FC258F6E61F7}"/>
            </a:ext>
          </a:extLst>
        </xdr:cNvPr>
        <xdr:cNvSpPr>
          <a:spLocks noChangeArrowheads="1"/>
        </xdr:cNvSpPr>
      </xdr:nvSpPr>
      <xdr:spPr bwMode="auto">
        <a:xfrm>
          <a:off x="2358188" y="1106833"/>
          <a:ext cx="4523875"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your business name and set up sales tax percentages on this sheet. The business name is used as a heading on the other sheets and the sales tax percentages are used for all sales tax calculations.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104271</xdr:colOff>
      <xdr:row>12</xdr:row>
      <xdr:rowOff>64240</xdr:rowOff>
    </xdr:from>
    <xdr:ext cx="6681539" cy="1500622"/>
    <xdr:sp macro="" textlink="">
      <xdr:nvSpPr>
        <xdr:cNvPr id="3" name="Rectangle 17">
          <a:extLst>
            <a:ext uri="{FF2B5EF4-FFF2-40B4-BE49-F238E27FC236}">
              <a16:creationId xmlns:a16="http://schemas.microsoft.com/office/drawing/2014/main" id="{670508E6-F78A-4DB7-AAB0-7D087B5BF937}"/>
            </a:ext>
          </a:extLst>
        </xdr:cNvPr>
        <xdr:cNvSpPr>
          <a:spLocks noChangeArrowheads="1"/>
        </xdr:cNvSpPr>
      </xdr:nvSpPr>
      <xdr:spPr bwMode="auto">
        <a:xfrm>
          <a:off x="1106903" y="2590872"/>
          <a:ext cx="6681539"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all petty cash expenses and reimbursements on this sheet. The monthly petty cash report and the journal report are automatically compiled based on the transactions recorded on this sheet. All the columns with yellow column headings require user input while the columns with light blue column headings contain formulas which are automatically copied for all new transactions added to the sheet.</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96252</xdr:colOff>
      <xdr:row>17</xdr:row>
      <xdr:rowOff>88158</xdr:rowOff>
    </xdr:from>
    <xdr:ext cx="7122693" cy="1500622"/>
    <xdr:sp macro="" textlink="">
      <xdr:nvSpPr>
        <xdr:cNvPr id="3" name="Rectangle 17">
          <a:extLst>
            <a:ext uri="{FF2B5EF4-FFF2-40B4-BE49-F238E27FC236}">
              <a16:creationId xmlns:a16="http://schemas.microsoft.com/office/drawing/2014/main" id="{38A2B36D-DB39-4F5B-A666-9E663D9AEFF9}"/>
            </a:ext>
          </a:extLst>
        </xdr:cNvPr>
        <xdr:cNvSpPr>
          <a:spLocks noChangeArrowheads="1"/>
        </xdr:cNvSpPr>
      </xdr:nvSpPr>
      <xdr:spPr bwMode="auto">
        <a:xfrm>
          <a:off x="2767263" y="3416895"/>
          <a:ext cx="7122693"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petty cash expense report on this sheet is automatically compiled based on the transactions recorded on the Data sheet. The reporting periods can be amended by simply changing the date in cell D2. The report includes 9 default accounts that can be customized according to requirements and you can add as many additional accounts as required. All the calculations in the columns with light blue column headings are automated.</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3</xdr:col>
      <xdr:colOff>120316</xdr:colOff>
      <xdr:row>8</xdr:row>
      <xdr:rowOff>192432</xdr:rowOff>
    </xdr:from>
    <xdr:ext cx="6152148" cy="1500622"/>
    <xdr:sp macro="" textlink="">
      <xdr:nvSpPr>
        <xdr:cNvPr id="3" name="Rectangle 17">
          <a:extLst>
            <a:ext uri="{FF2B5EF4-FFF2-40B4-BE49-F238E27FC236}">
              <a16:creationId xmlns:a16="http://schemas.microsoft.com/office/drawing/2014/main" id="{0C32BD37-7316-4FB3-B8DB-BC2019D1613F}"/>
            </a:ext>
          </a:extLst>
        </xdr:cNvPr>
        <xdr:cNvSpPr>
          <a:spLocks noChangeArrowheads="1"/>
        </xdr:cNvSpPr>
      </xdr:nvSpPr>
      <xdr:spPr bwMode="auto">
        <a:xfrm>
          <a:off x="5069305" y="1916958"/>
          <a:ext cx="6152148"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journal report on this sheet is automatically compiled based on the transactions recorded on the Data sheet. The only user input required is specifying the journal number in cell B4 and entering the petty cash and sales tax control account numbers in cells A7 to A9. Note that journal numbers are specified when entering transactions in column B on the Data sheet.</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etty" displayName="Petty" ref="A4:N95" totalsRowShown="0" headerRowDxfId="25" dataDxfId="23" headerRowBorderDxfId="24" tableBorderDxfId="22">
  <autoFilter ref="A4:N95" xr:uid="{00000000-0009-0000-0100-000001000000}"/>
  <sortState xmlns:xlrd2="http://schemas.microsoft.com/office/spreadsheetml/2017/richdata2" ref="A5:N95">
    <sortCondition ref="A5:A95"/>
    <sortCondition ref="C5:C95"/>
  </sortState>
  <tableColumns count="14">
    <tableColumn id="1" xr3:uid="{00000000-0010-0000-0000-000001000000}" name="Transaction Date" dataDxfId="21"/>
    <tableColumn id="2" xr3:uid="{00000000-0010-0000-0000-000002000000}" name="Journal Number" dataDxfId="20"/>
    <tableColumn id="3" xr3:uid="{00000000-0010-0000-0000-000003000000}" name="Voucher Number" dataDxfId="19"/>
    <tableColumn id="4" xr3:uid="{00000000-0010-0000-0000-000004000000}" name="Supplier" dataDxfId="18"/>
    <tableColumn id="5" xr3:uid="{00000000-0010-0000-0000-000005000000}" name="Reference" dataDxfId="17"/>
    <tableColumn id="6" xr3:uid="{00000000-0010-0000-0000-000006000000}" name="Description" dataDxfId="16"/>
    <tableColumn id="7" xr3:uid="{00000000-0010-0000-0000-000007000000}" name="Inclusive Amount" dataDxfId="15" dataCellStyle="Comma"/>
    <tableColumn id="8" xr3:uid="{00000000-0010-0000-0000-000008000000}" name="Account Number" dataDxfId="14" dataCellStyle="Comma"/>
    <tableColumn id="9" xr3:uid="{00000000-0010-0000-0000-000009000000}" name="Tax 1 Code" dataDxfId="13"/>
    <tableColumn id="14" xr3:uid="{358A7F7F-918C-4E78-8751-57F58CB73E75}" name="Tax 2 Code" dataDxfId="12"/>
    <tableColumn id="10" xr3:uid="{00000000-0010-0000-0000-00000A000000}" name="Sales Tax 1 Amount" dataDxfId="11" dataCellStyle="Comma">
      <calculatedColumnFormula>$G5/(1+IF(ISERROR($I5),0,IF(ISNA(MATCH($I5,TaxCode,0)),0,OFFSET(Setup!$B$7,MATCH($I5,TaxCode,0),0,1,1)))+IF(ISERROR($J5),0,IF(ISNA(MATCH($J5,TaxCode,0)),0,OFFSET(Setup!$B$7,MATCH($J5,TaxCode,0),0,1,1))))*IF(ISERROR($I5),0,IF(ISNA(MATCH($I5,TaxCode,0)),0,OFFSET(Setup!$B$7,MATCH($I5,TaxCode,0),0,1,1)))</calculatedColumnFormula>
    </tableColumn>
    <tableColumn id="13" xr3:uid="{1C78EFAD-F5D0-43B2-B421-7E564E9AE272}" name="Sales Tax 2 Amount" dataDxfId="10" dataCellStyle="Comma">
      <calculatedColumnFormula>$G5/(1+IF(ISERROR($I5),0,IF(ISNA(MATCH($I5,TaxCode,0)),0,OFFSET(Setup!$B$7,MATCH($I5,TaxCode,0),0,1,1)))+IF(ISERROR($J5),0,IF(ISNA(MATCH($J5,TaxCode,0)),0,OFFSET(Setup!$B$7,MATCH($J5,TaxCode,0),0,1,1))))*IF(ISERROR($J5),0,IF(ISNA(MATCH($J5,TaxCode,0)),0,OFFSET(Setup!$B$7,MATCH($J5,TaxCode,0),0,1,1)))</calculatedColumnFormula>
    </tableColumn>
    <tableColumn id="11" xr3:uid="{00000000-0010-0000-0000-00000B000000}" name="Exclusive Amount" dataDxfId="9" dataCellStyle="Comma">
      <calculatedColumnFormula array="1">G5-IF(TaxCount=2,SUM($K5:$L5),$K5:$K5)</calculatedColumnFormula>
    </tableColumn>
    <tableColumn id="12" xr3:uid="{00000000-0010-0000-0000-00000C000000}" name="Error Code" dataDxfId="8">
      <calculatedColumnFormula>IF(AND($G5&gt;0,$H5&lt;&gt;"BANK")=TRUE,"E1",IF(AND($G5&lt;0,$H5="BANK")=TRUE,"E1",IF(AND(ISNA(VLOOKUP($H5,AccountNo,1,0))=TRUE,ISBLANK($H5)=FALSE)=TRUE,"E2","-")))</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urnals" displayName="Journals" ref="A6:C29" totalsRowShown="0" headerRowDxfId="4" dataDxfId="3">
  <autoFilter ref="A6:C29" xr:uid="{00000000-0009-0000-0100-000002000000}"/>
  <tableColumns count="3">
    <tableColumn id="1" xr3:uid="{00000000-0010-0000-0100-000001000000}" name="Account Number" dataDxfId="2">
      <calculatedColumnFormula>IF(ROW($D7)-ROW($D$9)&gt;COUNTA(OFFSET(Report!$B$4,1,0,ROW(Report!$B$17)-ROW(Report!$B$4)-1,1)),"",IF(OFFSET(Report!$A$4,ROW($D7)-ROW($D$9),0,1,1)="BANK","",IF(OFFSET(Report!$A$4,ROW($D7)-ROW($D$9),0,1,1)="TAX1","",IF(OFFSET(Report!$A$4,ROW($D7)-ROW($D$9),0,1,1)="TAX2","",OFFSET(Report!$A$4,ROW($D7)-ROW($D$9),0,1,1)))))</calculatedColumnFormula>
    </tableColumn>
    <tableColumn id="2" xr3:uid="{00000000-0010-0000-0100-000002000000}" name="Amount" dataDxfId="1" dataCellStyle="Comma">
      <calculatedColumnFormula>IF(LEN($A7)&gt;1,-SUMPRODUCT((Journal=$B$4)*(Account=$A7)*(AmountExcl)),"")</calculatedColumnFormula>
    </tableColumn>
    <tableColumn id="3" xr3:uid="{00000000-0010-0000-0100-000003000000}" name="Account Description" dataDxfId="0">
      <calculatedColumnFormula>IF(ISNA(VLOOKUP($A7,AccountNo,2,0))=TRUE,"",VLOOKUP($A7,AccountNo,2,0))</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102"/>
  <sheetViews>
    <sheetView zoomScaleNormal="100" workbookViewId="0">
      <pane ySplit="3" topLeftCell="A4" activePane="bottomLeft" state="frozen"/>
      <selection pane="bottomLeft"/>
    </sheetView>
  </sheetViews>
  <sheetFormatPr defaultColWidth="9.140625" defaultRowHeight="12.75" x14ac:dyDescent="0.2"/>
  <cols>
    <col min="1" max="1" width="109.7109375" style="59" customWidth="1"/>
    <col min="2" max="2" width="50.7109375" style="56" customWidth="1"/>
    <col min="3" max="10" width="15.7109375" style="56" customWidth="1"/>
    <col min="11" max="16384" width="9.140625" style="56"/>
  </cols>
  <sheetData>
    <row r="1" spans="1:1" ht="15.75" x14ac:dyDescent="0.25">
      <c r="A1" s="55" t="s">
        <v>47</v>
      </c>
    </row>
    <row r="2" spans="1:1" ht="15" customHeight="1" x14ac:dyDescent="0.2">
      <c r="A2" s="57" t="s">
        <v>11</v>
      </c>
    </row>
    <row r="3" spans="1:1" ht="15" customHeight="1" x14ac:dyDescent="0.2">
      <c r="A3" s="67" t="s">
        <v>12</v>
      </c>
    </row>
    <row r="4" spans="1:1" x14ac:dyDescent="0.2">
      <c r="A4" s="58"/>
    </row>
    <row r="5" spans="1:1" ht="63.75" x14ac:dyDescent="0.2">
      <c r="A5" s="59" t="s">
        <v>154</v>
      </c>
    </row>
    <row r="7" spans="1:1" x14ac:dyDescent="0.2">
      <c r="A7" s="59" t="s">
        <v>13</v>
      </c>
    </row>
    <row r="8" spans="1:1" ht="25.5" x14ac:dyDescent="0.2">
      <c r="A8" s="59" t="s">
        <v>155</v>
      </c>
    </row>
    <row r="9" spans="1:1" x14ac:dyDescent="0.2">
      <c r="A9" s="60" t="s">
        <v>128</v>
      </c>
    </row>
    <row r="10" spans="1:1" ht="51" x14ac:dyDescent="0.2">
      <c r="A10" s="60" t="s">
        <v>156</v>
      </c>
    </row>
    <row r="11" spans="1:1" ht="51" x14ac:dyDescent="0.2">
      <c r="A11" s="60" t="s">
        <v>157</v>
      </c>
    </row>
    <row r="13" spans="1:1" x14ac:dyDescent="0.2">
      <c r="A13" s="76" t="s">
        <v>133</v>
      </c>
    </row>
    <row r="14" spans="1:1" x14ac:dyDescent="0.2">
      <c r="A14" s="76"/>
    </row>
    <row r="15" spans="1:1" ht="25.5" x14ac:dyDescent="0.2">
      <c r="A15" s="77" t="s">
        <v>176</v>
      </c>
    </row>
    <row r="16" spans="1:1" x14ac:dyDescent="0.2">
      <c r="A16" s="77"/>
    </row>
    <row r="17" spans="1:1" ht="51" x14ac:dyDescent="0.2">
      <c r="A17" s="77" t="s">
        <v>178</v>
      </c>
    </row>
    <row r="18" spans="1:1" x14ac:dyDescent="0.2">
      <c r="A18" s="77"/>
    </row>
    <row r="19" spans="1:1" ht="51" x14ac:dyDescent="0.2">
      <c r="A19" s="78" t="s">
        <v>177</v>
      </c>
    </row>
    <row r="20" spans="1:1" x14ac:dyDescent="0.2">
      <c r="A20" s="76"/>
    </row>
    <row r="21" spans="1:1" x14ac:dyDescent="0.2">
      <c r="A21" s="60" t="s">
        <v>0</v>
      </c>
    </row>
    <row r="22" spans="1:1" x14ac:dyDescent="0.2">
      <c r="A22" s="60"/>
    </row>
    <row r="23" spans="1:1" s="61" customFormat="1" ht="38.25" x14ac:dyDescent="0.2">
      <c r="A23" s="59" t="s">
        <v>158</v>
      </c>
    </row>
    <row r="24" spans="1:1" ht="25.5" x14ac:dyDescent="0.2">
      <c r="A24" s="60" t="s">
        <v>159</v>
      </c>
    </row>
    <row r="25" spans="1:1" ht="38.25" x14ac:dyDescent="0.2">
      <c r="A25" s="60" t="s">
        <v>160</v>
      </c>
    </row>
    <row r="26" spans="1:1" ht="38.25" x14ac:dyDescent="0.2">
      <c r="A26" s="60" t="s">
        <v>129</v>
      </c>
    </row>
    <row r="27" spans="1:1" x14ac:dyDescent="0.2">
      <c r="A27" s="59" t="s">
        <v>130</v>
      </c>
    </row>
    <row r="28" spans="1:1" ht="25.5" x14ac:dyDescent="0.2">
      <c r="A28" s="60" t="s">
        <v>161</v>
      </c>
    </row>
    <row r="29" spans="1:1" x14ac:dyDescent="0.2">
      <c r="A29" s="60" t="s">
        <v>162</v>
      </c>
    </row>
    <row r="30" spans="1:1" ht="25.5" x14ac:dyDescent="0.2">
      <c r="A30" s="60" t="s">
        <v>131</v>
      </c>
    </row>
    <row r="31" spans="1:1" ht="38.25" x14ac:dyDescent="0.2">
      <c r="A31" s="60" t="s">
        <v>163</v>
      </c>
    </row>
    <row r="32" spans="1:1" ht="51" x14ac:dyDescent="0.2">
      <c r="A32" s="59" t="s">
        <v>164</v>
      </c>
    </row>
    <row r="33" spans="1:1" ht="51" x14ac:dyDescent="0.2">
      <c r="A33" s="59" t="s">
        <v>165</v>
      </c>
    </row>
    <row r="34" spans="1:1" ht="38.25" x14ac:dyDescent="0.2">
      <c r="A34" s="59" t="s">
        <v>166</v>
      </c>
    </row>
    <row r="35" spans="1:1" ht="38.25" x14ac:dyDescent="0.2">
      <c r="A35" s="59" t="s">
        <v>167</v>
      </c>
    </row>
    <row r="36" spans="1:1" ht="25.5" x14ac:dyDescent="0.2">
      <c r="A36" s="59" t="s">
        <v>168</v>
      </c>
    </row>
    <row r="37" spans="1:1" ht="25.5" x14ac:dyDescent="0.2">
      <c r="A37" s="59" t="s">
        <v>132</v>
      </c>
    </row>
    <row r="38" spans="1:1" x14ac:dyDescent="0.2">
      <c r="A38" s="60"/>
    </row>
    <row r="39" spans="1:1" ht="89.25" x14ac:dyDescent="0.2">
      <c r="A39" s="62" t="s">
        <v>116</v>
      </c>
    </row>
    <row r="40" spans="1:1" x14ac:dyDescent="0.2">
      <c r="A40" s="62"/>
    </row>
    <row r="41" spans="1:1" ht="51" x14ac:dyDescent="0.2">
      <c r="A41" s="62" t="s">
        <v>169</v>
      </c>
    </row>
    <row r="43" spans="1:1" ht="51" x14ac:dyDescent="0.2">
      <c r="A43" s="62" t="s">
        <v>124</v>
      </c>
    </row>
    <row r="45" spans="1:1" x14ac:dyDescent="0.2">
      <c r="A45" s="63" t="s">
        <v>117</v>
      </c>
    </row>
    <row r="46" spans="1:1" x14ac:dyDescent="0.2">
      <c r="A46" s="62"/>
    </row>
    <row r="47" spans="1:1" ht="25.5" x14ac:dyDescent="0.2">
      <c r="A47" s="59" t="s">
        <v>118</v>
      </c>
    </row>
    <row r="48" spans="1:1" x14ac:dyDescent="0.2">
      <c r="A48" s="62"/>
    </row>
    <row r="49" spans="1:1" ht="38.25" x14ac:dyDescent="0.2">
      <c r="A49" s="62" t="s">
        <v>119</v>
      </c>
    </row>
    <row r="50" spans="1:1" ht="38.25" x14ac:dyDescent="0.2">
      <c r="A50" s="62" t="s">
        <v>170</v>
      </c>
    </row>
    <row r="51" spans="1:1" x14ac:dyDescent="0.2">
      <c r="A51" s="62"/>
    </row>
    <row r="52" spans="1:1" ht="25.5" x14ac:dyDescent="0.2">
      <c r="A52" s="62" t="s">
        <v>120</v>
      </c>
    </row>
    <row r="53" spans="1:1" x14ac:dyDescent="0.2">
      <c r="A53" s="62"/>
    </row>
    <row r="54" spans="1:1" x14ac:dyDescent="0.2">
      <c r="A54" s="63" t="s">
        <v>1</v>
      </c>
    </row>
    <row r="55" spans="1:1" x14ac:dyDescent="0.2">
      <c r="A55" s="62"/>
    </row>
    <row r="56" spans="1:1" ht="63.75" x14ac:dyDescent="0.2">
      <c r="A56" s="59" t="s">
        <v>121</v>
      </c>
    </row>
    <row r="57" spans="1:1" x14ac:dyDescent="0.2">
      <c r="A57" s="62"/>
    </row>
    <row r="58" spans="1:1" ht="51" x14ac:dyDescent="0.2">
      <c r="A58" s="62" t="s">
        <v>122</v>
      </c>
    </row>
    <row r="59" spans="1:1" x14ac:dyDescent="0.2">
      <c r="A59" s="62"/>
    </row>
    <row r="60" spans="1:1" x14ac:dyDescent="0.2">
      <c r="A60" s="60" t="s">
        <v>171</v>
      </c>
    </row>
    <row r="62" spans="1:1" ht="38.25" x14ac:dyDescent="0.2">
      <c r="A62" s="59" t="s">
        <v>172</v>
      </c>
    </row>
    <row r="64" spans="1:1" ht="25.5" x14ac:dyDescent="0.2">
      <c r="A64" s="62" t="s">
        <v>173</v>
      </c>
    </row>
    <row r="66" spans="1:1" ht="38.25" x14ac:dyDescent="0.2">
      <c r="A66" s="59" t="s">
        <v>175</v>
      </c>
    </row>
    <row r="68" spans="1:1" ht="63.75" x14ac:dyDescent="0.2">
      <c r="A68" s="62" t="s">
        <v>174</v>
      </c>
    </row>
    <row r="69" spans="1:1" x14ac:dyDescent="0.2">
      <c r="A69" s="62"/>
    </row>
    <row r="70" spans="1:1" x14ac:dyDescent="0.2">
      <c r="A70" s="60" t="s">
        <v>2</v>
      </c>
    </row>
    <row r="72" spans="1:1" ht="38.25" x14ac:dyDescent="0.2">
      <c r="A72" s="59" t="s">
        <v>179</v>
      </c>
    </row>
    <row r="74" spans="1:1" ht="38.25" x14ac:dyDescent="0.2">
      <c r="A74" s="59" t="s">
        <v>3</v>
      </c>
    </row>
    <row r="76" spans="1:1" ht="89.25" x14ac:dyDescent="0.2">
      <c r="A76" s="59" t="s">
        <v>123</v>
      </c>
    </row>
    <row r="78" spans="1:1" ht="63.75" x14ac:dyDescent="0.2">
      <c r="A78" s="62" t="s">
        <v>180</v>
      </c>
    </row>
    <row r="79" spans="1:1" x14ac:dyDescent="0.2">
      <c r="A79" s="62"/>
    </row>
    <row r="80" spans="1:1" ht="38.25" x14ac:dyDescent="0.2">
      <c r="A80" s="62" t="s">
        <v>181</v>
      </c>
    </row>
    <row r="82" spans="1:1" ht="51" x14ac:dyDescent="0.2">
      <c r="A82" s="59" t="s">
        <v>182</v>
      </c>
    </row>
    <row r="84" spans="1:1" x14ac:dyDescent="0.2">
      <c r="A84" s="60" t="s">
        <v>4</v>
      </c>
    </row>
    <row r="86" spans="1:1" ht="51" x14ac:dyDescent="0.2">
      <c r="A86" s="59" t="s">
        <v>5</v>
      </c>
    </row>
    <row r="88" spans="1:1" ht="51" x14ac:dyDescent="0.2">
      <c r="A88" s="59" t="s">
        <v>183</v>
      </c>
    </row>
    <row r="90" spans="1:1" ht="63.75" x14ac:dyDescent="0.2">
      <c r="A90" s="59" t="s">
        <v>184</v>
      </c>
    </row>
    <row r="92" spans="1:1" ht="51" x14ac:dyDescent="0.2">
      <c r="A92" s="62" t="s">
        <v>125</v>
      </c>
    </row>
    <row r="94" spans="1:1" ht="51" x14ac:dyDescent="0.2">
      <c r="A94" s="59" t="s">
        <v>185</v>
      </c>
    </row>
    <row r="96" spans="1:1" x14ac:dyDescent="0.2">
      <c r="A96" s="60" t="s">
        <v>14</v>
      </c>
    </row>
    <row r="98" spans="1:1" ht="63.75" x14ac:dyDescent="0.2">
      <c r="A98" s="59" t="s">
        <v>15</v>
      </c>
    </row>
    <row r="100" spans="1:1" s="65" customFormat="1" x14ac:dyDescent="0.2">
      <c r="A100" s="64" t="s">
        <v>126</v>
      </c>
    </row>
    <row r="101" spans="1:1" s="65" customFormat="1" x14ac:dyDescent="0.2">
      <c r="A101" s="64"/>
    </row>
    <row r="102" spans="1:1" s="65" customFormat="1" ht="76.5" x14ac:dyDescent="0.2">
      <c r="A102" s="66" t="s">
        <v>127</v>
      </c>
    </row>
  </sheetData>
  <sheetProtection selectLockedCells="1"/>
  <phoneticPr fontId="2" type="noConversion"/>
  <hyperlinks>
    <hyperlink ref="A3" r:id="rId1" xr:uid="{00000000-0004-0000-0300-000000000000}"/>
  </hyperlinks>
  <pageMargins left="0.55118110236220474" right="0.55118110236220474" top="0.59055118110236227" bottom="0.59055118110236227" header="0.39370078740157483" footer="0.39370078740157483"/>
  <pageSetup paperSize="9" scale="98" fitToHeight="0" orientation="portrait" r:id="rId2"/>
  <headerFooter alignWithMargins="0">
    <oddFooter>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975AA-1F63-4882-B054-E8D500738B70}">
  <sheetPr codeName="Sheet4"/>
  <dimension ref="A1:C12"/>
  <sheetViews>
    <sheetView zoomScale="95" zoomScaleNormal="95" workbookViewId="0">
      <selection activeCell="B4" sqref="B4:C4"/>
    </sheetView>
  </sheetViews>
  <sheetFormatPr defaultRowHeight="16.149999999999999" customHeight="1" x14ac:dyDescent="0.25"/>
  <cols>
    <col min="1" max="3" width="15.7109375" customWidth="1"/>
  </cols>
  <sheetData>
    <row r="1" spans="1:3" s="5" customFormat="1" ht="16.149999999999999" customHeight="1" x14ac:dyDescent="0.25">
      <c r="A1" s="68" t="s">
        <v>141</v>
      </c>
    </row>
    <row r="2" spans="1:3" s="5" customFormat="1" ht="16.149999999999999" customHeight="1" x14ac:dyDescent="0.25">
      <c r="A2" s="69" t="s">
        <v>133</v>
      </c>
    </row>
    <row r="3" spans="1:3" s="5" customFormat="1" ht="16.149999999999999" customHeight="1" x14ac:dyDescent="0.25"/>
    <row r="4" spans="1:3" s="5" customFormat="1" ht="16.149999999999999" customHeight="1" x14ac:dyDescent="0.25">
      <c r="A4" s="5" t="s">
        <v>134</v>
      </c>
      <c r="B4" s="80" t="s">
        <v>135</v>
      </c>
      <c r="C4" s="81"/>
    </row>
    <row r="5" spans="1:3" s="5" customFormat="1" ht="16.149999999999999" customHeight="1" x14ac:dyDescent="0.25"/>
    <row r="6" spans="1:3" s="4" customFormat="1" ht="16.149999999999999" customHeight="1" x14ac:dyDescent="0.2">
      <c r="A6" s="4" t="s">
        <v>136</v>
      </c>
    </row>
    <row r="7" spans="1:3" s="69" customFormat="1" ht="16.149999999999999" customHeight="1" x14ac:dyDescent="0.2">
      <c r="A7" s="69" t="s">
        <v>137</v>
      </c>
      <c r="B7" s="69" t="s">
        <v>138</v>
      </c>
    </row>
    <row r="8" spans="1:3" s="5" customFormat="1" ht="16.149999999999999" customHeight="1" x14ac:dyDescent="0.25">
      <c r="A8" s="70" t="s">
        <v>113</v>
      </c>
      <c r="B8" s="71">
        <v>0.15</v>
      </c>
      <c r="C8" s="72"/>
    </row>
    <row r="9" spans="1:3" s="5" customFormat="1" ht="16.149999999999999" customHeight="1" x14ac:dyDescent="0.25">
      <c r="A9" s="70" t="s">
        <v>139</v>
      </c>
      <c r="B9" s="71">
        <v>0</v>
      </c>
      <c r="C9" s="72"/>
    </row>
    <row r="10" spans="1:3" s="5" customFormat="1" ht="16.149999999999999" customHeight="1" x14ac:dyDescent="0.25">
      <c r="A10" s="70" t="s">
        <v>114</v>
      </c>
      <c r="B10" s="71">
        <v>0</v>
      </c>
      <c r="C10" s="72"/>
    </row>
    <row r="11" spans="1:3" s="5" customFormat="1" ht="16.149999999999999" customHeight="1" x14ac:dyDescent="0.25">
      <c r="A11" s="69" t="s">
        <v>140</v>
      </c>
    </row>
    <row r="12" spans="1:3" s="5" customFormat="1" ht="16.149999999999999" customHeight="1" x14ac:dyDescent="0.25"/>
  </sheetData>
  <mergeCells count="1">
    <mergeCell ref="B4:C4"/>
  </mergeCells>
  <dataValidations count="1">
    <dataValidation type="decimal" allowBlank="1" showInputMessage="1" showErrorMessage="1" errorTitle="Invalid Tax %" error="The applicable tax percentage needs to be entered as a percentage value - only values between 0 and 1 are therefore accepted." sqref="B8:C10" xr:uid="{A6E0557B-6268-44F7-A4A5-D76DB7FCC5F5}">
      <formula1>0</formula1>
      <formula2>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N95"/>
  <sheetViews>
    <sheetView zoomScale="95" workbookViewId="0">
      <pane ySplit="4" topLeftCell="A5" activePane="bottomLeft" state="frozen"/>
      <selection pane="bottomLeft" activeCell="A4" sqref="A4"/>
    </sheetView>
  </sheetViews>
  <sheetFormatPr defaultColWidth="9.140625" defaultRowHeight="16.149999999999999" customHeight="1" x14ac:dyDescent="0.25"/>
  <cols>
    <col min="1" max="1" width="14.7109375" style="21" customWidth="1"/>
    <col min="2" max="3" width="12.7109375" style="7" customWidth="1"/>
    <col min="4" max="4" width="25.42578125" style="9" customWidth="1"/>
    <col min="5" max="5" width="14.7109375" style="5" customWidth="1"/>
    <col min="6" max="6" width="26.28515625" style="5" customWidth="1"/>
    <col min="7" max="7" width="14.7109375" style="6" customWidth="1"/>
    <col min="8" max="8" width="14.7109375" style="23" customWidth="1"/>
    <col min="9" max="10" width="9.7109375" style="7" customWidth="1"/>
    <col min="11" max="13" width="14.7109375" style="6" customWidth="1"/>
    <col min="14" max="14" width="8.7109375" style="7" customWidth="1"/>
    <col min="15" max="16384" width="9.140625" style="5"/>
  </cols>
  <sheetData>
    <row r="1" spans="1:14" s="4" customFormat="1" ht="16.149999999999999" customHeight="1" x14ac:dyDescent="0.25">
      <c r="A1" s="54" t="str">
        <f>Setup!$B$4</f>
        <v>Example (Pty) Limited</v>
      </c>
      <c r="B1" s="2"/>
      <c r="C1" s="2"/>
      <c r="D1" s="3"/>
      <c r="G1" s="5"/>
      <c r="H1" s="73"/>
      <c r="I1" s="74"/>
      <c r="J1" s="74"/>
      <c r="K1" s="6"/>
      <c r="L1" s="6"/>
      <c r="M1" s="6"/>
      <c r="N1" s="7"/>
    </row>
    <row r="2" spans="1:14" ht="16.149999999999999" customHeight="1" x14ac:dyDescent="0.25">
      <c r="A2" s="8" t="s">
        <v>22</v>
      </c>
      <c r="H2" s="73"/>
      <c r="I2" s="74"/>
      <c r="J2" s="74"/>
    </row>
    <row r="3" spans="1:14" ht="16.149999999999999" customHeight="1" x14ac:dyDescent="0.25">
      <c r="A3" s="10" t="s">
        <v>18</v>
      </c>
      <c r="G3" s="11">
        <f>SUBTOTAL(109,Amount)</f>
        <v>858.62000000000012</v>
      </c>
      <c r="H3" s="12"/>
      <c r="K3" s="11">
        <f ca="1">SUBTOTAL(109,AmountTax1)</f>
        <v>-2000.8486956521747</v>
      </c>
      <c r="L3" s="11" cm="1">
        <f t="array" aca="1" ref="L3" ca="1">SUBTOTAL(109,AmountTax2)</f>
        <v>0</v>
      </c>
      <c r="M3" s="11">
        <f ca="1">SUBTOTAL(109,AmountExcl)</f>
        <v>2859.4686956521746</v>
      </c>
    </row>
    <row r="4" spans="1:14" s="20" customFormat="1" ht="25.5" x14ac:dyDescent="0.2">
      <c r="A4" s="79" t="s">
        <v>6</v>
      </c>
      <c r="B4" s="13" t="s">
        <v>50</v>
      </c>
      <c r="C4" s="13" t="s">
        <v>51</v>
      </c>
      <c r="D4" s="14" t="s">
        <v>109</v>
      </c>
      <c r="E4" s="15" t="s">
        <v>7</v>
      </c>
      <c r="F4" s="15" t="s">
        <v>8</v>
      </c>
      <c r="G4" s="16" t="s">
        <v>110</v>
      </c>
      <c r="H4" s="17" t="s">
        <v>19</v>
      </c>
      <c r="I4" s="18" t="s">
        <v>145</v>
      </c>
      <c r="J4" s="18" t="s">
        <v>146</v>
      </c>
      <c r="K4" s="19" t="s">
        <v>143</v>
      </c>
      <c r="L4" s="19" t="s">
        <v>144</v>
      </c>
      <c r="M4" s="19" t="s">
        <v>111</v>
      </c>
      <c r="N4" s="19" t="s">
        <v>112</v>
      </c>
    </row>
    <row r="5" spans="1:14" ht="16.149999999999999" customHeight="1" x14ac:dyDescent="0.25">
      <c r="A5" s="21">
        <v>43889</v>
      </c>
      <c r="B5" s="7">
        <v>0</v>
      </c>
      <c r="C5" s="7">
        <v>0</v>
      </c>
      <c r="D5" s="9" t="s">
        <v>43</v>
      </c>
      <c r="E5" s="22" t="s">
        <v>10</v>
      </c>
      <c r="F5" s="5" t="s">
        <v>23</v>
      </c>
      <c r="G5" s="6">
        <v>650</v>
      </c>
      <c r="H5" s="23" t="s">
        <v>107</v>
      </c>
      <c r="I5" s="7" t="s">
        <v>114</v>
      </c>
      <c r="J5" s="7" t="s">
        <v>114</v>
      </c>
      <c r="K5" s="6">
        <f ca="1">$G5/(1+IF(ISERROR($I5),0,IF(ISNA(MATCH($I5,TaxCode,0)),0,OFFSET(Setup!$B$7,MATCH($I5,TaxCode,0),0,1,1)))+IF(ISERROR($J5),0,IF(ISNA(MATCH($J5,TaxCode,0)),0,OFFSET(Setup!$B$7,MATCH($J5,TaxCode,0),0,1,1))))*IF(ISERROR($I5),0,IF(ISNA(MATCH($I5,TaxCode,0)),0,OFFSET(Setup!$B$7,MATCH($I5,TaxCode,0),0,1,1)))</f>
        <v>0</v>
      </c>
      <c r="L5" s="6">
        <f ca="1">$G5/(1+IF(ISERROR($I5),0,IF(ISNA(MATCH($I5,TaxCode,0)),0,OFFSET(Setup!$B$7,MATCH($I5,TaxCode,0),0,1,1)))+IF(ISERROR($J5),0,IF(ISNA(MATCH($J5,TaxCode,0)),0,OFFSET(Setup!$B$7,MATCH($J5,TaxCode,0),0,1,1))))*IF(ISERROR($J5),0,IF(ISNA(MATCH($J5,TaxCode,0)),0,OFFSET(Setup!$B$7,MATCH($J5,TaxCode,0),0,1,1)))</f>
        <v>0</v>
      </c>
      <c r="M5" s="6" cm="1">
        <f t="array" aca="1" ref="M5" ca="1">G5-IF(TaxCount=2,SUM($K5:$L5),$K5:$K5)</f>
        <v>650</v>
      </c>
      <c r="N5" s="7" t="str">
        <f t="shared" ref="N5:N36" ca="1" si="0">IF(AND($G5&gt;0,$H5&lt;&gt;"BANK")=TRUE,"E1",IF(AND($G5&lt;0,$H5="BANK")=TRUE,"E1",IF(AND(ISNA(VLOOKUP($H5,AccountNo,1,0))=TRUE,ISBLANK($H5)=FALSE)=TRUE,"E2","-")))</f>
        <v>-</v>
      </c>
    </row>
    <row r="6" spans="1:14" ht="16.149999999999999" customHeight="1" x14ac:dyDescent="0.25">
      <c r="A6" s="21">
        <v>43893</v>
      </c>
      <c r="B6" s="7">
        <v>1201</v>
      </c>
      <c r="C6" s="7">
        <v>54</v>
      </c>
      <c r="D6" s="9" t="s">
        <v>94</v>
      </c>
      <c r="E6" s="22" t="s">
        <v>45</v>
      </c>
      <c r="F6" s="5" t="s">
        <v>16</v>
      </c>
      <c r="G6" s="6">
        <v>-23.939999999999998</v>
      </c>
      <c r="H6" s="23" t="s">
        <v>32</v>
      </c>
      <c r="I6" s="7" t="s">
        <v>113</v>
      </c>
      <c r="J6" s="7" t="s">
        <v>114</v>
      </c>
      <c r="K6" s="6">
        <f ca="1">$G6/(1+IF(ISERROR($I6),0,IF(ISNA(MATCH($I6,TaxCode,0)),0,OFFSET(Setup!$B$7,MATCH($I6,TaxCode,0),0,1,1)))+IF(ISERROR($J6),0,IF(ISNA(MATCH($J6,TaxCode,0)),0,OFFSET(Setup!$B$7,MATCH($J6,TaxCode,0),0,1,1))))*IF(ISERROR($I6),0,IF(ISNA(MATCH($I6,TaxCode,0)),0,OFFSET(Setup!$B$7,MATCH($I6,TaxCode,0),0,1,1)))</f>
        <v>-3.1226086956521737</v>
      </c>
      <c r="L6" s="6">
        <f ca="1">$G6/(1+IF(ISERROR($I6),0,IF(ISNA(MATCH($I6,TaxCode,0)),0,OFFSET(Setup!$B$7,MATCH($I6,TaxCode,0),0,1,1)))+IF(ISERROR($J6),0,IF(ISNA(MATCH($J6,TaxCode,0)),0,OFFSET(Setup!$B$7,MATCH($J6,TaxCode,0),0,1,1))))*IF(ISERROR($J6),0,IF(ISNA(MATCH($J6,TaxCode,0)),0,OFFSET(Setup!$B$7,MATCH($J6,TaxCode,0),0,1,1)))</f>
        <v>0</v>
      </c>
      <c r="M6" s="6" cm="1">
        <f t="array" aca="1" ref="M6" ca="1">G6-IF(TaxCount=2,SUM($K6:$L6),$K6:$K6)</f>
        <v>-20.817391304347822</v>
      </c>
      <c r="N6" s="7" t="str">
        <f t="shared" ca="1" si="0"/>
        <v>-</v>
      </c>
    </row>
    <row r="7" spans="1:14" ht="16.149999999999999" customHeight="1" x14ac:dyDescent="0.25">
      <c r="A7" s="21">
        <v>43895</v>
      </c>
      <c r="B7" s="7">
        <v>1201</v>
      </c>
      <c r="C7" s="7">
        <v>55</v>
      </c>
      <c r="D7" s="9" t="s">
        <v>52</v>
      </c>
      <c r="E7" s="22" t="s">
        <v>53</v>
      </c>
      <c r="F7" s="5" t="s">
        <v>78</v>
      </c>
      <c r="G7" s="6">
        <v>-148.19999999999999</v>
      </c>
      <c r="H7" s="23" t="s">
        <v>28</v>
      </c>
      <c r="I7" s="7" t="s">
        <v>113</v>
      </c>
      <c r="J7" s="7" t="s">
        <v>114</v>
      </c>
      <c r="K7" s="6">
        <f ca="1">$G7/(1+IF(ISERROR($I7),0,IF(ISNA(MATCH($I7,TaxCode,0)),0,OFFSET(Setup!$B$7,MATCH($I7,TaxCode,0),0,1,1)))+IF(ISERROR($J7),0,IF(ISNA(MATCH($J7,TaxCode,0)),0,OFFSET(Setup!$B$7,MATCH($J7,TaxCode,0),0,1,1))))*IF(ISERROR($I7),0,IF(ISNA(MATCH($I7,TaxCode,0)),0,OFFSET(Setup!$B$7,MATCH($I7,TaxCode,0),0,1,1)))</f>
        <v>-19.330434782608695</v>
      </c>
      <c r="L7" s="6">
        <f ca="1">$G7/(1+IF(ISERROR($I7),0,IF(ISNA(MATCH($I7,TaxCode,0)),0,OFFSET(Setup!$B$7,MATCH($I7,TaxCode,0),0,1,1)))+IF(ISERROR($J7),0,IF(ISNA(MATCH($J7,TaxCode,0)),0,OFFSET(Setup!$B$7,MATCH($J7,TaxCode,0),0,1,1))))*IF(ISERROR($J7),0,IF(ISNA(MATCH($J7,TaxCode,0)),0,OFFSET(Setup!$B$7,MATCH($J7,TaxCode,0),0,1,1)))</f>
        <v>0</v>
      </c>
      <c r="M7" s="6" cm="1">
        <f t="array" aca="1" ref="M7" ca="1">G7-IF(TaxCount=2,SUM($K7:$L7),$K7:$K7)</f>
        <v>-128.86956521739128</v>
      </c>
      <c r="N7" s="7" t="str">
        <f t="shared" ca="1" si="0"/>
        <v>-</v>
      </c>
    </row>
    <row r="8" spans="1:14" ht="16.149999999999999" customHeight="1" x14ac:dyDescent="0.25">
      <c r="A8" s="21">
        <v>43905</v>
      </c>
      <c r="B8" s="7">
        <v>1201</v>
      </c>
      <c r="C8" s="7">
        <v>56</v>
      </c>
      <c r="D8" s="9" t="s">
        <v>46</v>
      </c>
      <c r="E8" s="5" t="s">
        <v>45</v>
      </c>
      <c r="F8" s="5" t="s">
        <v>88</v>
      </c>
      <c r="G8" s="6">
        <v>-363.65999999999997</v>
      </c>
      <c r="H8" s="23" t="s">
        <v>30</v>
      </c>
      <c r="I8" s="7" t="s">
        <v>113</v>
      </c>
      <c r="J8" s="7" t="s">
        <v>114</v>
      </c>
      <c r="K8" s="6">
        <f ca="1">$G8/(1+IF(ISERROR($I8),0,IF(ISNA(MATCH($I8,TaxCode,0)),0,OFFSET(Setup!$B$7,MATCH($I8,TaxCode,0),0,1,1)))+IF(ISERROR($J8),0,IF(ISNA(MATCH($J8,TaxCode,0)),0,OFFSET(Setup!$B$7,MATCH($J8,TaxCode,0),0,1,1))))*IF(ISERROR($I8),0,IF(ISNA(MATCH($I8,TaxCode,0)),0,OFFSET(Setup!$B$7,MATCH($I8,TaxCode,0),0,1,1)))</f>
        <v>-47.433913043478256</v>
      </c>
      <c r="L8" s="6">
        <f ca="1">$G8/(1+IF(ISERROR($I8),0,IF(ISNA(MATCH($I8,TaxCode,0)),0,OFFSET(Setup!$B$7,MATCH($I8,TaxCode,0),0,1,1)))+IF(ISERROR($J8),0,IF(ISNA(MATCH($J8,TaxCode,0)),0,OFFSET(Setup!$B$7,MATCH($J8,TaxCode,0),0,1,1))))*IF(ISERROR($J8),0,IF(ISNA(MATCH($J8,TaxCode,0)),0,OFFSET(Setup!$B$7,MATCH($J8,TaxCode,0),0,1,1)))</f>
        <v>0</v>
      </c>
      <c r="M8" s="6" cm="1">
        <f t="array" aca="1" ref="M8" ca="1">G8-IF(TaxCount=2,SUM($K8:$L8),$K8:$K8)</f>
        <v>-316.22608695652173</v>
      </c>
      <c r="N8" s="7" t="str">
        <f t="shared" ca="1" si="0"/>
        <v>-</v>
      </c>
    </row>
    <row r="9" spans="1:14" ht="16.149999999999999" customHeight="1" x14ac:dyDescent="0.25">
      <c r="A9" s="21">
        <v>43909</v>
      </c>
      <c r="B9" s="7">
        <v>1201</v>
      </c>
      <c r="C9" s="7">
        <v>57</v>
      </c>
      <c r="D9" s="9" t="s">
        <v>52</v>
      </c>
      <c r="E9" s="22" t="s">
        <v>54</v>
      </c>
      <c r="F9" s="5" t="s">
        <v>78</v>
      </c>
      <c r="G9" s="6">
        <v>-148.19999999999999</v>
      </c>
      <c r="H9" s="23" t="s">
        <v>28</v>
      </c>
      <c r="I9" s="7" t="s">
        <v>113</v>
      </c>
      <c r="J9" s="7" t="s">
        <v>114</v>
      </c>
      <c r="K9" s="6">
        <f ca="1">$G9/(1+IF(ISERROR($I9),0,IF(ISNA(MATCH($I9,TaxCode,0)),0,OFFSET(Setup!$B$7,MATCH($I9,TaxCode,0),0,1,1)))+IF(ISERROR($J9),0,IF(ISNA(MATCH($J9,TaxCode,0)),0,OFFSET(Setup!$B$7,MATCH($J9,TaxCode,0),0,1,1))))*IF(ISERROR($I9),0,IF(ISNA(MATCH($I9,TaxCode,0)),0,OFFSET(Setup!$B$7,MATCH($I9,TaxCode,0),0,1,1)))</f>
        <v>-19.330434782608695</v>
      </c>
      <c r="L9" s="6">
        <f ca="1">$G9/(1+IF(ISERROR($I9),0,IF(ISNA(MATCH($I9,TaxCode,0)),0,OFFSET(Setup!$B$7,MATCH($I9,TaxCode,0),0,1,1)))+IF(ISERROR($J9),0,IF(ISNA(MATCH($J9,TaxCode,0)),0,OFFSET(Setup!$B$7,MATCH($J9,TaxCode,0),0,1,1))))*IF(ISERROR($J9),0,IF(ISNA(MATCH($J9,TaxCode,0)),0,OFFSET(Setup!$B$7,MATCH($J9,TaxCode,0),0,1,1)))</f>
        <v>0</v>
      </c>
      <c r="M9" s="6" cm="1">
        <f t="array" aca="1" ref="M9" ca="1">G9-IF(TaxCount=2,SUM($K9:$L9),$K9:$K9)</f>
        <v>-128.86956521739128</v>
      </c>
      <c r="N9" s="7" t="str">
        <f t="shared" ca="1" si="0"/>
        <v>-</v>
      </c>
    </row>
    <row r="10" spans="1:14" ht="16.149999999999999" customHeight="1" x14ac:dyDescent="0.25">
      <c r="A10" s="21">
        <v>43915</v>
      </c>
      <c r="B10" s="7">
        <v>1201</v>
      </c>
      <c r="C10" s="7">
        <v>58</v>
      </c>
      <c r="D10" s="9" t="s">
        <v>95</v>
      </c>
      <c r="E10" s="22" t="s">
        <v>45</v>
      </c>
      <c r="F10" s="5" t="s">
        <v>96</v>
      </c>
      <c r="G10" s="6">
        <v>-341.99999999999994</v>
      </c>
      <c r="H10" s="23" t="s">
        <v>26</v>
      </c>
      <c r="I10" s="7" t="s">
        <v>114</v>
      </c>
      <c r="J10" s="7" t="s">
        <v>114</v>
      </c>
      <c r="K10" s="6">
        <f ca="1">$G10/(1+IF(ISERROR($I10),0,IF(ISNA(MATCH($I10,TaxCode,0)),0,OFFSET(Setup!$B$7,MATCH($I10,TaxCode,0),0,1,1)))+IF(ISERROR($J10),0,IF(ISNA(MATCH($J10,TaxCode,0)),0,OFFSET(Setup!$B$7,MATCH($J10,TaxCode,0),0,1,1))))*IF(ISERROR($I10),0,IF(ISNA(MATCH($I10,TaxCode,0)),0,OFFSET(Setup!$B$7,MATCH($I10,TaxCode,0),0,1,1)))</f>
        <v>0</v>
      </c>
      <c r="L10" s="6">
        <f ca="1">$G10/(1+IF(ISERROR($I10),0,IF(ISNA(MATCH($I10,TaxCode,0)),0,OFFSET(Setup!$B$7,MATCH($I10,TaxCode,0),0,1,1)))+IF(ISERROR($J10),0,IF(ISNA(MATCH($J10,TaxCode,0)),0,OFFSET(Setup!$B$7,MATCH($J10,TaxCode,0),0,1,1))))*IF(ISERROR($J10),0,IF(ISNA(MATCH($J10,TaxCode,0)),0,OFFSET(Setup!$B$7,MATCH($J10,TaxCode,0),0,1,1)))</f>
        <v>0</v>
      </c>
      <c r="M10" s="6" cm="1">
        <f t="array" aca="1" ref="M10" ca="1">G10-IF(TaxCount=2,SUM($K10:$L10),$K10:$K10)</f>
        <v>-341.99999999999994</v>
      </c>
      <c r="N10" s="7" t="str">
        <f t="shared" ca="1" si="0"/>
        <v>-</v>
      </c>
    </row>
    <row r="11" spans="1:14" ht="16.149999999999999" customHeight="1" x14ac:dyDescent="0.25">
      <c r="A11" s="21">
        <v>43921</v>
      </c>
      <c r="B11" s="7">
        <v>0</v>
      </c>
      <c r="C11" s="7">
        <v>0</v>
      </c>
      <c r="D11" s="9" t="s">
        <v>103</v>
      </c>
      <c r="E11" s="5" t="s">
        <v>45</v>
      </c>
      <c r="F11" s="5" t="s">
        <v>42</v>
      </c>
      <c r="G11" s="6">
        <v>1140</v>
      </c>
      <c r="H11" s="23" t="s">
        <v>107</v>
      </c>
      <c r="I11" s="7" t="s">
        <v>114</v>
      </c>
      <c r="J11" s="7" t="s">
        <v>114</v>
      </c>
      <c r="K11" s="6">
        <f ca="1">$G11/(1+IF(ISERROR($I11),0,IF(ISNA(MATCH($I11,TaxCode,0)),0,OFFSET(Setup!$B$7,MATCH($I11,TaxCode,0),0,1,1)))+IF(ISERROR($J11),0,IF(ISNA(MATCH($J11,TaxCode,0)),0,OFFSET(Setup!$B$7,MATCH($J11,TaxCode,0),0,1,1))))*IF(ISERROR($I11),0,IF(ISNA(MATCH($I11,TaxCode,0)),0,OFFSET(Setup!$B$7,MATCH($I11,TaxCode,0),0,1,1)))</f>
        <v>0</v>
      </c>
      <c r="L11" s="6">
        <f ca="1">$G11/(1+IF(ISERROR($I11),0,IF(ISNA(MATCH($I11,TaxCode,0)),0,OFFSET(Setup!$B$7,MATCH($I11,TaxCode,0),0,1,1)))+IF(ISERROR($J11),0,IF(ISNA(MATCH($J11,TaxCode,0)),0,OFFSET(Setup!$B$7,MATCH($J11,TaxCode,0),0,1,1))))*IF(ISERROR($J11),0,IF(ISNA(MATCH($J11,TaxCode,0)),0,OFFSET(Setup!$B$7,MATCH($J11,TaxCode,0),0,1,1)))</f>
        <v>0</v>
      </c>
      <c r="M11" s="6" cm="1">
        <f t="array" aca="1" ref="M11" ca="1">G11-IF(TaxCount=2,SUM($K11:$L11),$K11:$K11)</f>
        <v>1140</v>
      </c>
      <c r="N11" s="7" t="str">
        <f t="shared" ca="1" si="0"/>
        <v>-</v>
      </c>
    </row>
    <row r="12" spans="1:14" ht="16.149999999999999" customHeight="1" x14ac:dyDescent="0.25">
      <c r="A12" s="21">
        <v>43923</v>
      </c>
      <c r="B12" s="7">
        <v>1202</v>
      </c>
      <c r="C12" s="7">
        <v>59</v>
      </c>
      <c r="D12" s="9" t="s">
        <v>52</v>
      </c>
      <c r="E12" s="22" t="s">
        <v>55</v>
      </c>
      <c r="F12" s="5" t="s">
        <v>78</v>
      </c>
      <c r="G12" s="6">
        <v>-148.19999999999999</v>
      </c>
      <c r="H12" s="23" t="s">
        <v>28</v>
      </c>
      <c r="I12" s="7" t="s">
        <v>113</v>
      </c>
      <c r="J12" s="7" t="s">
        <v>114</v>
      </c>
      <c r="K12" s="6">
        <f ca="1">$G12/(1+IF(ISERROR($I12),0,IF(ISNA(MATCH($I12,TaxCode,0)),0,OFFSET(Setup!$B$7,MATCH($I12,TaxCode,0),0,1,1)))+IF(ISERROR($J12),0,IF(ISNA(MATCH($J12,TaxCode,0)),0,OFFSET(Setup!$B$7,MATCH($J12,TaxCode,0),0,1,1))))*IF(ISERROR($I12),0,IF(ISNA(MATCH($I12,TaxCode,0)),0,OFFSET(Setup!$B$7,MATCH($I12,TaxCode,0),0,1,1)))</f>
        <v>-19.330434782608695</v>
      </c>
      <c r="L12" s="6">
        <f ca="1">$G12/(1+IF(ISERROR($I12),0,IF(ISNA(MATCH($I12,TaxCode,0)),0,OFFSET(Setup!$B$7,MATCH($I12,TaxCode,0),0,1,1)))+IF(ISERROR($J12),0,IF(ISNA(MATCH($J12,TaxCode,0)),0,OFFSET(Setup!$B$7,MATCH($J12,TaxCode,0),0,1,1))))*IF(ISERROR($J12),0,IF(ISNA(MATCH($J12,TaxCode,0)),0,OFFSET(Setup!$B$7,MATCH($J12,TaxCode,0),0,1,1)))</f>
        <v>0</v>
      </c>
      <c r="M12" s="6" cm="1">
        <f t="array" aca="1" ref="M12" ca="1">G12-IF(TaxCount=2,SUM($K12:$L12),$K12:$K12)</f>
        <v>-128.86956521739128</v>
      </c>
      <c r="N12" s="7" t="str">
        <f t="shared" ca="1" si="0"/>
        <v>-</v>
      </c>
    </row>
    <row r="13" spans="1:14" ht="16.149999999999999" customHeight="1" x14ac:dyDescent="0.25">
      <c r="A13" s="21">
        <v>43925</v>
      </c>
      <c r="B13" s="7">
        <v>1202</v>
      </c>
      <c r="C13" s="7">
        <v>60</v>
      </c>
      <c r="D13" s="9" t="s">
        <v>94</v>
      </c>
      <c r="E13" s="5" t="s">
        <v>45</v>
      </c>
      <c r="F13" s="5" t="s">
        <v>16</v>
      </c>
      <c r="G13" s="6">
        <v>-38.76</v>
      </c>
      <c r="H13" s="23" t="s">
        <v>32</v>
      </c>
      <c r="I13" s="7" t="s">
        <v>113</v>
      </c>
      <c r="J13" s="7" t="s">
        <v>114</v>
      </c>
      <c r="K13" s="6">
        <f ca="1">$G13/(1+IF(ISERROR($I13),0,IF(ISNA(MATCH($I13,TaxCode,0)),0,OFFSET(Setup!$B$7,MATCH($I13,TaxCode,0),0,1,1)))+IF(ISERROR($J13),0,IF(ISNA(MATCH($J13,TaxCode,0)),0,OFFSET(Setup!$B$7,MATCH($J13,TaxCode,0),0,1,1))))*IF(ISERROR($I13),0,IF(ISNA(MATCH($I13,TaxCode,0)),0,OFFSET(Setup!$B$7,MATCH($I13,TaxCode,0),0,1,1)))</f>
        <v>-5.0556521739130433</v>
      </c>
      <c r="L13" s="6">
        <f ca="1">$G13/(1+IF(ISERROR($I13),0,IF(ISNA(MATCH($I13,TaxCode,0)),0,OFFSET(Setup!$B$7,MATCH($I13,TaxCode,0),0,1,1)))+IF(ISERROR($J13),0,IF(ISNA(MATCH($J13,TaxCode,0)),0,OFFSET(Setup!$B$7,MATCH($J13,TaxCode,0),0,1,1))))*IF(ISERROR($J13),0,IF(ISNA(MATCH($J13,TaxCode,0)),0,OFFSET(Setup!$B$7,MATCH($J13,TaxCode,0),0,1,1)))</f>
        <v>0</v>
      </c>
      <c r="M13" s="6" cm="1">
        <f t="array" aca="1" ref="M13" ca="1">G13-IF(TaxCount=2,SUM($K13:$L13),$K13:$K13)</f>
        <v>-33.704347826086952</v>
      </c>
      <c r="N13" s="7" t="str">
        <f t="shared" ca="1" si="0"/>
        <v>-</v>
      </c>
    </row>
    <row r="14" spans="1:14" ht="16.149999999999999" customHeight="1" x14ac:dyDescent="0.25">
      <c r="A14" s="21">
        <v>43935</v>
      </c>
      <c r="B14" s="7">
        <v>1202</v>
      </c>
      <c r="C14" s="7">
        <v>61</v>
      </c>
      <c r="D14" s="9" t="s">
        <v>44</v>
      </c>
      <c r="E14" s="5" t="s">
        <v>97</v>
      </c>
      <c r="F14" s="5" t="s">
        <v>24</v>
      </c>
      <c r="G14" s="6">
        <v>-640.67999999999995</v>
      </c>
      <c r="H14" s="23" t="s">
        <v>33</v>
      </c>
      <c r="I14" s="7" t="s">
        <v>113</v>
      </c>
      <c r="J14" s="7" t="s">
        <v>114</v>
      </c>
      <c r="K14" s="6">
        <f ca="1">$G14/(1+IF(ISERROR($I14),0,IF(ISNA(MATCH($I14,TaxCode,0)),0,OFFSET(Setup!$B$7,MATCH($I14,TaxCode,0),0,1,1)))+IF(ISERROR($J14),0,IF(ISNA(MATCH($J14,TaxCode,0)),0,OFFSET(Setup!$B$7,MATCH($J14,TaxCode,0),0,1,1))))*IF(ISERROR($I14),0,IF(ISNA(MATCH($I14,TaxCode,0)),0,OFFSET(Setup!$B$7,MATCH($I14,TaxCode,0),0,1,1)))</f>
        <v>-83.566956521739129</v>
      </c>
      <c r="L14" s="6">
        <f ca="1">$G14/(1+IF(ISERROR($I14),0,IF(ISNA(MATCH($I14,TaxCode,0)),0,OFFSET(Setup!$B$7,MATCH($I14,TaxCode,0),0,1,1)))+IF(ISERROR($J14),0,IF(ISNA(MATCH($J14,TaxCode,0)),0,OFFSET(Setup!$B$7,MATCH($J14,TaxCode,0),0,1,1))))*IF(ISERROR($J14),0,IF(ISNA(MATCH($J14,TaxCode,0)),0,OFFSET(Setup!$B$7,MATCH($J14,TaxCode,0),0,1,1)))</f>
        <v>0</v>
      </c>
      <c r="M14" s="6" cm="1">
        <f t="array" aca="1" ref="M14" ca="1">G14-IF(TaxCount=2,SUM($K14:$L14),$K14:$K14)</f>
        <v>-557.11304347826081</v>
      </c>
      <c r="N14" s="7" t="str">
        <f t="shared" ca="1" si="0"/>
        <v>-</v>
      </c>
    </row>
    <row r="15" spans="1:14" ht="16.149999999999999" customHeight="1" x14ac:dyDescent="0.25">
      <c r="A15" s="21">
        <v>43936</v>
      </c>
      <c r="B15" s="7">
        <v>1202</v>
      </c>
      <c r="C15" s="7">
        <v>62</v>
      </c>
      <c r="D15" s="9" t="s">
        <v>46</v>
      </c>
      <c r="E15" s="5" t="s">
        <v>45</v>
      </c>
      <c r="F15" s="5" t="s">
        <v>88</v>
      </c>
      <c r="G15" s="6">
        <v>-216.6</v>
      </c>
      <c r="H15" s="23" t="s">
        <v>30</v>
      </c>
      <c r="I15" s="7" t="s">
        <v>113</v>
      </c>
      <c r="J15" s="7" t="s">
        <v>114</v>
      </c>
      <c r="K15" s="6">
        <f ca="1">$G15/(1+IF(ISERROR($I15),0,IF(ISNA(MATCH($I15,TaxCode,0)),0,OFFSET(Setup!$B$7,MATCH($I15,TaxCode,0),0,1,1)))+IF(ISERROR($J15),0,IF(ISNA(MATCH($J15,TaxCode,0)),0,OFFSET(Setup!$B$7,MATCH($J15,TaxCode,0),0,1,1))))*IF(ISERROR($I15),0,IF(ISNA(MATCH($I15,TaxCode,0)),0,OFFSET(Setup!$B$7,MATCH($I15,TaxCode,0),0,1,1)))</f>
        <v>-28.252173913043478</v>
      </c>
      <c r="L15" s="6">
        <f ca="1">$G15/(1+IF(ISERROR($I15),0,IF(ISNA(MATCH($I15,TaxCode,0)),0,OFFSET(Setup!$B$7,MATCH($I15,TaxCode,0),0,1,1)))+IF(ISERROR($J15),0,IF(ISNA(MATCH($J15,TaxCode,0)),0,OFFSET(Setup!$B$7,MATCH($J15,TaxCode,0),0,1,1))))*IF(ISERROR($J15),0,IF(ISNA(MATCH($J15,TaxCode,0)),0,OFFSET(Setup!$B$7,MATCH($J15,TaxCode,0),0,1,1)))</f>
        <v>0</v>
      </c>
      <c r="M15" s="6" cm="1">
        <f t="array" aca="1" ref="M15" ca="1">G15-IF(TaxCount=2,SUM($K15:$L15),$K15:$K15)</f>
        <v>-188.3478260869565</v>
      </c>
      <c r="N15" s="7" t="str">
        <f t="shared" ca="1" si="0"/>
        <v>-</v>
      </c>
    </row>
    <row r="16" spans="1:14" ht="16.149999999999999" customHeight="1" x14ac:dyDescent="0.25">
      <c r="A16" s="21">
        <v>43937</v>
      </c>
      <c r="B16" s="7">
        <v>1202</v>
      </c>
      <c r="C16" s="7">
        <v>63</v>
      </c>
      <c r="D16" s="9" t="s">
        <v>84</v>
      </c>
      <c r="E16" s="5" t="s">
        <v>45</v>
      </c>
      <c r="F16" s="5" t="s">
        <v>85</v>
      </c>
      <c r="G16" s="6">
        <v>-241.67999999999998</v>
      </c>
      <c r="H16" s="23" t="s">
        <v>25</v>
      </c>
      <c r="I16" s="7" t="s">
        <v>113</v>
      </c>
      <c r="J16" s="7" t="s">
        <v>114</v>
      </c>
      <c r="K16" s="6">
        <f ca="1">$G16/(1+IF(ISERROR($I16),0,IF(ISNA(MATCH($I16,TaxCode,0)),0,OFFSET(Setup!$B$7,MATCH($I16,TaxCode,0),0,1,1)))+IF(ISERROR($J16),0,IF(ISNA(MATCH($J16,TaxCode,0)),0,OFFSET(Setup!$B$7,MATCH($J16,TaxCode,0),0,1,1))))*IF(ISERROR($I16),0,IF(ISNA(MATCH($I16,TaxCode,0)),0,OFFSET(Setup!$B$7,MATCH($I16,TaxCode,0),0,1,1)))</f>
        <v>-31.523478260869563</v>
      </c>
      <c r="L16" s="6">
        <f ca="1">$G16/(1+IF(ISERROR($I16),0,IF(ISNA(MATCH($I16,TaxCode,0)),0,OFFSET(Setup!$B$7,MATCH($I16,TaxCode,0),0,1,1)))+IF(ISERROR($J16),0,IF(ISNA(MATCH($J16,TaxCode,0)),0,OFFSET(Setup!$B$7,MATCH($J16,TaxCode,0),0,1,1))))*IF(ISERROR($J16),0,IF(ISNA(MATCH($J16,TaxCode,0)),0,OFFSET(Setup!$B$7,MATCH($J16,TaxCode,0),0,1,1)))</f>
        <v>0</v>
      </c>
      <c r="M16" s="6" cm="1">
        <f t="array" aca="1" ref="M16" ca="1">G16-IF(TaxCount=2,SUM($K16:$L16),$K16:$K16)</f>
        <v>-210.15652173913043</v>
      </c>
      <c r="N16" s="7" t="str">
        <f t="shared" ca="1" si="0"/>
        <v>-</v>
      </c>
    </row>
    <row r="17" spans="1:14" ht="16.149999999999999" customHeight="1" x14ac:dyDescent="0.25">
      <c r="A17" s="21">
        <v>43937</v>
      </c>
      <c r="B17" s="7">
        <v>1202</v>
      </c>
      <c r="C17" s="7">
        <v>64</v>
      </c>
      <c r="D17" s="9" t="s">
        <v>52</v>
      </c>
      <c r="E17" s="22" t="s">
        <v>56</v>
      </c>
      <c r="F17" s="5" t="s">
        <v>78</v>
      </c>
      <c r="G17" s="6">
        <v>-148.19999999999999</v>
      </c>
      <c r="H17" s="23" t="s">
        <v>28</v>
      </c>
      <c r="I17" s="7" t="s">
        <v>113</v>
      </c>
      <c r="J17" s="7" t="s">
        <v>114</v>
      </c>
      <c r="K17" s="6">
        <f ca="1">$G17/(1+IF(ISERROR($I17),0,IF(ISNA(MATCH($I17,TaxCode,0)),0,OFFSET(Setup!$B$7,MATCH($I17,TaxCode,0),0,1,1)))+IF(ISERROR($J17),0,IF(ISNA(MATCH($J17,TaxCode,0)),0,OFFSET(Setup!$B$7,MATCH($J17,TaxCode,0),0,1,1))))*IF(ISERROR($I17),0,IF(ISNA(MATCH($I17,TaxCode,0)),0,OFFSET(Setup!$B$7,MATCH($I17,TaxCode,0),0,1,1)))</f>
        <v>-19.330434782608695</v>
      </c>
      <c r="L17" s="6">
        <f ca="1">$G17/(1+IF(ISERROR($I17),0,IF(ISNA(MATCH($I17,TaxCode,0)),0,OFFSET(Setup!$B$7,MATCH($I17,TaxCode,0),0,1,1)))+IF(ISERROR($J17),0,IF(ISNA(MATCH($J17,TaxCode,0)),0,OFFSET(Setup!$B$7,MATCH($J17,TaxCode,0),0,1,1))))*IF(ISERROR($J17),0,IF(ISNA(MATCH($J17,TaxCode,0)),0,OFFSET(Setup!$B$7,MATCH($J17,TaxCode,0),0,1,1)))</f>
        <v>0</v>
      </c>
      <c r="M17" s="6" cm="1">
        <f t="array" aca="1" ref="M17" ca="1">G17-IF(TaxCount=2,SUM($K17:$L17),$K17:$K17)</f>
        <v>-128.86956521739128</v>
      </c>
      <c r="N17" s="7" t="str">
        <f t="shared" ca="1" si="0"/>
        <v>-</v>
      </c>
    </row>
    <row r="18" spans="1:14" ht="16.149999999999999" customHeight="1" x14ac:dyDescent="0.25">
      <c r="A18" s="21">
        <v>43946</v>
      </c>
      <c r="B18" s="7">
        <v>1202</v>
      </c>
      <c r="C18" s="7">
        <v>65</v>
      </c>
      <c r="D18" s="9" t="s">
        <v>95</v>
      </c>
      <c r="E18" s="22" t="s">
        <v>45</v>
      </c>
      <c r="F18" s="5" t="s">
        <v>96</v>
      </c>
      <c r="G18" s="6">
        <v>-341.99999999999994</v>
      </c>
      <c r="H18" s="23" t="s">
        <v>26</v>
      </c>
      <c r="I18" s="7" t="s">
        <v>114</v>
      </c>
      <c r="J18" s="7" t="s">
        <v>114</v>
      </c>
      <c r="K18" s="6">
        <f ca="1">$G18/(1+IF(ISERROR($I18),0,IF(ISNA(MATCH($I18,TaxCode,0)),0,OFFSET(Setup!$B$7,MATCH($I18,TaxCode,0),0,1,1)))+IF(ISERROR($J18),0,IF(ISNA(MATCH($J18,TaxCode,0)),0,OFFSET(Setup!$B$7,MATCH($J18,TaxCode,0),0,1,1))))*IF(ISERROR($I18),0,IF(ISNA(MATCH($I18,TaxCode,0)),0,OFFSET(Setup!$B$7,MATCH($I18,TaxCode,0),0,1,1)))</f>
        <v>0</v>
      </c>
      <c r="L18" s="6">
        <f ca="1">$G18/(1+IF(ISERROR($I18),0,IF(ISNA(MATCH($I18,TaxCode,0)),0,OFFSET(Setup!$B$7,MATCH($I18,TaxCode,0),0,1,1)))+IF(ISERROR($J18),0,IF(ISNA(MATCH($J18,TaxCode,0)),0,OFFSET(Setup!$B$7,MATCH($J18,TaxCode,0),0,1,1))))*IF(ISERROR($J18),0,IF(ISNA(MATCH($J18,TaxCode,0)),0,OFFSET(Setup!$B$7,MATCH($J18,TaxCode,0),0,1,1)))</f>
        <v>0</v>
      </c>
      <c r="M18" s="6" cm="1">
        <f t="array" aca="1" ref="M18" ca="1">G18-IF(TaxCount=2,SUM($K18:$L18),$K18:$K18)</f>
        <v>-341.99999999999994</v>
      </c>
      <c r="N18" s="7" t="str">
        <f t="shared" ca="1" si="0"/>
        <v>-</v>
      </c>
    </row>
    <row r="19" spans="1:14" ht="16.149999999999999" customHeight="1" x14ac:dyDescent="0.25">
      <c r="A19" s="21">
        <v>43951</v>
      </c>
      <c r="B19" s="7">
        <v>0</v>
      </c>
      <c r="C19" s="7">
        <v>0</v>
      </c>
      <c r="D19" s="9" t="s">
        <v>103</v>
      </c>
      <c r="E19" s="5" t="s">
        <v>45</v>
      </c>
      <c r="F19" s="5" t="s">
        <v>42</v>
      </c>
      <c r="G19" s="6">
        <v>1823.9999999999998</v>
      </c>
      <c r="H19" s="23" t="s">
        <v>107</v>
      </c>
      <c r="I19" s="7" t="s">
        <v>114</v>
      </c>
      <c r="J19" s="7" t="s">
        <v>114</v>
      </c>
      <c r="K19" s="6">
        <f ca="1">$G19/(1+IF(ISERROR($I19),0,IF(ISNA(MATCH($I19,TaxCode,0)),0,OFFSET(Setup!$B$7,MATCH($I19,TaxCode,0),0,1,1)))+IF(ISERROR($J19),0,IF(ISNA(MATCH($J19,TaxCode,0)),0,OFFSET(Setup!$B$7,MATCH($J19,TaxCode,0),0,1,1))))*IF(ISERROR($I19),0,IF(ISNA(MATCH($I19,TaxCode,0)),0,OFFSET(Setup!$B$7,MATCH($I19,TaxCode,0),0,1,1)))</f>
        <v>0</v>
      </c>
      <c r="L19" s="6">
        <f ca="1">$G19/(1+IF(ISERROR($I19),0,IF(ISNA(MATCH($I19,TaxCode,0)),0,OFFSET(Setup!$B$7,MATCH($I19,TaxCode,0),0,1,1)))+IF(ISERROR($J19),0,IF(ISNA(MATCH($J19,TaxCode,0)),0,OFFSET(Setup!$B$7,MATCH($J19,TaxCode,0),0,1,1))))*IF(ISERROR($J19),0,IF(ISNA(MATCH($J19,TaxCode,0)),0,OFFSET(Setup!$B$7,MATCH($J19,TaxCode,0),0,1,1)))</f>
        <v>0</v>
      </c>
      <c r="M19" s="6" cm="1">
        <f t="array" aca="1" ref="M19" ca="1">G19-IF(TaxCount=2,SUM($K19:$L19),$K19:$K19)</f>
        <v>1823.9999999999998</v>
      </c>
      <c r="N19" s="7" t="str">
        <f t="shared" ca="1" si="0"/>
        <v>-</v>
      </c>
    </row>
    <row r="20" spans="1:14" ht="16.149999999999999" customHeight="1" x14ac:dyDescent="0.25">
      <c r="A20" s="21">
        <v>43951</v>
      </c>
      <c r="B20" s="7">
        <v>1202</v>
      </c>
      <c r="C20" s="7">
        <v>66</v>
      </c>
      <c r="D20" s="9" t="s">
        <v>52</v>
      </c>
      <c r="E20" s="22" t="s">
        <v>57</v>
      </c>
      <c r="F20" s="5" t="s">
        <v>78</v>
      </c>
      <c r="G20" s="6">
        <v>-148.19999999999999</v>
      </c>
      <c r="H20" s="23" t="s">
        <v>28</v>
      </c>
      <c r="I20" s="7" t="s">
        <v>113</v>
      </c>
      <c r="J20" s="7" t="s">
        <v>114</v>
      </c>
      <c r="K20" s="6">
        <f ca="1">$G20/(1+IF(ISERROR($I20),0,IF(ISNA(MATCH($I20,TaxCode,0)),0,OFFSET(Setup!$B$7,MATCH($I20,TaxCode,0),0,1,1)))+IF(ISERROR($J20),0,IF(ISNA(MATCH($J20,TaxCode,0)),0,OFFSET(Setup!$B$7,MATCH($J20,TaxCode,0),0,1,1))))*IF(ISERROR($I20),0,IF(ISNA(MATCH($I20,TaxCode,0)),0,OFFSET(Setup!$B$7,MATCH($I20,TaxCode,0),0,1,1)))</f>
        <v>-19.330434782608695</v>
      </c>
      <c r="L20" s="6">
        <f ca="1">$G20/(1+IF(ISERROR($I20),0,IF(ISNA(MATCH($I20,TaxCode,0)),0,OFFSET(Setup!$B$7,MATCH($I20,TaxCode,0),0,1,1)))+IF(ISERROR($J20),0,IF(ISNA(MATCH($J20,TaxCode,0)),0,OFFSET(Setup!$B$7,MATCH($J20,TaxCode,0),0,1,1))))*IF(ISERROR($J20),0,IF(ISNA(MATCH($J20,TaxCode,0)),0,OFFSET(Setup!$B$7,MATCH($J20,TaxCode,0),0,1,1)))</f>
        <v>0</v>
      </c>
      <c r="M20" s="6" cm="1">
        <f t="array" aca="1" ref="M20" ca="1">G20-IF(TaxCount=2,SUM($K20:$L20),$K20:$K20)</f>
        <v>-128.86956521739128</v>
      </c>
      <c r="N20" s="7" t="str">
        <f t="shared" ca="1" si="0"/>
        <v>-</v>
      </c>
    </row>
    <row r="21" spans="1:14" ht="16.149999999999999" customHeight="1" x14ac:dyDescent="0.25">
      <c r="A21" s="21">
        <v>43954</v>
      </c>
      <c r="B21" s="7">
        <v>1203</v>
      </c>
      <c r="C21" s="7">
        <v>67</v>
      </c>
      <c r="D21" s="9" t="s">
        <v>94</v>
      </c>
      <c r="E21" s="5" t="s">
        <v>45</v>
      </c>
      <c r="F21" s="5" t="s">
        <v>16</v>
      </c>
      <c r="G21" s="6">
        <v>-25.08</v>
      </c>
      <c r="H21" s="23" t="s">
        <v>32</v>
      </c>
      <c r="I21" s="7" t="s">
        <v>113</v>
      </c>
      <c r="J21" s="7" t="s">
        <v>114</v>
      </c>
      <c r="K21" s="6">
        <f ca="1">$G21/(1+IF(ISERROR($I21),0,IF(ISNA(MATCH($I21,TaxCode,0)),0,OFFSET(Setup!$B$7,MATCH($I21,TaxCode,0),0,1,1)))+IF(ISERROR($J21),0,IF(ISNA(MATCH($J21,TaxCode,0)),0,OFFSET(Setup!$B$7,MATCH($J21,TaxCode,0),0,1,1))))*IF(ISERROR($I21),0,IF(ISNA(MATCH($I21,TaxCode,0)),0,OFFSET(Setup!$B$7,MATCH($I21,TaxCode,0),0,1,1)))</f>
        <v>-3.2713043478260868</v>
      </c>
      <c r="L21" s="6">
        <f ca="1">$G21/(1+IF(ISERROR($I21),0,IF(ISNA(MATCH($I21,TaxCode,0)),0,OFFSET(Setup!$B$7,MATCH($I21,TaxCode,0),0,1,1)))+IF(ISERROR($J21),0,IF(ISNA(MATCH($J21,TaxCode,0)),0,OFFSET(Setup!$B$7,MATCH($J21,TaxCode,0),0,1,1))))*IF(ISERROR($J21),0,IF(ISNA(MATCH($J21,TaxCode,0)),0,OFFSET(Setup!$B$7,MATCH($J21,TaxCode,0),0,1,1)))</f>
        <v>0</v>
      </c>
      <c r="M21" s="6" cm="1">
        <f t="array" aca="1" ref="M21" ca="1">G21-IF(TaxCount=2,SUM($K21:$L21),$K21:$K21)</f>
        <v>-21.80869565217391</v>
      </c>
      <c r="N21" s="7" t="str">
        <f t="shared" ca="1" si="0"/>
        <v>-</v>
      </c>
    </row>
    <row r="22" spans="1:14" ht="16.149999999999999" customHeight="1" x14ac:dyDescent="0.25">
      <c r="A22" s="21">
        <v>43963</v>
      </c>
      <c r="B22" s="7">
        <v>1203</v>
      </c>
      <c r="C22" s="7">
        <v>68</v>
      </c>
      <c r="D22" s="9" t="s">
        <v>46</v>
      </c>
      <c r="E22" s="5" t="s">
        <v>45</v>
      </c>
      <c r="F22" s="5" t="s">
        <v>88</v>
      </c>
      <c r="G22" s="6">
        <v>-266.76</v>
      </c>
      <c r="H22" s="23" t="s">
        <v>30</v>
      </c>
      <c r="I22" s="7" t="s">
        <v>113</v>
      </c>
      <c r="J22" s="7" t="s">
        <v>114</v>
      </c>
      <c r="K22" s="6">
        <f ca="1">$G22/(1+IF(ISERROR($I22),0,IF(ISNA(MATCH($I22,TaxCode,0)),0,OFFSET(Setup!$B$7,MATCH($I22,TaxCode,0),0,1,1)))+IF(ISERROR($J22),0,IF(ISNA(MATCH($J22,TaxCode,0)),0,OFFSET(Setup!$B$7,MATCH($J22,TaxCode,0),0,1,1))))*IF(ISERROR($I22),0,IF(ISNA(MATCH($I22,TaxCode,0)),0,OFFSET(Setup!$B$7,MATCH($I22,TaxCode,0),0,1,1)))</f>
        <v>-34.794782608695648</v>
      </c>
      <c r="L22" s="6">
        <f ca="1">$G22/(1+IF(ISERROR($I22),0,IF(ISNA(MATCH($I22,TaxCode,0)),0,OFFSET(Setup!$B$7,MATCH($I22,TaxCode,0),0,1,1)))+IF(ISERROR($J22),0,IF(ISNA(MATCH($J22,TaxCode,0)),0,OFFSET(Setup!$B$7,MATCH($J22,TaxCode,0),0,1,1))))*IF(ISERROR($J22),0,IF(ISNA(MATCH($J22,TaxCode,0)),0,OFFSET(Setup!$B$7,MATCH($J22,TaxCode,0),0,1,1)))</f>
        <v>0</v>
      </c>
      <c r="M22" s="6" cm="1">
        <f t="array" aca="1" ref="M22" ca="1">G22-IF(TaxCount=2,SUM($K22:$L22),$K22:$K22)</f>
        <v>-231.96521739130435</v>
      </c>
      <c r="N22" s="7" t="str">
        <f t="shared" ca="1" si="0"/>
        <v>-</v>
      </c>
    </row>
    <row r="23" spans="1:14" ht="16.149999999999999" customHeight="1" x14ac:dyDescent="0.25">
      <c r="A23" s="21">
        <v>43965</v>
      </c>
      <c r="B23" s="7">
        <v>1203</v>
      </c>
      <c r="C23" s="7">
        <v>69</v>
      </c>
      <c r="D23" s="9" t="s">
        <v>52</v>
      </c>
      <c r="E23" s="22" t="s">
        <v>58</v>
      </c>
      <c r="F23" s="5" t="s">
        <v>78</v>
      </c>
      <c r="G23" s="6">
        <v>-148.19999999999999</v>
      </c>
      <c r="H23" s="23" t="s">
        <v>28</v>
      </c>
      <c r="I23" s="7" t="s">
        <v>113</v>
      </c>
      <c r="J23" s="7" t="s">
        <v>114</v>
      </c>
      <c r="K23" s="6">
        <f ca="1">$G23/(1+IF(ISERROR($I23),0,IF(ISNA(MATCH($I23,TaxCode,0)),0,OFFSET(Setup!$B$7,MATCH($I23,TaxCode,0),0,1,1)))+IF(ISERROR($J23),0,IF(ISNA(MATCH($J23,TaxCode,0)),0,OFFSET(Setup!$B$7,MATCH($J23,TaxCode,0),0,1,1))))*IF(ISERROR($I23),0,IF(ISNA(MATCH($I23,TaxCode,0)),0,OFFSET(Setup!$B$7,MATCH($I23,TaxCode,0),0,1,1)))</f>
        <v>-19.330434782608695</v>
      </c>
      <c r="L23" s="6">
        <f ca="1">$G23/(1+IF(ISERROR($I23),0,IF(ISNA(MATCH($I23,TaxCode,0)),0,OFFSET(Setup!$B$7,MATCH($I23,TaxCode,0),0,1,1)))+IF(ISERROR($J23),0,IF(ISNA(MATCH($J23,TaxCode,0)),0,OFFSET(Setup!$B$7,MATCH($J23,TaxCode,0),0,1,1))))*IF(ISERROR($J23),0,IF(ISNA(MATCH($J23,TaxCode,0)),0,OFFSET(Setup!$B$7,MATCH($J23,TaxCode,0),0,1,1)))</f>
        <v>0</v>
      </c>
      <c r="M23" s="6" cm="1">
        <f t="array" aca="1" ref="M23" ca="1">G23-IF(TaxCount=2,SUM($K23:$L23),$K23:$K23)</f>
        <v>-128.86956521739128</v>
      </c>
      <c r="N23" s="7" t="str">
        <f t="shared" ca="1" si="0"/>
        <v>-</v>
      </c>
    </row>
    <row r="24" spans="1:14" ht="16.149999999999999" customHeight="1" x14ac:dyDescent="0.25">
      <c r="A24" s="21">
        <v>43971</v>
      </c>
      <c r="B24" s="7">
        <v>1203</v>
      </c>
      <c r="C24" s="7">
        <v>70</v>
      </c>
      <c r="D24" s="9" t="s">
        <v>79</v>
      </c>
      <c r="E24" s="22" t="s">
        <v>80</v>
      </c>
      <c r="F24" s="5" t="s">
        <v>83</v>
      </c>
      <c r="G24" s="6">
        <v>-1135.4399999999998</v>
      </c>
      <c r="H24" s="23" t="s">
        <v>29</v>
      </c>
      <c r="I24" s="7" t="s">
        <v>113</v>
      </c>
      <c r="J24" s="7" t="s">
        <v>114</v>
      </c>
      <c r="K24" s="6">
        <f ca="1">$G24/(1+IF(ISERROR($I24),0,IF(ISNA(MATCH($I24,TaxCode,0)),0,OFFSET(Setup!$B$7,MATCH($I24,TaxCode,0),0,1,1)))+IF(ISERROR($J24),0,IF(ISNA(MATCH($J24,TaxCode,0)),0,OFFSET(Setup!$B$7,MATCH($J24,TaxCode,0),0,1,1))))*IF(ISERROR($I24),0,IF(ISNA(MATCH($I24,TaxCode,0)),0,OFFSET(Setup!$B$7,MATCH($I24,TaxCode,0),0,1,1)))</f>
        <v>-148.10086956521738</v>
      </c>
      <c r="L24" s="6">
        <f ca="1">$G24/(1+IF(ISERROR($I24),0,IF(ISNA(MATCH($I24,TaxCode,0)),0,OFFSET(Setup!$B$7,MATCH($I24,TaxCode,0),0,1,1)))+IF(ISERROR($J24),0,IF(ISNA(MATCH($J24,TaxCode,0)),0,OFFSET(Setup!$B$7,MATCH($J24,TaxCode,0),0,1,1))))*IF(ISERROR($J24),0,IF(ISNA(MATCH($J24,TaxCode,0)),0,OFFSET(Setup!$B$7,MATCH($J24,TaxCode,0),0,1,1)))</f>
        <v>0</v>
      </c>
      <c r="M24" s="6" cm="1">
        <f t="array" aca="1" ref="M24" ca="1">G24-IF(TaxCount=2,SUM($K24:$L24),$K24:$K24)</f>
        <v>-987.33913043478242</v>
      </c>
      <c r="N24" s="7" t="str">
        <f t="shared" ca="1" si="0"/>
        <v>-</v>
      </c>
    </row>
    <row r="25" spans="1:14" ht="16.149999999999999" customHeight="1" x14ac:dyDescent="0.25">
      <c r="A25" s="21">
        <v>43976</v>
      </c>
      <c r="B25" s="7">
        <v>1203</v>
      </c>
      <c r="C25" s="7">
        <v>71</v>
      </c>
      <c r="D25" s="9" t="s">
        <v>95</v>
      </c>
      <c r="E25" s="22" t="s">
        <v>45</v>
      </c>
      <c r="F25" s="5" t="s">
        <v>96</v>
      </c>
      <c r="G25" s="6">
        <v>-341.99999999999994</v>
      </c>
      <c r="H25" s="23" t="s">
        <v>26</v>
      </c>
      <c r="I25" s="7" t="s">
        <v>114</v>
      </c>
      <c r="J25" s="7" t="s">
        <v>114</v>
      </c>
      <c r="K25" s="6">
        <f ca="1">$G25/(1+IF(ISERROR($I25),0,IF(ISNA(MATCH($I25,TaxCode,0)),0,OFFSET(Setup!$B$7,MATCH($I25,TaxCode,0),0,1,1)))+IF(ISERROR($J25),0,IF(ISNA(MATCH($J25,TaxCode,0)),0,OFFSET(Setup!$B$7,MATCH($J25,TaxCode,0),0,1,1))))*IF(ISERROR($I25),0,IF(ISNA(MATCH($I25,TaxCode,0)),0,OFFSET(Setup!$B$7,MATCH($I25,TaxCode,0),0,1,1)))</f>
        <v>0</v>
      </c>
      <c r="L25" s="6">
        <f ca="1">$G25/(1+IF(ISERROR($I25),0,IF(ISNA(MATCH($I25,TaxCode,0)),0,OFFSET(Setup!$B$7,MATCH($I25,TaxCode,0),0,1,1)))+IF(ISERROR($J25),0,IF(ISNA(MATCH($J25,TaxCode,0)),0,OFFSET(Setup!$B$7,MATCH($J25,TaxCode,0),0,1,1))))*IF(ISERROR($J25),0,IF(ISNA(MATCH($J25,TaxCode,0)),0,OFFSET(Setup!$B$7,MATCH($J25,TaxCode,0),0,1,1)))</f>
        <v>0</v>
      </c>
      <c r="M25" s="6" cm="1">
        <f t="array" aca="1" ref="M25" ca="1">G25-IF(TaxCount=2,SUM($K25:$L25),$K25:$K25)</f>
        <v>-341.99999999999994</v>
      </c>
      <c r="N25" s="7" t="str">
        <f t="shared" ca="1" si="0"/>
        <v>-</v>
      </c>
    </row>
    <row r="26" spans="1:14" ht="16.149999999999999" customHeight="1" x14ac:dyDescent="0.25">
      <c r="A26" s="21">
        <v>43979</v>
      </c>
      <c r="B26" s="7">
        <v>1203</v>
      </c>
      <c r="C26" s="7">
        <v>72</v>
      </c>
      <c r="D26" s="9" t="s">
        <v>52</v>
      </c>
      <c r="E26" s="22" t="s">
        <v>59</v>
      </c>
      <c r="F26" s="5" t="s">
        <v>78</v>
      </c>
      <c r="G26" s="6">
        <v>-148.19999999999999</v>
      </c>
      <c r="H26" s="23" t="s">
        <v>28</v>
      </c>
      <c r="I26" s="7" t="s">
        <v>113</v>
      </c>
      <c r="J26" s="7" t="s">
        <v>114</v>
      </c>
      <c r="K26" s="6">
        <f ca="1">$G26/(1+IF(ISERROR($I26),0,IF(ISNA(MATCH($I26,TaxCode,0)),0,OFFSET(Setup!$B$7,MATCH($I26,TaxCode,0),0,1,1)))+IF(ISERROR($J26),0,IF(ISNA(MATCH($J26,TaxCode,0)),0,OFFSET(Setup!$B$7,MATCH($J26,TaxCode,0),0,1,1))))*IF(ISERROR($I26),0,IF(ISNA(MATCH($I26,TaxCode,0)),0,OFFSET(Setup!$B$7,MATCH($I26,TaxCode,0),0,1,1)))</f>
        <v>-19.330434782608695</v>
      </c>
      <c r="L26" s="6">
        <f ca="1">$G26/(1+IF(ISERROR($I26),0,IF(ISNA(MATCH($I26,TaxCode,0)),0,OFFSET(Setup!$B$7,MATCH($I26,TaxCode,0),0,1,1)))+IF(ISERROR($J26),0,IF(ISNA(MATCH($J26,TaxCode,0)),0,OFFSET(Setup!$B$7,MATCH($J26,TaxCode,0),0,1,1))))*IF(ISERROR($J26),0,IF(ISNA(MATCH($J26,TaxCode,0)),0,OFFSET(Setup!$B$7,MATCH($J26,TaxCode,0),0,1,1)))</f>
        <v>0</v>
      </c>
      <c r="M26" s="6" cm="1">
        <f t="array" aca="1" ref="M26" ca="1">G26-IF(TaxCount=2,SUM($K26:$L26),$K26:$K26)</f>
        <v>-128.86956521739128</v>
      </c>
      <c r="N26" s="7" t="str">
        <f t="shared" ca="1" si="0"/>
        <v>-</v>
      </c>
    </row>
    <row r="27" spans="1:14" ht="16.149999999999999" customHeight="1" x14ac:dyDescent="0.25">
      <c r="A27" s="21">
        <v>43982</v>
      </c>
      <c r="B27" s="7">
        <v>0</v>
      </c>
      <c r="C27" s="7">
        <v>0</v>
      </c>
      <c r="D27" s="9" t="s">
        <v>103</v>
      </c>
      <c r="E27" s="5" t="s">
        <v>45</v>
      </c>
      <c r="F27" s="5" t="s">
        <v>42</v>
      </c>
      <c r="G27" s="6">
        <v>2052</v>
      </c>
      <c r="H27" s="23" t="s">
        <v>107</v>
      </c>
      <c r="I27" s="7" t="s">
        <v>114</v>
      </c>
      <c r="J27" s="7" t="s">
        <v>114</v>
      </c>
      <c r="K27" s="6">
        <f ca="1">$G27/(1+IF(ISERROR($I27),0,IF(ISNA(MATCH($I27,TaxCode,0)),0,OFFSET(Setup!$B$7,MATCH($I27,TaxCode,0),0,1,1)))+IF(ISERROR($J27),0,IF(ISNA(MATCH($J27,TaxCode,0)),0,OFFSET(Setup!$B$7,MATCH($J27,TaxCode,0),0,1,1))))*IF(ISERROR($I27),0,IF(ISNA(MATCH($I27,TaxCode,0)),0,OFFSET(Setup!$B$7,MATCH($I27,TaxCode,0),0,1,1)))</f>
        <v>0</v>
      </c>
      <c r="L27" s="6">
        <f ca="1">$G27/(1+IF(ISERROR($I27),0,IF(ISNA(MATCH($I27,TaxCode,0)),0,OFFSET(Setup!$B$7,MATCH($I27,TaxCode,0),0,1,1)))+IF(ISERROR($J27),0,IF(ISNA(MATCH($J27,TaxCode,0)),0,OFFSET(Setup!$B$7,MATCH($J27,TaxCode,0),0,1,1))))*IF(ISERROR($J27),0,IF(ISNA(MATCH($J27,TaxCode,0)),0,OFFSET(Setup!$B$7,MATCH($J27,TaxCode,0),0,1,1)))</f>
        <v>0</v>
      </c>
      <c r="M27" s="6" cm="1">
        <f t="array" aca="1" ref="M27" ca="1">G27-IF(TaxCount=2,SUM($K27:$L27),$K27:$K27)</f>
        <v>2052</v>
      </c>
      <c r="N27" s="7" t="str">
        <f t="shared" ca="1" si="0"/>
        <v>-</v>
      </c>
    </row>
    <row r="28" spans="1:14" ht="16.149999999999999" customHeight="1" x14ac:dyDescent="0.25">
      <c r="A28" s="21">
        <v>43989</v>
      </c>
      <c r="B28" s="7">
        <v>1204</v>
      </c>
      <c r="C28" s="7">
        <v>73</v>
      </c>
      <c r="D28" s="9" t="s">
        <v>94</v>
      </c>
      <c r="E28" s="5" t="s">
        <v>45</v>
      </c>
      <c r="F28" s="5" t="s">
        <v>16</v>
      </c>
      <c r="G28" s="6">
        <v>-28.499999999999996</v>
      </c>
      <c r="H28" s="23" t="s">
        <v>32</v>
      </c>
      <c r="I28" s="7" t="s">
        <v>113</v>
      </c>
      <c r="J28" s="7" t="s">
        <v>114</v>
      </c>
      <c r="K28" s="6">
        <f ca="1">$G28/(1+IF(ISERROR($I28),0,IF(ISNA(MATCH($I28,TaxCode,0)),0,OFFSET(Setup!$B$7,MATCH($I28,TaxCode,0),0,1,1)))+IF(ISERROR($J28),0,IF(ISNA(MATCH($J28,TaxCode,0)),0,OFFSET(Setup!$B$7,MATCH($J28,TaxCode,0),0,1,1))))*IF(ISERROR($I28),0,IF(ISNA(MATCH($I28,TaxCode,0)),0,OFFSET(Setup!$B$7,MATCH($I28,TaxCode,0),0,1,1)))</f>
        <v>-3.7173913043478257</v>
      </c>
      <c r="L28" s="6">
        <f ca="1">$G28/(1+IF(ISERROR($I28),0,IF(ISNA(MATCH($I28,TaxCode,0)),0,OFFSET(Setup!$B$7,MATCH($I28,TaxCode,0),0,1,1)))+IF(ISERROR($J28),0,IF(ISNA(MATCH($J28,TaxCode,0)),0,OFFSET(Setup!$B$7,MATCH($J28,TaxCode,0),0,1,1))))*IF(ISERROR($J28),0,IF(ISNA(MATCH($J28,TaxCode,0)),0,OFFSET(Setup!$B$7,MATCH($J28,TaxCode,0),0,1,1)))</f>
        <v>0</v>
      </c>
      <c r="M28" s="6" cm="1">
        <f t="array" aca="1" ref="M28" ca="1">G28-IF(TaxCount=2,SUM($K28:$L28),$K28:$K28)</f>
        <v>-24.782608695652172</v>
      </c>
      <c r="N28" s="7" t="str">
        <f t="shared" ca="1" si="0"/>
        <v>-</v>
      </c>
    </row>
    <row r="29" spans="1:14" ht="16.149999999999999" customHeight="1" x14ac:dyDescent="0.25">
      <c r="A29" s="21">
        <v>43993</v>
      </c>
      <c r="B29" s="7">
        <v>1204</v>
      </c>
      <c r="C29" s="7">
        <v>74</v>
      </c>
      <c r="D29" s="9" t="s">
        <v>52</v>
      </c>
      <c r="E29" s="22" t="s">
        <v>60</v>
      </c>
      <c r="F29" s="5" t="s">
        <v>78</v>
      </c>
      <c r="G29" s="6">
        <v>-148.19999999999999</v>
      </c>
      <c r="H29" s="23" t="s">
        <v>28</v>
      </c>
      <c r="I29" s="7" t="s">
        <v>113</v>
      </c>
      <c r="J29" s="7" t="s">
        <v>114</v>
      </c>
      <c r="K29" s="6">
        <f ca="1">$G29/(1+IF(ISERROR($I29),0,IF(ISNA(MATCH($I29,TaxCode,0)),0,OFFSET(Setup!$B$7,MATCH($I29,TaxCode,0),0,1,1)))+IF(ISERROR($J29),0,IF(ISNA(MATCH($J29,TaxCode,0)),0,OFFSET(Setup!$B$7,MATCH($J29,TaxCode,0),0,1,1))))*IF(ISERROR($I29),0,IF(ISNA(MATCH($I29,TaxCode,0)),0,OFFSET(Setup!$B$7,MATCH($I29,TaxCode,0),0,1,1)))</f>
        <v>-19.330434782608695</v>
      </c>
      <c r="L29" s="6">
        <f ca="1">$G29/(1+IF(ISERROR($I29),0,IF(ISNA(MATCH($I29,TaxCode,0)),0,OFFSET(Setup!$B$7,MATCH($I29,TaxCode,0),0,1,1)))+IF(ISERROR($J29),0,IF(ISNA(MATCH($J29,TaxCode,0)),0,OFFSET(Setup!$B$7,MATCH($J29,TaxCode,0),0,1,1))))*IF(ISERROR($J29),0,IF(ISNA(MATCH($J29,TaxCode,0)),0,OFFSET(Setup!$B$7,MATCH($J29,TaxCode,0),0,1,1)))</f>
        <v>0</v>
      </c>
      <c r="M29" s="6" cm="1">
        <f t="array" aca="1" ref="M29" ca="1">G29-IF(TaxCount=2,SUM($K29:$L29),$K29:$K29)</f>
        <v>-128.86956521739128</v>
      </c>
      <c r="N29" s="7" t="str">
        <f t="shared" ca="1" si="0"/>
        <v>-</v>
      </c>
    </row>
    <row r="30" spans="1:14" ht="16.149999999999999" customHeight="1" x14ac:dyDescent="0.25">
      <c r="A30" s="21">
        <v>43994</v>
      </c>
      <c r="B30" s="7">
        <v>1204</v>
      </c>
      <c r="C30" s="7">
        <v>75</v>
      </c>
      <c r="D30" s="9" t="s">
        <v>90</v>
      </c>
      <c r="E30" s="5" t="s">
        <v>45</v>
      </c>
      <c r="F30" s="5" t="s">
        <v>89</v>
      </c>
      <c r="G30" s="6">
        <v>-1151.3999999999999</v>
      </c>
      <c r="H30" s="23" t="s">
        <v>31</v>
      </c>
      <c r="I30" s="7" t="s">
        <v>114</v>
      </c>
      <c r="J30" s="7" t="s">
        <v>114</v>
      </c>
      <c r="K30" s="6">
        <f ca="1">$G30/(1+IF(ISERROR($I30),0,IF(ISNA(MATCH($I30,TaxCode,0)),0,OFFSET(Setup!$B$7,MATCH($I30,TaxCode,0),0,1,1)))+IF(ISERROR($J30),0,IF(ISNA(MATCH($J30,TaxCode,0)),0,OFFSET(Setup!$B$7,MATCH($J30,TaxCode,0),0,1,1))))*IF(ISERROR($I30),0,IF(ISNA(MATCH($I30,TaxCode,0)),0,OFFSET(Setup!$B$7,MATCH($I30,TaxCode,0),0,1,1)))</f>
        <v>0</v>
      </c>
      <c r="L30" s="6">
        <f ca="1">$G30/(1+IF(ISERROR($I30),0,IF(ISNA(MATCH($I30,TaxCode,0)),0,OFFSET(Setup!$B$7,MATCH($I30,TaxCode,0),0,1,1)))+IF(ISERROR($J30),0,IF(ISNA(MATCH($J30,TaxCode,0)),0,OFFSET(Setup!$B$7,MATCH($J30,TaxCode,0),0,1,1))))*IF(ISERROR($J30),0,IF(ISNA(MATCH($J30,TaxCode,0)),0,OFFSET(Setup!$B$7,MATCH($J30,TaxCode,0),0,1,1)))</f>
        <v>0</v>
      </c>
      <c r="M30" s="6" cm="1">
        <f t="array" aca="1" ref="M30" ca="1">G30-IF(TaxCount=2,SUM($K30:$L30),$K30:$K30)</f>
        <v>-1151.3999999999999</v>
      </c>
      <c r="N30" s="7" t="str">
        <f t="shared" ca="1" si="0"/>
        <v>-</v>
      </c>
    </row>
    <row r="31" spans="1:14" ht="16.149999999999999" customHeight="1" x14ac:dyDescent="0.25">
      <c r="A31" s="21">
        <v>44000</v>
      </c>
      <c r="B31" s="7">
        <v>1204</v>
      </c>
      <c r="C31" s="7">
        <v>76</v>
      </c>
      <c r="D31" s="9" t="s">
        <v>46</v>
      </c>
      <c r="E31" s="5" t="s">
        <v>45</v>
      </c>
      <c r="F31" s="5" t="s">
        <v>88</v>
      </c>
      <c r="G31" s="6">
        <v>-134.51999999999998</v>
      </c>
      <c r="H31" s="23" t="s">
        <v>30</v>
      </c>
      <c r="I31" s="7" t="s">
        <v>113</v>
      </c>
      <c r="J31" s="7" t="s">
        <v>114</v>
      </c>
      <c r="K31" s="6">
        <f ca="1">$G31/(1+IF(ISERROR($I31),0,IF(ISNA(MATCH($I31,TaxCode,0)),0,OFFSET(Setup!$B$7,MATCH($I31,TaxCode,0),0,1,1)))+IF(ISERROR($J31),0,IF(ISNA(MATCH($J31,TaxCode,0)),0,OFFSET(Setup!$B$7,MATCH($J31,TaxCode,0),0,1,1))))*IF(ISERROR($I31),0,IF(ISNA(MATCH($I31,TaxCode,0)),0,OFFSET(Setup!$B$7,MATCH($I31,TaxCode,0),0,1,1)))</f>
        <v>-17.546086956521737</v>
      </c>
      <c r="L31" s="6">
        <f ca="1">$G31/(1+IF(ISERROR($I31),0,IF(ISNA(MATCH($I31,TaxCode,0)),0,OFFSET(Setup!$B$7,MATCH($I31,TaxCode,0),0,1,1)))+IF(ISERROR($J31),0,IF(ISNA(MATCH($J31,TaxCode,0)),0,OFFSET(Setup!$B$7,MATCH($J31,TaxCode,0),0,1,1))))*IF(ISERROR($J31),0,IF(ISNA(MATCH($J31,TaxCode,0)),0,OFFSET(Setup!$B$7,MATCH($J31,TaxCode,0),0,1,1)))</f>
        <v>0</v>
      </c>
      <c r="M31" s="6" cm="1">
        <f t="array" aca="1" ref="M31" ca="1">G31-IF(TaxCount=2,SUM($K31:$L31),$K31:$K31)</f>
        <v>-116.97391304347825</v>
      </c>
      <c r="N31" s="7" t="str">
        <f t="shared" ca="1" si="0"/>
        <v>-</v>
      </c>
    </row>
    <row r="32" spans="1:14" ht="16.149999999999999" customHeight="1" x14ac:dyDescent="0.25">
      <c r="A32" s="21">
        <v>44007</v>
      </c>
      <c r="B32" s="7">
        <v>1204</v>
      </c>
      <c r="C32" s="7">
        <v>77</v>
      </c>
      <c r="D32" s="9" t="s">
        <v>95</v>
      </c>
      <c r="E32" s="22" t="s">
        <v>45</v>
      </c>
      <c r="F32" s="5" t="s">
        <v>96</v>
      </c>
      <c r="G32" s="6">
        <v>-341.99999999999994</v>
      </c>
      <c r="H32" s="23" t="s">
        <v>26</v>
      </c>
      <c r="I32" s="7" t="s">
        <v>114</v>
      </c>
      <c r="J32" s="7" t="s">
        <v>114</v>
      </c>
      <c r="K32" s="6">
        <f ca="1">$G32/(1+IF(ISERROR($I32),0,IF(ISNA(MATCH($I32,TaxCode,0)),0,OFFSET(Setup!$B$7,MATCH($I32,TaxCode,0),0,1,1)))+IF(ISERROR($J32),0,IF(ISNA(MATCH($J32,TaxCode,0)),0,OFFSET(Setup!$B$7,MATCH($J32,TaxCode,0),0,1,1))))*IF(ISERROR($I32),0,IF(ISNA(MATCH($I32,TaxCode,0)),0,OFFSET(Setup!$B$7,MATCH($I32,TaxCode,0),0,1,1)))</f>
        <v>0</v>
      </c>
      <c r="L32" s="6">
        <f ca="1">$G32/(1+IF(ISERROR($I32),0,IF(ISNA(MATCH($I32,TaxCode,0)),0,OFFSET(Setup!$B$7,MATCH($I32,TaxCode,0),0,1,1)))+IF(ISERROR($J32),0,IF(ISNA(MATCH($J32,TaxCode,0)),0,OFFSET(Setup!$B$7,MATCH($J32,TaxCode,0),0,1,1))))*IF(ISERROR($J32),0,IF(ISNA(MATCH($J32,TaxCode,0)),0,OFFSET(Setup!$B$7,MATCH($J32,TaxCode,0),0,1,1)))</f>
        <v>0</v>
      </c>
      <c r="M32" s="6" cm="1">
        <f t="array" aca="1" ref="M32" ca="1">G32-IF(TaxCount=2,SUM($K32:$L32),$K32:$K32)</f>
        <v>-341.99999999999994</v>
      </c>
      <c r="N32" s="7" t="str">
        <f t="shared" ca="1" si="0"/>
        <v>-</v>
      </c>
    </row>
    <row r="33" spans="1:14" ht="16.149999999999999" customHeight="1" x14ac:dyDescent="0.25">
      <c r="A33" s="21">
        <v>44007</v>
      </c>
      <c r="B33" s="7">
        <v>1204</v>
      </c>
      <c r="C33" s="7">
        <v>78</v>
      </c>
      <c r="D33" s="9" t="s">
        <v>52</v>
      </c>
      <c r="E33" s="22" t="s">
        <v>61</v>
      </c>
      <c r="F33" s="5" t="s">
        <v>78</v>
      </c>
      <c r="G33" s="6">
        <v>-148.19999999999999</v>
      </c>
      <c r="H33" s="23" t="s">
        <v>28</v>
      </c>
      <c r="I33" s="7" t="s">
        <v>113</v>
      </c>
      <c r="J33" s="7" t="s">
        <v>114</v>
      </c>
      <c r="K33" s="6">
        <f ca="1">$G33/(1+IF(ISERROR($I33),0,IF(ISNA(MATCH($I33,TaxCode,0)),0,OFFSET(Setup!$B$7,MATCH($I33,TaxCode,0),0,1,1)))+IF(ISERROR($J33),0,IF(ISNA(MATCH($J33,TaxCode,0)),0,OFFSET(Setup!$B$7,MATCH($J33,TaxCode,0),0,1,1))))*IF(ISERROR($I33),0,IF(ISNA(MATCH($I33,TaxCode,0)),0,OFFSET(Setup!$B$7,MATCH($I33,TaxCode,0),0,1,1)))</f>
        <v>-19.330434782608695</v>
      </c>
      <c r="L33" s="6">
        <f ca="1">$G33/(1+IF(ISERROR($I33),0,IF(ISNA(MATCH($I33,TaxCode,0)),0,OFFSET(Setup!$B$7,MATCH($I33,TaxCode,0),0,1,1)))+IF(ISERROR($J33),0,IF(ISNA(MATCH($J33,TaxCode,0)),0,OFFSET(Setup!$B$7,MATCH($J33,TaxCode,0),0,1,1))))*IF(ISERROR($J33),0,IF(ISNA(MATCH($J33,TaxCode,0)),0,OFFSET(Setup!$B$7,MATCH($J33,TaxCode,0),0,1,1)))</f>
        <v>0</v>
      </c>
      <c r="M33" s="6" cm="1">
        <f t="array" aca="1" ref="M33" ca="1">G33-IF(TaxCount=2,SUM($K33:$L33),$K33:$K33)</f>
        <v>-128.86956521739128</v>
      </c>
      <c r="N33" s="7" t="str">
        <f t="shared" ca="1" si="0"/>
        <v>-</v>
      </c>
    </row>
    <row r="34" spans="1:14" ht="16.149999999999999" customHeight="1" x14ac:dyDescent="0.25">
      <c r="A34" s="21">
        <v>44012</v>
      </c>
      <c r="B34" s="7">
        <v>0</v>
      </c>
      <c r="C34" s="7">
        <v>0</v>
      </c>
      <c r="D34" s="9" t="s">
        <v>103</v>
      </c>
      <c r="E34" s="5" t="s">
        <v>45</v>
      </c>
      <c r="F34" s="5" t="s">
        <v>42</v>
      </c>
      <c r="G34" s="6">
        <v>1937.9999999999998</v>
      </c>
      <c r="H34" s="23" t="s">
        <v>107</v>
      </c>
      <c r="I34" s="7" t="s">
        <v>114</v>
      </c>
      <c r="J34" s="7" t="s">
        <v>114</v>
      </c>
      <c r="K34" s="6">
        <f ca="1">$G34/(1+IF(ISERROR($I34),0,IF(ISNA(MATCH($I34,TaxCode,0)),0,OFFSET(Setup!$B$7,MATCH($I34,TaxCode,0),0,1,1)))+IF(ISERROR($J34),0,IF(ISNA(MATCH($J34,TaxCode,0)),0,OFFSET(Setup!$B$7,MATCH($J34,TaxCode,0),0,1,1))))*IF(ISERROR($I34),0,IF(ISNA(MATCH($I34,TaxCode,0)),0,OFFSET(Setup!$B$7,MATCH($I34,TaxCode,0),0,1,1)))</f>
        <v>0</v>
      </c>
      <c r="L34" s="6">
        <f ca="1">$G34/(1+IF(ISERROR($I34),0,IF(ISNA(MATCH($I34,TaxCode,0)),0,OFFSET(Setup!$B$7,MATCH($I34,TaxCode,0),0,1,1)))+IF(ISERROR($J34),0,IF(ISNA(MATCH($J34,TaxCode,0)),0,OFFSET(Setup!$B$7,MATCH($J34,TaxCode,0),0,1,1))))*IF(ISERROR($J34),0,IF(ISNA(MATCH($J34,TaxCode,0)),0,OFFSET(Setup!$B$7,MATCH($J34,TaxCode,0),0,1,1)))</f>
        <v>0</v>
      </c>
      <c r="M34" s="6" cm="1">
        <f t="array" aca="1" ref="M34" ca="1">G34-IF(TaxCount=2,SUM($K34:$L34),$K34:$K34)</f>
        <v>1937.9999999999998</v>
      </c>
      <c r="N34" s="7" t="str">
        <f t="shared" ca="1" si="0"/>
        <v>-</v>
      </c>
    </row>
    <row r="35" spans="1:14" ht="16.149999999999999" customHeight="1" x14ac:dyDescent="0.25">
      <c r="A35" s="21">
        <v>44014</v>
      </c>
      <c r="B35" s="7">
        <v>1205</v>
      </c>
      <c r="C35" s="7">
        <v>79</v>
      </c>
      <c r="D35" s="9" t="s">
        <v>94</v>
      </c>
      <c r="E35" s="5" t="s">
        <v>45</v>
      </c>
      <c r="F35" s="5" t="s">
        <v>16</v>
      </c>
      <c r="G35" s="6">
        <v>-36.479999999999997</v>
      </c>
      <c r="H35" s="23" t="s">
        <v>32</v>
      </c>
      <c r="I35" s="7" t="s">
        <v>113</v>
      </c>
      <c r="J35" s="7" t="s">
        <v>114</v>
      </c>
      <c r="K35" s="6">
        <f ca="1">$G35/(1+IF(ISERROR($I35),0,IF(ISNA(MATCH($I35,TaxCode,0)),0,OFFSET(Setup!$B$7,MATCH($I35,TaxCode,0),0,1,1)))+IF(ISERROR($J35),0,IF(ISNA(MATCH($J35,TaxCode,0)),0,OFFSET(Setup!$B$7,MATCH($J35,TaxCode,0),0,1,1))))*IF(ISERROR($I35),0,IF(ISNA(MATCH($I35,TaxCode,0)),0,OFFSET(Setup!$B$7,MATCH($I35,TaxCode,0),0,1,1)))</f>
        <v>-4.7582608695652171</v>
      </c>
      <c r="L35" s="6">
        <f ca="1">$G35/(1+IF(ISERROR($I35),0,IF(ISNA(MATCH($I35,TaxCode,0)),0,OFFSET(Setup!$B$7,MATCH($I35,TaxCode,0),0,1,1)))+IF(ISERROR($J35),0,IF(ISNA(MATCH($J35,TaxCode,0)),0,OFFSET(Setup!$B$7,MATCH($J35,TaxCode,0),0,1,1))))*IF(ISERROR($J35),0,IF(ISNA(MATCH($J35,TaxCode,0)),0,OFFSET(Setup!$B$7,MATCH($J35,TaxCode,0),0,1,1)))</f>
        <v>0</v>
      </c>
      <c r="M35" s="6" cm="1">
        <f t="array" aca="1" ref="M35" ca="1">G35-IF(TaxCount=2,SUM($K35:$L35),$K35:$K35)</f>
        <v>-31.721739130434781</v>
      </c>
      <c r="N35" s="7" t="str">
        <f t="shared" ca="1" si="0"/>
        <v>-</v>
      </c>
    </row>
    <row r="36" spans="1:14" ht="16.149999999999999" customHeight="1" x14ac:dyDescent="0.25">
      <c r="A36" s="21">
        <v>44021</v>
      </c>
      <c r="B36" s="7">
        <v>1205</v>
      </c>
      <c r="C36" s="7">
        <v>80</v>
      </c>
      <c r="D36" s="9" t="s">
        <v>52</v>
      </c>
      <c r="E36" s="22" t="s">
        <v>62</v>
      </c>
      <c r="F36" s="5" t="s">
        <v>78</v>
      </c>
      <c r="G36" s="6">
        <v>-148.19999999999999</v>
      </c>
      <c r="H36" s="23" t="s">
        <v>28</v>
      </c>
      <c r="I36" s="7" t="s">
        <v>113</v>
      </c>
      <c r="J36" s="7" t="s">
        <v>114</v>
      </c>
      <c r="K36" s="6">
        <f ca="1">$G36/(1+IF(ISERROR($I36),0,IF(ISNA(MATCH($I36,TaxCode,0)),0,OFFSET(Setup!$B$7,MATCH($I36,TaxCode,0),0,1,1)))+IF(ISERROR($J36),0,IF(ISNA(MATCH($J36,TaxCode,0)),0,OFFSET(Setup!$B$7,MATCH($J36,TaxCode,0),0,1,1))))*IF(ISERROR($I36),0,IF(ISNA(MATCH($I36,TaxCode,0)),0,OFFSET(Setup!$B$7,MATCH($I36,TaxCode,0),0,1,1)))</f>
        <v>-19.330434782608695</v>
      </c>
      <c r="L36" s="6">
        <f ca="1">$G36/(1+IF(ISERROR($I36),0,IF(ISNA(MATCH($I36,TaxCode,0)),0,OFFSET(Setup!$B$7,MATCH($I36,TaxCode,0),0,1,1)))+IF(ISERROR($J36),0,IF(ISNA(MATCH($J36,TaxCode,0)),0,OFFSET(Setup!$B$7,MATCH($J36,TaxCode,0),0,1,1))))*IF(ISERROR($J36),0,IF(ISNA(MATCH($J36,TaxCode,0)),0,OFFSET(Setup!$B$7,MATCH($J36,TaxCode,0),0,1,1)))</f>
        <v>0</v>
      </c>
      <c r="M36" s="6" cm="1">
        <f t="array" aca="1" ref="M36" ca="1">G36-IF(TaxCount=2,SUM($K36:$L36),$K36:$K36)</f>
        <v>-128.86956521739128</v>
      </c>
      <c r="N36" s="7" t="str">
        <f t="shared" ca="1" si="0"/>
        <v>-</v>
      </c>
    </row>
    <row r="37" spans="1:14" ht="16.149999999999999" customHeight="1" x14ac:dyDescent="0.25">
      <c r="A37" s="21">
        <v>44027</v>
      </c>
      <c r="B37" s="7">
        <v>1205</v>
      </c>
      <c r="C37" s="7">
        <v>81</v>
      </c>
      <c r="D37" s="9" t="s">
        <v>46</v>
      </c>
      <c r="E37" s="5" t="s">
        <v>45</v>
      </c>
      <c r="F37" s="5" t="s">
        <v>88</v>
      </c>
      <c r="G37" s="6">
        <v>-330.59999999999997</v>
      </c>
      <c r="H37" s="23" t="s">
        <v>30</v>
      </c>
      <c r="I37" s="7" t="s">
        <v>113</v>
      </c>
      <c r="J37" s="7" t="s">
        <v>114</v>
      </c>
      <c r="K37" s="6">
        <f ca="1">$G37/(1+IF(ISERROR($I37),0,IF(ISNA(MATCH($I37,TaxCode,0)),0,OFFSET(Setup!$B$7,MATCH($I37,TaxCode,0),0,1,1)))+IF(ISERROR($J37),0,IF(ISNA(MATCH($J37,TaxCode,0)),0,OFFSET(Setup!$B$7,MATCH($J37,TaxCode,0),0,1,1))))*IF(ISERROR($I37),0,IF(ISNA(MATCH($I37,TaxCode,0)),0,OFFSET(Setup!$B$7,MATCH($I37,TaxCode,0),0,1,1)))</f>
        <v>-43.121739130434776</v>
      </c>
      <c r="L37" s="6">
        <f ca="1">$G37/(1+IF(ISERROR($I37),0,IF(ISNA(MATCH($I37,TaxCode,0)),0,OFFSET(Setup!$B$7,MATCH($I37,TaxCode,0),0,1,1)))+IF(ISERROR($J37),0,IF(ISNA(MATCH($J37,TaxCode,0)),0,OFFSET(Setup!$B$7,MATCH($J37,TaxCode,0),0,1,1))))*IF(ISERROR($J37),0,IF(ISNA(MATCH($J37,TaxCode,0)),0,OFFSET(Setup!$B$7,MATCH($J37,TaxCode,0),0,1,1)))</f>
        <v>0</v>
      </c>
      <c r="M37" s="6" cm="1">
        <f t="array" aca="1" ref="M37" ca="1">G37-IF(TaxCount=2,SUM($K37:$L37),$K37:$K37)</f>
        <v>-287.47826086956519</v>
      </c>
      <c r="N37" s="7" t="str">
        <f t="shared" ref="N37:N68" ca="1" si="1">IF(AND($G37&gt;0,$H37&lt;&gt;"BANK")=TRUE,"E1",IF(AND($G37&lt;0,$H37="BANK")=TRUE,"E1",IF(AND(ISNA(VLOOKUP($H37,AccountNo,1,0))=TRUE,ISBLANK($H37)=FALSE)=TRUE,"E2","-")))</f>
        <v>-</v>
      </c>
    </row>
    <row r="38" spans="1:14" ht="16.149999999999999" customHeight="1" x14ac:dyDescent="0.25">
      <c r="A38" s="21">
        <v>44030</v>
      </c>
      <c r="B38" s="7">
        <v>1205</v>
      </c>
      <c r="C38" s="7">
        <v>82</v>
      </c>
      <c r="D38" s="9" t="s">
        <v>101</v>
      </c>
      <c r="E38" s="5" t="s">
        <v>45</v>
      </c>
      <c r="F38" s="5" t="s">
        <v>102</v>
      </c>
      <c r="G38" s="6">
        <v>-640.67999999999995</v>
      </c>
      <c r="H38" s="23" t="s">
        <v>27</v>
      </c>
      <c r="I38" s="7" t="s">
        <v>113</v>
      </c>
      <c r="J38" s="7" t="s">
        <v>114</v>
      </c>
      <c r="K38" s="6">
        <f ca="1">$G38/(1+IF(ISERROR($I38),0,IF(ISNA(MATCH($I38,TaxCode,0)),0,OFFSET(Setup!$B$7,MATCH($I38,TaxCode,0),0,1,1)))+IF(ISERROR($J38),0,IF(ISNA(MATCH($J38,TaxCode,0)),0,OFFSET(Setup!$B$7,MATCH($J38,TaxCode,0),0,1,1))))*IF(ISERROR($I38),0,IF(ISNA(MATCH($I38,TaxCode,0)),0,OFFSET(Setup!$B$7,MATCH($I38,TaxCode,0),0,1,1)))</f>
        <v>-83.566956521739129</v>
      </c>
      <c r="L38" s="6">
        <f ca="1">$G38/(1+IF(ISERROR($I38),0,IF(ISNA(MATCH($I38,TaxCode,0)),0,OFFSET(Setup!$B$7,MATCH($I38,TaxCode,0),0,1,1)))+IF(ISERROR($J38),0,IF(ISNA(MATCH($J38,TaxCode,0)),0,OFFSET(Setup!$B$7,MATCH($J38,TaxCode,0),0,1,1))))*IF(ISERROR($J38),0,IF(ISNA(MATCH($J38,TaxCode,0)),0,OFFSET(Setup!$B$7,MATCH($J38,TaxCode,0),0,1,1)))</f>
        <v>0</v>
      </c>
      <c r="M38" s="6" cm="1">
        <f t="array" aca="1" ref="M38" ca="1">G38-IF(TaxCount=2,SUM($K38:$L38),$K38:$K38)</f>
        <v>-557.11304347826081</v>
      </c>
      <c r="N38" s="7" t="str">
        <f t="shared" ca="1" si="1"/>
        <v>-</v>
      </c>
    </row>
    <row r="39" spans="1:14" ht="16.149999999999999" customHeight="1" x14ac:dyDescent="0.25">
      <c r="A39" s="21">
        <v>44035</v>
      </c>
      <c r="B39" s="7">
        <v>1205</v>
      </c>
      <c r="C39" s="7">
        <v>83</v>
      </c>
      <c r="D39" s="9" t="s">
        <v>52</v>
      </c>
      <c r="E39" s="22" t="s">
        <v>63</v>
      </c>
      <c r="F39" s="5" t="s">
        <v>78</v>
      </c>
      <c r="G39" s="6">
        <v>-148.19999999999999</v>
      </c>
      <c r="H39" s="23" t="s">
        <v>28</v>
      </c>
      <c r="I39" s="7" t="s">
        <v>113</v>
      </c>
      <c r="J39" s="7" t="s">
        <v>114</v>
      </c>
      <c r="K39" s="6">
        <f ca="1">$G39/(1+IF(ISERROR($I39),0,IF(ISNA(MATCH($I39,TaxCode,0)),0,OFFSET(Setup!$B$7,MATCH($I39,TaxCode,0),0,1,1)))+IF(ISERROR($J39),0,IF(ISNA(MATCH($J39,TaxCode,0)),0,OFFSET(Setup!$B$7,MATCH($J39,TaxCode,0),0,1,1))))*IF(ISERROR($I39),0,IF(ISNA(MATCH($I39,TaxCode,0)),0,OFFSET(Setup!$B$7,MATCH($I39,TaxCode,0),0,1,1)))</f>
        <v>-19.330434782608695</v>
      </c>
      <c r="L39" s="6">
        <f ca="1">$G39/(1+IF(ISERROR($I39),0,IF(ISNA(MATCH($I39,TaxCode,0)),0,OFFSET(Setup!$B$7,MATCH($I39,TaxCode,0),0,1,1)))+IF(ISERROR($J39),0,IF(ISNA(MATCH($J39,TaxCode,0)),0,OFFSET(Setup!$B$7,MATCH($J39,TaxCode,0),0,1,1))))*IF(ISERROR($J39),0,IF(ISNA(MATCH($J39,TaxCode,0)),0,OFFSET(Setup!$B$7,MATCH($J39,TaxCode,0),0,1,1)))</f>
        <v>0</v>
      </c>
      <c r="M39" s="6" cm="1">
        <f t="array" aca="1" ref="M39" ca="1">G39-IF(TaxCount=2,SUM($K39:$L39),$K39:$K39)</f>
        <v>-128.86956521739128</v>
      </c>
      <c r="N39" s="7" t="str">
        <f t="shared" ca="1" si="1"/>
        <v>-</v>
      </c>
    </row>
    <row r="40" spans="1:14" ht="16.149999999999999" customHeight="1" x14ac:dyDescent="0.25">
      <c r="A40" s="21">
        <v>44037</v>
      </c>
      <c r="B40" s="7">
        <v>1205</v>
      </c>
      <c r="C40" s="7">
        <v>84</v>
      </c>
      <c r="D40" s="9" t="s">
        <v>95</v>
      </c>
      <c r="E40" s="22" t="s">
        <v>45</v>
      </c>
      <c r="F40" s="5" t="s">
        <v>96</v>
      </c>
      <c r="G40" s="6">
        <v>-341.99999999999994</v>
      </c>
      <c r="H40" s="23" t="s">
        <v>26</v>
      </c>
      <c r="I40" s="7" t="s">
        <v>114</v>
      </c>
      <c r="J40" s="7" t="s">
        <v>114</v>
      </c>
      <c r="K40" s="6">
        <f ca="1">$G40/(1+IF(ISERROR($I40),0,IF(ISNA(MATCH($I40,TaxCode,0)),0,OFFSET(Setup!$B$7,MATCH($I40,TaxCode,0),0,1,1)))+IF(ISERROR($J40),0,IF(ISNA(MATCH($J40,TaxCode,0)),0,OFFSET(Setup!$B$7,MATCH($J40,TaxCode,0),0,1,1))))*IF(ISERROR($I40),0,IF(ISNA(MATCH($I40,TaxCode,0)),0,OFFSET(Setup!$B$7,MATCH($I40,TaxCode,0),0,1,1)))</f>
        <v>0</v>
      </c>
      <c r="L40" s="6">
        <f ca="1">$G40/(1+IF(ISERROR($I40),0,IF(ISNA(MATCH($I40,TaxCode,0)),0,OFFSET(Setup!$B$7,MATCH($I40,TaxCode,0),0,1,1)))+IF(ISERROR($J40),0,IF(ISNA(MATCH($J40,TaxCode,0)),0,OFFSET(Setup!$B$7,MATCH($J40,TaxCode,0),0,1,1))))*IF(ISERROR($J40),0,IF(ISNA(MATCH($J40,TaxCode,0)),0,OFFSET(Setup!$B$7,MATCH($J40,TaxCode,0),0,1,1)))</f>
        <v>0</v>
      </c>
      <c r="M40" s="6" cm="1">
        <f t="array" aca="1" ref="M40" ca="1">G40-IF(TaxCount=2,SUM($K40:$L40),$K40:$K40)</f>
        <v>-341.99999999999994</v>
      </c>
      <c r="N40" s="7" t="str">
        <f t="shared" ca="1" si="1"/>
        <v>-</v>
      </c>
    </row>
    <row r="41" spans="1:14" ht="16.149999999999999" customHeight="1" x14ac:dyDescent="0.25">
      <c r="A41" s="21">
        <v>44043</v>
      </c>
      <c r="B41" s="7">
        <v>0</v>
      </c>
      <c r="C41" s="7">
        <v>0</v>
      </c>
      <c r="D41" s="9" t="s">
        <v>103</v>
      </c>
      <c r="E41" s="5" t="s">
        <v>45</v>
      </c>
      <c r="F41" s="5" t="s">
        <v>42</v>
      </c>
      <c r="G41" s="6">
        <v>1595.9999999999998</v>
      </c>
      <c r="H41" s="23" t="s">
        <v>107</v>
      </c>
      <c r="I41" s="7" t="s">
        <v>114</v>
      </c>
      <c r="J41" s="7" t="s">
        <v>114</v>
      </c>
      <c r="K41" s="6">
        <f ca="1">$G41/(1+IF(ISERROR($I41),0,IF(ISNA(MATCH($I41,TaxCode,0)),0,OFFSET(Setup!$B$7,MATCH($I41,TaxCode,0),0,1,1)))+IF(ISERROR($J41),0,IF(ISNA(MATCH($J41,TaxCode,0)),0,OFFSET(Setup!$B$7,MATCH($J41,TaxCode,0),0,1,1))))*IF(ISERROR($I41),0,IF(ISNA(MATCH($I41,TaxCode,0)),0,OFFSET(Setup!$B$7,MATCH($I41,TaxCode,0),0,1,1)))</f>
        <v>0</v>
      </c>
      <c r="L41" s="6">
        <f ca="1">$G41/(1+IF(ISERROR($I41),0,IF(ISNA(MATCH($I41,TaxCode,0)),0,OFFSET(Setup!$B$7,MATCH($I41,TaxCode,0),0,1,1)))+IF(ISERROR($J41),0,IF(ISNA(MATCH($J41,TaxCode,0)),0,OFFSET(Setup!$B$7,MATCH($J41,TaxCode,0),0,1,1))))*IF(ISERROR($J41),0,IF(ISNA(MATCH($J41,TaxCode,0)),0,OFFSET(Setup!$B$7,MATCH($J41,TaxCode,0),0,1,1)))</f>
        <v>0</v>
      </c>
      <c r="M41" s="6" cm="1">
        <f t="array" aca="1" ref="M41" ca="1">G41-IF(TaxCount=2,SUM($K41:$L41),$K41:$K41)</f>
        <v>1595.9999999999998</v>
      </c>
      <c r="N41" s="7" t="str">
        <f t="shared" ca="1" si="1"/>
        <v>-</v>
      </c>
    </row>
    <row r="42" spans="1:14" ht="16.149999999999999" customHeight="1" x14ac:dyDescent="0.25">
      <c r="A42" s="21">
        <v>44046</v>
      </c>
      <c r="B42" s="7">
        <v>1206</v>
      </c>
      <c r="C42" s="7">
        <v>85</v>
      </c>
      <c r="D42" s="9" t="s">
        <v>94</v>
      </c>
      <c r="E42" s="5" t="s">
        <v>45</v>
      </c>
      <c r="F42" s="5" t="s">
        <v>16</v>
      </c>
      <c r="G42" s="6">
        <v>-31.919999999999998</v>
      </c>
      <c r="H42" s="23" t="s">
        <v>32</v>
      </c>
      <c r="I42" s="7" t="s">
        <v>113</v>
      </c>
      <c r="J42" s="7" t="s">
        <v>114</v>
      </c>
      <c r="K42" s="6">
        <f ca="1">$G42/(1+IF(ISERROR($I42),0,IF(ISNA(MATCH($I42,TaxCode,0)),0,OFFSET(Setup!$B$7,MATCH($I42,TaxCode,0),0,1,1)))+IF(ISERROR($J42),0,IF(ISNA(MATCH($J42,TaxCode,0)),0,OFFSET(Setup!$B$7,MATCH($J42,TaxCode,0),0,1,1))))*IF(ISERROR($I42),0,IF(ISNA(MATCH($I42,TaxCode,0)),0,OFFSET(Setup!$B$7,MATCH($I42,TaxCode,0),0,1,1)))</f>
        <v>-4.1634782608695646</v>
      </c>
      <c r="L42" s="6">
        <f ca="1">$G42/(1+IF(ISERROR($I42),0,IF(ISNA(MATCH($I42,TaxCode,0)),0,OFFSET(Setup!$B$7,MATCH($I42,TaxCode,0),0,1,1)))+IF(ISERROR($J42),0,IF(ISNA(MATCH($J42,TaxCode,0)),0,OFFSET(Setup!$B$7,MATCH($J42,TaxCode,0),0,1,1))))*IF(ISERROR($J42),0,IF(ISNA(MATCH($J42,TaxCode,0)),0,OFFSET(Setup!$B$7,MATCH($J42,TaxCode,0),0,1,1)))</f>
        <v>0</v>
      </c>
      <c r="M42" s="6" cm="1">
        <f t="array" aca="1" ref="M42" ca="1">G42-IF(TaxCount=2,SUM($K42:$L42),$K42:$K42)</f>
        <v>-27.756521739130434</v>
      </c>
      <c r="N42" s="7" t="str">
        <f t="shared" ca="1" si="1"/>
        <v>-</v>
      </c>
    </row>
    <row r="43" spans="1:14" ht="16.149999999999999" customHeight="1" x14ac:dyDescent="0.25">
      <c r="A43" s="21">
        <v>44049</v>
      </c>
      <c r="B43" s="7">
        <v>1206</v>
      </c>
      <c r="C43" s="7">
        <v>86</v>
      </c>
      <c r="D43" s="9" t="s">
        <v>52</v>
      </c>
      <c r="E43" s="22" t="s">
        <v>64</v>
      </c>
      <c r="F43" s="5" t="s">
        <v>78</v>
      </c>
      <c r="G43" s="6">
        <v>-148.19999999999999</v>
      </c>
      <c r="H43" s="23" t="s">
        <v>28</v>
      </c>
      <c r="I43" s="7" t="s">
        <v>113</v>
      </c>
      <c r="J43" s="7" t="s">
        <v>114</v>
      </c>
      <c r="K43" s="6">
        <f ca="1">$G43/(1+IF(ISERROR($I43),0,IF(ISNA(MATCH($I43,TaxCode,0)),0,OFFSET(Setup!$B$7,MATCH($I43,TaxCode,0),0,1,1)))+IF(ISERROR($J43),0,IF(ISNA(MATCH($J43,TaxCode,0)),0,OFFSET(Setup!$B$7,MATCH($J43,TaxCode,0),0,1,1))))*IF(ISERROR($I43),0,IF(ISNA(MATCH($I43,TaxCode,0)),0,OFFSET(Setup!$B$7,MATCH($I43,TaxCode,0),0,1,1)))</f>
        <v>-19.330434782608695</v>
      </c>
      <c r="L43" s="6">
        <f ca="1">$G43/(1+IF(ISERROR($I43),0,IF(ISNA(MATCH($I43,TaxCode,0)),0,OFFSET(Setup!$B$7,MATCH($I43,TaxCode,0),0,1,1)))+IF(ISERROR($J43),0,IF(ISNA(MATCH($J43,TaxCode,0)),0,OFFSET(Setup!$B$7,MATCH($J43,TaxCode,0),0,1,1))))*IF(ISERROR($J43),0,IF(ISNA(MATCH($J43,TaxCode,0)),0,OFFSET(Setup!$B$7,MATCH($J43,TaxCode,0),0,1,1)))</f>
        <v>0</v>
      </c>
      <c r="M43" s="6" cm="1">
        <f t="array" aca="1" ref="M43" ca="1">G43-IF(TaxCount=2,SUM($K43:$L43),$K43:$K43)</f>
        <v>-128.86956521739128</v>
      </c>
      <c r="N43" s="7" t="str">
        <f t="shared" ca="1" si="1"/>
        <v>-</v>
      </c>
    </row>
    <row r="44" spans="1:14" ht="16.149999999999999" customHeight="1" x14ac:dyDescent="0.25">
      <c r="A44" s="21">
        <v>44057</v>
      </c>
      <c r="B44" s="7">
        <v>1206</v>
      </c>
      <c r="C44" s="7">
        <v>87</v>
      </c>
      <c r="D44" s="9" t="s">
        <v>46</v>
      </c>
      <c r="E44" s="5" t="s">
        <v>45</v>
      </c>
      <c r="F44" s="5" t="s">
        <v>88</v>
      </c>
      <c r="G44" s="6">
        <v>-241.67999999999998</v>
      </c>
      <c r="H44" s="23" t="s">
        <v>30</v>
      </c>
      <c r="I44" s="7" t="s">
        <v>113</v>
      </c>
      <c r="J44" s="7" t="s">
        <v>114</v>
      </c>
      <c r="K44" s="6">
        <f ca="1">$G44/(1+IF(ISERROR($I44),0,IF(ISNA(MATCH($I44,TaxCode,0)),0,OFFSET(Setup!$B$7,MATCH($I44,TaxCode,0),0,1,1)))+IF(ISERROR($J44),0,IF(ISNA(MATCH($J44,TaxCode,0)),0,OFFSET(Setup!$B$7,MATCH($J44,TaxCode,0),0,1,1))))*IF(ISERROR($I44),0,IF(ISNA(MATCH($I44,TaxCode,0)),0,OFFSET(Setup!$B$7,MATCH($I44,TaxCode,0),0,1,1)))</f>
        <v>-31.523478260869563</v>
      </c>
      <c r="L44" s="6">
        <f ca="1">$G44/(1+IF(ISERROR($I44),0,IF(ISNA(MATCH($I44,TaxCode,0)),0,OFFSET(Setup!$B$7,MATCH($I44,TaxCode,0),0,1,1)))+IF(ISERROR($J44),0,IF(ISNA(MATCH($J44,TaxCode,0)),0,OFFSET(Setup!$B$7,MATCH($J44,TaxCode,0),0,1,1))))*IF(ISERROR($J44),0,IF(ISNA(MATCH($J44,TaxCode,0)),0,OFFSET(Setup!$B$7,MATCH($J44,TaxCode,0),0,1,1)))</f>
        <v>0</v>
      </c>
      <c r="M44" s="6" cm="1">
        <f t="array" aca="1" ref="M44" ca="1">G44-IF(TaxCount=2,SUM($K44:$L44),$K44:$K44)</f>
        <v>-210.15652173913043</v>
      </c>
      <c r="N44" s="7" t="str">
        <f t="shared" ca="1" si="1"/>
        <v>-</v>
      </c>
    </row>
    <row r="45" spans="1:14" ht="16.149999999999999" customHeight="1" x14ac:dyDescent="0.25">
      <c r="A45" s="21">
        <v>44061</v>
      </c>
      <c r="B45" s="7">
        <v>1206</v>
      </c>
      <c r="C45" s="7">
        <v>88</v>
      </c>
      <c r="D45" s="9" t="s">
        <v>44</v>
      </c>
      <c r="E45" s="5" t="s">
        <v>98</v>
      </c>
      <c r="F45" s="5" t="s">
        <v>24</v>
      </c>
      <c r="G45" s="6">
        <v>-499.31999999999994</v>
      </c>
      <c r="H45" s="23" t="s">
        <v>33</v>
      </c>
      <c r="I45" s="7" t="s">
        <v>113</v>
      </c>
      <c r="J45" s="7" t="s">
        <v>114</v>
      </c>
      <c r="K45" s="6">
        <f ca="1">$G45/(1+IF(ISERROR($I45),0,IF(ISNA(MATCH($I45,TaxCode,0)),0,OFFSET(Setup!$B$7,MATCH($I45,TaxCode,0),0,1,1)))+IF(ISERROR($J45),0,IF(ISNA(MATCH($J45,TaxCode,0)),0,OFFSET(Setup!$B$7,MATCH($J45,TaxCode,0),0,1,1))))*IF(ISERROR($I45),0,IF(ISNA(MATCH($I45,TaxCode,0)),0,OFFSET(Setup!$B$7,MATCH($I45,TaxCode,0),0,1,1)))</f>
        <v>-65.128695652173903</v>
      </c>
      <c r="L45" s="6">
        <f ca="1">$G45/(1+IF(ISERROR($I45),0,IF(ISNA(MATCH($I45,TaxCode,0)),0,OFFSET(Setup!$B$7,MATCH($I45,TaxCode,0),0,1,1)))+IF(ISERROR($J45),0,IF(ISNA(MATCH($J45,TaxCode,0)),0,OFFSET(Setup!$B$7,MATCH($J45,TaxCode,0),0,1,1))))*IF(ISERROR($J45),0,IF(ISNA(MATCH($J45,TaxCode,0)),0,OFFSET(Setup!$B$7,MATCH($J45,TaxCode,0),0,1,1)))</f>
        <v>0</v>
      </c>
      <c r="M45" s="6" cm="1">
        <f t="array" aca="1" ref="M45" ca="1">G45-IF(TaxCount=2,SUM($K45:$L45),$K45:$K45)</f>
        <v>-434.19130434782602</v>
      </c>
      <c r="N45" s="7" t="str">
        <f t="shared" ca="1" si="1"/>
        <v>-</v>
      </c>
    </row>
    <row r="46" spans="1:14" ht="16.149999999999999" customHeight="1" x14ac:dyDescent="0.25">
      <c r="A46" s="21">
        <v>44063</v>
      </c>
      <c r="B46" s="7">
        <v>1206</v>
      </c>
      <c r="C46" s="7">
        <v>89</v>
      </c>
      <c r="D46" s="9" t="s">
        <v>52</v>
      </c>
      <c r="E46" s="22" t="s">
        <v>65</v>
      </c>
      <c r="F46" s="5" t="s">
        <v>78</v>
      </c>
      <c r="G46" s="6">
        <v>-148.19999999999999</v>
      </c>
      <c r="H46" s="23" t="s">
        <v>28</v>
      </c>
      <c r="I46" s="7" t="s">
        <v>113</v>
      </c>
      <c r="J46" s="7" t="s">
        <v>114</v>
      </c>
      <c r="K46" s="6">
        <f ca="1">$G46/(1+IF(ISERROR($I46),0,IF(ISNA(MATCH($I46,TaxCode,0)),0,OFFSET(Setup!$B$7,MATCH($I46,TaxCode,0),0,1,1)))+IF(ISERROR($J46),0,IF(ISNA(MATCH($J46,TaxCode,0)),0,OFFSET(Setup!$B$7,MATCH($J46,TaxCode,0),0,1,1))))*IF(ISERROR($I46),0,IF(ISNA(MATCH($I46,TaxCode,0)),0,OFFSET(Setup!$B$7,MATCH($I46,TaxCode,0),0,1,1)))</f>
        <v>-19.330434782608695</v>
      </c>
      <c r="L46" s="6">
        <f ca="1">$G46/(1+IF(ISERROR($I46),0,IF(ISNA(MATCH($I46,TaxCode,0)),0,OFFSET(Setup!$B$7,MATCH($I46,TaxCode,0),0,1,1)))+IF(ISERROR($J46),0,IF(ISNA(MATCH($J46,TaxCode,0)),0,OFFSET(Setup!$B$7,MATCH($J46,TaxCode,0),0,1,1))))*IF(ISERROR($J46),0,IF(ISNA(MATCH($J46,TaxCode,0)),0,OFFSET(Setup!$B$7,MATCH($J46,TaxCode,0),0,1,1)))</f>
        <v>0</v>
      </c>
      <c r="M46" s="6" cm="1">
        <f t="array" aca="1" ref="M46" ca="1">G46-IF(TaxCount=2,SUM($K46:$L46),$K46:$K46)</f>
        <v>-128.86956521739128</v>
      </c>
      <c r="N46" s="7" t="str">
        <f t="shared" ca="1" si="1"/>
        <v>-</v>
      </c>
    </row>
    <row r="47" spans="1:14" ht="16.149999999999999" customHeight="1" x14ac:dyDescent="0.25">
      <c r="A47" s="21">
        <v>44068</v>
      </c>
      <c r="B47" s="7">
        <v>1206</v>
      </c>
      <c r="C47" s="7">
        <v>90</v>
      </c>
      <c r="D47" s="9" t="s">
        <v>95</v>
      </c>
      <c r="E47" s="22" t="s">
        <v>45</v>
      </c>
      <c r="F47" s="5" t="s">
        <v>96</v>
      </c>
      <c r="G47" s="6">
        <v>-341.99999999999994</v>
      </c>
      <c r="H47" s="23" t="s">
        <v>26</v>
      </c>
      <c r="I47" s="7" t="s">
        <v>114</v>
      </c>
      <c r="J47" s="7" t="s">
        <v>114</v>
      </c>
      <c r="K47" s="6">
        <f ca="1">$G47/(1+IF(ISERROR($I47),0,IF(ISNA(MATCH($I47,TaxCode,0)),0,OFFSET(Setup!$B$7,MATCH($I47,TaxCode,0),0,1,1)))+IF(ISERROR($J47),0,IF(ISNA(MATCH($J47,TaxCode,0)),0,OFFSET(Setup!$B$7,MATCH($J47,TaxCode,0),0,1,1))))*IF(ISERROR($I47),0,IF(ISNA(MATCH($I47,TaxCode,0)),0,OFFSET(Setup!$B$7,MATCH($I47,TaxCode,0),0,1,1)))</f>
        <v>0</v>
      </c>
      <c r="L47" s="6">
        <f ca="1">$G47/(1+IF(ISERROR($I47),0,IF(ISNA(MATCH($I47,TaxCode,0)),0,OFFSET(Setup!$B$7,MATCH($I47,TaxCode,0),0,1,1)))+IF(ISERROR($J47),0,IF(ISNA(MATCH($J47,TaxCode,0)),0,OFFSET(Setup!$B$7,MATCH($J47,TaxCode,0),0,1,1))))*IF(ISERROR($J47),0,IF(ISNA(MATCH($J47,TaxCode,0)),0,OFFSET(Setup!$B$7,MATCH($J47,TaxCode,0),0,1,1)))</f>
        <v>0</v>
      </c>
      <c r="M47" s="6" cm="1">
        <f t="array" aca="1" ref="M47" ca="1">G47-IF(TaxCount=2,SUM($K47:$L47),$K47:$K47)</f>
        <v>-341.99999999999994</v>
      </c>
      <c r="N47" s="7" t="str">
        <f t="shared" ca="1" si="1"/>
        <v>-</v>
      </c>
    </row>
    <row r="48" spans="1:14" ht="16.149999999999999" customHeight="1" x14ac:dyDescent="0.25">
      <c r="A48" s="21">
        <v>44074</v>
      </c>
      <c r="B48" s="7">
        <v>0</v>
      </c>
      <c r="C48" s="7">
        <v>0</v>
      </c>
      <c r="D48" s="9" t="s">
        <v>103</v>
      </c>
      <c r="E48" s="5" t="s">
        <v>45</v>
      </c>
      <c r="F48" s="5" t="s">
        <v>42</v>
      </c>
      <c r="G48" s="6">
        <v>1367.9999999999998</v>
      </c>
      <c r="H48" s="23" t="s">
        <v>107</v>
      </c>
      <c r="I48" s="7" t="s">
        <v>114</v>
      </c>
      <c r="J48" s="7" t="s">
        <v>114</v>
      </c>
      <c r="K48" s="6">
        <f ca="1">$G48/(1+IF(ISERROR($I48),0,IF(ISNA(MATCH($I48,TaxCode,0)),0,OFFSET(Setup!$B$7,MATCH($I48,TaxCode,0),0,1,1)))+IF(ISERROR($J48),0,IF(ISNA(MATCH($J48,TaxCode,0)),0,OFFSET(Setup!$B$7,MATCH($J48,TaxCode,0),0,1,1))))*IF(ISERROR($I48),0,IF(ISNA(MATCH($I48,TaxCode,0)),0,OFFSET(Setup!$B$7,MATCH($I48,TaxCode,0),0,1,1)))</f>
        <v>0</v>
      </c>
      <c r="L48" s="6">
        <f ca="1">$G48/(1+IF(ISERROR($I48),0,IF(ISNA(MATCH($I48,TaxCode,0)),0,OFFSET(Setup!$B$7,MATCH($I48,TaxCode,0),0,1,1)))+IF(ISERROR($J48),0,IF(ISNA(MATCH($J48,TaxCode,0)),0,OFFSET(Setup!$B$7,MATCH($J48,TaxCode,0),0,1,1))))*IF(ISERROR($J48),0,IF(ISNA(MATCH($J48,TaxCode,0)),0,OFFSET(Setup!$B$7,MATCH($J48,TaxCode,0),0,1,1)))</f>
        <v>0</v>
      </c>
      <c r="M48" s="6" cm="1">
        <f t="array" aca="1" ref="M48" ca="1">G48-IF(TaxCount=2,SUM($K48:$L48),$K48:$K48)</f>
        <v>1367.9999999999998</v>
      </c>
      <c r="N48" s="7" t="str">
        <f t="shared" ca="1" si="1"/>
        <v>-</v>
      </c>
    </row>
    <row r="49" spans="1:14" ht="16.149999999999999" customHeight="1" x14ac:dyDescent="0.25">
      <c r="A49" s="21">
        <v>44077</v>
      </c>
      <c r="B49" s="7">
        <v>1207</v>
      </c>
      <c r="C49" s="7">
        <v>91</v>
      </c>
      <c r="D49" s="9" t="s">
        <v>84</v>
      </c>
      <c r="E49" s="5" t="s">
        <v>45</v>
      </c>
      <c r="F49" s="5" t="s">
        <v>86</v>
      </c>
      <c r="G49" s="6">
        <v>-51.3</v>
      </c>
      <c r="H49" s="23" t="s">
        <v>25</v>
      </c>
      <c r="I49" s="7" t="s">
        <v>113</v>
      </c>
      <c r="J49" s="7" t="s">
        <v>114</v>
      </c>
      <c r="K49" s="6">
        <f ca="1">$G49/(1+IF(ISERROR($I49),0,IF(ISNA(MATCH($I49,TaxCode,0)),0,OFFSET(Setup!$B$7,MATCH($I49,TaxCode,0),0,1,1)))+IF(ISERROR($J49),0,IF(ISNA(MATCH($J49,TaxCode,0)),0,OFFSET(Setup!$B$7,MATCH($J49,TaxCode,0),0,1,1))))*IF(ISERROR($I49),0,IF(ISNA(MATCH($I49,TaxCode,0)),0,OFFSET(Setup!$B$7,MATCH($I49,TaxCode,0),0,1,1)))</f>
        <v>-6.6913043478260867</v>
      </c>
      <c r="L49" s="6">
        <f ca="1">$G49/(1+IF(ISERROR($I49),0,IF(ISNA(MATCH($I49,TaxCode,0)),0,OFFSET(Setup!$B$7,MATCH($I49,TaxCode,0),0,1,1)))+IF(ISERROR($J49),0,IF(ISNA(MATCH($J49,TaxCode,0)),0,OFFSET(Setup!$B$7,MATCH($J49,TaxCode,0),0,1,1))))*IF(ISERROR($J49),0,IF(ISNA(MATCH($J49,TaxCode,0)),0,OFFSET(Setup!$B$7,MATCH($J49,TaxCode,0),0,1,1)))</f>
        <v>0</v>
      </c>
      <c r="M49" s="6" cm="1">
        <f t="array" aca="1" ref="M49" ca="1">G49-IF(TaxCount=2,SUM($K49:$L49),$K49:$K49)</f>
        <v>-44.608695652173907</v>
      </c>
      <c r="N49" s="7" t="str">
        <f t="shared" ca="1" si="1"/>
        <v>-</v>
      </c>
    </row>
    <row r="50" spans="1:14" ht="16.149999999999999" customHeight="1" x14ac:dyDescent="0.25">
      <c r="A50" s="21">
        <v>44077</v>
      </c>
      <c r="B50" s="7">
        <v>1207</v>
      </c>
      <c r="C50" s="7">
        <v>92</v>
      </c>
      <c r="D50" s="9" t="s">
        <v>52</v>
      </c>
      <c r="E50" s="22" t="s">
        <v>66</v>
      </c>
      <c r="F50" s="5" t="s">
        <v>78</v>
      </c>
      <c r="G50" s="6">
        <v>-148.19999999999999</v>
      </c>
      <c r="H50" s="23" t="s">
        <v>28</v>
      </c>
      <c r="I50" s="7" t="s">
        <v>113</v>
      </c>
      <c r="J50" s="7" t="s">
        <v>114</v>
      </c>
      <c r="K50" s="6">
        <f ca="1">$G50/(1+IF(ISERROR($I50),0,IF(ISNA(MATCH($I50,TaxCode,0)),0,OFFSET(Setup!$B$7,MATCH($I50,TaxCode,0),0,1,1)))+IF(ISERROR($J50),0,IF(ISNA(MATCH($J50,TaxCode,0)),0,OFFSET(Setup!$B$7,MATCH($J50,TaxCode,0),0,1,1))))*IF(ISERROR($I50),0,IF(ISNA(MATCH($I50,TaxCode,0)),0,OFFSET(Setup!$B$7,MATCH($I50,TaxCode,0),0,1,1)))</f>
        <v>-19.330434782608695</v>
      </c>
      <c r="L50" s="6">
        <f ca="1">$G50/(1+IF(ISERROR($I50),0,IF(ISNA(MATCH($I50,TaxCode,0)),0,OFFSET(Setup!$B$7,MATCH($I50,TaxCode,0),0,1,1)))+IF(ISERROR($J50),0,IF(ISNA(MATCH($J50,TaxCode,0)),0,OFFSET(Setup!$B$7,MATCH($J50,TaxCode,0),0,1,1))))*IF(ISERROR($J50),0,IF(ISNA(MATCH($J50,TaxCode,0)),0,OFFSET(Setup!$B$7,MATCH($J50,TaxCode,0),0,1,1)))</f>
        <v>0</v>
      </c>
      <c r="M50" s="6" cm="1">
        <f t="array" aca="1" ref="M50" ca="1">G50-IF(TaxCount=2,SUM($K50:$L50),$K50:$K50)</f>
        <v>-128.86956521739128</v>
      </c>
      <c r="N50" s="7" t="str">
        <f t="shared" ca="1" si="1"/>
        <v>-</v>
      </c>
    </row>
    <row r="51" spans="1:14" ht="16.149999999999999" customHeight="1" x14ac:dyDescent="0.25">
      <c r="A51" s="21">
        <v>44078</v>
      </c>
      <c r="B51" s="7">
        <v>1207</v>
      </c>
      <c r="C51" s="7">
        <v>93</v>
      </c>
      <c r="D51" s="9" t="s">
        <v>94</v>
      </c>
      <c r="E51" s="5" t="s">
        <v>45</v>
      </c>
      <c r="F51" s="5" t="s">
        <v>16</v>
      </c>
      <c r="G51" s="6">
        <v>-28.499999999999996</v>
      </c>
      <c r="H51" s="23" t="s">
        <v>32</v>
      </c>
      <c r="I51" s="7" t="s">
        <v>113</v>
      </c>
      <c r="J51" s="7" t="s">
        <v>114</v>
      </c>
      <c r="K51" s="6">
        <f ca="1">$G51/(1+IF(ISERROR($I51),0,IF(ISNA(MATCH($I51,TaxCode,0)),0,OFFSET(Setup!$B$7,MATCH($I51,TaxCode,0),0,1,1)))+IF(ISERROR($J51),0,IF(ISNA(MATCH($J51,TaxCode,0)),0,OFFSET(Setup!$B$7,MATCH($J51,TaxCode,0),0,1,1))))*IF(ISERROR($I51),0,IF(ISNA(MATCH($I51,TaxCode,0)),0,OFFSET(Setup!$B$7,MATCH($I51,TaxCode,0),0,1,1)))</f>
        <v>-3.7173913043478257</v>
      </c>
      <c r="L51" s="6">
        <f ca="1">$G51/(1+IF(ISERROR($I51),0,IF(ISNA(MATCH($I51,TaxCode,0)),0,OFFSET(Setup!$B$7,MATCH($I51,TaxCode,0),0,1,1)))+IF(ISERROR($J51),0,IF(ISNA(MATCH($J51,TaxCode,0)),0,OFFSET(Setup!$B$7,MATCH($J51,TaxCode,0),0,1,1))))*IF(ISERROR($J51),0,IF(ISNA(MATCH($J51,TaxCode,0)),0,OFFSET(Setup!$B$7,MATCH($J51,TaxCode,0),0,1,1)))</f>
        <v>0</v>
      </c>
      <c r="M51" s="6" cm="1">
        <f t="array" aca="1" ref="M51" ca="1">G51-IF(TaxCount=2,SUM($K51:$L51),$K51:$K51)</f>
        <v>-24.782608695652172</v>
      </c>
      <c r="N51" s="7" t="str">
        <f t="shared" ca="1" si="1"/>
        <v>-</v>
      </c>
    </row>
    <row r="52" spans="1:14" ht="16.149999999999999" customHeight="1" x14ac:dyDescent="0.25">
      <c r="A52" s="21">
        <v>44085</v>
      </c>
      <c r="B52" s="7">
        <v>1207</v>
      </c>
      <c r="C52" s="7">
        <v>94</v>
      </c>
      <c r="D52" s="9" t="s">
        <v>46</v>
      </c>
      <c r="E52" s="5" t="s">
        <v>45</v>
      </c>
      <c r="F52" s="5" t="s">
        <v>88</v>
      </c>
      <c r="G52" s="6">
        <v>-102.6</v>
      </c>
      <c r="H52" s="23" t="s">
        <v>30</v>
      </c>
      <c r="I52" s="7" t="s">
        <v>113</v>
      </c>
      <c r="J52" s="7" t="s">
        <v>114</v>
      </c>
      <c r="K52" s="6">
        <f ca="1">$G52/(1+IF(ISERROR($I52),0,IF(ISNA(MATCH($I52,TaxCode,0)),0,OFFSET(Setup!$B$7,MATCH($I52,TaxCode,0),0,1,1)))+IF(ISERROR($J52),0,IF(ISNA(MATCH($J52,TaxCode,0)),0,OFFSET(Setup!$B$7,MATCH($J52,TaxCode,0),0,1,1))))*IF(ISERROR($I52),0,IF(ISNA(MATCH($I52,TaxCode,0)),0,OFFSET(Setup!$B$7,MATCH($I52,TaxCode,0),0,1,1)))</f>
        <v>-13.382608695652173</v>
      </c>
      <c r="L52" s="6">
        <f ca="1">$G52/(1+IF(ISERROR($I52),0,IF(ISNA(MATCH($I52,TaxCode,0)),0,OFFSET(Setup!$B$7,MATCH($I52,TaxCode,0),0,1,1)))+IF(ISERROR($J52),0,IF(ISNA(MATCH($J52,TaxCode,0)),0,OFFSET(Setup!$B$7,MATCH($J52,TaxCode,0),0,1,1))))*IF(ISERROR($J52),0,IF(ISNA(MATCH($J52,TaxCode,0)),0,OFFSET(Setup!$B$7,MATCH($J52,TaxCode,0),0,1,1)))</f>
        <v>0</v>
      </c>
      <c r="M52" s="6" cm="1">
        <f t="array" aca="1" ref="M52" ca="1">G52-IF(TaxCount=2,SUM($K52:$L52),$K52:$K52)</f>
        <v>-89.217391304347814</v>
      </c>
      <c r="N52" s="7" t="str">
        <f t="shared" ca="1" si="1"/>
        <v>-</v>
      </c>
    </row>
    <row r="53" spans="1:14" ht="16.149999999999999" customHeight="1" x14ac:dyDescent="0.25">
      <c r="A53" s="21">
        <v>44091</v>
      </c>
      <c r="B53" s="7">
        <v>1207</v>
      </c>
      <c r="C53" s="7">
        <v>95</v>
      </c>
      <c r="D53" s="9" t="s">
        <v>52</v>
      </c>
      <c r="E53" s="22" t="s">
        <v>67</v>
      </c>
      <c r="F53" s="5" t="s">
        <v>78</v>
      </c>
      <c r="G53" s="6">
        <v>-148.19999999999999</v>
      </c>
      <c r="H53" s="23" t="s">
        <v>28</v>
      </c>
      <c r="I53" s="7" t="s">
        <v>113</v>
      </c>
      <c r="J53" s="7" t="s">
        <v>114</v>
      </c>
      <c r="K53" s="6">
        <f ca="1">$G53/(1+IF(ISERROR($I53),0,IF(ISNA(MATCH($I53,TaxCode,0)),0,OFFSET(Setup!$B$7,MATCH($I53,TaxCode,0),0,1,1)))+IF(ISERROR($J53),0,IF(ISNA(MATCH($J53,TaxCode,0)),0,OFFSET(Setup!$B$7,MATCH($J53,TaxCode,0),0,1,1))))*IF(ISERROR($I53),0,IF(ISNA(MATCH($I53,TaxCode,0)),0,OFFSET(Setup!$B$7,MATCH($I53,TaxCode,0),0,1,1)))</f>
        <v>-19.330434782608695</v>
      </c>
      <c r="L53" s="6">
        <f ca="1">$G53/(1+IF(ISERROR($I53),0,IF(ISNA(MATCH($I53,TaxCode,0)),0,OFFSET(Setup!$B$7,MATCH($I53,TaxCode,0),0,1,1)))+IF(ISERROR($J53),0,IF(ISNA(MATCH($J53,TaxCode,0)),0,OFFSET(Setup!$B$7,MATCH($J53,TaxCode,0),0,1,1))))*IF(ISERROR($J53),0,IF(ISNA(MATCH($J53,TaxCode,0)),0,OFFSET(Setup!$B$7,MATCH($J53,TaxCode,0),0,1,1)))</f>
        <v>0</v>
      </c>
      <c r="M53" s="6" cm="1">
        <f t="array" aca="1" ref="M53" ca="1">G53-IF(TaxCount=2,SUM($K53:$L53),$K53:$K53)</f>
        <v>-128.86956521739128</v>
      </c>
      <c r="N53" s="7" t="str">
        <f t="shared" ca="1" si="1"/>
        <v>-</v>
      </c>
    </row>
    <row r="54" spans="1:14" ht="16.149999999999999" customHeight="1" x14ac:dyDescent="0.25">
      <c r="A54" s="21">
        <v>44096</v>
      </c>
      <c r="B54" s="7">
        <v>1207</v>
      </c>
      <c r="C54" s="7">
        <v>96</v>
      </c>
      <c r="D54" s="9" t="s">
        <v>79</v>
      </c>
      <c r="E54" s="22" t="s">
        <v>81</v>
      </c>
      <c r="F54" s="5" t="s">
        <v>83</v>
      </c>
      <c r="G54" s="6">
        <v>-1135.4399999999998</v>
      </c>
      <c r="H54" s="23" t="s">
        <v>29</v>
      </c>
      <c r="I54" s="7" t="s">
        <v>113</v>
      </c>
      <c r="J54" s="7" t="s">
        <v>114</v>
      </c>
      <c r="K54" s="6">
        <f ca="1">$G54/(1+IF(ISERROR($I54),0,IF(ISNA(MATCH($I54,TaxCode,0)),0,OFFSET(Setup!$B$7,MATCH($I54,TaxCode,0),0,1,1)))+IF(ISERROR($J54),0,IF(ISNA(MATCH($J54,TaxCode,0)),0,OFFSET(Setup!$B$7,MATCH($J54,TaxCode,0),0,1,1))))*IF(ISERROR($I54),0,IF(ISNA(MATCH($I54,TaxCode,0)),0,OFFSET(Setup!$B$7,MATCH($I54,TaxCode,0),0,1,1)))</f>
        <v>-148.10086956521738</v>
      </c>
      <c r="L54" s="6">
        <f ca="1">$G54/(1+IF(ISERROR($I54),0,IF(ISNA(MATCH($I54,TaxCode,0)),0,OFFSET(Setup!$B$7,MATCH($I54,TaxCode,0),0,1,1)))+IF(ISERROR($J54),0,IF(ISNA(MATCH($J54,TaxCode,0)),0,OFFSET(Setup!$B$7,MATCH($J54,TaxCode,0),0,1,1))))*IF(ISERROR($J54),0,IF(ISNA(MATCH($J54,TaxCode,0)),0,OFFSET(Setup!$B$7,MATCH($J54,TaxCode,0),0,1,1)))</f>
        <v>0</v>
      </c>
      <c r="M54" s="6" cm="1">
        <f t="array" aca="1" ref="M54" ca="1">G54-IF(TaxCount=2,SUM($K54:$L54),$K54:$K54)</f>
        <v>-987.33913043478242</v>
      </c>
      <c r="N54" s="7" t="str">
        <f t="shared" ca="1" si="1"/>
        <v>-</v>
      </c>
    </row>
    <row r="55" spans="1:14" ht="16.149999999999999" customHeight="1" x14ac:dyDescent="0.25">
      <c r="A55" s="21">
        <v>44099</v>
      </c>
      <c r="B55" s="7">
        <v>1207</v>
      </c>
      <c r="C55" s="7">
        <v>97</v>
      </c>
      <c r="D55" s="9" t="s">
        <v>95</v>
      </c>
      <c r="E55" s="22" t="s">
        <v>45</v>
      </c>
      <c r="F55" s="5" t="s">
        <v>96</v>
      </c>
      <c r="G55" s="6">
        <v>-341.99999999999994</v>
      </c>
      <c r="H55" s="23" t="s">
        <v>26</v>
      </c>
      <c r="I55" s="7" t="s">
        <v>114</v>
      </c>
      <c r="J55" s="7" t="s">
        <v>114</v>
      </c>
      <c r="K55" s="6">
        <f ca="1">$G55/(1+IF(ISERROR($I55),0,IF(ISNA(MATCH($I55,TaxCode,0)),0,OFFSET(Setup!$B$7,MATCH($I55,TaxCode,0),0,1,1)))+IF(ISERROR($J55),0,IF(ISNA(MATCH($J55,TaxCode,0)),0,OFFSET(Setup!$B$7,MATCH($J55,TaxCode,0),0,1,1))))*IF(ISERROR($I55),0,IF(ISNA(MATCH($I55,TaxCode,0)),0,OFFSET(Setup!$B$7,MATCH($I55,TaxCode,0),0,1,1)))</f>
        <v>0</v>
      </c>
      <c r="L55" s="6">
        <f ca="1">$G55/(1+IF(ISERROR($I55),0,IF(ISNA(MATCH($I55,TaxCode,0)),0,OFFSET(Setup!$B$7,MATCH($I55,TaxCode,0),0,1,1)))+IF(ISERROR($J55),0,IF(ISNA(MATCH($J55,TaxCode,0)),0,OFFSET(Setup!$B$7,MATCH($J55,TaxCode,0),0,1,1))))*IF(ISERROR($J55),0,IF(ISNA(MATCH($J55,TaxCode,0)),0,OFFSET(Setup!$B$7,MATCH($J55,TaxCode,0),0,1,1)))</f>
        <v>0</v>
      </c>
      <c r="M55" s="6" cm="1">
        <f t="array" aca="1" ref="M55" ca="1">G55-IF(TaxCount=2,SUM($K55:$L55),$K55:$K55)</f>
        <v>-341.99999999999994</v>
      </c>
      <c r="N55" s="7" t="str">
        <f t="shared" ca="1" si="1"/>
        <v>-</v>
      </c>
    </row>
    <row r="56" spans="1:14" ht="16.149999999999999" customHeight="1" x14ac:dyDescent="0.25">
      <c r="A56" s="21">
        <v>44104</v>
      </c>
      <c r="B56" s="7">
        <v>0</v>
      </c>
      <c r="C56" s="7">
        <v>0</v>
      </c>
      <c r="D56" s="9" t="s">
        <v>103</v>
      </c>
      <c r="E56" s="5" t="s">
        <v>45</v>
      </c>
      <c r="F56" s="5" t="s">
        <v>42</v>
      </c>
      <c r="G56" s="6">
        <v>2052</v>
      </c>
      <c r="H56" s="23" t="s">
        <v>107</v>
      </c>
      <c r="I56" s="7" t="s">
        <v>114</v>
      </c>
      <c r="J56" s="7" t="s">
        <v>114</v>
      </c>
      <c r="K56" s="6">
        <f ca="1">$G56/(1+IF(ISERROR($I56),0,IF(ISNA(MATCH($I56,TaxCode,0)),0,OFFSET(Setup!$B$7,MATCH($I56,TaxCode,0),0,1,1)))+IF(ISERROR($J56),0,IF(ISNA(MATCH($J56,TaxCode,0)),0,OFFSET(Setup!$B$7,MATCH($J56,TaxCode,0),0,1,1))))*IF(ISERROR($I56),0,IF(ISNA(MATCH($I56,TaxCode,0)),0,OFFSET(Setup!$B$7,MATCH($I56,TaxCode,0),0,1,1)))</f>
        <v>0</v>
      </c>
      <c r="L56" s="6">
        <f ca="1">$G56/(1+IF(ISERROR($I56),0,IF(ISNA(MATCH($I56,TaxCode,0)),0,OFFSET(Setup!$B$7,MATCH($I56,TaxCode,0),0,1,1)))+IF(ISERROR($J56),0,IF(ISNA(MATCH($J56,TaxCode,0)),0,OFFSET(Setup!$B$7,MATCH($J56,TaxCode,0),0,1,1))))*IF(ISERROR($J56),0,IF(ISNA(MATCH($J56,TaxCode,0)),0,OFFSET(Setup!$B$7,MATCH($J56,TaxCode,0),0,1,1)))</f>
        <v>0</v>
      </c>
      <c r="M56" s="6" cm="1">
        <f t="array" aca="1" ref="M56" ca="1">G56-IF(TaxCount=2,SUM($K56:$L56),$K56:$K56)</f>
        <v>2052</v>
      </c>
      <c r="N56" s="7" t="str">
        <f t="shared" ca="1" si="1"/>
        <v>-</v>
      </c>
    </row>
    <row r="57" spans="1:14" ht="16.149999999999999" customHeight="1" x14ac:dyDescent="0.25">
      <c r="A57" s="21">
        <v>44105</v>
      </c>
      <c r="B57" s="7">
        <v>1208</v>
      </c>
      <c r="C57" s="7">
        <v>98</v>
      </c>
      <c r="D57" s="9" t="s">
        <v>52</v>
      </c>
      <c r="E57" s="22" t="s">
        <v>68</v>
      </c>
      <c r="F57" s="5" t="s">
        <v>78</v>
      </c>
      <c r="G57" s="6">
        <v>-148.19999999999999</v>
      </c>
      <c r="H57" s="23" t="s">
        <v>28</v>
      </c>
      <c r="I57" s="7" t="s">
        <v>113</v>
      </c>
      <c r="J57" s="7" t="s">
        <v>114</v>
      </c>
      <c r="K57" s="6">
        <f ca="1">$G57/(1+IF(ISERROR($I57),0,IF(ISNA(MATCH($I57,TaxCode,0)),0,OFFSET(Setup!$B$7,MATCH($I57,TaxCode,0),0,1,1)))+IF(ISERROR($J57),0,IF(ISNA(MATCH($J57,TaxCode,0)),0,OFFSET(Setup!$B$7,MATCH($J57,TaxCode,0),0,1,1))))*IF(ISERROR($I57),0,IF(ISNA(MATCH($I57,TaxCode,0)),0,OFFSET(Setup!$B$7,MATCH($I57,TaxCode,0),0,1,1)))</f>
        <v>-19.330434782608695</v>
      </c>
      <c r="L57" s="6">
        <f ca="1">$G57/(1+IF(ISERROR($I57),0,IF(ISNA(MATCH($I57,TaxCode,0)),0,OFFSET(Setup!$B$7,MATCH($I57,TaxCode,0),0,1,1)))+IF(ISERROR($J57),0,IF(ISNA(MATCH($J57,TaxCode,0)),0,OFFSET(Setup!$B$7,MATCH($J57,TaxCode,0),0,1,1))))*IF(ISERROR($J57),0,IF(ISNA(MATCH($J57,TaxCode,0)),0,OFFSET(Setup!$B$7,MATCH($J57,TaxCode,0),0,1,1)))</f>
        <v>0</v>
      </c>
      <c r="M57" s="6" cm="1">
        <f t="array" aca="1" ref="M57" ca="1">G57-IF(TaxCount=2,SUM($K57:$L57),$K57:$K57)</f>
        <v>-128.86956521739128</v>
      </c>
      <c r="N57" s="7" t="str">
        <f t="shared" ca="1" si="1"/>
        <v>-</v>
      </c>
    </row>
    <row r="58" spans="1:14" ht="16.149999999999999" customHeight="1" x14ac:dyDescent="0.25">
      <c r="A58" s="21">
        <v>44107</v>
      </c>
      <c r="B58" s="7">
        <v>1208</v>
      </c>
      <c r="C58" s="7">
        <v>99</v>
      </c>
      <c r="D58" s="9" t="s">
        <v>101</v>
      </c>
      <c r="E58" s="22" t="s">
        <v>45</v>
      </c>
      <c r="F58" s="5" t="s">
        <v>102</v>
      </c>
      <c r="G58" s="6">
        <v>-821.93999999999994</v>
      </c>
      <c r="H58" s="23" t="s">
        <v>27</v>
      </c>
      <c r="I58" s="7" t="s">
        <v>113</v>
      </c>
      <c r="J58" s="7" t="s">
        <v>114</v>
      </c>
      <c r="K58" s="6">
        <f ca="1">$G58/(1+IF(ISERROR($I58),0,IF(ISNA(MATCH($I58,TaxCode,0)),0,OFFSET(Setup!$B$7,MATCH($I58,TaxCode,0),0,1,1)))+IF(ISERROR($J58),0,IF(ISNA(MATCH($J58,TaxCode,0)),0,OFFSET(Setup!$B$7,MATCH($J58,TaxCode,0),0,1,1))))*IF(ISERROR($I58),0,IF(ISNA(MATCH($I58,TaxCode,0)),0,OFFSET(Setup!$B$7,MATCH($I58,TaxCode,0),0,1,1)))</f>
        <v>-107.2095652173913</v>
      </c>
      <c r="L58" s="6">
        <f ca="1">$G58/(1+IF(ISERROR($I58),0,IF(ISNA(MATCH($I58,TaxCode,0)),0,OFFSET(Setup!$B$7,MATCH($I58,TaxCode,0),0,1,1)))+IF(ISERROR($J58),0,IF(ISNA(MATCH($J58,TaxCode,0)),0,OFFSET(Setup!$B$7,MATCH($J58,TaxCode,0),0,1,1))))*IF(ISERROR($J58),0,IF(ISNA(MATCH($J58,TaxCode,0)),0,OFFSET(Setup!$B$7,MATCH($J58,TaxCode,0),0,1,1)))</f>
        <v>0</v>
      </c>
      <c r="M58" s="6" cm="1">
        <f t="array" aca="1" ref="M58" ca="1">G58-IF(TaxCount=2,SUM($K58:$L58),$K58:$K58)</f>
        <v>-714.73043478260865</v>
      </c>
      <c r="N58" s="7" t="str">
        <f t="shared" ca="1" si="1"/>
        <v>-</v>
      </c>
    </row>
    <row r="59" spans="1:14" ht="16.149999999999999" customHeight="1" x14ac:dyDescent="0.25">
      <c r="A59" s="21">
        <v>44112</v>
      </c>
      <c r="B59" s="7">
        <v>1208</v>
      </c>
      <c r="C59" s="7">
        <v>100</v>
      </c>
      <c r="D59" s="9" t="s">
        <v>94</v>
      </c>
      <c r="E59" s="5" t="s">
        <v>45</v>
      </c>
      <c r="F59" s="5" t="s">
        <v>16</v>
      </c>
      <c r="G59" s="6">
        <v>-35.339999999999996</v>
      </c>
      <c r="H59" s="23" t="s">
        <v>32</v>
      </c>
      <c r="I59" s="7" t="s">
        <v>113</v>
      </c>
      <c r="J59" s="7" t="s">
        <v>114</v>
      </c>
      <c r="K59" s="6">
        <f ca="1">$G59/(1+IF(ISERROR($I59),0,IF(ISNA(MATCH($I59,TaxCode,0)),0,OFFSET(Setup!$B$7,MATCH($I59,TaxCode,0),0,1,1)))+IF(ISERROR($J59),0,IF(ISNA(MATCH($J59,TaxCode,0)),0,OFFSET(Setup!$B$7,MATCH($J59,TaxCode,0),0,1,1))))*IF(ISERROR($I59),0,IF(ISNA(MATCH($I59,TaxCode,0)),0,OFFSET(Setup!$B$7,MATCH($I59,TaxCode,0),0,1,1)))</f>
        <v>-4.609565217391304</v>
      </c>
      <c r="L59" s="6">
        <f ca="1">$G59/(1+IF(ISERROR($I59),0,IF(ISNA(MATCH($I59,TaxCode,0)),0,OFFSET(Setup!$B$7,MATCH($I59,TaxCode,0),0,1,1)))+IF(ISERROR($J59),0,IF(ISNA(MATCH($J59,TaxCode,0)),0,OFFSET(Setup!$B$7,MATCH($J59,TaxCode,0),0,1,1))))*IF(ISERROR($J59),0,IF(ISNA(MATCH($J59,TaxCode,0)),0,OFFSET(Setup!$B$7,MATCH($J59,TaxCode,0),0,1,1)))</f>
        <v>0</v>
      </c>
      <c r="M59" s="6" cm="1">
        <f t="array" aca="1" ref="M59" ca="1">G59-IF(TaxCount=2,SUM($K59:$L59),$K59:$K59)</f>
        <v>-30.730434782608693</v>
      </c>
      <c r="N59" s="7" t="str">
        <f t="shared" ca="1" si="1"/>
        <v>-</v>
      </c>
    </row>
    <row r="60" spans="1:14" ht="16.149999999999999" customHeight="1" x14ac:dyDescent="0.25">
      <c r="A60" s="21">
        <v>44119</v>
      </c>
      <c r="B60" s="7">
        <v>1208</v>
      </c>
      <c r="C60" s="7">
        <v>101</v>
      </c>
      <c r="D60" s="9" t="s">
        <v>52</v>
      </c>
      <c r="E60" s="22" t="s">
        <v>69</v>
      </c>
      <c r="F60" s="5" t="s">
        <v>78</v>
      </c>
      <c r="G60" s="6">
        <v>-148.19999999999999</v>
      </c>
      <c r="H60" s="23" t="s">
        <v>28</v>
      </c>
      <c r="I60" s="7" t="s">
        <v>113</v>
      </c>
      <c r="J60" s="7" t="s">
        <v>114</v>
      </c>
      <c r="K60" s="6">
        <f ca="1">$G60/(1+IF(ISERROR($I60),0,IF(ISNA(MATCH($I60,TaxCode,0)),0,OFFSET(Setup!$B$7,MATCH($I60,TaxCode,0),0,1,1)))+IF(ISERROR($J60),0,IF(ISNA(MATCH($J60,TaxCode,0)),0,OFFSET(Setup!$B$7,MATCH($J60,TaxCode,0),0,1,1))))*IF(ISERROR($I60),0,IF(ISNA(MATCH($I60,TaxCode,0)),0,OFFSET(Setup!$B$7,MATCH($I60,TaxCode,0),0,1,1)))</f>
        <v>-19.330434782608695</v>
      </c>
      <c r="L60" s="6">
        <f ca="1">$G60/(1+IF(ISERROR($I60),0,IF(ISNA(MATCH($I60,TaxCode,0)),0,OFFSET(Setup!$B$7,MATCH($I60,TaxCode,0),0,1,1)))+IF(ISERROR($J60),0,IF(ISNA(MATCH($J60,TaxCode,0)),0,OFFSET(Setup!$B$7,MATCH($J60,TaxCode,0),0,1,1))))*IF(ISERROR($J60),0,IF(ISNA(MATCH($J60,TaxCode,0)),0,OFFSET(Setup!$B$7,MATCH($J60,TaxCode,0),0,1,1)))</f>
        <v>0</v>
      </c>
      <c r="M60" s="6" cm="1">
        <f t="array" aca="1" ref="M60" ca="1">G60-IF(TaxCount=2,SUM($K60:$L60),$K60:$K60)</f>
        <v>-128.86956521739128</v>
      </c>
      <c r="N60" s="7" t="str">
        <f t="shared" ca="1" si="1"/>
        <v>-</v>
      </c>
    </row>
    <row r="61" spans="1:14" ht="16.149999999999999" customHeight="1" x14ac:dyDescent="0.25">
      <c r="A61" s="21">
        <v>44125</v>
      </c>
      <c r="B61" s="7">
        <v>1208</v>
      </c>
      <c r="C61" s="7">
        <v>102</v>
      </c>
      <c r="D61" s="9" t="s">
        <v>46</v>
      </c>
      <c r="E61" s="5" t="s">
        <v>45</v>
      </c>
      <c r="F61" s="5" t="s">
        <v>88</v>
      </c>
      <c r="G61" s="6">
        <v>-128.82</v>
      </c>
      <c r="H61" s="23" t="s">
        <v>30</v>
      </c>
      <c r="I61" s="7" t="s">
        <v>113</v>
      </c>
      <c r="J61" s="7" t="s">
        <v>114</v>
      </c>
      <c r="K61" s="6">
        <f ca="1">$G61/(1+IF(ISERROR($I61),0,IF(ISNA(MATCH($I61,TaxCode,0)),0,OFFSET(Setup!$B$7,MATCH($I61,TaxCode,0),0,1,1)))+IF(ISERROR($J61),0,IF(ISNA(MATCH($J61,TaxCode,0)),0,OFFSET(Setup!$B$7,MATCH($J61,TaxCode,0),0,1,1))))*IF(ISERROR($I61),0,IF(ISNA(MATCH($I61,TaxCode,0)),0,OFFSET(Setup!$B$7,MATCH($I61,TaxCode,0),0,1,1)))</f>
        <v>-16.802608695652172</v>
      </c>
      <c r="L61" s="6">
        <f ca="1">$G61/(1+IF(ISERROR($I61),0,IF(ISNA(MATCH($I61,TaxCode,0)),0,OFFSET(Setup!$B$7,MATCH($I61,TaxCode,0),0,1,1)))+IF(ISERROR($J61),0,IF(ISNA(MATCH($J61,TaxCode,0)),0,OFFSET(Setup!$B$7,MATCH($J61,TaxCode,0),0,1,1))))*IF(ISERROR($J61),0,IF(ISNA(MATCH($J61,TaxCode,0)),0,OFFSET(Setup!$B$7,MATCH($J61,TaxCode,0),0,1,1)))</f>
        <v>0</v>
      </c>
      <c r="M61" s="6" cm="1">
        <f t="array" aca="1" ref="M61" ca="1">G61-IF(TaxCount=2,SUM($K61:$L61),$K61:$K61)</f>
        <v>-112.01739130434783</v>
      </c>
      <c r="N61" s="7" t="str">
        <f t="shared" ca="1" si="1"/>
        <v>-</v>
      </c>
    </row>
    <row r="62" spans="1:14" ht="16.149999999999999" customHeight="1" x14ac:dyDescent="0.25">
      <c r="A62" s="21">
        <v>44129</v>
      </c>
      <c r="B62" s="7">
        <v>1208</v>
      </c>
      <c r="C62" s="7">
        <v>103</v>
      </c>
      <c r="D62" s="9" t="s">
        <v>95</v>
      </c>
      <c r="E62" s="22" t="s">
        <v>45</v>
      </c>
      <c r="F62" s="5" t="s">
        <v>96</v>
      </c>
      <c r="G62" s="6">
        <v>-341.99999999999994</v>
      </c>
      <c r="H62" s="23" t="s">
        <v>26</v>
      </c>
      <c r="I62" s="7" t="s">
        <v>114</v>
      </c>
      <c r="J62" s="7" t="s">
        <v>114</v>
      </c>
      <c r="K62" s="6">
        <f ca="1">$G62/(1+IF(ISERROR($I62),0,IF(ISNA(MATCH($I62,TaxCode,0)),0,OFFSET(Setup!$B$7,MATCH($I62,TaxCode,0),0,1,1)))+IF(ISERROR($J62),0,IF(ISNA(MATCH($J62,TaxCode,0)),0,OFFSET(Setup!$B$7,MATCH($J62,TaxCode,0),0,1,1))))*IF(ISERROR($I62),0,IF(ISNA(MATCH($I62,TaxCode,0)),0,OFFSET(Setup!$B$7,MATCH($I62,TaxCode,0),0,1,1)))</f>
        <v>0</v>
      </c>
      <c r="L62" s="6">
        <f ca="1">$G62/(1+IF(ISERROR($I62),0,IF(ISNA(MATCH($I62,TaxCode,0)),0,OFFSET(Setup!$B$7,MATCH($I62,TaxCode,0),0,1,1)))+IF(ISERROR($J62),0,IF(ISNA(MATCH($J62,TaxCode,0)),0,OFFSET(Setup!$B$7,MATCH($J62,TaxCode,0),0,1,1))))*IF(ISERROR($J62),0,IF(ISNA(MATCH($J62,TaxCode,0)),0,OFFSET(Setup!$B$7,MATCH($J62,TaxCode,0),0,1,1)))</f>
        <v>0</v>
      </c>
      <c r="M62" s="6" cm="1">
        <f t="array" aca="1" ref="M62" ca="1">G62-IF(TaxCount=2,SUM($K62:$L62),$K62:$K62)</f>
        <v>-341.99999999999994</v>
      </c>
      <c r="N62" s="7" t="str">
        <f t="shared" ca="1" si="1"/>
        <v>-</v>
      </c>
    </row>
    <row r="63" spans="1:14" ht="16.149999999999999" customHeight="1" x14ac:dyDescent="0.25">
      <c r="A63" s="21">
        <v>44133</v>
      </c>
      <c r="B63" s="7">
        <v>1208</v>
      </c>
      <c r="C63" s="7">
        <v>104</v>
      </c>
      <c r="D63" s="9" t="s">
        <v>52</v>
      </c>
      <c r="E63" s="22" t="s">
        <v>70</v>
      </c>
      <c r="F63" s="5" t="s">
        <v>78</v>
      </c>
      <c r="G63" s="6">
        <v>-148.19999999999999</v>
      </c>
      <c r="H63" s="23" t="s">
        <v>28</v>
      </c>
      <c r="I63" s="7" t="s">
        <v>113</v>
      </c>
      <c r="J63" s="7" t="s">
        <v>114</v>
      </c>
      <c r="K63" s="6">
        <f ca="1">$G63/(1+IF(ISERROR($I63),0,IF(ISNA(MATCH($I63,TaxCode,0)),0,OFFSET(Setup!$B$7,MATCH($I63,TaxCode,0),0,1,1)))+IF(ISERROR($J63),0,IF(ISNA(MATCH($J63,TaxCode,0)),0,OFFSET(Setup!$B$7,MATCH($J63,TaxCode,0),0,1,1))))*IF(ISERROR($I63),0,IF(ISNA(MATCH($I63,TaxCode,0)),0,OFFSET(Setup!$B$7,MATCH($I63,TaxCode,0),0,1,1)))</f>
        <v>-19.330434782608695</v>
      </c>
      <c r="L63" s="6">
        <f ca="1">$G63/(1+IF(ISERROR($I63),0,IF(ISNA(MATCH($I63,TaxCode,0)),0,OFFSET(Setup!$B$7,MATCH($I63,TaxCode,0),0,1,1)))+IF(ISERROR($J63),0,IF(ISNA(MATCH($J63,TaxCode,0)),0,OFFSET(Setup!$B$7,MATCH($J63,TaxCode,0),0,1,1))))*IF(ISERROR($J63),0,IF(ISNA(MATCH($J63,TaxCode,0)),0,OFFSET(Setup!$B$7,MATCH($J63,TaxCode,0),0,1,1)))</f>
        <v>0</v>
      </c>
      <c r="M63" s="6" cm="1">
        <f t="array" aca="1" ref="M63" ca="1">G63-IF(TaxCount=2,SUM($K63:$L63),$K63:$K63)</f>
        <v>-128.86956521739128</v>
      </c>
      <c r="N63" s="7" t="str">
        <f t="shared" ca="1" si="1"/>
        <v>-</v>
      </c>
    </row>
    <row r="64" spans="1:14" ht="16.149999999999999" customHeight="1" x14ac:dyDescent="0.25">
      <c r="A64" s="21">
        <v>44135</v>
      </c>
      <c r="B64" s="7">
        <v>0</v>
      </c>
      <c r="C64" s="7">
        <v>0</v>
      </c>
      <c r="D64" s="9" t="s">
        <v>103</v>
      </c>
      <c r="E64" s="5" t="s">
        <v>45</v>
      </c>
      <c r="F64" s="5" t="s">
        <v>42</v>
      </c>
      <c r="G64" s="6">
        <v>1823.9999999999998</v>
      </c>
      <c r="H64" s="23" t="s">
        <v>107</v>
      </c>
      <c r="I64" s="7" t="s">
        <v>114</v>
      </c>
      <c r="J64" s="7" t="s">
        <v>114</v>
      </c>
      <c r="K64" s="6">
        <f ca="1">$G64/(1+IF(ISERROR($I64),0,IF(ISNA(MATCH($I64,TaxCode,0)),0,OFFSET(Setup!$B$7,MATCH($I64,TaxCode,0),0,1,1)))+IF(ISERROR($J64),0,IF(ISNA(MATCH($J64,TaxCode,0)),0,OFFSET(Setup!$B$7,MATCH($J64,TaxCode,0),0,1,1))))*IF(ISERROR($I64),0,IF(ISNA(MATCH($I64,TaxCode,0)),0,OFFSET(Setup!$B$7,MATCH($I64,TaxCode,0),0,1,1)))</f>
        <v>0</v>
      </c>
      <c r="L64" s="6">
        <f ca="1">$G64/(1+IF(ISERROR($I64),0,IF(ISNA(MATCH($I64,TaxCode,0)),0,OFFSET(Setup!$B$7,MATCH($I64,TaxCode,0),0,1,1)))+IF(ISERROR($J64),0,IF(ISNA(MATCH($J64,TaxCode,0)),0,OFFSET(Setup!$B$7,MATCH($J64,TaxCode,0),0,1,1))))*IF(ISERROR($J64),0,IF(ISNA(MATCH($J64,TaxCode,0)),0,OFFSET(Setup!$B$7,MATCH($J64,TaxCode,0),0,1,1)))</f>
        <v>0</v>
      </c>
      <c r="M64" s="6" cm="1">
        <f t="array" aca="1" ref="M64" ca="1">G64-IF(TaxCount=2,SUM($K64:$L64),$K64:$K64)</f>
        <v>1823.9999999999998</v>
      </c>
      <c r="N64" s="7" t="str">
        <f t="shared" ca="1" si="1"/>
        <v>-</v>
      </c>
    </row>
    <row r="65" spans="1:14" ht="16.149999999999999" customHeight="1" x14ac:dyDescent="0.25">
      <c r="A65" s="21">
        <v>44136</v>
      </c>
      <c r="B65" s="7">
        <v>1209</v>
      </c>
      <c r="C65" s="7">
        <v>105</v>
      </c>
      <c r="D65" s="9" t="s">
        <v>94</v>
      </c>
      <c r="E65" s="22" t="s">
        <v>45</v>
      </c>
      <c r="F65" s="5" t="s">
        <v>16</v>
      </c>
      <c r="G65" s="6">
        <v>-37.619999999999997</v>
      </c>
      <c r="H65" s="23" t="s">
        <v>32</v>
      </c>
      <c r="I65" s="7" t="s">
        <v>113</v>
      </c>
      <c r="J65" s="7" t="s">
        <v>114</v>
      </c>
      <c r="K65" s="6">
        <f ca="1">$G65/(1+IF(ISERROR($I65),0,IF(ISNA(MATCH($I65,TaxCode,0)),0,OFFSET(Setup!$B$7,MATCH($I65,TaxCode,0),0,1,1)))+IF(ISERROR($J65),0,IF(ISNA(MATCH($J65,TaxCode,0)),0,OFFSET(Setup!$B$7,MATCH($J65,TaxCode,0),0,1,1))))*IF(ISERROR($I65),0,IF(ISNA(MATCH($I65,TaxCode,0)),0,OFFSET(Setup!$B$7,MATCH($I65,TaxCode,0),0,1,1)))</f>
        <v>-4.9069565217391302</v>
      </c>
      <c r="L65" s="6">
        <f ca="1">$G65/(1+IF(ISERROR($I65),0,IF(ISNA(MATCH($I65,TaxCode,0)),0,OFFSET(Setup!$B$7,MATCH($I65,TaxCode,0),0,1,1)))+IF(ISERROR($J65),0,IF(ISNA(MATCH($J65,TaxCode,0)),0,OFFSET(Setup!$B$7,MATCH($J65,TaxCode,0),0,1,1))))*IF(ISERROR($J65),0,IF(ISNA(MATCH($J65,TaxCode,0)),0,OFFSET(Setup!$B$7,MATCH($J65,TaxCode,0),0,1,1)))</f>
        <v>0</v>
      </c>
      <c r="M65" s="6" cm="1">
        <f t="array" aca="1" ref="M65" ca="1">G65-IF(TaxCount=2,SUM($K65:$L65),$K65:$K65)</f>
        <v>-32.713043478260865</v>
      </c>
      <c r="N65" s="7" t="str">
        <f t="shared" ca="1" si="1"/>
        <v>-</v>
      </c>
    </row>
    <row r="66" spans="1:14" ht="16.149999999999999" customHeight="1" x14ac:dyDescent="0.25">
      <c r="A66" s="21">
        <v>44137</v>
      </c>
      <c r="B66" s="7">
        <v>1209</v>
      </c>
      <c r="C66" s="7">
        <v>106</v>
      </c>
      <c r="D66" s="9" t="s">
        <v>44</v>
      </c>
      <c r="E66" s="5" t="s">
        <v>99</v>
      </c>
      <c r="F66" s="5" t="s">
        <v>24</v>
      </c>
      <c r="G66" s="6">
        <v>-671.45999999999992</v>
      </c>
      <c r="H66" s="23" t="s">
        <v>33</v>
      </c>
      <c r="I66" s="7" t="s">
        <v>113</v>
      </c>
      <c r="J66" s="7" t="s">
        <v>114</v>
      </c>
      <c r="K66" s="6">
        <f ca="1">$G66/(1+IF(ISERROR($I66),0,IF(ISNA(MATCH($I66,TaxCode,0)),0,OFFSET(Setup!$B$7,MATCH($I66,TaxCode,0),0,1,1)))+IF(ISERROR($J66),0,IF(ISNA(MATCH($J66,TaxCode,0)),0,OFFSET(Setup!$B$7,MATCH($J66,TaxCode,0),0,1,1))))*IF(ISERROR($I66),0,IF(ISNA(MATCH($I66,TaxCode,0)),0,OFFSET(Setup!$B$7,MATCH($I66,TaxCode,0),0,1,1)))</f>
        <v>-87.581739130434784</v>
      </c>
      <c r="L66" s="6">
        <f ca="1">$G66/(1+IF(ISERROR($I66),0,IF(ISNA(MATCH($I66,TaxCode,0)),0,OFFSET(Setup!$B$7,MATCH($I66,TaxCode,0),0,1,1)))+IF(ISERROR($J66),0,IF(ISNA(MATCH($J66,TaxCode,0)),0,OFFSET(Setup!$B$7,MATCH($J66,TaxCode,0),0,1,1))))*IF(ISERROR($J66),0,IF(ISNA(MATCH($J66,TaxCode,0)),0,OFFSET(Setup!$B$7,MATCH($J66,TaxCode,0),0,1,1)))</f>
        <v>0</v>
      </c>
      <c r="M66" s="6" cm="1">
        <f t="array" aca="1" ref="M66" ca="1">G66-IF(TaxCount=2,SUM($K66:$L66),$K66:$K66)</f>
        <v>-583.87826086956511</v>
      </c>
      <c r="N66" s="7" t="str">
        <f t="shared" ca="1" si="1"/>
        <v>-</v>
      </c>
    </row>
    <row r="67" spans="1:14" ht="16.149999999999999" customHeight="1" x14ac:dyDescent="0.25">
      <c r="A67" s="21">
        <v>44147</v>
      </c>
      <c r="B67" s="7">
        <v>1209</v>
      </c>
      <c r="C67" s="7">
        <v>107</v>
      </c>
      <c r="D67" s="9" t="s">
        <v>52</v>
      </c>
      <c r="E67" s="22" t="s">
        <v>71</v>
      </c>
      <c r="F67" s="5" t="s">
        <v>78</v>
      </c>
      <c r="G67" s="6">
        <v>-148.19999999999999</v>
      </c>
      <c r="H67" s="23" t="s">
        <v>28</v>
      </c>
      <c r="I67" s="7" t="s">
        <v>113</v>
      </c>
      <c r="J67" s="7" t="s">
        <v>114</v>
      </c>
      <c r="K67" s="6">
        <f ca="1">$G67/(1+IF(ISERROR($I67),0,IF(ISNA(MATCH($I67,TaxCode,0)),0,OFFSET(Setup!$B$7,MATCH($I67,TaxCode,0),0,1,1)))+IF(ISERROR($J67),0,IF(ISNA(MATCH($J67,TaxCode,0)),0,OFFSET(Setup!$B$7,MATCH($J67,TaxCode,0),0,1,1))))*IF(ISERROR($I67),0,IF(ISNA(MATCH($I67,TaxCode,0)),0,OFFSET(Setup!$B$7,MATCH($I67,TaxCode,0),0,1,1)))</f>
        <v>-19.330434782608695</v>
      </c>
      <c r="L67" s="6">
        <f ca="1">$G67/(1+IF(ISERROR($I67),0,IF(ISNA(MATCH($I67,TaxCode,0)),0,OFFSET(Setup!$B$7,MATCH($I67,TaxCode,0),0,1,1)))+IF(ISERROR($J67),0,IF(ISNA(MATCH($J67,TaxCode,0)),0,OFFSET(Setup!$B$7,MATCH($J67,TaxCode,0),0,1,1))))*IF(ISERROR($J67),0,IF(ISNA(MATCH($J67,TaxCode,0)),0,OFFSET(Setup!$B$7,MATCH($J67,TaxCode,0),0,1,1)))</f>
        <v>0</v>
      </c>
      <c r="M67" s="6" cm="1">
        <f t="array" aca="1" ref="M67" ca="1">G67-IF(TaxCount=2,SUM($K67:$L67),$K67:$K67)</f>
        <v>-128.86956521739128</v>
      </c>
      <c r="N67" s="7" t="str">
        <f t="shared" ca="1" si="1"/>
        <v>-</v>
      </c>
    </row>
    <row r="68" spans="1:14" ht="16.149999999999999" customHeight="1" x14ac:dyDescent="0.25">
      <c r="A68" s="21">
        <v>44154</v>
      </c>
      <c r="B68" s="7">
        <v>1209</v>
      </c>
      <c r="C68" s="7">
        <v>108</v>
      </c>
      <c r="D68" s="9" t="s">
        <v>46</v>
      </c>
      <c r="E68" s="5" t="s">
        <v>45</v>
      </c>
      <c r="F68" s="5" t="s">
        <v>88</v>
      </c>
      <c r="G68" s="6">
        <v>-165.29999999999998</v>
      </c>
      <c r="H68" s="23" t="s">
        <v>30</v>
      </c>
      <c r="I68" s="7" t="s">
        <v>113</v>
      </c>
      <c r="J68" s="7" t="s">
        <v>114</v>
      </c>
      <c r="K68" s="6">
        <f ca="1">$G68/(1+IF(ISERROR($I68),0,IF(ISNA(MATCH($I68,TaxCode,0)),0,OFFSET(Setup!$B$7,MATCH($I68,TaxCode,0),0,1,1)))+IF(ISERROR($J68),0,IF(ISNA(MATCH($J68,TaxCode,0)),0,OFFSET(Setup!$B$7,MATCH($J68,TaxCode,0),0,1,1))))*IF(ISERROR($I68),0,IF(ISNA(MATCH($I68,TaxCode,0)),0,OFFSET(Setup!$B$7,MATCH($I68,TaxCode,0),0,1,1)))</f>
        <v>-21.560869565217388</v>
      </c>
      <c r="L68" s="6">
        <f ca="1">$G68/(1+IF(ISERROR($I68),0,IF(ISNA(MATCH($I68,TaxCode,0)),0,OFFSET(Setup!$B$7,MATCH($I68,TaxCode,0),0,1,1)))+IF(ISERROR($J68),0,IF(ISNA(MATCH($J68,TaxCode,0)),0,OFFSET(Setup!$B$7,MATCH($J68,TaxCode,0),0,1,1))))*IF(ISERROR($J68),0,IF(ISNA(MATCH($J68,TaxCode,0)),0,OFFSET(Setup!$B$7,MATCH($J68,TaxCode,0),0,1,1)))</f>
        <v>0</v>
      </c>
      <c r="M68" s="6" cm="1">
        <f t="array" aca="1" ref="M68" ca="1">G68-IF(TaxCount=2,SUM($K68:$L68),$K68:$K68)</f>
        <v>-143.7391304347826</v>
      </c>
      <c r="N68" s="7" t="str">
        <f t="shared" ca="1" si="1"/>
        <v>-</v>
      </c>
    </row>
    <row r="69" spans="1:14" ht="16.149999999999999" customHeight="1" x14ac:dyDescent="0.25">
      <c r="A69" s="21">
        <v>44160</v>
      </c>
      <c r="B69" s="7">
        <v>1209</v>
      </c>
      <c r="C69" s="7">
        <v>109</v>
      </c>
      <c r="D69" s="9" t="s">
        <v>95</v>
      </c>
      <c r="E69" s="22" t="s">
        <v>45</v>
      </c>
      <c r="F69" s="5" t="s">
        <v>96</v>
      </c>
      <c r="G69" s="6">
        <v>-341.99999999999994</v>
      </c>
      <c r="H69" s="23" t="s">
        <v>26</v>
      </c>
      <c r="I69" s="7" t="s">
        <v>114</v>
      </c>
      <c r="J69" s="7" t="s">
        <v>114</v>
      </c>
      <c r="K69" s="6">
        <f ca="1">$G69/(1+IF(ISERROR($I69),0,IF(ISNA(MATCH($I69,TaxCode,0)),0,OFFSET(Setup!$B$7,MATCH($I69,TaxCode,0),0,1,1)))+IF(ISERROR($J69),0,IF(ISNA(MATCH($J69,TaxCode,0)),0,OFFSET(Setup!$B$7,MATCH($J69,TaxCode,0),0,1,1))))*IF(ISERROR($I69),0,IF(ISNA(MATCH($I69,TaxCode,0)),0,OFFSET(Setup!$B$7,MATCH($I69,TaxCode,0),0,1,1)))</f>
        <v>0</v>
      </c>
      <c r="L69" s="6">
        <f ca="1">$G69/(1+IF(ISERROR($I69),0,IF(ISNA(MATCH($I69,TaxCode,0)),0,OFFSET(Setup!$B$7,MATCH($I69,TaxCode,0),0,1,1)))+IF(ISERROR($J69),0,IF(ISNA(MATCH($J69,TaxCode,0)),0,OFFSET(Setup!$B$7,MATCH($J69,TaxCode,0),0,1,1))))*IF(ISERROR($J69),0,IF(ISNA(MATCH($J69,TaxCode,0)),0,OFFSET(Setup!$B$7,MATCH($J69,TaxCode,0),0,1,1)))</f>
        <v>0</v>
      </c>
      <c r="M69" s="6" cm="1">
        <f t="array" aca="1" ref="M69" ca="1">G69-IF(TaxCount=2,SUM($K69:$L69),$K69:$K69)</f>
        <v>-341.99999999999994</v>
      </c>
      <c r="N69" s="7" t="str">
        <f t="shared" ref="N69:N95" ca="1" si="2">IF(AND($G69&gt;0,$H69&lt;&gt;"BANK")=TRUE,"E1",IF(AND($G69&lt;0,$H69="BANK")=TRUE,"E1",IF(AND(ISNA(VLOOKUP($H69,AccountNo,1,0))=TRUE,ISBLANK($H69)=FALSE)=TRUE,"E2","-")))</f>
        <v>-</v>
      </c>
    </row>
    <row r="70" spans="1:14" ht="16.149999999999999" customHeight="1" x14ac:dyDescent="0.25">
      <c r="A70" s="21">
        <v>44161</v>
      </c>
      <c r="B70" s="7">
        <v>1209</v>
      </c>
      <c r="C70" s="7">
        <v>110</v>
      </c>
      <c r="D70" s="9" t="s">
        <v>52</v>
      </c>
      <c r="E70" s="22" t="s">
        <v>72</v>
      </c>
      <c r="F70" s="5" t="s">
        <v>78</v>
      </c>
      <c r="G70" s="6">
        <v>-148.19999999999999</v>
      </c>
      <c r="H70" s="23" t="s">
        <v>28</v>
      </c>
      <c r="I70" s="7" t="s">
        <v>113</v>
      </c>
      <c r="J70" s="7" t="s">
        <v>114</v>
      </c>
      <c r="K70" s="6">
        <f ca="1">$G70/(1+IF(ISERROR($I70),0,IF(ISNA(MATCH($I70,TaxCode,0)),0,OFFSET(Setup!$B$7,MATCH($I70,TaxCode,0),0,1,1)))+IF(ISERROR($J70),0,IF(ISNA(MATCH($J70,TaxCode,0)),0,OFFSET(Setup!$B$7,MATCH($J70,TaxCode,0),0,1,1))))*IF(ISERROR($I70),0,IF(ISNA(MATCH($I70,TaxCode,0)),0,OFFSET(Setup!$B$7,MATCH($I70,TaxCode,0),0,1,1)))</f>
        <v>-19.330434782608695</v>
      </c>
      <c r="L70" s="6">
        <f ca="1">$G70/(1+IF(ISERROR($I70),0,IF(ISNA(MATCH($I70,TaxCode,0)),0,OFFSET(Setup!$B$7,MATCH($I70,TaxCode,0),0,1,1)))+IF(ISERROR($J70),0,IF(ISNA(MATCH($J70,TaxCode,0)),0,OFFSET(Setup!$B$7,MATCH($J70,TaxCode,0),0,1,1))))*IF(ISERROR($J70),0,IF(ISNA(MATCH($J70,TaxCode,0)),0,OFFSET(Setup!$B$7,MATCH($J70,TaxCode,0),0,1,1)))</f>
        <v>0</v>
      </c>
      <c r="M70" s="6" cm="1">
        <f t="array" aca="1" ref="M70" ca="1">G70-IF(TaxCount=2,SUM($K70:$L70),$K70:$K70)</f>
        <v>-128.86956521739128</v>
      </c>
      <c r="N70" s="7" t="str">
        <f t="shared" ca="1" si="2"/>
        <v>-</v>
      </c>
    </row>
    <row r="71" spans="1:14" ht="16.149999999999999" customHeight="1" x14ac:dyDescent="0.25">
      <c r="A71" s="21">
        <v>44165</v>
      </c>
      <c r="B71" s="7">
        <v>0</v>
      </c>
      <c r="C71" s="7">
        <v>0</v>
      </c>
      <c r="D71" s="9" t="s">
        <v>103</v>
      </c>
      <c r="E71" s="5" t="s">
        <v>45</v>
      </c>
      <c r="F71" s="5" t="s">
        <v>42</v>
      </c>
      <c r="G71" s="6">
        <v>1481.9999999999998</v>
      </c>
      <c r="H71" s="23" t="s">
        <v>107</v>
      </c>
      <c r="I71" s="7" t="s">
        <v>114</v>
      </c>
      <c r="J71" s="7" t="s">
        <v>114</v>
      </c>
      <c r="K71" s="6">
        <f ca="1">$G71/(1+IF(ISERROR($I71),0,IF(ISNA(MATCH($I71,TaxCode,0)),0,OFFSET(Setup!$B$7,MATCH($I71,TaxCode,0),0,1,1)))+IF(ISERROR($J71),0,IF(ISNA(MATCH($J71,TaxCode,0)),0,OFFSET(Setup!$B$7,MATCH($J71,TaxCode,0),0,1,1))))*IF(ISERROR($I71),0,IF(ISNA(MATCH($I71,TaxCode,0)),0,OFFSET(Setup!$B$7,MATCH($I71,TaxCode,0),0,1,1)))</f>
        <v>0</v>
      </c>
      <c r="L71" s="6">
        <f ca="1">$G71/(1+IF(ISERROR($I71),0,IF(ISNA(MATCH($I71,TaxCode,0)),0,OFFSET(Setup!$B$7,MATCH($I71,TaxCode,0),0,1,1)))+IF(ISERROR($J71),0,IF(ISNA(MATCH($J71,TaxCode,0)),0,OFFSET(Setup!$B$7,MATCH($J71,TaxCode,0),0,1,1))))*IF(ISERROR($J71),0,IF(ISNA(MATCH($J71,TaxCode,0)),0,OFFSET(Setup!$B$7,MATCH($J71,TaxCode,0),0,1,1)))</f>
        <v>0</v>
      </c>
      <c r="M71" s="6" cm="1">
        <f t="array" aca="1" ref="M71" ca="1">G71-IF(TaxCount=2,SUM($K71:$L71),$K71:$K71)</f>
        <v>1481.9999999999998</v>
      </c>
      <c r="N71" s="7" t="str">
        <f t="shared" ca="1" si="2"/>
        <v>-</v>
      </c>
    </row>
    <row r="72" spans="1:14" ht="16.149999999999999" customHeight="1" x14ac:dyDescent="0.25">
      <c r="A72" s="21">
        <v>44167</v>
      </c>
      <c r="B72" s="7">
        <v>1210</v>
      </c>
      <c r="C72" s="7">
        <v>111</v>
      </c>
      <c r="D72" s="9" t="s">
        <v>94</v>
      </c>
      <c r="E72" s="5" t="s">
        <v>45</v>
      </c>
      <c r="F72" s="5" t="s">
        <v>16</v>
      </c>
      <c r="G72" s="6">
        <v>-33.059999999999995</v>
      </c>
      <c r="H72" s="23" t="s">
        <v>32</v>
      </c>
      <c r="I72" s="7" t="s">
        <v>113</v>
      </c>
      <c r="J72" s="7" t="s">
        <v>114</v>
      </c>
      <c r="K72" s="6">
        <f ca="1">$G72/(1+IF(ISERROR($I72),0,IF(ISNA(MATCH($I72,TaxCode,0)),0,OFFSET(Setup!$B$7,MATCH($I72,TaxCode,0),0,1,1)))+IF(ISERROR($J72),0,IF(ISNA(MATCH($J72,TaxCode,0)),0,OFFSET(Setup!$B$7,MATCH($J72,TaxCode,0),0,1,1))))*IF(ISERROR($I72),0,IF(ISNA(MATCH($I72,TaxCode,0)),0,OFFSET(Setup!$B$7,MATCH($I72,TaxCode,0),0,1,1)))</f>
        <v>-4.3121739130434777</v>
      </c>
      <c r="L72" s="6">
        <f ca="1">$G72/(1+IF(ISERROR($I72),0,IF(ISNA(MATCH($I72,TaxCode,0)),0,OFFSET(Setup!$B$7,MATCH($I72,TaxCode,0),0,1,1)))+IF(ISERROR($J72),0,IF(ISNA(MATCH($J72,TaxCode,0)),0,OFFSET(Setup!$B$7,MATCH($J72,TaxCode,0),0,1,1))))*IF(ISERROR($J72),0,IF(ISNA(MATCH($J72,TaxCode,0)),0,OFFSET(Setup!$B$7,MATCH($J72,TaxCode,0),0,1,1)))</f>
        <v>0</v>
      </c>
      <c r="M72" s="6" cm="1">
        <f t="array" aca="1" ref="M72" ca="1">G72-IF(TaxCount=2,SUM($K72:$L72),$K72:$K72)</f>
        <v>-28.747826086956518</v>
      </c>
      <c r="N72" s="7" t="str">
        <f t="shared" ca="1" si="2"/>
        <v>-</v>
      </c>
    </row>
    <row r="73" spans="1:14" ht="16.149999999999999" customHeight="1" x14ac:dyDescent="0.25">
      <c r="A73" s="21">
        <v>44175</v>
      </c>
      <c r="B73" s="7">
        <v>1210</v>
      </c>
      <c r="C73" s="7">
        <v>112</v>
      </c>
      <c r="D73" s="9" t="s">
        <v>52</v>
      </c>
      <c r="E73" s="22" t="s">
        <v>73</v>
      </c>
      <c r="F73" s="5" t="s">
        <v>78</v>
      </c>
      <c r="G73" s="6">
        <v>-148.19999999999999</v>
      </c>
      <c r="H73" s="23" t="s">
        <v>28</v>
      </c>
      <c r="I73" s="7" t="s">
        <v>113</v>
      </c>
      <c r="J73" s="7" t="s">
        <v>114</v>
      </c>
      <c r="K73" s="6">
        <f ca="1">$G73/(1+IF(ISERROR($I73),0,IF(ISNA(MATCH($I73,TaxCode,0)),0,OFFSET(Setup!$B$7,MATCH($I73,TaxCode,0),0,1,1)))+IF(ISERROR($J73),0,IF(ISNA(MATCH($J73,TaxCode,0)),0,OFFSET(Setup!$B$7,MATCH($J73,TaxCode,0),0,1,1))))*IF(ISERROR($I73),0,IF(ISNA(MATCH($I73,TaxCode,0)),0,OFFSET(Setup!$B$7,MATCH($I73,TaxCode,0),0,1,1)))</f>
        <v>-19.330434782608695</v>
      </c>
      <c r="L73" s="6">
        <f ca="1">$G73/(1+IF(ISERROR($I73),0,IF(ISNA(MATCH($I73,TaxCode,0)),0,OFFSET(Setup!$B$7,MATCH($I73,TaxCode,0),0,1,1)))+IF(ISERROR($J73),0,IF(ISNA(MATCH($J73,TaxCode,0)),0,OFFSET(Setup!$B$7,MATCH($J73,TaxCode,0),0,1,1))))*IF(ISERROR($J73),0,IF(ISNA(MATCH($J73,TaxCode,0)),0,OFFSET(Setup!$B$7,MATCH($J73,TaxCode,0),0,1,1)))</f>
        <v>0</v>
      </c>
      <c r="M73" s="6" cm="1">
        <f t="array" aca="1" ref="M73" ca="1">G73-IF(TaxCount=2,SUM($K73:$L73),$K73:$K73)</f>
        <v>-128.86956521739128</v>
      </c>
      <c r="N73" s="7" t="str">
        <f t="shared" ca="1" si="2"/>
        <v>-</v>
      </c>
    </row>
    <row r="74" spans="1:14" ht="16.149999999999999" customHeight="1" x14ac:dyDescent="0.25">
      <c r="A74" s="21">
        <v>44178</v>
      </c>
      <c r="B74" s="7">
        <v>1210</v>
      </c>
      <c r="C74" s="7">
        <v>113</v>
      </c>
      <c r="D74" s="9" t="s">
        <v>79</v>
      </c>
      <c r="E74" s="5" t="s">
        <v>82</v>
      </c>
      <c r="F74" s="5" t="s">
        <v>83</v>
      </c>
      <c r="G74" s="6">
        <v>-1135.4399999999998</v>
      </c>
      <c r="H74" s="23" t="s">
        <v>29</v>
      </c>
      <c r="I74" s="7" t="s">
        <v>113</v>
      </c>
      <c r="J74" s="7" t="s">
        <v>114</v>
      </c>
      <c r="K74" s="6">
        <f ca="1">$G74/(1+IF(ISERROR($I74),0,IF(ISNA(MATCH($I74,TaxCode,0)),0,OFFSET(Setup!$B$7,MATCH($I74,TaxCode,0),0,1,1)))+IF(ISERROR($J74),0,IF(ISNA(MATCH($J74,TaxCode,0)),0,OFFSET(Setup!$B$7,MATCH($J74,TaxCode,0),0,1,1))))*IF(ISERROR($I74),0,IF(ISNA(MATCH($I74,TaxCode,0)),0,OFFSET(Setup!$B$7,MATCH($I74,TaxCode,0),0,1,1)))</f>
        <v>-148.10086956521738</v>
      </c>
      <c r="L74" s="6">
        <f ca="1">$G74/(1+IF(ISERROR($I74),0,IF(ISNA(MATCH($I74,TaxCode,0)),0,OFFSET(Setup!$B$7,MATCH($I74,TaxCode,0),0,1,1)))+IF(ISERROR($J74),0,IF(ISNA(MATCH($J74,TaxCode,0)),0,OFFSET(Setup!$B$7,MATCH($J74,TaxCode,0),0,1,1))))*IF(ISERROR($J74),0,IF(ISNA(MATCH($J74,TaxCode,0)),0,OFFSET(Setup!$B$7,MATCH($J74,TaxCode,0),0,1,1)))</f>
        <v>0</v>
      </c>
      <c r="M74" s="6" cm="1">
        <f t="array" aca="1" ref="M74" ca="1">G74-IF(TaxCount=2,SUM($K74:$L74),$K74:$K74)</f>
        <v>-987.33913043478242</v>
      </c>
      <c r="N74" s="7" t="str">
        <f t="shared" ca="1" si="2"/>
        <v>-</v>
      </c>
    </row>
    <row r="75" spans="1:14" ht="16.149999999999999" customHeight="1" x14ac:dyDescent="0.25">
      <c r="A75" s="21">
        <v>44179</v>
      </c>
      <c r="B75" s="7">
        <v>1210</v>
      </c>
      <c r="C75" s="7">
        <v>114</v>
      </c>
      <c r="D75" s="9" t="s">
        <v>46</v>
      </c>
      <c r="E75" s="5" t="s">
        <v>45</v>
      </c>
      <c r="F75" s="5" t="s">
        <v>88</v>
      </c>
      <c r="G75" s="6">
        <v>-265.62</v>
      </c>
      <c r="H75" s="23" t="s">
        <v>30</v>
      </c>
      <c r="I75" s="7" t="s">
        <v>113</v>
      </c>
      <c r="J75" s="7" t="s">
        <v>114</v>
      </c>
      <c r="K75" s="6">
        <f ca="1">$G75/(1+IF(ISERROR($I75),0,IF(ISNA(MATCH($I75,TaxCode,0)),0,OFFSET(Setup!$B$7,MATCH($I75,TaxCode,0),0,1,1)))+IF(ISERROR($J75),0,IF(ISNA(MATCH($J75,TaxCode,0)),0,OFFSET(Setup!$B$7,MATCH($J75,TaxCode,0),0,1,1))))*IF(ISERROR($I75),0,IF(ISNA(MATCH($I75,TaxCode,0)),0,OFFSET(Setup!$B$7,MATCH($I75,TaxCode,0),0,1,1)))</f>
        <v>-34.646086956521742</v>
      </c>
      <c r="L75" s="6">
        <f ca="1">$G75/(1+IF(ISERROR($I75),0,IF(ISNA(MATCH($I75,TaxCode,0)),0,OFFSET(Setup!$B$7,MATCH($I75,TaxCode,0),0,1,1)))+IF(ISERROR($J75),0,IF(ISNA(MATCH($J75,TaxCode,0)),0,OFFSET(Setup!$B$7,MATCH($J75,TaxCode,0),0,1,1))))*IF(ISERROR($J75),0,IF(ISNA(MATCH($J75,TaxCode,0)),0,OFFSET(Setup!$B$7,MATCH($J75,TaxCode,0),0,1,1)))</f>
        <v>0</v>
      </c>
      <c r="M75" s="6" cm="1">
        <f t="array" aca="1" ref="M75" ca="1">G75-IF(TaxCount=2,SUM($K75:$L75),$K75:$K75)</f>
        <v>-230.97391304347826</v>
      </c>
      <c r="N75" s="7" t="str">
        <f t="shared" ca="1" si="2"/>
        <v>-</v>
      </c>
    </row>
    <row r="76" spans="1:14" ht="16.149999999999999" customHeight="1" x14ac:dyDescent="0.25">
      <c r="A76" s="21">
        <v>44182</v>
      </c>
      <c r="B76" s="7">
        <v>1210</v>
      </c>
      <c r="C76" s="7">
        <v>115</v>
      </c>
      <c r="D76" s="9" t="s">
        <v>91</v>
      </c>
      <c r="E76" s="5" t="s">
        <v>92</v>
      </c>
      <c r="F76" s="5" t="s">
        <v>89</v>
      </c>
      <c r="G76" s="6">
        <v>-1112.6399999999999</v>
      </c>
      <c r="H76" s="23" t="s">
        <v>31</v>
      </c>
      <c r="I76" s="7" t="s">
        <v>114</v>
      </c>
      <c r="J76" s="7" t="s">
        <v>114</v>
      </c>
      <c r="K76" s="6">
        <f ca="1">$G76/(1+IF(ISERROR($I76),0,IF(ISNA(MATCH($I76,TaxCode,0)),0,OFFSET(Setup!$B$7,MATCH($I76,TaxCode,0),0,1,1)))+IF(ISERROR($J76),0,IF(ISNA(MATCH($J76,TaxCode,0)),0,OFFSET(Setup!$B$7,MATCH($J76,TaxCode,0),0,1,1))))*IF(ISERROR($I76),0,IF(ISNA(MATCH($I76,TaxCode,0)),0,OFFSET(Setup!$B$7,MATCH($I76,TaxCode,0),0,1,1)))</f>
        <v>0</v>
      </c>
      <c r="L76" s="6">
        <f ca="1">$G76/(1+IF(ISERROR($I76),0,IF(ISNA(MATCH($I76,TaxCode,0)),0,OFFSET(Setup!$B$7,MATCH($I76,TaxCode,0),0,1,1)))+IF(ISERROR($J76),0,IF(ISNA(MATCH($J76,TaxCode,0)),0,OFFSET(Setup!$B$7,MATCH($J76,TaxCode,0),0,1,1))))*IF(ISERROR($J76),0,IF(ISNA(MATCH($J76,TaxCode,0)),0,OFFSET(Setup!$B$7,MATCH($J76,TaxCode,0),0,1,1)))</f>
        <v>0</v>
      </c>
      <c r="M76" s="6" cm="1">
        <f t="array" aca="1" ref="M76" ca="1">G76-IF(TaxCount=2,SUM($K76:$L76),$K76:$K76)</f>
        <v>-1112.6399999999999</v>
      </c>
      <c r="N76" s="7" t="str">
        <f t="shared" ca="1" si="2"/>
        <v>-</v>
      </c>
    </row>
    <row r="77" spans="1:14" ht="16.149999999999999" customHeight="1" x14ac:dyDescent="0.25">
      <c r="A77" s="21">
        <v>44189</v>
      </c>
      <c r="B77" s="7">
        <v>1210</v>
      </c>
      <c r="C77" s="7">
        <v>116</v>
      </c>
      <c r="D77" s="9" t="s">
        <v>52</v>
      </c>
      <c r="E77" s="22" t="s">
        <v>74</v>
      </c>
      <c r="F77" s="5" t="s">
        <v>78</v>
      </c>
      <c r="G77" s="6">
        <v>-148.19999999999999</v>
      </c>
      <c r="H77" s="23" t="s">
        <v>28</v>
      </c>
      <c r="I77" s="7" t="s">
        <v>113</v>
      </c>
      <c r="J77" s="7" t="s">
        <v>114</v>
      </c>
      <c r="K77" s="6">
        <f ca="1">$G77/(1+IF(ISERROR($I77),0,IF(ISNA(MATCH($I77,TaxCode,0)),0,OFFSET(Setup!$B$7,MATCH($I77,TaxCode,0),0,1,1)))+IF(ISERROR($J77),0,IF(ISNA(MATCH($J77,TaxCode,0)),0,OFFSET(Setup!$B$7,MATCH($J77,TaxCode,0),0,1,1))))*IF(ISERROR($I77),0,IF(ISNA(MATCH($I77,TaxCode,0)),0,OFFSET(Setup!$B$7,MATCH($I77,TaxCode,0),0,1,1)))</f>
        <v>-19.330434782608695</v>
      </c>
      <c r="L77" s="6">
        <f ca="1">$G77/(1+IF(ISERROR($I77),0,IF(ISNA(MATCH($I77,TaxCode,0)),0,OFFSET(Setup!$B$7,MATCH($I77,TaxCode,0),0,1,1)))+IF(ISERROR($J77),0,IF(ISNA(MATCH($J77,TaxCode,0)),0,OFFSET(Setup!$B$7,MATCH($J77,TaxCode,0),0,1,1))))*IF(ISERROR($J77),0,IF(ISNA(MATCH($J77,TaxCode,0)),0,OFFSET(Setup!$B$7,MATCH($J77,TaxCode,0),0,1,1)))</f>
        <v>0</v>
      </c>
      <c r="M77" s="6" cm="1">
        <f t="array" aca="1" ref="M77" ca="1">G77-IF(TaxCount=2,SUM($K77:$L77),$K77:$K77)</f>
        <v>-128.86956521739128</v>
      </c>
      <c r="N77" s="7" t="str">
        <f t="shared" ca="1" si="2"/>
        <v>-</v>
      </c>
    </row>
    <row r="78" spans="1:14" ht="16.149999999999999" customHeight="1" x14ac:dyDescent="0.25">
      <c r="A78" s="21">
        <v>44190</v>
      </c>
      <c r="B78" s="7">
        <v>1210</v>
      </c>
      <c r="C78" s="7">
        <v>117</v>
      </c>
      <c r="D78" s="9" t="s">
        <v>95</v>
      </c>
      <c r="E78" s="22" t="s">
        <v>45</v>
      </c>
      <c r="F78" s="5" t="s">
        <v>96</v>
      </c>
      <c r="G78" s="6">
        <v>-513</v>
      </c>
      <c r="H78" s="23" t="s">
        <v>26</v>
      </c>
      <c r="I78" s="7" t="s">
        <v>114</v>
      </c>
      <c r="J78" s="7" t="s">
        <v>114</v>
      </c>
      <c r="K78" s="6">
        <f ca="1">$G78/(1+IF(ISERROR($I78),0,IF(ISNA(MATCH($I78,TaxCode,0)),0,OFFSET(Setup!$B$7,MATCH($I78,TaxCode,0),0,1,1)))+IF(ISERROR($J78),0,IF(ISNA(MATCH($J78,TaxCode,0)),0,OFFSET(Setup!$B$7,MATCH($J78,TaxCode,0),0,1,1))))*IF(ISERROR($I78),0,IF(ISNA(MATCH($I78,TaxCode,0)),0,OFFSET(Setup!$B$7,MATCH($I78,TaxCode,0),0,1,1)))</f>
        <v>0</v>
      </c>
      <c r="L78" s="6">
        <f ca="1">$G78/(1+IF(ISERROR($I78),0,IF(ISNA(MATCH($I78,TaxCode,0)),0,OFFSET(Setup!$B$7,MATCH($I78,TaxCode,0),0,1,1)))+IF(ISERROR($J78),0,IF(ISNA(MATCH($J78,TaxCode,0)),0,OFFSET(Setup!$B$7,MATCH($J78,TaxCode,0),0,1,1))))*IF(ISERROR($J78),0,IF(ISNA(MATCH($J78,TaxCode,0)),0,OFFSET(Setup!$B$7,MATCH($J78,TaxCode,0),0,1,1)))</f>
        <v>0</v>
      </c>
      <c r="M78" s="6" cm="1">
        <f t="array" aca="1" ref="M78" ca="1">G78-IF(TaxCount=2,SUM($K78:$L78),$K78:$K78)</f>
        <v>-513</v>
      </c>
      <c r="N78" s="7" t="str">
        <f t="shared" ca="1" si="2"/>
        <v>-</v>
      </c>
    </row>
    <row r="79" spans="1:14" ht="16.149999999999999" customHeight="1" x14ac:dyDescent="0.25">
      <c r="A79" s="21">
        <v>44196</v>
      </c>
      <c r="B79" s="7">
        <v>0</v>
      </c>
      <c r="C79" s="7">
        <v>0</v>
      </c>
      <c r="D79" s="9" t="s">
        <v>103</v>
      </c>
      <c r="E79" s="5" t="s">
        <v>45</v>
      </c>
      <c r="F79" s="5" t="s">
        <v>42</v>
      </c>
      <c r="G79" s="6">
        <v>3419.9999999999995</v>
      </c>
      <c r="H79" s="23" t="s">
        <v>107</v>
      </c>
      <c r="I79" s="7" t="s">
        <v>114</v>
      </c>
      <c r="J79" s="7" t="s">
        <v>114</v>
      </c>
      <c r="K79" s="6">
        <f ca="1">$G79/(1+IF(ISERROR($I79),0,IF(ISNA(MATCH($I79,TaxCode,0)),0,OFFSET(Setup!$B$7,MATCH($I79,TaxCode,0),0,1,1)))+IF(ISERROR($J79),0,IF(ISNA(MATCH($J79,TaxCode,0)),0,OFFSET(Setup!$B$7,MATCH($J79,TaxCode,0),0,1,1))))*IF(ISERROR($I79),0,IF(ISNA(MATCH($I79,TaxCode,0)),0,OFFSET(Setup!$B$7,MATCH($I79,TaxCode,0),0,1,1)))</f>
        <v>0</v>
      </c>
      <c r="L79" s="6">
        <f ca="1">$G79/(1+IF(ISERROR($I79),0,IF(ISNA(MATCH($I79,TaxCode,0)),0,OFFSET(Setup!$B$7,MATCH($I79,TaxCode,0),0,1,1)))+IF(ISERROR($J79),0,IF(ISNA(MATCH($J79,TaxCode,0)),0,OFFSET(Setup!$B$7,MATCH($J79,TaxCode,0),0,1,1))))*IF(ISERROR($J79),0,IF(ISNA(MATCH($J79,TaxCode,0)),0,OFFSET(Setup!$B$7,MATCH($J79,TaxCode,0),0,1,1)))</f>
        <v>0</v>
      </c>
      <c r="M79" s="6" cm="1">
        <f t="array" aca="1" ref="M79" ca="1">G79-IF(TaxCount=2,SUM($K79:$L79),$K79:$K79)</f>
        <v>3419.9999999999995</v>
      </c>
      <c r="N79" s="7" t="str">
        <f t="shared" ca="1" si="2"/>
        <v>-</v>
      </c>
    </row>
    <row r="80" spans="1:14" ht="16.149999999999999" customHeight="1" x14ac:dyDescent="0.25">
      <c r="A80" s="21">
        <v>44198</v>
      </c>
      <c r="B80" s="7">
        <v>1211</v>
      </c>
      <c r="C80" s="7">
        <v>118</v>
      </c>
      <c r="D80" s="9" t="s">
        <v>94</v>
      </c>
      <c r="E80" s="5" t="s">
        <v>45</v>
      </c>
      <c r="F80" s="5" t="s">
        <v>16</v>
      </c>
      <c r="G80" s="6">
        <v>-30.779999999999998</v>
      </c>
      <c r="H80" s="23" t="s">
        <v>32</v>
      </c>
      <c r="I80" s="7" t="s">
        <v>113</v>
      </c>
      <c r="J80" s="7" t="s">
        <v>114</v>
      </c>
      <c r="K80" s="6">
        <f ca="1">$G80/(1+IF(ISERROR($I80),0,IF(ISNA(MATCH($I80,TaxCode,0)),0,OFFSET(Setup!$B$7,MATCH($I80,TaxCode,0),0,1,1)))+IF(ISERROR($J80),0,IF(ISNA(MATCH($J80,TaxCode,0)),0,OFFSET(Setup!$B$7,MATCH($J80,TaxCode,0),0,1,1))))*IF(ISERROR($I80),0,IF(ISNA(MATCH($I80,TaxCode,0)),0,OFFSET(Setup!$B$7,MATCH($I80,TaxCode,0),0,1,1)))</f>
        <v>-4.0147826086956515</v>
      </c>
      <c r="L80" s="6">
        <f ca="1">$G80/(1+IF(ISERROR($I80),0,IF(ISNA(MATCH($I80,TaxCode,0)),0,OFFSET(Setup!$B$7,MATCH($I80,TaxCode,0),0,1,1)))+IF(ISERROR($J80),0,IF(ISNA(MATCH($J80,TaxCode,0)),0,OFFSET(Setup!$B$7,MATCH($J80,TaxCode,0),0,1,1))))*IF(ISERROR($J80),0,IF(ISNA(MATCH($J80,TaxCode,0)),0,OFFSET(Setup!$B$7,MATCH($J80,TaxCode,0),0,1,1)))</f>
        <v>0</v>
      </c>
      <c r="M80" s="6" cm="1">
        <f t="array" aca="1" ref="M80" ca="1">G80-IF(TaxCount=2,SUM($K80:$L80),$K80:$K80)</f>
        <v>-26.765217391304347</v>
      </c>
      <c r="N80" s="7" t="str">
        <f t="shared" ca="1" si="2"/>
        <v>-</v>
      </c>
    </row>
    <row r="81" spans="1:14" ht="16.149999999999999" customHeight="1" x14ac:dyDescent="0.25">
      <c r="A81" s="21">
        <v>44203</v>
      </c>
      <c r="B81" s="7">
        <v>1211</v>
      </c>
      <c r="C81" s="7">
        <v>119</v>
      </c>
      <c r="D81" s="9" t="s">
        <v>52</v>
      </c>
      <c r="E81" s="22" t="s">
        <v>75</v>
      </c>
      <c r="F81" s="5" t="s">
        <v>78</v>
      </c>
      <c r="G81" s="6">
        <v>-148.19999999999999</v>
      </c>
      <c r="H81" s="23" t="s">
        <v>28</v>
      </c>
      <c r="I81" s="7" t="s">
        <v>113</v>
      </c>
      <c r="J81" s="7" t="s">
        <v>114</v>
      </c>
      <c r="K81" s="6">
        <f ca="1">$G81/(1+IF(ISERROR($I81),0,IF(ISNA(MATCH($I81,TaxCode,0)),0,OFFSET(Setup!$B$7,MATCH($I81,TaxCode,0),0,1,1)))+IF(ISERROR($J81),0,IF(ISNA(MATCH($J81,TaxCode,0)),0,OFFSET(Setup!$B$7,MATCH($J81,TaxCode,0),0,1,1))))*IF(ISERROR($I81),0,IF(ISNA(MATCH($I81,TaxCode,0)),0,OFFSET(Setup!$B$7,MATCH($I81,TaxCode,0),0,1,1)))</f>
        <v>-19.330434782608695</v>
      </c>
      <c r="L81" s="6">
        <f ca="1">$G81/(1+IF(ISERROR($I81),0,IF(ISNA(MATCH($I81,TaxCode,0)),0,OFFSET(Setup!$B$7,MATCH($I81,TaxCode,0),0,1,1)))+IF(ISERROR($J81),0,IF(ISNA(MATCH($J81,TaxCode,0)),0,OFFSET(Setup!$B$7,MATCH($J81,TaxCode,0),0,1,1))))*IF(ISERROR($J81),0,IF(ISNA(MATCH($J81,TaxCode,0)),0,OFFSET(Setup!$B$7,MATCH($J81,TaxCode,0),0,1,1)))</f>
        <v>0</v>
      </c>
      <c r="M81" s="6" cm="1">
        <f t="array" aca="1" ref="M81" ca="1">G81-IF(TaxCount=2,SUM($K81:$L81),$K81:$K81)</f>
        <v>-128.86956521739128</v>
      </c>
      <c r="N81" s="7" t="str">
        <f t="shared" ca="1" si="2"/>
        <v>-</v>
      </c>
    </row>
    <row r="82" spans="1:14" ht="16.149999999999999" customHeight="1" x14ac:dyDescent="0.25">
      <c r="A82" s="21">
        <v>44209</v>
      </c>
      <c r="B82" s="7">
        <v>1211</v>
      </c>
      <c r="C82" s="7">
        <v>120</v>
      </c>
      <c r="D82" s="9" t="s">
        <v>46</v>
      </c>
      <c r="E82" s="5" t="s">
        <v>45</v>
      </c>
      <c r="F82" s="5" t="s">
        <v>88</v>
      </c>
      <c r="G82" s="6">
        <v>-224.57999999999998</v>
      </c>
      <c r="H82" s="23" t="s">
        <v>30</v>
      </c>
      <c r="I82" s="7" t="s">
        <v>113</v>
      </c>
      <c r="J82" s="7" t="s">
        <v>114</v>
      </c>
      <c r="K82" s="6">
        <f ca="1">$G82/(1+IF(ISERROR($I82),0,IF(ISNA(MATCH($I82,TaxCode,0)),0,OFFSET(Setup!$B$7,MATCH($I82,TaxCode,0),0,1,1)))+IF(ISERROR($J82),0,IF(ISNA(MATCH($J82,TaxCode,0)),0,OFFSET(Setup!$B$7,MATCH($J82,TaxCode,0),0,1,1))))*IF(ISERROR($I82),0,IF(ISNA(MATCH($I82,TaxCode,0)),0,OFFSET(Setup!$B$7,MATCH($I82,TaxCode,0),0,1,1)))</f>
        <v>-29.29304347826087</v>
      </c>
      <c r="L82" s="6">
        <f ca="1">$G82/(1+IF(ISERROR($I82),0,IF(ISNA(MATCH($I82,TaxCode,0)),0,OFFSET(Setup!$B$7,MATCH($I82,TaxCode,0),0,1,1)))+IF(ISERROR($J82),0,IF(ISNA(MATCH($J82,TaxCode,0)),0,OFFSET(Setup!$B$7,MATCH($J82,TaxCode,0),0,1,1))))*IF(ISERROR($J82),0,IF(ISNA(MATCH($J82,TaxCode,0)),0,OFFSET(Setup!$B$7,MATCH($J82,TaxCode,0),0,1,1)))</f>
        <v>0</v>
      </c>
      <c r="M82" s="6" cm="1">
        <f t="array" aca="1" ref="M82" ca="1">G82-IF(TaxCount=2,SUM($K82:$L82),$K82:$K82)</f>
        <v>-195.28695652173911</v>
      </c>
      <c r="N82" s="7" t="str">
        <f t="shared" ca="1" si="2"/>
        <v>-</v>
      </c>
    </row>
    <row r="83" spans="1:14" ht="16.149999999999999" customHeight="1" x14ac:dyDescent="0.25">
      <c r="A83" s="21">
        <v>44217</v>
      </c>
      <c r="B83" s="7">
        <v>1211</v>
      </c>
      <c r="C83" s="7">
        <v>121</v>
      </c>
      <c r="D83" s="9" t="s">
        <v>52</v>
      </c>
      <c r="E83" s="22" t="s">
        <v>76</v>
      </c>
      <c r="F83" s="5" t="s">
        <v>78</v>
      </c>
      <c r="G83" s="6">
        <v>-148.19999999999999</v>
      </c>
      <c r="H83" s="23" t="s">
        <v>28</v>
      </c>
      <c r="I83" s="7" t="s">
        <v>113</v>
      </c>
      <c r="J83" s="7" t="s">
        <v>114</v>
      </c>
      <c r="K83" s="6">
        <f ca="1">$G83/(1+IF(ISERROR($I83),0,IF(ISNA(MATCH($I83,TaxCode,0)),0,OFFSET(Setup!$B$7,MATCH($I83,TaxCode,0),0,1,1)))+IF(ISERROR($J83),0,IF(ISNA(MATCH($J83,TaxCode,0)),0,OFFSET(Setup!$B$7,MATCH($J83,TaxCode,0),0,1,1))))*IF(ISERROR($I83),0,IF(ISNA(MATCH($I83,TaxCode,0)),0,OFFSET(Setup!$B$7,MATCH($I83,TaxCode,0),0,1,1)))</f>
        <v>-19.330434782608695</v>
      </c>
      <c r="L83" s="6">
        <f ca="1">$G83/(1+IF(ISERROR($I83),0,IF(ISNA(MATCH($I83,TaxCode,0)),0,OFFSET(Setup!$B$7,MATCH($I83,TaxCode,0),0,1,1)))+IF(ISERROR($J83),0,IF(ISNA(MATCH($J83,TaxCode,0)),0,OFFSET(Setup!$B$7,MATCH($J83,TaxCode,0),0,1,1))))*IF(ISERROR($J83),0,IF(ISNA(MATCH($J83,TaxCode,0)),0,OFFSET(Setup!$B$7,MATCH($J83,TaxCode,0),0,1,1)))</f>
        <v>0</v>
      </c>
      <c r="M83" s="6" cm="1">
        <f t="array" aca="1" ref="M83" ca="1">G83-IF(TaxCount=2,SUM($K83:$L83),$K83:$K83)</f>
        <v>-128.86956521739128</v>
      </c>
      <c r="N83" s="7" t="str">
        <f t="shared" ca="1" si="2"/>
        <v>-</v>
      </c>
    </row>
    <row r="84" spans="1:14" ht="16.149999999999999" customHeight="1" x14ac:dyDescent="0.25">
      <c r="A84" s="21">
        <v>44218</v>
      </c>
      <c r="B84" s="7">
        <v>1211</v>
      </c>
      <c r="C84" s="7">
        <v>122</v>
      </c>
      <c r="D84" s="9" t="s">
        <v>101</v>
      </c>
      <c r="E84" s="5" t="s">
        <v>45</v>
      </c>
      <c r="F84" s="5" t="s">
        <v>102</v>
      </c>
      <c r="G84" s="6">
        <v>-479.93999999999994</v>
      </c>
      <c r="H84" s="23" t="s">
        <v>27</v>
      </c>
      <c r="I84" s="7" t="s">
        <v>113</v>
      </c>
      <c r="J84" s="7" t="s">
        <v>114</v>
      </c>
      <c r="K84" s="6">
        <f ca="1">$G84/(1+IF(ISERROR($I84),0,IF(ISNA(MATCH($I84,TaxCode,0)),0,OFFSET(Setup!$B$7,MATCH($I84,TaxCode,0),0,1,1)))+IF(ISERROR($J84),0,IF(ISNA(MATCH($J84,TaxCode,0)),0,OFFSET(Setup!$B$7,MATCH($J84,TaxCode,0),0,1,1))))*IF(ISERROR($I84),0,IF(ISNA(MATCH($I84,TaxCode,0)),0,OFFSET(Setup!$B$7,MATCH($I84,TaxCode,0),0,1,1)))</f>
        <v>-62.600869565217387</v>
      </c>
      <c r="L84" s="6">
        <f ca="1">$G84/(1+IF(ISERROR($I84),0,IF(ISNA(MATCH($I84,TaxCode,0)),0,OFFSET(Setup!$B$7,MATCH($I84,TaxCode,0),0,1,1)))+IF(ISERROR($J84),0,IF(ISNA(MATCH($J84,TaxCode,0)),0,OFFSET(Setup!$B$7,MATCH($J84,TaxCode,0),0,1,1))))*IF(ISERROR($J84),0,IF(ISNA(MATCH($J84,TaxCode,0)),0,OFFSET(Setup!$B$7,MATCH($J84,TaxCode,0),0,1,1)))</f>
        <v>0</v>
      </c>
      <c r="M84" s="6" cm="1">
        <f t="array" aca="1" ref="M84" ca="1">G84-IF(TaxCount=2,SUM($K84:$L84),$K84:$K84)</f>
        <v>-417.33913043478253</v>
      </c>
      <c r="N84" s="7" t="str">
        <f t="shared" ca="1" si="2"/>
        <v>-</v>
      </c>
    </row>
    <row r="85" spans="1:14" ht="16.149999999999999" customHeight="1" x14ac:dyDescent="0.25">
      <c r="A85" s="21">
        <v>44218</v>
      </c>
      <c r="B85" s="7">
        <v>1211</v>
      </c>
      <c r="C85" s="7">
        <v>123</v>
      </c>
      <c r="D85" s="9" t="s">
        <v>44</v>
      </c>
      <c r="E85" s="5" t="s">
        <v>100</v>
      </c>
      <c r="F85" s="5" t="s">
        <v>24</v>
      </c>
      <c r="G85" s="6">
        <v>-707.93999999999994</v>
      </c>
      <c r="H85" s="23" t="s">
        <v>33</v>
      </c>
      <c r="I85" s="7" t="s">
        <v>113</v>
      </c>
      <c r="J85" s="7" t="s">
        <v>114</v>
      </c>
      <c r="K85" s="6">
        <f ca="1">$G85/(1+IF(ISERROR($I85),0,IF(ISNA(MATCH($I85,TaxCode,0)),0,OFFSET(Setup!$B$7,MATCH($I85,TaxCode,0),0,1,1)))+IF(ISERROR($J85),0,IF(ISNA(MATCH($J85,TaxCode,0)),0,OFFSET(Setup!$B$7,MATCH($J85,TaxCode,0),0,1,1))))*IF(ISERROR($I85),0,IF(ISNA(MATCH($I85,TaxCode,0)),0,OFFSET(Setup!$B$7,MATCH($I85,TaxCode,0),0,1,1)))</f>
        <v>-92.34</v>
      </c>
      <c r="L85" s="6">
        <f ca="1">$G85/(1+IF(ISERROR($I85),0,IF(ISNA(MATCH($I85,TaxCode,0)),0,OFFSET(Setup!$B$7,MATCH($I85,TaxCode,0),0,1,1)))+IF(ISERROR($J85),0,IF(ISNA(MATCH($J85,TaxCode,0)),0,OFFSET(Setup!$B$7,MATCH($J85,TaxCode,0),0,1,1))))*IF(ISERROR($J85),0,IF(ISNA(MATCH($J85,TaxCode,0)),0,OFFSET(Setup!$B$7,MATCH($J85,TaxCode,0),0,1,1)))</f>
        <v>0</v>
      </c>
      <c r="M85" s="6" cm="1">
        <f t="array" aca="1" ref="M85" ca="1">G85-IF(TaxCount=2,SUM($K85:$L85),$K85:$K85)</f>
        <v>-615.59999999999991</v>
      </c>
      <c r="N85" s="7" t="str">
        <f t="shared" ca="1" si="2"/>
        <v>-</v>
      </c>
    </row>
    <row r="86" spans="1:14" ht="16.149999999999999" customHeight="1" x14ac:dyDescent="0.25">
      <c r="A86" s="21">
        <v>44221</v>
      </c>
      <c r="B86" s="7">
        <v>1211</v>
      </c>
      <c r="C86" s="7">
        <v>124</v>
      </c>
      <c r="D86" s="9" t="s">
        <v>95</v>
      </c>
      <c r="E86" s="22" t="s">
        <v>45</v>
      </c>
      <c r="F86" s="5" t="s">
        <v>96</v>
      </c>
      <c r="G86" s="6">
        <v>-341.99999999999994</v>
      </c>
      <c r="H86" s="23" t="s">
        <v>26</v>
      </c>
      <c r="I86" s="7" t="s">
        <v>114</v>
      </c>
      <c r="J86" s="7" t="s">
        <v>114</v>
      </c>
      <c r="K86" s="6">
        <f ca="1">$G86/(1+IF(ISERROR($I86),0,IF(ISNA(MATCH($I86,TaxCode,0)),0,OFFSET(Setup!$B$7,MATCH($I86,TaxCode,0),0,1,1)))+IF(ISERROR($J86),0,IF(ISNA(MATCH($J86,TaxCode,0)),0,OFFSET(Setup!$B$7,MATCH($J86,TaxCode,0),0,1,1))))*IF(ISERROR($I86),0,IF(ISNA(MATCH($I86,TaxCode,0)),0,OFFSET(Setup!$B$7,MATCH($I86,TaxCode,0),0,1,1)))</f>
        <v>0</v>
      </c>
      <c r="L86" s="6">
        <f ca="1">$G86/(1+IF(ISERROR($I86),0,IF(ISNA(MATCH($I86,TaxCode,0)),0,OFFSET(Setup!$B$7,MATCH($I86,TaxCode,0),0,1,1)))+IF(ISERROR($J86),0,IF(ISNA(MATCH($J86,TaxCode,0)),0,OFFSET(Setup!$B$7,MATCH($J86,TaxCode,0),0,1,1))))*IF(ISERROR($J86),0,IF(ISNA(MATCH($J86,TaxCode,0)),0,OFFSET(Setup!$B$7,MATCH($J86,TaxCode,0),0,1,1)))</f>
        <v>0</v>
      </c>
      <c r="M86" s="6" cm="1">
        <f t="array" aca="1" ref="M86" ca="1">G86-IF(TaxCount=2,SUM($K86:$L86),$K86:$K86)</f>
        <v>-341.99999999999994</v>
      </c>
      <c r="N86" s="7" t="str">
        <f t="shared" ca="1" si="2"/>
        <v>-</v>
      </c>
    </row>
    <row r="87" spans="1:14" ht="16.149999999999999" customHeight="1" x14ac:dyDescent="0.25">
      <c r="A87" s="21">
        <v>44227</v>
      </c>
      <c r="B87" s="7">
        <v>0</v>
      </c>
      <c r="C87" s="7">
        <v>0</v>
      </c>
      <c r="D87" s="9" t="s">
        <v>103</v>
      </c>
      <c r="E87" s="5" t="s">
        <v>45</v>
      </c>
      <c r="F87" s="5" t="s">
        <v>42</v>
      </c>
      <c r="G87" s="6">
        <v>2166</v>
      </c>
      <c r="H87" s="23" t="s">
        <v>107</v>
      </c>
      <c r="I87" s="7" t="s">
        <v>114</v>
      </c>
      <c r="J87" s="7" t="s">
        <v>114</v>
      </c>
      <c r="K87" s="6">
        <f ca="1">$G87/(1+IF(ISERROR($I87),0,IF(ISNA(MATCH($I87,TaxCode,0)),0,OFFSET(Setup!$B$7,MATCH($I87,TaxCode,0),0,1,1)))+IF(ISERROR($J87),0,IF(ISNA(MATCH($J87,TaxCode,0)),0,OFFSET(Setup!$B$7,MATCH($J87,TaxCode,0),0,1,1))))*IF(ISERROR($I87),0,IF(ISNA(MATCH($I87,TaxCode,0)),0,OFFSET(Setup!$B$7,MATCH($I87,TaxCode,0),0,1,1)))</f>
        <v>0</v>
      </c>
      <c r="L87" s="6">
        <f ca="1">$G87/(1+IF(ISERROR($I87),0,IF(ISNA(MATCH($I87,TaxCode,0)),0,OFFSET(Setup!$B$7,MATCH($I87,TaxCode,0),0,1,1)))+IF(ISERROR($J87),0,IF(ISNA(MATCH($J87,TaxCode,0)),0,OFFSET(Setup!$B$7,MATCH($J87,TaxCode,0),0,1,1))))*IF(ISERROR($J87),0,IF(ISNA(MATCH($J87,TaxCode,0)),0,OFFSET(Setup!$B$7,MATCH($J87,TaxCode,0),0,1,1)))</f>
        <v>0</v>
      </c>
      <c r="M87" s="6" cm="1">
        <f t="array" aca="1" ref="M87" ca="1">G87-IF(TaxCount=2,SUM($K87:$L87),$K87:$K87)</f>
        <v>2166</v>
      </c>
      <c r="N87" s="7" t="str">
        <f t="shared" ca="1" si="2"/>
        <v>-</v>
      </c>
    </row>
    <row r="88" spans="1:14" ht="16.149999999999999" customHeight="1" x14ac:dyDescent="0.25">
      <c r="A88" s="21">
        <v>44230</v>
      </c>
      <c r="B88" s="7">
        <v>1212</v>
      </c>
      <c r="C88" s="7">
        <v>125</v>
      </c>
      <c r="D88" s="9" t="s">
        <v>94</v>
      </c>
      <c r="E88" s="5" t="s">
        <v>45</v>
      </c>
      <c r="F88" s="5" t="s">
        <v>16</v>
      </c>
      <c r="G88" s="6">
        <v>-28.499999999999996</v>
      </c>
      <c r="H88" s="23" t="s">
        <v>32</v>
      </c>
      <c r="I88" s="7" t="s">
        <v>113</v>
      </c>
      <c r="J88" s="7" t="s">
        <v>114</v>
      </c>
      <c r="K88" s="6">
        <f ca="1">$G88/(1+IF(ISERROR($I88),0,IF(ISNA(MATCH($I88,TaxCode,0)),0,OFFSET(Setup!$B$7,MATCH($I88,TaxCode,0),0,1,1)))+IF(ISERROR($J88),0,IF(ISNA(MATCH($J88,TaxCode,0)),0,OFFSET(Setup!$B$7,MATCH($J88,TaxCode,0),0,1,1))))*IF(ISERROR($I88),0,IF(ISNA(MATCH($I88,TaxCode,0)),0,OFFSET(Setup!$B$7,MATCH($I88,TaxCode,0),0,1,1)))</f>
        <v>-3.7173913043478257</v>
      </c>
      <c r="L88" s="6">
        <f ca="1">$G88/(1+IF(ISERROR($I88),0,IF(ISNA(MATCH($I88,TaxCode,0)),0,OFFSET(Setup!$B$7,MATCH($I88,TaxCode,0),0,1,1)))+IF(ISERROR($J88),0,IF(ISNA(MATCH($J88,TaxCode,0)),0,OFFSET(Setup!$B$7,MATCH($J88,TaxCode,0),0,1,1))))*IF(ISERROR($J88),0,IF(ISNA(MATCH($J88,TaxCode,0)),0,OFFSET(Setup!$B$7,MATCH($J88,TaxCode,0),0,1,1)))</f>
        <v>0</v>
      </c>
      <c r="M88" s="6" cm="1">
        <f t="array" aca="1" ref="M88" ca="1">G88-IF(TaxCount=2,SUM($K88:$L88),$K88:$K88)</f>
        <v>-24.782608695652172</v>
      </c>
      <c r="N88" s="7" t="str">
        <f t="shared" ca="1" si="2"/>
        <v>-</v>
      </c>
    </row>
    <row r="89" spans="1:14" ht="16.149999999999999" customHeight="1" x14ac:dyDescent="0.25">
      <c r="A89" s="21">
        <v>44231</v>
      </c>
      <c r="B89" s="7">
        <v>1212</v>
      </c>
      <c r="C89" s="7">
        <v>126</v>
      </c>
      <c r="D89" s="9" t="s">
        <v>84</v>
      </c>
      <c r="E89" s="22" t="s">
        <v>45</v>
      </c>
      <c r="F89" s="5" t="s">
        <v>87</v>
      </c>
      <c r="G89" s="6">
        <v>-364.79999999999995</v>
      </c>
      <c r="H89" s="23" t="s">
        <v>25</v>
      </c>
      <c r="I89" s="7" t="s">
        <v>113</v>
      </c>
      <c r="J89" s="7" t="s">
        <v>114</v>
      </c>
      <c r="K89" s="6">
        <f ca="1">$G89/(1+IF(ISERROR($I89),0,IF(ISNA(MATCH($I89,TaxCode,0)),0,OFFSET(Setup!$B$7,MATCH($I89,TaxCode,0),0,1,1)))+IF(ISERROR($J89),0,IF(ISNA(MATCH($J89,TaxCode,0)),0,OFFSET(Setup!$B$7,MATCH($J89,TaxCode,0),0,1,1))))*IF(ISERROR($I89),0,IF(ISNA(MATCH($I89,TaxCode,0)),0,OFFSET(Setup!$B$7,MATCH($I89,TaxCode,0),0,1,1)))</f>
        <v>-47.582608695652169</v>
      </c>
      <c r="L89" s="6">
        <f ca="1">$G89/(1+IF(ISERROR($I89),0,IF(ISNA(MATCH($I89,TaxCode,0)),0,OFFSET(Setup!$B$7,MATCH($I89,TaxCode,0),0,1,1)))+IF(ISERROR($J89),0,IF(ISNA(MATCH($J89,TaxCode,0)),0,OFFSET(Setup!$B$7,MATCH($J89,TaxCode,0),0,1,1))))*IF(ISERROR($J89),0,IF(ISNA(MATCH($J89,TaxCode,0)),0,OFFSET(Setup!$B$7,MATCH($J89,TaxCode,0),0,1,1)))</f>
        <v>0</v>
      </c>
      <c r="M89" s="6" cm="1">
        <f t="array" aca="1" ref="M89" ca="1">G89-IF(TaxCount=2,SUM($K89:$L89),$K89:$K89)</f>
        <v>-317.21739130434776</v>
      </c>
      <c r="N89" s="7" t="str">
        <f t="shared" ca="1" si="2"/>
        <v>-</v>
      </c>
    </row>
    <row r="90" spans="1:14" ht="16.149999999999999" customHeight="1" x14ac:dyDescent="0.25">
      <c r="A90" s="21">
        <v>44231</v>
      </c>
      <c r="B90" s="7">
        <v>1212</v>
      </c>
      <c r="C90" s="7">
        <v>127</v>
      </c>
      <c r="D90" s="9" t="s">
        <v>52</v>
      </c>
      <c r="E90" s="22" t="s">
        <v>77</v>
      </c>
      <c r="F90" s="5" t="s">
        <v>78</v>
      </c>
      <c r="G90" s="6">
        <v>-148.19999999999999</v>
      </c>
      <c r="H90" s="23" t="s">
        <v>28</v>
      </c>
      <c r="I90" s="7" t="s">
        <v>113</v>
      </c>
      <c r="J90" s="7" t="s">
        <v>114</v>
      </c>
      <c r="K90" s="6">
        <f ca="1">$G90/(1+IF(ISERROR($I90),0,IF(ISNA(MATCH($I90,TaxCode,0)),0,OFFSET(Setup!$B$7,MATCH($I90,TaxCode,0),0,1,1)))+IF(ISERROR($J90),0,IF(ISNA(MATCH($J90,TaxCode,0)),0,OFFSET(Setup!$B$7,MATCH($J90,TaxCode,0),0,1,1))))*IF(ISERROR($I90),0,IF(ISNA(MATCH($I90,TaxCode,0)),0,OFFSET(Setup!$B$7,MATCH($I90,TaxCode,0),0,1,1)))</f>
        <v>-19.330434782608695</v>
      </c>
      <c r="L90" s="6">
        <f ca="1">$G90/(1+IF(ISERROR($I90),0,IF(ISNA(MATCH($I90,TaxCode,0)),0,OFFSET(Setup!$B$7,MATCH($I90,TaxCode,0),0,1,1)))+IF(ISERROR($J90),0,IF(ISNA(MATCH($J90,TaxCode,0)),0,OFFSET(Setup!$B$7,MATCH($J90,TaxCode,0),0,1,1))))*IF(ISERROR($J90),0,IF(ISNA(MATCH($J90,TaxCode,0)),0,OFFSET(Setup!$B$7,MATCH($J90,TaxCode,0),0,1,1)))</f>
        <v>0</v>
      </c>
      <c r="M90" s="6" cm="1">
        <f t="array" aca="1" ref="M90" ca="1">G90-IF(TaxCount=2,SUM($K90:$L90),$K90:$K90)</f>
        <v>-128.86956521739128</v>
      </c>
      <c r="N90" s="7" t="str">
        <f t="shared" ca="1" si="2"/>
        <v>-</v>
      </c>
    </row>
    <row r="91" spans="1:14" ht="16.149999999999999" customHeight="1" x14ac:dyDescent="0.25">
      <c r="A91" s="21">
        <v>44245</v>
      </c>
      <c r="B91" s="7">
        <v>1212</v>
      </c>
      <c r="C91" s="7">
        <v>128</v>
      </c>
      <c r="D91" s="9" t="s">
        <v>52</v>
      </c>
      <c r="E91" s="22" t="s">
        <v>77</v>
      </c>
      <c r="F91" s="5" t="s">
        <v>78</v>
      </c>
      <c r="G91" s="6">
        <v>-148.19999999999999</v>
      </c>
      <c r="H91" s="23" t="s">
        <v>28</v>
      </c>
      <c r="I91" s="7" t="s">
        <v>113</v>
      </c>
      <c r="J91" s="7" t="s">
        <v>114</v>
      </c>
      <c r="K91" s="6">
        <f ca="1">$G91/(1+IF(ISERROR($I91),0,IF(ISNA(MATCH($I91,TaxCode,0)),0,OFFSET(Setup!$B$7,MATCH($I91,TaxCode,0),0,1,1)))+IF(ISERROR($J91),0,IF(ISNA(MATCH($J91,TaxCode,0)),0,OFFSET(Setup!$B$7,MATCH($J91,TaxCode,0),0,1,1))))*IF(ISERROR($I91),0,IF(ISNA(MATCH($I91,TaxCode,0)),0,OFFSET(Setup!$B$7,MATCH($I91,TaxCode,0),0,1,1)))</f>
        <v>-19.330434782608695</v>
      </c>
      <c r="L91" s="6">
        <f ca="1">$G91/(1+IF(ISERROR($I91),0,IF(ISNA(MATCH($I91,TaxCode,0)),0,OFFSET(Setup!$B$7,MATCH($I91,TaxCode,0),0,1,1)))+IF(ISERROR($J91),0,IF(ISNA(MATCH($J91,TaxCode,0)),0,OFFSET(Setup!$B$7,MATCH($J91,TaxCode,0),0,1,1))))*IF(ISERROR($J91),0,IF(ISNA(MATCH($J91,TaxCode,0)),0,OFFSET(Setup!$B$7,MATCH($J91,TaxCode,0),0,1,1)))</f>
        <v>0</v>
      </c>
      <c r="M91" s="6" cm="1">
        <f t="array" aca="1" ref="M91" ca="1">G91-IF(TaxCount=2,SUM($K91:$L91),$K91:$K91)</f>
        <v>-128.86956521739128</v>
      </c>
      <c r="N91" s="7" t="str">
        <f t="shared" ca="1" si="2"/>
        <v>-</v>
      </c>
    </row>
    <row r="92" spans="1:14" ht="16.149999999999999" customHeight="1" x14ac:dyDescent="0.25">
      <c r="A92" s="21">
        <v>44245</v>
      </c>
      <c r="B92" s="7">
        <v>1212</v>
      </c>
      <c r="C92" s="7">
        <v>129</v>
      </c>
      <c r="D92" s="9" t="s">
        <v>46</v>
      </c>
      <c r="E92" s="5" t="s">
        <v>45</v>
      </c>
      <c r="F92" s="5" t="s">
        <v>88</v>
      </c>
      <c r="G92" s="6">
        <v>-141.35999999999999</v>
      </c>
      <c r="H92" s="23" t="s">
        <v>30</v>
      </c>
      <c r="I92" s="7" t="s">
        <v>113</v>
      </c>
      <c r="J92" s="7" t="s">
        <v>114</v>
      </c>
      <c r="K92" s="6">
        <f ca="1">$G92/(1+IF(ISERROR($I92),0,IF(ISNA(MATCH($I92,TaxCode,0)),0,OFFSET(Setup!$B$7,MATCH($I92,TaxCode,0),0,1,1)))+IF(ISERROR($J92),0,IF(ISNA(MATCH($J92,TaxCode,0)),0,OFFSET(Setup!$B$7,MATCH($J92,TaxCode,0),0,1,1))))*IF(ISERROR($I92),0,IF(ISNA(MATCH($I92,TaxCode,0)),0,OFFSET(Setup!$B$7,MATCH($I92,TaxCode,0),0,1,1)))</f>
        <v>-18.438260869565216</v>
      </c>
      <c r="L92" s="6">
        <f ca="1">$G92/(1+IF(ISERROR($I92),0,IF(ISNA(MATCH($I92,TaxCode,0)),0,OFFSET(Setup!$B$7,MATCH($I92,TaxCode,0),0,1,1)))+IF(ISERROR($J92),0,IF(ISNA(MATCH($J92,TaxCode,0)),0,OFFSET(Setup!$B$7,MATCH($J92,TaxCode,0),0,1,1))))*IF(ISERROR($J92),0,IF(ISNA(MATCH($J92,TaxCode,0)),0,OFFSET(Setup!$B$7,MATCH($J92,TaxCode,0),0,1,1)))</f>
        <v>0</v>
      </c>
      <c r="M92" s="6" cm="1">
        <f t="array" aca="1" ref="M92" ca="1">G92-IF(TaxCount=2,SUM($K92:$L92),$K92:$K92)</f>
        <v>-122.92173913043477</v>
      </c>
      <c r="N92" s="7" t="str">
        <f t="shared" ca="1" si="2"/>
        <v>-</v>
      </c>
    </row>
    <row r="93" spans="1:14" ht="16.149999999999999" customHeight="1" x14ac:dyDescent="0.25">
      <c r="A93" s="21">
        <v>44252</v>
      </c>
      <c r="B93" s="7">
        <v>1212</v>
      </c>
      <c r="C93" s="7">
        <v>130</v>
      </c>
      <c r="D93" s="9" t="s">
        <v>95</v>
      </c>
      <c r="E93" s="22" t="s">
        <v>45</v>
      </c>
      <c r="F93" s="5" t="s">
        <v>96</v>
      </c>
      <c r="G93" s="6">
        <v>-341.99999999999994</v>
      </c>
      <c r="H93" s="23" t="s">
        <v>26</v>
      </c>
      <c r="I93" s="7" t="s">
        <v>114</v>
      </c>
      <c r="J93" s="7" t="s">
        <v>114</v>
      </c>
      <c r="K93" s="6">
        <f ca="1">$G93/(1+IF(ISERROR($I93),0,IF(ISNA(MATCH($I93,TaxCode,0)),0,OFFSET(Setup!$B$7,MATCH($I93,TaxCode,0),0,1,1)))+IF(ISERROR($J93),0,IF(ISNA(MATCH($J93,TaxCode,0)),0,OFFSET(Setup!$B$7,MATCH($J93,TaxCode,0),0,1,1))))*IF(ISERROR($I93),0,IF(ISNA(MATCH($I93,TaxCode,0)),0,OFFSET(Setup!$B$7,MATCH($I93,TaxCode,0),0,1,1)))</f>
        <v>0</v>
      </c>
      <c r="L93" s="6">
        <f ca="1">$G93/(1+IF(ISERROR($I93),0,IF(ISNA(MATCH($I93,TaxCode,0)),0,OFFSET(Setup!$B$7,MATCH($I93,TaxCode,0),0,1,1)))+IF(ISERROR($J93),0,IF(ISNA(MATCH($J93,TaxCode,0)),0,OFFSET(Setup!$B$7,MATCH($J93,TaxCode,0),0,1,1))))*IF(ISERROR($J93),0,IF(ISNA(MATCH($J93,TaxCode,0)),0,OFFSET(Setup!$B$7,MATCH($J93,TaxCode,0),0,1,1)))</f>
        <v>0</v>
      </c>
      <c r="M93" s="6" cm="1">
        <f t="array" aca="1" ref="M93" ca="1">G93-IF(TaxCount=2,SUM($K93:$L93),$K93:$K93)</f>
        <v>-341.99999999999994</v>
      </c>
      <c r="N93" s="7" t="str">
        <f t="shared" ca="1" si="2"/>
        <v>-</v>
      </c>
    </row>
    <row r="94" spans="1:14" ht="16.149999999999999" customHeight="1" x14ac:dyDescent="0.25">
      <c r="A94" s="21">
        <v>44253</v>
      </c>
      <c r="B94" s="7">
        <v>1212</v>
      </c>
      <c r="C94" s="7">
        <v>131</v>
      </c>
      <c r="D94" s="9" t="s">
        <v>93</v>
      </c>
      <c r="E94" s="5" t="s">
        <v>45</v>
      </c>
      <c r="F94" s="5" t="s">
        <v>89</v>
      </c>
      <c r="G94" s="6">
        <v>-940.49999999999989</v>
      </c>
      <c r="H94" s="23" t="s">
        <v>31</v>
      </c>
      <c r="I94" s="7" t="s">
        <v>114</v>
      </c>
      <c r="J94" s="7" t="s">
        <v>114</v>
      </c>
      <c r="K94" s="6">
        <f ca="1">$G94/(1+IF(ISERROR($I94),0,IF(ISNA(MATCH($I94,TaxCode,0)),0,OFFSET(Setup!$B$7,MATCH($I94,TaxCode,0),0,1,1)))+IF(ISERROR($J94),0,IF(ISNA(MATCH($J94,TaxCode,0)),0,OFFSET(Setup!$B$7,MATCH($J94,TaxCode,0),0,1,1))))*IF(ISERROR($I94),0,IF(ISNA(MATCH($I94,TaxCode,0)),0,OFFSET(Setup!$B$7,MATCH($I94,TaxCode,0),0,1,1)))</f>
        <v>0</v>
      </c>
      <c r="L94" s="6">
        <f ca="1">$G94/(1+IF(ISERROR($I94),0,IF(ISNA(MATCH($I94,TaxCode,0)),0,OFFSET(Setup!$B$7,MATCH($I94,TaxCode,0),0,1,1)))+IF(ISERROR($J94),0,IF(ISNA(MATCH($J94,TaxCode,0)),0,OFFSET(Setup!$B$7,MATCH($J94,TaxCode,0),0,1,1))))*IF(ISERROR($J94),0,IF(ISNA(MATCH($J94,TaxCode,0)),0,OFFSET(Setup!$B$7,MATCH($J94,TaxCode,0),0,1,1)))</f>
        <v>0</v>
      </c>
      <c r="M94" s="6" cm="1">
        <f t="array" aca="1" ref="M94" ca="1">G94-IF(TaxCount=2,SUM($K94:$L94),$K94:$K94)</f>
        <v>-940.49999999999989</v>
      </c>
      <c r="N94" s="7" t="str">
        <f t="shared" ca="1" si="2"/>
        <v>-</v>
      </c>
    </row>
    <row r="95" spans="1:14" ht="16.149999999999999" customHeight="1" x14ac:dyDescent="0.25">
      <c r="A95" s="21">
        <v>44255</v>
      </c>
      <c r="B95" s="7">
        <v>0</v>
      </c>
      <c r="C95" s="7">
        <v>0</v>
      </c>
      <c r="D95" s="9" t="s">
        <v>103</v>
      </c>
      <c r="E95" s="5" t="s">
        <v>45</v>
      </c>
      <c r="F95" s="5" t="s">
        <v>42</v>
      </c>
      <c r="G95" s="6">
        <v>2166</v>
      </c>
      <c r="H95" s="23" t="s">
        <v>107</v>
      </c>
      <c r="I95" s="7" t="s">
        <v>114</v>
      </c>
      <c r="J95" s="7" t="s">
        <v>114</v>
      </c>
      <c r="K95" s="6">
        <f ca="1">$G95/(1+IF(ISERROR($I95),0,IF(ISNA(MATCH($I95,TaxCode,0)),0,OFFSET(Setup!$B$7,MATCH($I95,TaxCode,0),0,1,1)))+IF(ISERROR($J95),0,IF(ISNA(MATCH($J95,TaxCode,0)),0,OFFSET(Setup!$B$7,MATCH($J95,TaxCode,0),0,1,1))))*IF(ISERROR($I95),0,IF(ISNA(MATCH($I95,TaxCode,0)),0,OFFSET(Setup!$B$7,MATCH($I95,TaxCode,0),0,1,1)))</f>
        <v>0</v>
      </c>
      <c r="L95" s="6">
        <f ca="1">$G95/(1+IF(ISERROR($I95),0,IF(ISNA(MATCH($I95,TaxCode,0)),0,OFFSET(Setup!$B$7,MATCH($I95,TaxCode,0),0,1,1)))+IF(ISERROR($J95),0,IF(ISNA(MATCH($J95,TaxCode,0)),0,OFFSET(Setup!$B$7,MATCH($J95,TaxCode,0),0,1,1))))*IF(ISERROR($J95),0,IF(ISNA(MATCH($J95,TaxCode,0)),0,OFFSET(Setup!$B$7,MATCH($J95,TaxCode,0),0,1,1)))</f>
        <v>0</v>
      </c>
      <c r="M95" s="6" cm="1">
        <f t="array" aca="1" ref="M95" ca="1">G95-IF(TaxCount=2,SUM($K95:$L95),$K95:$K95)</f>
        <v>2166</v>
      </c>
      <c r="N95" s="7" t="str">
        <f t="shared" ca="1" si="2"/>
        <v>-</v>
      </c>
    </row>
  </sheetData>
  <sheetProtection autoFilter="0"/>
  <phoneticPr fontId="2" type="noConversion"/>
  <conditionalFormatting sqref="N5:N95">
    <cfRule type="cellIs" dxfId="28" priority="3" operator="between">
      <formula>"E1"</formula>
      <formula>"E9"</formula>
    </cfRule>
  </conditionalFormatting>
  <conditionalFormatting sqref="G4">
    <cfRule type="expression" dxfId="27" priority="2">
      <formula>COUNTIF(ErrorCode,"E1")&gt;0=TRUE</formula>
    </cfRule>
  </conditionalFormatting>
  <conditionalFormatting sqref="H4">
    <cfRule type="expression" dxfId="26" priority="1">
      <formula>COUNTIF(ErrorCode,"E2")&gt;0=TRUE</formula>
    </cfRule>
  </conditionalFormatting>
  <dataValidations count="3">
    <dataValidation type="date" operator="greaterThan" allowBlank="1" showInputMessage="1" showErrorMessage="1" errorTitle="Invalid Date" error="The date that you entered is invalid. Enter a new date in accordance with the regional date settings that are specified in the System Control Panel." sqref="A5:A95" xr:uid="{00000000-0002-0000-0400-000000000000}">
      <formula1>36526</formula1>
    </dataValidation>
    <dataValidation type="list" allowBlank="1" showInputMessage="1" showErrorMessage="1" errorTitle="Invalid Account" error="Select a valid account number from the list box." sqref="H5:H95" xr:uid="{00000000-0002-0000-0400-000001000000}">
      <formula1>AccountOnly</formula1>
    </dataValidation>
    <dataValidation type="list" allowBlank="1" showInputMessage="1" showErrorMessage="1" errorTitle="Invalid Data" error="Select a valid item from the list box." sqref="I5:J95" xr:uid="{00000000-0002-0000-0400-000002000000}">
      <formula1>TaxCode</formula1>
    </dataValidation>
  </dataValidations>
  <pageMargins left="0.75" right="0.75" top="1" bottom="1" header="0.5" footer="0.5"/>
  <pageSetup paperSize="9" scale="62" fitToHeight="0" orientation="portrait" r:id="rId1"/>
  <headerFooter alignWithMargins="0">
    <oddFooter>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P21"/>
  <sheetViews>
    <sheetView zoomScale="95" workbookViewId="0">
      <pane xSplit="2" ySplit="4" topLeftCell="C5" activePane="bottomRight" state="frozen"/>
      <selection pane="topRight" activeCell="C1" sqref="C1"/>
      <selection pane="bottomLeft" activeCell="A6" sqref="A6"/>
      <selection pane="bottomRight" activeCell="A4" sqref="A4"/>
    </sheetView>
  </sheetViews>
  <sheetFormatPr defaultColWidth="9.140625" defaultRowHeight="16.149999999999999" customHeight="1" x14ac:dyDescent="0.25"/>
  <cols>
    <col min="1" max="1" width="10.7109375" style="22" customWidth="1"/>
    <col min="2" max="2" width="30.7109375" style="25" customWidth="1"/>
    <col min="3" max="15" width="14.7109375" style="37" customWidth="1"/>
    <col min="16" max="16" width="15.7109375" style="38" customWidth="1"/>
    <col min="17" max="20" width="15.7109375" style="5" customWidth="1"/>
    <col min="21" max="16384" width="9.140625" style="5"/>
  </cols>
  <sheetData>
    <row r="1" spans="1:15" s="25" customFormat="1" ht="16.149999999999999" customHeight="1" x14ac:dyDescent="0.25">
      <c r="A1" s="53" t="str">
        <f>Setup!$B$4</f>
        <v>Example (Pty) Limited</v>
      </c>
      <c r="C1" s="26"/>
      <c r="D1" s="26"/>
      <c r="E1" s="26"/>
      <c r="F1" s="26"/>
      <c r="G1" s="26"/>
      <c r="H1" s="26"/>
      <c r="I1" s="26"/>
      <c r="J1" s="26"/>
      <c r="K1" s="26"/>
      <c r="L1" s="26"/>
      <c r="M1" s="26"/>
      <c r="N1" s="26"/>
      <c r="O1" s="26"/>
    </row>
    <row r="2" spans="1:15" s="25" customFormat="1" ht="16.149999999999999" customHeight="1" x14ac:dyDescent="0.25">
      <c r="A2" s="27" t="s">
        <v>142</v>
      </c>
      <c r="C2" s="28" t="s">
        <v>21</v>
      </c>
      <c r="D2" s="29">
        <v>43891</v>
      </c>
      <c r="E2" s="26"/>
      <c r="F2" s="26"/>
      <c r="G2" s="26"/>
      <c r="H2" s="26"/>
      <c r="I2" s="26"/>
      <c r="J2" s="26"/>
      <c r="K2" s="26"/>
      <c r="L2" s="26"/>
      <c r="M2" s="26"/>
      <c r="N2" s="26"/>
      <c r="O2" s="26"/>
    </row>
    <row r="3" spans="1:15" s="25" customFormat="1" ht="16.149999999999999" customHeight="1" x14ac:dyDescent="0.25">
      <c r="A3" s="30" t="s">
        <v>18</v>
      </c>
      <c r="C3" s="31"/>
      <c r="D3" s="32"/>
      <c r="E3" s="26"/>
      <c r="F3" s="26"/>
      <c r="G3" s="26"/>
      <c r="H3" s="26"/>
      <c r="I3" s="26"/>
      <c r="J3" s="26"/>
      <c r="K3" s="26"/>
      <c r="L3" s="26"/>
      <c r="M3" s="26"/>
      <c r="N3" s="26"/>
      <c r="O3" s="26"/>
    </row>
    <row r="4" spans="1:15" s="36" customFormat="1" ht="25.5" x14ac:dyDescent="0.2">
      <c r="A4" s="33" t="s">
        <v>19</v>
      </c>
      <c r="B4" s="34" t="s">
        <v>20</v>
      </c>
      <c r="C4" s="35">
        <f ca="1">IF(ISBLANK($D$2)=TRUE,DATE(YEAR(TODAY()),MONTH(TODAY())+1,0),DATE(YEAR($D$2),MONTH($D$2)+1,0))</f>
        <v>43921</v>
      </c>
      <c r="D4" s="35">
        <f ca="1">DATE(YEAR(C4),MONTH(C4)+2,0)</f>
        <v>43951</v>
      </c>
      <c r="E4" s="35">
        <f t="shared" ref="E4:N4" ca="1" si="0">DATE(YEAR(D4),MONTH(D4)+2,0)</f>
        <v>43982</v>
      </c>
      <c r="F4" s="35">
        <f t="shared" ca="1" si="0"/>
        <v>44012</v>
      </c>
      <c r="G4" s="35">
        <f t="shared" ca="1" si="0"/>
        <v>44043</v>
      </c>
      <c r="H4" s="35">
        <f t="shared" ca="1" si="0"/>
        <v>44074</v>
      </c>
      <c r="I4" s="35">
        <f t="shared" ca="1" si="0"/>
        <v>44104</v>
      </c>
      <c r="J4" s="35">
        <f t="shared" ca="1" si="0"/>
        <v>44135</v>
      </c>
      <c r="K4" s="35">
        <f t="shared" ca="1" si="0"/>
        <v>44165</v>
      </c>
      <c r="L4" s="35">
        <f t="shared" ca="1" si="0"/>
        <v>44196</v>
      </c>
      <c r="M4" s="35">
        <f t="shared" ca="1" si="0"/>
        <v>44227</v>
      </c>
      <c r="N4" s="35">
        <f t="shared" ca="1" si="0"/>
        <v>44255</v>
      </c>
      <c r="O4" s="35" t="s">
        <v>40</v>
      </c>
    </row>
    <row r="5" spans="1:15" ht="16.149999999999999" customHeight="1" x14ac:dyDescent="0.25">
      <c r="A5" s="22" t="s">
        <v>29</v>
      </c>
      <c r="B5" s="25" t="s">
        <v>34</v>
      </c>
      <c r="C5" s="37">
        <f t="shared" ref="C5:N14" ca="1" si="1">SUMPRODUCT((PayDate&gt;=DATE(YEAR(C$4),MONTH(C$4),1))*(PayDate&lt;=C$4)*(Account=$A5)*(AmountExcl))</f>
        <v>0</v>
      </c>
      <c r="D5" s="37">
        <f t="shared" ca="1" si="1"/>
        <v>0</v>
      </c>
      <c r="E5" s="37">
        <f t="shared" ca="1" si="1"/>
        <v>-987.33913043478242</v>
      </c>
      <c r="F5" s="37">
        <f t="shared" ca="1" si="1"/>
        <v>0</v>
      </c>
      <c r="G5" s="37">
        <f t="shared" ca="1" si="1"/>
        <v>0</v>
      </c>
      <c r="H5" s="37">
        <f t="shared" ca="1" si="1"/>
        <v>0</v>
      </c>
      <c r="I5" s="37">
        <f t="shared" ca="1" si="1"/>
        <v>-987.33913043478242</v>
      </c>
      <c r="J5" s="37">
        <f t="shared" ca="1" si="1"/>
        <v>0</v>
      </c>
      <c r="K5" s="37">
        <f t="shared" ca="1" si="1"/>
        <v>0</v>
      </c>
      <c r="L5" s="37">
        <f t="shared" ca="1" si="1"/>
        <v>-987.33913043478242</v>
      </c>
      <c r="M5" s="37">
        <f t="shared" ca="1" si="1"/>
        <v>0</v>
      </c>
      <c r="N5" s="37">
        <f t="shared" ca="1" si="1"/>
        <v>0</v>
      </c>
      <c r="O5" s="37">
        <f t="shared" ref="O5:O13" ca="1" si="2">SUM(C5:N5)</f>
        <v>-2962.0173913043473</v>
      </c>
    </row>
    <row r="6" spans="1:15" ht="16.149999999999999" customHeight="1" x14ac:dyDescent="0.25">
      <c r="A6" s="22" t="s">
        <v>25</v>
      </c>
      <c r="B6" s="25" t="s">
        <v>35</v>
      </c>
      <c r="C6" s="37">
        <f t="shared" ca="1" si="1"/>
        <v>0</v>
      </c>
      <c r="D6" s="37">
        <f t="shared" ca="1" si="1"/>
        <v>-210.15652173913043</v>
      </c>
      <c r="E6" s="37">
        <f t="shared" ca="1" si="1"/>
        <v>0</v>
      </c>
      <c r="F6" s="37">
        <f t="shared" ca="1" si="1"/>
        <v>0</v>
      </c>
      <c r="G6" s="37">
        <f t="shared" ca="1" si="1"/>
        <v>0</v>
      </c>
      <c r="H6" s="37">
        <f t="shared" ca="1" si="1"/>
        <v>0</v>
      </c>
      <c r="I6" s="37">
        <f t="shared" ca="1" si="1"/>
        <v>-44.608695652173907</v>
      </c>
      <c r="J6" s="37">
        <f t="shared" ca="1" si="1"/>
        <v>0</v>
      </c>
      <c r="K6" s="37">
        <f t="shared" ca="1" si="1"/>
        <v>0</v>
      </c>
      <c r="L6" s="37">
        <f t="shared" ca="1" si="1"/>
        <v>0</v>
      </c>
      <c r="M6" s="37">
        <f t="shared" ca="1" si="1"/>
        <v>0</v>
      </c>
      <c r="N6" s="37">
        <f t="shared" ca="1" si="1"/>
        <v>-317.21739130434776</v>
      </c>
      <c r="O6" s="37">
        <f t="shared" ca="1" si="2"/>
        <v>-571.98260869565206</v>
      </c>
    </row>
    <row r="7" spans="1:15" ht="16.149999999999999" customHeight="1" x14ac:dyDescent="0.25">
      <c r="A7" s="22" t="s">
        <v>30</v>
      </c>
      <c r="B7" s="25" t="s">
        <v>36</v>
      </c>
      <c r="C7" s="37">
        <f t="shared" ca="1" si="1"/>
        <v>-316.22608695652173</v>
      </c>
      <c r="D7" s="37">
        <f t="shared" ca="1" si="1"/>
        <v>-188.3478260869565</v>
      </c>
      <c r="E7" s="37">
        <f t="shared" ca="1" si="1"/>
        <v>-231.96521739130435</v>
      </c>
      <c r="F7" s="37">
        <f t="shared" ca="1" si="1"/>
        <v>-116.97391304347825</v>
      </c>
      <c r="G7" s="37">
        <f t="shared" ca="1" si="1"/>
        <v>-287.47826086956519</v>
      </c>
      <c r="H7" s="37">
        <f t="shared" ca="1" si="1"/>
        <v>-210.15652173913043</v>
      </c>
      <c r="I7" s="37">
        <f t="shared" ca="1" si="1"/>
        <v>-89.217391304347814</v>
      </c>
      <c r="J7" s="37">
        <f t="shared" ca="1" si="1"/>
        <v>-112.01739130434783</v>
      </c>
      <c r="K7" s="37">
        <f t="shared" ca="1" si="1"/>
        <v>-143.7391304347826</v>
      </c>
      <c r="L7" s="37">
        <f t="shared" ca="1" si="1"/>
        <v>-230.97391304347826</v>
      </c>
      <c r="M7" s="37">
        <f t="shared" ca="1" si="1"/>
        <v>-195.28695652173911</v>
      </c>
      <c r="N7" s="37">
        <f t="shared" ca="1" si="1"/>
        <v>-122.92173913043477</v>
      </c>
      <c r="O7" s="37">
        <f t="shared" ca="1" si="2"/>
        <v>-2245.3043478260865</v>
      </c>
    </row>
    <row r="8" spans="1:15" ht="16.149999999999999" customHeight="1" x14ac:dyDescent="0.25">
      <c r="A8" s="22" t="s">
        <v>31</v>
      </c>
      <c r="B8" s="25" t="s">
        <v>37</v>
      </c>
      <c r="C8" s="37">
        <f t="shared" ca="1" si="1"/>
        <v>0</v>
      </c>
      <c r="D8" s="37">
        <f t="shared" ca="1" si="1"/>
        <v>0</v>
      </c>
      <c r="E8" s="37">
        <f t="shared" ca="1" si="1"/>
        <v>0</v>
      </c>
      <c r="F8" s="37">
        <f t="shared" ca="1" si="1"/>
        <v>-1151.3999999999999</v>
      </c>
      <c r="G8" s="37">
        <f t="shared" ca="1" si="1"/>
        <v>0</v>
      </c>
      <c r="H8" s="37">
        <f t="shared" ca="1" si="1"/>
        <v>0</v>
      </c>
      <c r="I8" s="37">
        <f t="shared" ca="1" si="1"/>
        <v>0</v>
      </c>
      <c r="J8" s="37">
        <f t="shared" ca="1" si="1"/>
        <v>0</v>
      </c>
      <c r="K8" s="37">
        <f t="shared" ca="1" si="1"/>
        <v>0</v>
      </c>
      <c r="L8" s="37">
        <f t="shared" ca="1" si="1"/>
        <v>-1112.6399999999999</v>
      </c>
      <c r="M8" s="37">
        <f t="shared" ca="1" si="1"/>
        <v>0</v>
      </c>
      <c r="N8" s="37">
        <f t="shared" ca="1" si="1"/>
        <v>-940.49999999999989</v>
      </c>
      <c r="O8" s="37">
        <f t="shared" ca="1" si="2"/>
        <v>-3204.54</v>
      </c>
    </row>
    <row r="9" spans="1:15" ht="16.149999999999999" customHeight="1" x14ac:dyDescent="0.25">
      <c r="A9" s="22" t="s">
        <v>28</v>
      </c>
      <c r="B9" s="25" t="s">
        <v>38</v>
      </c>
      <c r="C9" s="37">
        <f t="shared" ca="1" si="1"/>
        <v>-257.73913043478257</v>
      </c>
      <c r="D9" s="37">
        <f t="shared" ca="1" si="1"/>
        <v>-386.60869565217388</v>
      </c>
      <c r="E9" s="37">
        <f t="shared" ca="1" si="1"/>
        <v>-257.73913043478257</v>
      </c>
      <c r="F9" s="37">
        <f t="shared" ca="1" si="1"/>
        <v>-257.73913043478257</v>
      </c>
      <c r="G9" s="37">
        <f t="shared" ca="1" si="1"/>
        <v>-257.73913043478257</v>
      </c>
      <c r="H9" s="37">
        <f t="shared" ca="1" si="1"/>
        <v>-257.73913043478257</v>
      </c>
      <c r="I9" s="37">
        <f t="shared" ca="1" si="1"/>
        <v>-257.73913043478257</v>
      </c>
      <c r="J9" s="37">
        <f t="shared" ca="1" si="1"/>
        <v>-386.60869565217388</v>
      </c>
      <c r="K9" s="37">
        <f t="shared" ca="1" si="1"/>
        <v>-257.73913043478257</v>
      </c>
      <c r="L9" s="37">
        <f t="shared" ca="1" si="1"/>
        <v>-257.73913043478257</v>
      </c>
      <c r="M9" s="37">
        <f t="shared" ca="1" si="1"/>
        <v>-257.73913043478257</v>
      </c>
      <c r="N9" s="37">
        <f t="shared" ca="1" si="1"/>
        <v>-257.73913043478257</v>
      </c>
      <c r="O9" s="37">
        <f t="shared" ca="1" si="2"/>
        <v>-3350.6086956521731</v>
      </c>
    </row>
    <row r="10" spans="1:15" ht="16.149999999999999" customHeight="1" x14ac:dyDescent="0.25">
      <c r="A10" s="22" t="s">
        <v>32</v>
      </c>
      <c r="B10" s="25" t="s">
        <v>16</v>
      </c>
      <c r="C10" s="37">
        <f t="shared" ca="1" si="1"/>
        <v>-20.817391304347822</v>
      </c>
      <c r="D10" s="37">
        <f t="shared" ca="1" si="1"/>
        <v>-33.704347826086952</v>
      </c>
      <c r="E10" s="37">
        <f t="shared" ca="1" si="1"/>
        <v>-21.80869565217391</v>
      </c>
      <c r="F10" s="37">
        <f t="shared" ca="1" si="1"/>
        <v>-24.782608695652172</v>
      </c>
      <c r="G10" s="37">
        <f t="shared" ca="1" si="1"/>
        <v>-31.721739130434781</v>
      </c>
      <c r="H10" s="37">
        <f t="shared" ca="1" si="1"/>
        <v>-27.756521739130434</v>
      </c>
      <c r="I10" s="37">
        <f t="shared" ca="1" si="1"/>
        <v>-24.782608695652172</v>
      </c>
      <c r="J10" s="37">
        <f t="shared" ca="1" si="1"/>
        <v>-30.730434782608693</v>
      </c>
      <c r="K10" s="37">
        <f t="shared" ca="1" si="1"/>
        <v>-32.713043478260865</v>
      </c>
      <c r="L10" s="37">
        <f t="shared" ca="1" si="1"/>
        <v>-28.747826086956518</v>
      </c>
      <c r="M10" s="37">
        <f t="shared" ca="1" si="1"/>
        <v>-26.765217391304347</v>
      </c>
      <c r="N10" s="37">
        <f t="shared" ca="1" si="1"/>
        <v>-24.782608695652172</v>
      </c>
      <c r="O10" s="37">
        <f t="shared" ca="1" si="2"/>
        <v>-329.11304347826086</v>
      </c>
    </row>
    <row r="11" spans="1:15" ht="16.149999999999999" customHeight="1" x14ac:dyDescent="0.25">
      <c r="A11" s="22" t="s">
        <v>26</v>
      </c>
      <c r="B11" s="25" t="s">
        <v>48</v>
      </c>
      <c r="C11" s="37">
        <f t="shared" ca="1" si="1"/>
        <v>-341.99999999999994</v>
      </c>
      <c r="D11" s="37">
        <f t="shared" ca="1" si="1"/>
        <v>-341.99999999999994</v>
      </c>
      <c r="E11" s="37">
        <f t="shared" ca="1" si="1"/>
        <v>-341.99999999999994</v>
      </c>
      <c r="F11" s="37">
        <f t="shared" ca="1" si="1"/>
        <v>-341.99999999999994</v>
      </c>
      <c r="G11" s="37">
        <f t="shared" ca="1" si="1"/>
        <v>-341.99999999999994</v>
      </c>
      <c r="H11" s="37">
        <f t="shared" ca="1" si="1"/>
        <v>-341.99999999999994</v>
      </c>
      <c r="I11" s="37">
        <f t="shared" ca="1" si="1"/>
        <v>-341.99999999999994</v>
      </c>
      <c r="J11" s="37">
        <f t="shared" ca="1" si="1"/>
        <v>-341.99999999999994</v>
      </c>
      <c r="K11" s="37">
        <f t="shared" ca="1" si="1"/>
        <v>-341.99999999999994</v>
      </c>
      <c r="L11" s="37">
        <f t="shared" ca="1" si="1"/>
        <v>-513</v>
      </c>
      <c r="M11" s="37">
        <f t="shared" ca="1" si="1"/>
        <v>-341.99999999999994</v>
      </c>
      <c r="N11" s="37">
        <f t="shared" ca="1" si="1"/>
        <v>-341.99999999999994</v>
      </c>
      <c r="O11" s="37">
        <f t="shared" ca="1" si="2"/>
        <v>-4274.9999999999991</v>
      </c>
    </row>
    <row r="12" spans="1:15" ht="16.149999999999999" customHeight="1" x14ac:dyDescent="0.25">
      <c r="A12" s="22" t="s">
        <v>33</v>
      </c>
      <c r="B12" s="25" t="s">
        <v>17</v>
      </c>
      <c r="C12" s="37">
        <f t="shared" ca="1" si="1"/>
        <v>0</v>
      </c>
      <c r="D12" s="37">
        <f t="shared" ca="1" si="1"/>
        <v>-557.11304347826081</v>
      </c>
      <c r="E12" s="37">
        <f t="shared" ca="1" si="1"/>
        <v>0</v>
      </c>
      <c r="F12" s="37">
        <f t="shared" ca="1" si="1"/>
        <v>0</v>
      </c>
      <c r="G12" s="37">
        <f t="shared" ca="1" si="1"/>
        <v>0</v>
      </c>
      <c r="H12" s="37">
        <f t="shared" ca="1" si="1"/>
        <v>-434.19130434782602</v>
      </c>
      <c r="I12" s="37">
        <f t="shared" ca="1" si="1"/>
        <v>0</v>
      </c>
      <c r="J12" s="37">
        <f t="shared" ca="1" si="1"/>
        <v>0</v>
      </c>
      <c r="K12" s="37">
        <f t="shared" ca="1" si="1"/>
        <v>-583.87826086956511</v>
      </c>
      <c r="L12" s="37">
        <f t="shared" ca="1" si="1"/>
        <v>0</v>
      </c>
      <c r="M12" s="37">
        <f t="shared" ca="1" si="1"/>
        <v>-615.59999999999991</v>
      </c>
      <c r="N12" s="37">
        <f t="shared" ca="1" si="1"/>
        <v>0</v>
      </c>
      <c r="O12" s="37">
        <f t="shared" ca="1" si="2"/>
        <v>-2190.782608695652</v>
      </c>
    </row>
    <row r="13" spans="1:15" ht="16.149999999999999" customHeight="1" x14ac:dyDescent="0.25">
      <c r="A13" s="22" t="s">
        <v>27</v>
      </c>
      <c r="B13" s="25" t="s">
        <v>39</v>
      </c>
      <c r="C13" s="37">
        <f t="shared" ca="1" si="1"/>
        <v>0</v>
      </c>
      <c r="D13" s="37">
        <f t="shared" ca="1" si="1"/>
        <v>0</v>
      </c>
      <c r="E13" s="37">
        <f t="shared" ca="1" si="1"/>
        <v>0</v>
      </c>
      <c r="F13" s="37">
        <f t="shared" ca="1" si="1"/>
        <v>0</v>
      </c>
      <c r="G13" s="37">
        <f t="shared" ca="1" si="1"/>
        <v>-557.11304347826081</v>
      </c>
      <c r="H13" s="37">
        <f t="shared" ca="1" si="1"/>
        <v>0</v>
      </c>
      <c r="I13" s="37">
        <f t="shared" ca="1" si="1"/>
        <v>0</v>
      </c>
      <c r="J13" s="37">
        <f t="shared" ca="1" si="1"/>
        <v>-714.73043478260865</v>
      </c>
      <c r="K13" s="37">
        <f t="shared" ca="1" si="1"/>
        <v>0</v>
      </c>
      <c r="L13" s="37">
        <f t="shared" ca="1" si="1"/>
        <v>0</v>
      </c>
      <c r="M13" s="37">
        <f t="shared" ca="1" si="1"/>
        <v>-417.33913043478253</v>
      </c>
      <c r="N13" s="37">
        <f t="shared" ca="1" si="1"/>
        <v>0</v>
      </c>
      <c r="O13" s="37">
        <f t="shared" ca="1" si="2"/>
        <v>-1689.1826086956521</v>
      </c>
    </row>
    <row r="14" spans="1:15" ht="16.149999999999999" customHeight="1" x14ac:dyDescent="0.25">
      <c r="A14" s="39" t="s">
        <v>107</v>
      </c>
      <c r="B14" s="40" t="s">
        <v>49</v>
      </c>
      <c r="C14" s="37">
        <f t="shared" ca="1" si="1"/>
        <v>1140</v>
      </c>
      <c r="D14" s="37">
        <f t="shared" ca="1" si="1"/>
        <v>1823.9999999999998</v>
      </c>
      <c r="E14" s="37">
        <f t="shared" ca="1" si="1"/>
        <v>2052</v>
      </c>
      <c r="F14" s="37">
        <f t="shared" ca="1" si="1"/>
        <v>1937.9999999999998</v>
      </c>
      <c r="G14" s="37">
        <f t="shared" ca="1" si="1"/>
        <v>1595.9999999999998</v>
      </c>
      <c r="H14" s="37">
        <f t="shared" ca="1" si="1"/>
        <v>1367.9999999999998</v>
      </c>
      <c r="I14" s="37">
        <f t="shared" ca="1" si="1"/>
        <v>2052</v>
      </c>
      <c r="J14" s="37">
        <f t="shared" ca="1" si="1"/>
        <v>1823.9999999999998</v>
      </c>
      <c r="K14" s="37">
        <f t="shared" ca="1" si="1"/>
        <v>1481.9999999999998</v>
      </c>
      <c r="L14" s="37">
        <f t="shared" ca="1" si="1"/>
        <v>3419.9999999999995</v>
      </c>
      <c r="M14" s="37">
        <f t="shared" ca="1" si="1"/>
        <v>2166</v>
      </c>
      <c r="N14" s="37">
        <f t="shared" ca="1" si="1"/>
        <v>2166</v>
      </c>
      <c r="O14" s="37">
        <f ca="1">SUM(C14:N14)</f>
        <v>23028</v>
      </c>
    </row>
    <row r="15" spans="1:15" ht="16.149999999999999" customHeight="1" x14ac:dyDescent="0.25">
      <c r="A15" s="39" t="s">
        <v>147</v>
      </c>
      <c r="B15" s="40" t="s">
        <v>152</v>
      </c>
      <c r="C15" s="37">
        <f t="shared" ref="C15:N15" ca="1" si="3">SUMPRODUCT((PayDate&gt;=DATE(YEAR(C$4),MONTH(C$4),1))*(PayDate&lt;=C$4)*(AmountTax1))</f>
        <v>-89.217391304347814</v>
      </c>
      <c r="D15" s="37">
        <f t="shared" ca="1" si="3"/>
        <v>-206.38956521739132</v>
      </c>
      <c r="E15" s="37">
        <f t="shared" ca="1" si="3"/>
        <v>-224.82782608695652</v>
      </c>
      <c r="F15" s="37">
        <f t="shared" ca="1" si="3"/>
        <v>-59.924347826086944</v>
      </c>
      <c r="G15" s="37">
        <f t="shared" ca="1" si="3"/>
        <v>-170.10782608695652</v>
      </c>
      <c r="H15" s="37">
        <f t="shared" ca="1" si="3"/>
        <v>-139.47652173913042</v>
      </c>
      <c r="I15" s="37">
        <f t="shared" ca="1" si="3"/>
        <v>-210.55304347826086</v>
      </c>
      <c r="J15" s="37">
        <f t="shared" ca="1" si="3"/>
        <v>-186.61304347826086</v>
      </c>
      <c r="K15" s="37">
        <f t="shared" ca="1" si="3"/>
        <v>-152.7104347826087</v>
      </c>
      <c r="L15" s="37">
        <f t="shared" ca="1" si="3"/>
        <v>-225.72</v>
      </c>
      <c r="M15" s="37">
        <f t="shared" ca="1" si="3"/>
        <v>-226.9095652173913</v>
      </c>
      <c r="N15" s="37">
        <f t="shared" ca="1" si="3"/>
        <v>-108.39913043478259</v>
      </c>
      <c r="O15" s="37">
        <f ca="1">SUM(C15:N15)</f>
        <v>-2000.8486956521738</v>
      </c>
    </row>
    <row r="16" spans="1:15" ht="16.149999999999999" customHeight="1" x14ac:dyDescent="0.25">
      <c r="A16" s="39" t="s">
        <v>148</v>
      </c>
      <c r="B16" s="40" t="s">
        <v>153</v>
      </c>
      <c r="C16" s="37" cm="1">
        <f t="array" aca="1" ref="C16" ca="1">IF(ISERROR(SUMPRODUCT((PayDate&gt;=DATE(YEAR(C$4),MONTH(C$4),1))*(PayDate&lt;=C$4)*(AmountTax2))),0,SUMPRODUCT((PayDate&gt;=DATE(YEAR(C$4),MONTH(C$4),1))*(PayDate&lt;=C$4)*(AmountTax2)))</f>
        <v>0</v>
      </c>
      <c r="D16" s="37" cm="1">
        <f t="array" aca="1" ref="D16" ca="1">IF(ISERROR(SUMPRODUCT((PayDate&gt;=DATE(YEAR(D$4),MONTH(D$4),1))*(PayDate&lt;=D$4)*(AmountTax2))),0,SUMPRODUCT((PayDate&gt;=DATE(YEAR(D$4),MONTH(D$4),1))*(PayDate&lt;=D$4)*(AmountTax2)))</f>
        <v>0</v>
      </c>
      <c r="E16" s="37" cm="1">
        <f t="array" aca="1" ref="E16" ca="1">IF(ISERROR(SUMPRODUCT((PayDate&gt;=DATE(YEAR(E$4),MONTH(E$4),1))*(PayDate&lt;=E$4)*(AmountTax2))),0,SUMPRODUCT((PayDate&gt;=DATE(YEAR(E$4),MONTH(E$4),1))*(PayDate&lt;=E$4)*(AmountTax2)))</f>
        <v>0</v>
      </c>
      <c r="F16" s="37" cm="1">
        <f t="array" aca="1" ref="F16" ca="1">IF(ISERROR(SUMPRODUCT((PayDate&gt;=DATE(YEAR(F$4),MONTH(F$4),1))*(PayDate&lt;=F$4)*(AmountTax2))),0,SUMPRODUCT((PayDate&gt;=DATE(YEAR(F$4),MONTH(F$4),1))*(PayDate&lt;=F$4)*(AmountTax2)))</f>
        <v>0</v>
      </c>
      <c r="G16" s="37" cm="1">
        <f t="array" aca="1" ref="G16" ca="1">IF(ISERROR(SUMPRODUCT((PayDate&gt;=DATE(YEAR(G$4),MONTH(G$4),1))*(PayDate&lt;=G$4)*(AmountTax2))),0,SUMPRODUCT((PayDate&gt;=DATE(YEAR(G$4),MONTH(G$4),1))*(PayDate&lt;=G$4)*(AmountTax2)))</f>
        <v>0</v>
      </c>
      <c r="H16" s="37" cm="1">
        <f t="array" aca="1" ref="H16" ca="1">IF(ISERROR(SUMPRODUCT((PayDate&gt;=DATE(YEAR(H$4),MONTH(H$4),1))*(PayDate&lt;=H$4)*(AmountTax2))),0,SUMPRODUCT((PayDate&gt;=DATE(YEAR(H$4),MONTH(H$4),1))*(PayDate&lt;=H$4)*(AmountTax2)))</f>
        <v>0</v>
      </c>
      <c r="I16" s="37" cm="1">
        <f t="array" aca="1" ref="I16" ca="1">IF(ISERROR(SUMPRODUCT((PayDate&gt;=DATE(YEAR(I$4),MONTH(I$4),1))*(PayDate&lt;=I$4)*(AmountTax2))),0,SUMPRODUCT((PayDate&gt;=DATE(YEAR(I$4),MONTH(I$4),1))*(PayDate&lt;=I$4)*(AmountTax2)))</f>
        <v>0</v>
      </c>
      <c r="J16" s="37" cm="1">
        <f t="array" aca="1" ref="J16" ca="1">IF(ISERROR(SUMPRODUCT((PayDate&gt;=DATE(YEAR(J$4),MONTH(J$4),1))*(PayDate&lt;=J$4)*(AmountTax2))),0,SUMPRODUCT((PayDate&gt;=DATE(YEAR(J$4),MONTH(J$4),1))*(PayDate&lt;=J$4)*(AmountTax2)))</f>
        <v>0</v>
      </c>
      <c r="K16" s="37" cm="1">
        <f t="array" aca="1" ref="K16" ca="1">IF(ISERROR(SUMPRODUCT((PayDate&gt;=DATE(YEAR(K$4),MONTH(K$4),1))*(PayDate&lt;=K$4)*(AmountTax2))),0,SUMPRODUCT((PayDate&gt;=DATE(YEAR(K$4),MONTH(K$4),1))*(PayDate&lt;=K$4)*(AmountTax2)))</f>
        <v>0</v>
      </c>
      <c r="L16" s="37" cm="1">
        <f t="array" aca="1" ref="L16" ca="1">IF(ISERROR(SUMPRODUCT((PayDate&gt;=DATE(YEAR(L$4),MONTH(L$4),1))*(PayDate&lt;=L$4)*(AmountTax2))),0,SUMPRODUCT((PayDate&gt;=DATE(YEAR(L$4),MONTH(L$4),1))*(PayDate&lt;=L$4)*(AmountTax2)))</f>
        <v>0</v>
      </c>
      <c r="M16" s="37" cm="1">
        <f t="array" aca="1" ref="M16" ca="1">IF(ISERROR(SUMPRODUCT((PayDate&gt;=DATE(YEAR(M$4),MONTH(M$4),1))*(PayDate&lt;=M$4)*(AmountTax2))),0,SUMPRODUCT((PayDate&gt;=DATE(YEAR(M$4),MONTH(M$4),1))*(PayDate&lt;=M$4)*(AmountTax2)))</f>
        <v>0</v>
      </c>
      <c r="N16" s="37" cm="1">
        <f t="array" aca="1" ref="N16" ca="1">IF(ISERROR(SUMPRODUCT((PayDate&gt;=DATE(YEAR(N$4),MONTH(N$4),1))*(PayDate&lt;=N$4)*(AmountTax2))),0,SUMPRODUCT((PayDate&gt;=DATE(YEAR(N$4),MONTH(N$4),1))*(PayDate&lt;=N$4)*(AmountTax2)))</f>
        <v>0</v>
      </c>
      <c r="O16" s="37">
        <f ca="1">SUM(C16:N16)</f>
        <v>0</v>
      </c>
    </row>
    <row r="17" spans="1:16" s="4" customFormat="1" ht="16.149999999999999" customHeight="1" x14ac:dyDescent="0.2">
      <c r="A17" s="24"/>
      <c r="B17" s="41" t="s">
        <v>108</v>
      </c>
      <c r="C17" s="42">
        <f t="shared" ref="C17:O17" ca="1" si="4">SUM(OFFSET(C$4,1,0,ROW($B$17)-ROW($B$4)-1,1))</f>
        <v>114.00000000000017</v>
      </c>
      <c r="D17" s="42">
        <f t="shared" ca="1" si="4"/>
        <v>-100.32000000000002</v>
      </c>
      <c r="E17" s="42">
        <f t="shared" ca="1" si="4"/>
        <v>-13.679999999999609</v>
      </c>
      <c r="F17" s="42">
        <f t="shared" ca="1" si="4"/>
        <v>-14.819999999999993</v>
      </c>
      <c r="G17" s="42">
        <f t="shared" ca="1" si="4"/>
        <v>-50.16000000000011</v>
      </c>
      <c r="H17" s="42">
        <f t="shared" ca="1" si="4"/>
        <v>-43.320000000000107</v>
      </c>
      <c r="I17" s="42">
        <f t="shared" ca="1" si="4"/>
        <v>95.760000000000218</v>
      </c>
      <c r="J17" s="42">
        <f t="shared" ca="1" si="4"/>
        <v>51.299999999999898</v>
      </c>
      <c r="K17" s="42">
        <f t="shared" ca="1" si="4"/>
        <v>-30.78</v>
      </c>
      <c r="L17" s="42">
        <f t="shared" ca="1" si="4"/>
        <v>63.839999999999947</v>
      </c>
      <c r="M17" s="42">
        <f t="shared" ca="1" si="4"/>
        <v>84.360000000000269</v>
      </c>
      <c r="N17" s="42">
        <f t="shared" ca="1" si="4"/>
        <v>52.440000000000282</v>
      </c>
      <c r="O17" s="42">
        <f t="shared" ca="1" si="4"/>
        <v>208.62000000000262</v>
      </c>
      <c r="P17" s="43"/>
    </row>
    <row r="19" spans="1:16" s="4" customFormat="1" ht="16.149999999999999" customHeight="1" x14ac:dyDescent="0.2">
      <c r="A19" s="24"/>
      <c r="B19" s="41" t="s">
        <v>23</v>
      </c>
      <c r="C19" s="44">
        <f ca="1">SUMPRODUCT((PayDate&lt;DATE(YEAR(C$4),MONTH(C$4),1))*(Amount))</f>
        <v>650</v>
      </c>
      <c r="D19" s="44">
        <f ca="1">C21</f>
        <v>764.00000000000023</v>
      </c>
      <c r="E19" s="44">
        <f t="shared" ref="E19:N19" ca="1" si="5">D21</f>
        <v>663.68000000000018</v>
      </c>
      <c r="F19" s="44">
        <f t="shared" ca="1" si="5"/>
        <v>650.00000000000057</v>
      </c>
      <c r="G19" s="44">
        <f t="shared" ca="1" si="5"/>
        <v>635.18000000000052</v>
      </c>
      <c r="H19" s="44">
        <f t="shared" ca="1" si="5"/>
        <v>585.02000000000044</v>
      </c>
      <c r="I19" s="44">
        <f t="shared" ca="1" si="5"/>
        <v>541.70000000000027</v>
      </c>
      <c r="J19" s="44">
        <f t="shared" ca="1" si="5"/>
        <v>637.46000000000049</v>
      </c>
      <c r="K19" s="44">
        <f t="shared" ca="1" si="5"/>
        <v>688.76000000000045</v>
      </c>
      <c r="L19" s="44">
        <f t="shared" ca="1" si="5"/>
        <v>657.98000000000047</v>
      </c>
      <c r="M19" s="44">
        <f t="shared" ca="1" si="5"/>
        <v>721.82000000000039</v>
      </c>
      <c r="N19" s="44">
        <f t="shared" ca="1" si="5"/>
        <v>806.18000000000063</v>
      </c>
      <c r="O19" s="44">
        <f ca="1">C19</f>
        <v>650</v>
      </c>
      <c r="P19" s="43"/>
    </row>
    <row r="21" spans="1:16" s="4" customFormat="1" ht="16.149999999999999" customHeight="1" x14ac:dyDescent="0.2">
      <c r="A21" s="24"/>
      <c r="B21" s="41" t="s">
        <v>41</v>
      </c>
      <c r="C21" s="44">
        <f ca="1">SUM(C17,C19)</f>
        <v>764.00000000000023</v>
      </c>
      <c r="D21" s="44">
        <f t="shared" ref="D21:O21" ca="1" si="6">SUM(D17,D19)</f>
        <v>663.68000000000018</v>
      </c>
      <c r="E21" s="44">
        <f t="shared" ca="1" si="6"/>
        <v>650.00000000000057</v>
      </c>
      <c r="F21" s="44">
        <f t="shared" ca="1" si="6"/>
        <v>635.18000000000052</v>
      </c>
      <c r="G21" s="44">
        <f t="shared" ca="1" si="6"/>
        <v>585.02000000000044</v>
      </c>
      <c r="H21" s="44">
        <f t="shared" ca="1" si="6"/>
        <v>541.70000000000027</v>
      </c>
      <c r="I21" s="44">
        <f t="shared" ca="1" si="6"/>
        <v>637.46000000000049</v>
      </c>
      <c r="J21" s="44">
        <f t="shared" ca="1" si="6"/>
        <v>688.76000000000045</v>
      </c>
      <c r="K21" s="44">
        <f t="shared" ca="1" si="6"/>
        <v>657.98000000000047</v>
      </c>
      <c r="L21" s="44">
        <f t="shared" ca="1" si="6"/>
        <v>721.82000000000039</v>
      </c>
      <c r="M21" s="44">
        <f t="shared" ca="1" si="6"/>
        <v>806.18000000000063</v>
      </c>
      <c r="N21" s="44">
        <f t="shared" ca="1" si="6"/>
        <v>858.62000000000091</v>
      </c>
      <c r="O21" s="44">
        <f t="shared" ca="1" si="6"/>
        <v>858.62000000000262</v>
      </c>
      <c r="P21" s="43"/>
    </row>
  </sheetData>
  <phoneticPr fontId="2" type="noConversion"/>
  <conditionalFormatting sqref="A5:A14 A17">
    <cfRule type="expression" dxfId="7" priority="3" stopIfTrue="1">
      <formula>COUNTIF(AccountNo,A5)&gt;1</formula>
    </cfRule>
  </conditionalFormatting>
  <conditionalFormatting sqref="A16">
    <cfRule type="expression" dxfId="6" priority="2" stopIfTrue="1">
      <formula>COUNTIF(AccountNo,A16)&gt;1</formula>
    </cfRule>
  </conditionalFormatting>
  <conditionalFormatting sqref="A15">
    <cfRule type="expression" dxfId="5" priority="1" stopIfTrue="1">
      <formula>COUNTIF(AccountNo,A15)&gt;1</formula>
    </cfRule>
  </conditionalFormatting>
  <dataValidations count="1">
    <dataValidation type="date" operator="greaterThan" allowBlank="1" showInputMessage="1" showErrorMessage="1" errorTitle="Invalid Date" error="Enter a valid date in accordance with the regional date settings that are specified in the System Control Panel." sqref="D2" xr:uid="{00000000-0002-0000-0500-000000000000}">
      <formula1>36526</formula1>
    </dataValidation>
  </dataValidations>
  <pageMargins left="0.55118110236220474" right="0.55118110236220474" top="0.59055118110236227" bottom="0.59055118110236227" header="0.31496062992125984" footer="0.31496062992125984"/>
  <pageSetup paperSize="9" scale="60" orientation="landscape" r:id="rId1"/>
  <headerFooter alignWithMargins="0">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29"/>
  <sheetViews>
    <sheetView zoomScale="95" workbookViewId="0">
      <pane ySplit="6" topLeftCell="A7" activePane="bottomLeft" state="frozen"/>
      <selection pane="bottomLeft" activeCell="B4" sqref="B4"/>
    </sheetView>
  </sheetViews>
  <sheetFormatPr defaultColWidth="9.140625" defaultRowHeight="16.149999999999999" customHeight="1" x14ac:dyDescent="0.25"/>
  <cols>
    <col min="1" max="1" width="14.7109375" style="22" customWidth="1"/>
    <col min="2" max="2" width="16.7109375" style="38" customWidth="1"/>
    <col min="3" max="3" width="40.7109375" style="38" customWidth="1"/>
    <col min="4" max="4" width="18.7109375" style="25" customWidth="1"/>
    <col min="5" max="7" width="15.7109375" style="5" customWidth="1"/>
    <col min="8" max="16384" width="9.140625" style="5"/>
  </cols>
  <sheetData>
    <row r="1" spans="1:4" ht="16.149999999999999" customHeight="1" x14ac:dyDescent="0.25">
      <c r="A1" s="53" t="str">
        <f>Setup!$B$4</f>
        <v>Example (Pty) Limited</v>
      </c>
      <c r="C1" s="25"/>
    </row>
    <row r="2" spans="1:4" s="25" customFormat="1" ht="16.149999999999999" customHeight="1" x14ac:dyDescent="0.25">
      <c r="A2" s="27" t="s">
        <v>4</v>
      </c>
      <c r="B2" s="38"/>
    </row>
    <row r="3" spans="1:4" s="25" customFormat="1" ht="16.149999999999999" customHeight="1" x14ac:dyDescent="0.25">
      <c r="A3" s="30" t="s">
        <v>18</v>
      </c>
      <c r="B3" s="38"/>
    </row>
    <row r="4" spans="1:4" s="25" customFormat="1" ht="16.149999999999999" customHeight="1" x14ac:dyDescent="0.25">
      <c r="A4" s="24" t="s">
        <v>104</v>
      </c>
      <c r="B4" s="45">
        <v>1201</v>
      </c>
    </row>
    <row r="5" spans="1:4" s="25" customFormat="1" ht="16.149999999999999" customHeight="1" x14ac:dyDescent="0.25">
      <c r="B5" s="38"/>
    </row>
    <row r="6" spans="1:4" s="49" customFormat="1" ht="25.5" x14ac:dyDescent="0.2">
      <c r="A6" s="46" t="s">
        <v>19</v>
      </c>
      <c r="B6" s="47" t="s">
        <v>9</v>
      </c>
      <c r="C6" s="48" t="s">
        <v>20</v>
      </c>
    </row>
    <row r="7" spans="1:4" s="52" customFormat="1" ht="16.149999999999999" customHeight="1" x14ac:dyDescent="0.25">
      <c r="A7" s="75" t="s">
        <v>106</v>
      </c>
      <c r="B7" s="50" cm="1">
        <f t="array" aca="1" ref="B7" ca="1">-SUM(OFFSET($A$6,2,1,JnlCount,1))</f>
        <v>-1025.9999999999998</v>
      </c>
      <c r="C7" s="51" t="s">
        <v>105</v>
      </c>
    </row>
    <row r="8" spans="1:4" s="52" customFormat="1" ht="16.149999999999999" customHeight="1" x14ac:dyDescent="0.25">
      <c r="A8" s="75" t="s">
        <v>115</v>
      </c>
      <c r="B8" s="50">
        <f ca="1">IF(LEN($A8)&gt;1,-SUMPRODUCT((Journal=$B$4)*(AmountTax1)),"")</f>
        <v>89.217391304347814</v>
      </c>
      <c r="C8" s="51" t="s">
        <v>150</v>
      </c>
    </row>
    <row r="9" spans="1:4" s="52" customFormat="1" ht="16.149999999999999" customHeight="1" x14ac:dyDescent="0.25">
      <c r="A9" s="75" t="s">
        <v>149</v>
      </c>
      <c r="B9" s="50" cm="1">
        <f t="array" aca="1" ref="B9" ca="1">IF(LEN($A9)&gt;1,-IF(ISERROR(SUMPRODUCT((Journal=$B$4)*(AmountTax2))),0,SUMPRODUCT((Journal=$B$4)*(AmountTax2))),"")</f>
        <v>0</v>
      </c>
      <c r="C9" s="51" t="s">
        <v>151</v>
      </c>
    </row>
    <row r="10" spans="1:4" ht="16.149999999999999" customHeight="1" x14ac:dyDescent="0.25">
      <c r="A10" s="22" t="str">
        <f ca="1">IF(ROW($D10)-ROW($D$9)&gt;COUNTA(OFFSET(Report!$B$4,1,0,ROW(Report!$B$17)-ROW(Report!$B$4)-1,1)),"",IF(OFFSET(Report!$A$4,ROW($D10)-ROW($D$9),0,1,1)="BANK","",IF(OFFSET(Report!$A$4,ROW($D10)-ROW($D$9),0,1,1)="TAX1","",IF(OFFSET(Report!$A$4,ROW($D10)-ROW($D$9),0,1,1)="TAX2","",OFFSET(Report!$A$4,ROW($D10)-ROW($D$9),0,1,1)))))</f>
        <v>IS-310</v>
      </c>
      <c r="B10" s="37">
        <f t="shared" ref="B10:B24" ca="1" si="0">IF(LEN($A10)&gt;1,-SUMPRODUCT((Journal=$B$4)*(Account=$A10)*(AmountExcl)),"")</f>
        <v>0</v>
      </c>
      <c r="C10" s="22" t="str">
        <f t="shared" ref="C10:C24" ca="1" si="1">IF(ISNA(VLOOKUP($A10,AccountNo,2,0))=TRUE,"",VLOOKUP($A10,AccountNo,2,0))</f>
        <v>Advertising &amp; Marketing</v>
      </c>
      <c r="D10" s="5"/>
    </row>
    <row r="11" spans="1:4" ht="16.149999999999999" customHeight="1" x14ac:dyDescent="0.25">
      <c r="A11" s="22" t="str">
        <f ca="1">IF(ROW($D11)-ROW($D$9)&gt;COUNTA(OFFSET(Report!$B$4,1,0,ROW(Report!$B$17)-ROW(Report!$B$4)-1,1)),"",IF(OFFSET(Report!$A$4,ROW($D11)-ROW($D$9),0,1,1)="BANK","",IF(OFFSET(Report!$A$4,ROW($D11)-ROW($D$9),0,1,1)="TAX1","",IF(OFFSET(Report!$A$4,ROW($D11)-ROW($D$9),0,1,1)="TAX2","",OFFSET(Report!$A$4,ROW($D11)-ROW($D$9),0,1,1)))))</f>
        <v>IS-325</v>
      </c>
      <c r="B11" s="37">
        <f t="shared" ca="1" si="0"/>
        <v>0</v>
      </c>
      <c r="C11" s="22" t="str">
        <f t="shared" ca="1" si="1"/>
        <v>Computer Expenses</v>
      </c>
      <c r="D11" s="5"/>
    </row>
    <row r="12" spans="1:4" ht="16.149999999999999" customHeight="1" x14ac:dyDescent="0.25">
      <c r="A12" s="22" t="str">
        <f ca="1">IF(ROW($D12)-ROW($D$9)&gt;COUNTA(OFFSET(Report!$B$4,1,0,ROW(Report!$B$17)-ROW(Report!$B$4)-1,1)),"",IF(OFFSET(Report!$A$4,ROW($D12)-ROW($D$9),0,1,1)="BANK","",IF(OFFSET(Report!$A$4,ROW($D12)-ROW($D$9),0,1,1)="TAX1","",IF(OFFSET(Report!$A$4,ROW($D12)-ROW($D$9),0,1,1)="TAX2","",OFFSET(Report!$A$4,ROW($D12)-ROW($D$9),0,1,1)))))</f>
        <v>IS-330</v>
      </c>
      <c r="B12" s="37">
        <f t="shared" ca="1" si="0"/>
        <v>316.22608695652173</v>
      </c>
      <c r="C12" s="22" t="str">
        <f t="shared" ca="1" si="1"/>
        <v>Consumables &amp; Cleaning</v>
      </c>
      <c r="D12" s="5"/>
    </row>
    <row r="13" spans="1:4" ht="16.149999999999999" customHeight="1" x14ac:dyDescent="0.25">
      <c r="A13" s="22" t="str">
        <f ca="1">IF(ROW($D13)-ROW($D$9)&gt;COUNTA(OFFSET(Report!$B$4,1,0,ROW(Report!$B$17)-ROW(Report!$B$4)-1,1)),"",IF(OFFSET(Report!$A$4,ROW($D13)-ROW($D$9),0,1,1)="BANK","",IF(OFFSET(Report!$A$4,ROW($D13)-ROW($D$9),0,1,1)="TAX1","",IF(OFFSET(Report!$A$4,ROW($D13)-ROW($D$9),0,1,1)="TAX2","",OFFSET(Report!$A$4,ROW($D13)-ROW($D$9),0,1,1)))))</f>
        <v>IS-335</v>
      </c>
      <c r="B13" s="37">
        <f t="shared" ca="1" si="0"/>
        <v>0</v>
      </c>
      <c r="C13" s="22" t="str">
        <f t="shared" ca="1" si="1"/>
        <v>Entertainment</v>
      </c>
      <c r="D13" s="5"/>
    </row>
    <row r="14" spans="1:4" ht="16.149999999999999" customHeight="1" x14ac:dyDescent="0.25">
      <c r="A14" s="22" t="str">
        <f ca="1">IF(ROW($D14)-ROW($D$9)&gt;COUNTA(OFFSET(Report!$B$4,1,0,ROW(Report!$B$17)-ROW(Report!$B$4)-1,1)),"",IF(OFFSET(Report!$A$4,ROW($D14)-ROW($D$9),0,1,1)="BANK","",IF(OFFSET(Report!$A$4,ROW($D14)-ROW($D$9),0,1,1)="TAX1","",IF(OFFSET(Report!$A$4,ROW($D14)-ROW($D$9),0,1,1)="TAX2","",OFFSET(Report!$A$4,ROW($D14)-ROW($D$9),0,1,1)))))</f>
        <v>IS-345</v>
      </c>
      <c r="B14" s="37">
        <f t="shared" ca="1" si="0"/>
        <v>257.73913043478257</v>
      </c>
      <c r="C14" s="22" t="str">
        <f t="shared" ca="1" si="1"/>
        <v>Office Expenses</v>
      </c>
      <c r="D14" s="5"/>
    </row>
    <row r="15" spans="1:4" ht="16.149999999999999" customHeight="1" x14ac:dyDescent="0.25">
      <c r="A15" s="22" t="str">
        <f ca="1">IF(ROW($D15)-ROW($D$9)&gt;COUNTA(OFFSET(Report!$B$4,1,0,ROW(Report!$B$17)-ROW(Report!$B$4)-1,1)),"",IF(OFFSET(Report!$A$4,ROW($D15)-ROW($D$9),0,1,1)="BANK","",IF(OFFSET(Report!$A$4,ROW($D15)-ROW($D$9),0,1,1)="TAX1","",IF(OFFSET(Report!$A$4,ROW($D15)-ROW($D$9),0,1,1)="TAX2","",OFFSET(Report!$A$4,ROW($D15)-ROW($D$9),0,1,1)))))</f>
        <v>IS-355</v>
      </c>
      <c r="B15" s="37">
        <f t="shared" ca="1" si="0"/>
        <v>20.817391304347822</v>
      </c>
      <c r="C15" s="22" t="str">
        <f t="shared" ca="1" si="1"/>
        <v>Postage</v>
      </c>
      <c r="D15" s="5"/>
    </row>
    <row r="16" spans="1:4" ht="16.149999999999999" customHeight="1" x14ac:dyDescent="0.25">
      <c r="A16" s="22" t="str">
        <f ca="1">IF(ROW($D16)-ROW($D$9)&gt;COUNTA(OFFSET(Report!$B$4,1,0,ROW(Report!$B$17)-ROW(Report!$B$4)-1,1)),"",IF(OFFSET(Report!$A$4,ROW($D16)-ROW($D$9),0,1,1)="BANK","",IF(OFFSET(Report!$A$4,ROW($D16)-ROW($D$9),0,1,1)="TAX1","",IF(OFFSET(Report!$A$4,ROW($D16)-ROW($D$9),0,1,1)="TAX2","",OFFSET(Report!$A$4,ROW($D16)-ROW($D$9),0,1,1)))))</f>
        <v>IS-365</v>
      </c>
      <c r="B16" s="37">
        <f t="shared" ca="1" si="0"/>
        <v>341.99999999999994</v>
      </c>
      <c r="C16" s="22" t="str">
        <f t="shared" ca="1" si="1"/>
        <v>Cash Wages</v>
      </c>
      <c r="D16" s="5"/>
    </row>
    <row r="17" spans="1:4" ht="16.149999999999999" customHeight="1" x14ac:dyDescent="0.25">
      <c r="A17" s="22" t="str">
        <f ca="1">IF(ROW($D17)-ROW($D$9)&gt;COUNTA(OFFSET(Report!$B$4,1,0,ROW(Report!$B$17)-ROW(Report!$B$4)-1,1)),"",IF(OFFSET(Report!$A$4,ROW($D17)-ROW($D$9),0,1,1)="BANK","",IF(OFFSET(Report!$A$4,ROW($D17)-ROW($D$9),0,1,1)="TAX1","",IF(OFFSET(Report!$A$4,ROW($D17)-ROW($D$9),0,1,1)="TAX2","",OFFSET(Report!$A$4,ROW($D17)-ROW($D$9),0,1,1)))))</f>
        <v>IS-370</v>
      </c>
      <c r="B17" s="37">
        <f t="shared" ca="1" si="0"/>
        <v>0</v>
      </c>
      <c r="C17" s="22" t="str">
        <f t="shared" ca="1" si="1"/>
        <v>Stationery</v>
      </c>
      <c r="D17" s="5"/>
    </row>
    <row r="18" spans="1:4" ht="16.149999999999999" customHeight="1" x14ac:dyDescent="0.25">
      <c r="A18" s="22" t="str">
        <f ca="1">IF(ROW($D18)-ROW($D$9)&gt;COUNTA(OFFSET(Report!$B$4,1,0,ROW(Report!$B$17)-ROW(Report!$B$4)-1,1)),"",IF(OFFSET(Report!$A$4,ROW($D18)-ROW($D$9),0,1,1)="BANK","",IF(OFFSET(Report!$A$4,ROW($D18)-ROW($D$9),0,1,1)="TAX1","",IF(OFFSET(Report!$A$4,ROW($D18)-ROW($D$9),0,1,1)="TAX2","",OFFSET(Report!$A$4,ROW($D18)-ROW($D$9),0,1,1)))))</f>
        <v>IS-390</v>
      </c>
      <c r="B18" s="37">
        <f t="shared" ca="1" si="0"/>
        <v>0</v>
      </c>
      <c r="C18" s="22" t="str">
        <f t="shared" ca="1" si="1"/>
        <v>Travelling &amp; Accommodation</v>
      </c>
      <c r="D18" s="5"/>
    </row>
    <row r="19" spans="1:4" ht="16.149999999999999" customHeight="1" x14ac:dyDescent="0.25">
      <c r="A19" s="22" t="str">
        <f ca="1">IF(ROW($D19)-ROW($D$9)&gt;COUNTA(OFFSET(Report!$B$4,1,0,ROW(Report!$B$17)-ROW(Report!$B$4)-1,1)),"",IF(OFFSET(Report!$A$4,ROW($D19)-ROW($D$9),0,1,1)="BANK","",IF(OFFSET(Report!$A$4,ROW($D19)-ROW($D$9),0,1,1)="TAX1","",IF(OFFSET(Report!$A$4,ROW($D19)-ROW($D$9),0,1,1)="TAX2","",OFFSET(Report!$A$4,ROW($D19)-ROW($D$9),0,1,1)))))</f>
        <v/>
      </c>
      <c r="B19" s="37" t="str">
        <f t="shared" ca="1" si="0"/>
        <v/>
      </c>
      <c r="C19" s="22" t="str">
        <f t="shared" ca="1" si="1"/>
        <v/>
      </c>
      <c r="D19" s="5"/>
    </row>
    <row r="20" spans="1:4" ht="16.149999999999999" customHeight="1" x14ac:dyDescent="0.25">
      <c r="A20" s="22" t="str">
        <f ca="1">IF(ROW($D20)-ROW($D$9)&gt;COUNTA(OFFSET(Report!$B$4,1,0,ROW(Report!$B$17)-ROW(Report!$B$4)-1,1)),"",IF(OFFSET(Report!$A$4,ROW($D20)-ROW($D$9),0,1,1)="BANK","",IF(OFFSET(Report!$A$4,ROW($D20)-ROW($D$9),0,1,1)="TAX1","",IF(OFFSET(Report!$A$4,ROW($D20)-ROW($D$9),0,1,1)="TAX2","",OFFSET(Report!$A$4,ROW($D20)-ROW($D$9),0,1,1)))))</f>
        <v/>
      </c>
      <c r="B20" s="37" t="str">
        <f t="shared" ca="1" si="0"/>
        <v/>
      </c>
      <c r="C20" s="22" t="str">
        <f t="shared" ca="1" si="1"/>
        <v/>
      </c>
    </row>
    <row r="21" spans="1:4" ht="16.149999999999999" customHeight="1" x14ac:dyDescent="0.25">
      <c r="A21" s="22" t="str">
        <f ca="1">IF(ROW($D21)-ROW($D$9)&gt;COUNTA(OFFSET(Report!$B$4,1,0,ROW(Report!$B$17)-ROW(Report!$B$4)-1,1)),"",IF(OFFSET(Report!$A$4,ROW($D21)-ROW($D$9),0,1,1)="BANK","",IF(OFFSET(Report!$A$4,ROW($D21)-ROW($D$9),0,1,1)="TAX1","",IF(OFFSET(Report!$A$4,ROW($D21)-ROW($D$9),0,1,1)="TAX2","",OFFSET(Report!$A$4,ROW($D21)-ROW($D$9),0,1,1)))))</f>
        <v/>
      </c>
      <c r="B21" s="37" t="str">
        <f t="shared" ca="1" si="0"/>
        <v/>
      </c>
      <c r="C21" s="22" t="str">
        <f t="shared" ca="1" si="1"/>
        <v/>
      </c>
    </row>
    <row r="22" spans="1:4" ht="16.149999999999999" customHeight="1" x14ac:dyDescent="0.25">
      <c r="A22" s="22" t="str">
        <f ca="1">IF(ROW($D22)-ROW($D$9)&gt;COUNTA(OFFSET(Report!$B$4,1,0,ROW(Report!$B$17)-ROW(Report!$B$4)-1,1)),"",IF(OFFSET(Report!$A$4,ROW($D22)-ROW($D$9),0,1,1)="BANK","",IF(OFFSET(Report!$A$4,ROW($D22)-ROW($D$9),0,1,1)="TAX1","",IF(OFFSET(Report!$A$4,ROW($D22)-ROW($D$9),0,1,1)="TAX2","",OFFSET(Report!$A$4,ROW($D22)-ROW($D$9),0,1,1)))))</f>
        <v/>
      </c>
      <c r="B22" s="37" t="str">
        <f t="shared" ca="1" si="0"/>
        <v/>
      </c>
      <c r="C22" s="22" t="str">
        <f t="shared" ca="1" si="1"/>
        <v/>
      </c>
    </row>
    <row r="23" spans="1:4" ht="16.149999999999999" customHeight="1" x14ac:dyDescent="0.25">
      <c r="A23" s="22" t="str">
        <f ca="1">IF(ROW($D23)-ROW($D$9)&gt;COUNTA(OFFSET(Report!$B$4,1,0,ROW(Report!$B$17)-ROW(Report!$B$4)-1,1)),"",IF(OFFSET(Report!$A$4,ROW($D23)-ROW($D$9),0,1,1)="BANK","",IF(OFFSET(Report!$A$4,ROW($D23)-ROW($D$9),0,1,1)="TAX1","",IF(OFFSET(Report!$A$4,ROW($D23)-ROW($D$9),0,1,1)="TAX2","",OFFSET(Report!$A$4,ROW($D23)-ROW($D$9),0,1,1)))))</f>
        <v/>
      </c>
      <c r="B23" s="37" t="str">
        <f t="shared" ca="1" si="0"/>
        <v/>
      </c>
      <c r="C23" s="22" t="str">
        <f t="shared" ca="1" si="1"/>
        <v/>
      </c>
    </row>
    <row r="24" spans="1:4" ht="16.149999999999999" customHeight="1" x14ac:dyDescent="0.25">
      <c r="A24" s="22" t="str">
        <f ca="1">IF(ROW($D24)-ROW($D$9)&gt;COUNTA(OFFSET(Report!$B$4,1,0,ROW(Report!$B$17)-ROW(Report!$B$4)-1,1)),"",IF(OFFSET(Report!$A$4,ROW($D24)-ROW($D$9),0,1,1)="BANK","",IF(OFFSET(Report!$A$4,ROW($D24)-ROW($D$9),0,1,1)="TAX1","",IF(OFFSET(Report!$A$4,ROW($D24)-ROW($D$9),0,1,1)="TAX2","",OFFSET(Report!$A$4,ROW($D24)-ROW($D$9),0,1,1)))))</f>
        <v/>
      </c>
      <c r="B24" s="37" t="str">
        <f t="shared" ca="1" si="0"/>
        <v/>
      </c>
      <c r="C24" s="22" t="str">
        <f t="shared" ca="1" si="1"/>
        <v/>
      </c>
    </row>
    <row r="25" spans="1:4" ht="16.149999999999999" customHeight="1" x14ac:dyDescent="0.25">
      <c r="A25" s="22" t="str">
        <f ca="1">IF(ROW($D25)-ROW($D$9)&gt;COUNTA(OFFSET(Report!$B$4,1,0,ROW(Report!$B$17)-ROW(Report!$B$4)-1,1)),"",IF(OFFSET(Report!$A$4,ROW($D25)-ROW($D$9),0,1,1)="BANK","",IF(OFFSET(Report!$A$4,ROW($D25)-ROW($D$9),0,1,1)="TAX1","",IF(OFFSET(Report!$A$4,ROW($D25)-ROW($D$9),0,1,1)="TAX2","",OFFSET(Report!$A$4,ROW($D25)-ROW($D$9),0,1,1)))))</f>
        <v/>
      </c>
      <c r="B25" s="37" t="str">
        <f ca="1">IF(LEN($A25)&gt;1,-SUMPRODUCT((Journal=$B$4)*(Account=$A25)*(AmountExcl)),"")</f>
        <v/>
      </c>
      <c r="C25" s="22" t="str">
        <f ca="1">IF(ISNA(VLOOKUP($A25,AccountNo,2,0))=TRUE,"",VLOOKUP($A25,AccountNo,2,0))</f>
        <v/>
      </c>
    </row>
    <row r="26" spans="1:4" ht="16.149999999999999" customHeight="1" x14ac:dyDescent="0.25">
      <c r="A26" s="22" t="str">
        <f ca="1">IF(ROW($D26)-ROW($D$9)&gt;COUNTA(OFFSET(Report!$B$4,1,0,ROW(Report!$B$17)-ROW(Report!$B$4)-1,1)),"",IF(OFFSET(Report!$A$4,ROW($D26)-ROW($D$9),0,1,1)="BANK","",IF(OFFSET(Report!$A$4,ROW($D26)-ROW($D$9),0,1,1)="TAX1","",IF(OFFSET(Report!$A$4,ROW($D26)-ROW($D$9),0,1,1)="TAX2","",OFFSET(Report!$A$4,ROW($D26)-ROW($D$9),0,1,1)))))</f>
        <v/>
      </c>
      <c r="B26" s="37" t="str">
        <f ca="1">IF(LEN($A26)&gt;1,-SUMPRODUCT((Journal=$B$4)*(Account=$A26)*(AmountExcl)),"")</f>
        <v/>
      </c>
      <c r="C26" s="22" t="str">
        <f ca="1">IF(ISNA(VLOOKUP($A26,AccountNo,2,0))=TRUE,"",VLOOKUP($A26,AccountNo,2,0))</f>
        <v/>
      </c>
    </row>
    <row r="27" spans="1:4" ht="16.149999999999999" customHeight="1" x14ac:dyDescent="0.25">
      <c r="A27" s="22" t="str">
        <f ca="1">IF(ROW($D27)-ROW($D$9)&gt;COUNTA(OFFSET(Report!$B$4,1,0,ROW(Report!$B$17)-ROW(Report!$B$4)-1,1)),"",IF(OFFSET(Report!$A$4,ROW($D27)-ROW($D$9),0,1,1)="BANK","",IF(OFFSET(Report!$A$4,ROW($D27)-ROW($D$9),0,1,1)="TAX1","",IF(OFFSET(Report!$A$4,ROW($D27)-ROW($D$9),0,1,1)="TAX2","",OFFSET(Report!$A$4,ROW($D27)-ROW($D$9),0,1,1)))))</f>
        <v/>
      </c>
      <c r="B27" s="37" t="str">
        <f ca="1">IF(LEN($A27)&gt;1,-SUMPRODUCT((Journal=$B$4)*(Account=$A27)*(AmountExcl)),"")</f>
        <v/>
      </c>
      <c r="C27" s="22" t="str">
        <f ca="1">IF(ISNA(VLOOKUP($A27,AccountNo,2,0))=TRUE,"",VLOOKUP($A27,AccountNo,2,0))</f>
        <v/>
      </c>
    </row>
    <row r="28" spans="1:4" ht="16.149999999999999" customHeight="1" x14ac:dyDescent="0.25">
      <c r="A28" s="22" t="str">
        <f ca="1">IF(ROW($D28)-ROW($D$9)&gt;COUNTA(OFFSET(Report!$B$4,1,0,ROW(Report!$B$17)-ROW(Report!$B$4)-1,1)),"",IF(OFFSET(Report!$A$4,ROW($D28)-ROW($D$9),0,1,1)="BANK","",IF(OFFSET(Report!$A$4,ROW($D28)-ROW($D$9),0,1,1)="TAX1","",IF(OFFSET(Report!$A$4,ROW($D28)-ROW($D$9),0,1,1)="TAX2","",OFFSET(Report!$A$4,ROW($D28)-ROW($D$9),0,1,1)))))</f>
        <v/>
      </c>
      <c r="B28" s="37" t="str">
        <f ca="1">IF(LEN($A28)&gt;1,-SUMPRODUCT((Journal=$B$4)*(Account=$A28)*(AmountExcl)),"")</f>
        <v/>
      </c>
      <c r="C28" s="22" t="str">
        <f ca="1">IF(ISNA(VLOOKUP($A28,AccountNo,2,0))=TRUE,"",VLOOKUP($A28,AccountNo,2,0))</f>
        <v/>
      </c>
    </row>
    <row r="29" spans="1:4" ht="16.149999999999999" customHeight="1" x14ac:dyDescent="0.25">
      <c r="A29" s="22" t="str">
        <f ca="1">IF(ROW($D29)-ROW($D$9)&gt;COUNTA(OFFSET(Report!$B$4,1,0,ROW(Report!$B$17)-ROW(Report!$B$4)-1,1)),"",IF(OFFSET(Report!$A$4,ROW($D29)-ROW($D$9),0,1,1)="BANK","",IF(OFFSET(Report!$A$4,ROW($D29)-ROW($D$9),0,1,1)="TAX1","",IF(OFFSET(Report!$A$4,ROW($D29)-ROW($D$9),0,1,1)="TAX2","",OFFSET(Report!$A$4,ROW($D29)-ROW($D$9),0,1,1)))))</f>
        <v/>
      </c>
      <c r="B29" s="37" t="str">
        <f ca="1">IF(LEN($A29)&gt;1,-SUMPRODUCT((Journal=$B$4)*(Account=$A29)*(AmountExcl)),"")</f>
        <v/>
      </c>
      <c r="C29" s="22" t="str">
        <f ca="1">IF(ISNA(VLOOKUP($A29,AccountNo,2,0))=TRUE,"",VLOOKUP($A29,AccountNo,2,0))</f>
        <v/>
      </c>
    </row>
  </sheetData>
  <phoneticPr fontId="2" type="noConversion"/>
  <pageMargins left="0.55118110236220474" right="0.55118110236220474" top="0.59055118110236227" bottom="0.59055118110236227" header="0.31496062992125984" footer="0.31496062992125984"/>
  <pageSetup paperSize="9" scale="88" orientation="portrait" r:id="rId1"/>
  <headerFooter alignWithMargins="0">
    <oddFooter>Page &amp;P of &amp;N</oddFooter>
  </headerFooter>
  <ignoredErrors>
    <ignoredError sqref="B9 B7:C7 B8 C8:C9 A7:A9" calculatedColumn="1"/>
  </ignoredErrors>
  <drawing r:id="rId2"/>
  <tableParts count="1">
    <tablePart r:id="rId3"/>
  </tableParts>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12</vt:i4>
      </vt:variant>
    </vt:vector>
  </HeadingPairs>
  <TitlesOfParts>
    <vt:vector size="13" baseType="lpstr">
      <vt:lpstr>Info</vt:lpstr>
      <vt:lpstr>Account</vt:lpstr>
      <vt:lpstr>Amount</vt:lpstr>
      <vt:lpstr>AmountExcl</vt:lpstr>
      <vt:lpstr>AmountTax1</vt:lpstr>
      <vt:lpstr>AmountTax2</vt:lpstr>
      <vt:lpstr>ErrorCode</vt:lpstr>
      <vt:lpstr>Journal</vt:lpstr>
      <vt:lpstr>PayDate</vt:lpstr>
      <vt:lpstr>Instructions!Print_Area</vt:lpstr>
      <vt:lpstr>Data!Print_Titles</vt:lpstr>
      <vt:lpstr>Instructions!Print_Titles</vt:lpstr>
      <vt:lpstr>Transactions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Petty Cash Template - Excel Skills</dc:title>
  <dc:subject>Petty Cash</dc:subject>
  <dc:creator>Excel Skills International</dc:creator>
  <cp:keywords>petty cash</cp:keywords>
  <cp:lastModifiedBy>cloudconvert_21</cp:lastModifiedBy>
  <cp:lastPrinted>2021-02-05T09:20:22Z</cp:lastPrinted>
  <dcterms:created xsi:type="dcterms:W3CDTF">2010-05-04T10:58:44Z</dcterms:created>
  <dcterms:modified xsi:type="dcterms:W3CDTF">2024-01-30T16:21:54Z</dcterms:modified>
  <cp:category>Excel 2007+</cp:category>
  <cp:contentStatus>Version 2.0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901592e7-6653-40bc-858f-9e4528f28aad</vt:lpwstr>
  </property>
</Properties>
</file>