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drawings/drawing5.xml" ContentType="application/vnd.openxmlformats-officedocument.drawing+xml"/>
  <Override PartName="/xl/tables/table2.xml" ContentType="application/vnd.openxmlformats-officedocument.spreadsheetml.table+xml"/>
  <Override PartName="/xl/drawings/drawing6.xml" ContentType="application/vnd.openxmlformats-officedocument.drawing+xml"/>
  <Override PartName="/xl/tables/table3.xml" ContentType="application/vnd.openxmlformats-officedocument.spreadsheetml.table+xml"/>
  <Override PartName="/xl/drawings/drawing7.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8.xml" ContentType="application/vnd.openxmlformats-officedocument.drawing+xml"/>
  <Override PartName="/xl/tables/table4.xml" ContentType="application/vnd.openxmlformats-officedocument.spreadsheetml.table+xml"/>
  <Override PartName="/xl/drawings/drawing9.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45daf458fe174213" Type="http://schemas.microsoft.com/office/2006/relationships/ui/extensibility" Target="customUI/customUI.xml"/><Relationship Id="R27a1a2af6e8c49bb" Type="http://schemas.microsoft.com/office/2007/relationships/ui/extensibility" Target="customUI/customUI14.xml"/><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codeName="ThisWorkbook"/>
  <mc:AlternateContent xmlns:mc="http://schemas.openxmlformats.org/markup-compatibility/2006">
    <mc:Choice Requires="x15">
      <x15ac:absPath xmlns:x15ac="http://schemas.microsoft.com/office/spreadsheetml/2010/11/ac" url="C:\Users\cloudconvert\server\files\tasks\734d1c42-716e-4ad1-a68e-ef8a3b04b35e\"/>
    </mc:Choice>
  </mc:AlternateContent>
  <xr:revisionPtr revIDLastSave="0" documentId="8_{8B99CBE6-D30E-45EF-A504-C104A9234B85}" xr6:coauthVersionLast="47" xr6:coauthVersionMax="47" xr10:uidLastSave="{00000000-0000-0000-0000-000000000000}"/>
  <bookViews>
    <workbookView xWindow="390" yWindow="390" windowWidth="11520" windowHeight="7875" tabRatio="792" xr2:uid="{00000000-000D-0000-FFFF-FFFF00000000}"/>
  </bookViews>
  <sheets>
    <sheet name="Info" sheetId="17" r:id="rId1"/>
    <sheet name="Trial" sheetId="16" state="veryHidden" r:id="rId2"/>
    <sheet name="Instructions" sheetId="13" state="veryHidden" r:id="rId3"/>
    <sheet name="StockCodes" sheetId="1" state="veryHidden" r:id="rId4"/>
    <sheet name="Movements" sheetId="2" state="veryHidden" r:id="rId5"/>
    <sheet name="StockCount" sheetId="5" state="veryHidden" r:id="rId6"/>
    <sheet name="Dashboard" sheetId="18" state="veryHidden" r:id="rId7"/>
    <sheet name="Sales" sheetId="10" state="veryHidden" r:id="rId8"/>
    <sheet name="Profitability" sheetId="11" state="veryHidden" r:id="rId9"/>
  </sheets>
  <definedNames>
    <definedName name="_xlnm._FilterDatabase" localSheetId="4" hidden="1">Movements!$A$4:$R$4</definedName>
    <definedName name="_xlnm._FilterDatabase" localSheetId="8" hidden="1">Profitability!$A$5:$A$575</definedName>
    <definedName name="_xlnm._FilterDatabase" localSheetId="7" hidden="1">Sales!$B$4:$E$48</definedName>
    <definedName name="_xlnm._FilterDatabase" localSheetId="3" hidden="1">StockCodes!$A$5:$Q$5</definedName>
    <definedName name="_xlnm._FilterDatabase" localSheetId="5" hidden="1">StockCount!$A$4:$K$4</definedName>
    <definedName name="CodeCount">COUNTA(StockCode[Stock Code])</definedName>
    <definedName name="CountCode">SCount[Stock Code]</definedName>
    <definedName name="CountError">SCount[Error Code]</definedName>
    <definedName name="DBAdjustQty">StockCode[Dash Adjust Qty]</definedName>
    <definedName name="DBAdjustValue">StockCode[Dash Adjust Value]</definedName>
    <definedName name="DBAdjustValueABS">StockCode[Dash Adjust AB Value]</definedName>
    <definedName name="DBPriceVar">StockCode[Dash Price Value]</definedName>
    <definedName name="DBPriceVarABS">StockCode[Dash ABS Price]</definedName>
    <definedName name="DBPurchQty">StockCode[Dash Purch Qty]</definedName>
    <definedName name="DBPurchValue">StockCode[Dash Purch Value]</definedName>
    <definedName name="DBUsageQty">StockCode[Dash Usage Qty]</definedName>
    <definedName name="DBUsageValue">StockCode[Dash Usage Value]</definedName>
    <definedName name="MoveAmount">InvMovement[Transaction Value]</definedName>
    <definedName name="MoveCode">InvMovement[Stock Code]</definedName>
    <definedName name="MoveDate">InvMovement[Movement Date]</definedName>
    <definedName name="MoveError">InvMovement[Error Code]</definedName>
    <definedName name="MoveInvAmount">InvMovement[Invoice Amount]</definedName>
    <definedName name="MovePrice">InvMovement[Total Price Variance]</definedName>
    <definedName name="MoveQty">InvMovement[Transaction Quantity]</definedName>
    <definedName name="MoveType">InvMovement[Transaction Type]</definedName>
    <definedName name="_xlnm.Print_Area" localSheetId="6">Dashboard!$A$1:$K$51</definedName>
    <definedName name="_xlnm.Print_Area" localSheetId="2">Instructions!$A$1:$A$242</definedName>
    <definedName name="_xlnm.Print_Area" localSheetId="3">StockCodes!$A:$R</definedName>
    <definedName name="_xlnm.Print_Titles" localSheetId="2">Instructions!$1:$4</definedName>
    <definedName name="_xlnm.Print_Titles" localSheetId="4">Movements!$1:$4</definedName>
    <definedName name="_xlnm.Print_Titles" localSheetId="7">Sales!$1:$4</definedName>
    <definedName name="_xlnm.Print_Titles" localSheetId="3">StockCodes!$1:$5</definedName>
    <definedName name="_xlnm.Print_Titles" localSheetId="5">StockCount!$1:$4</definedName>
    <definedName name="SaleAmount">Sale[Exclusive Sales Amount]</definedName>
    <definedName name="SaleDate">Sale[Invoice Date]</definedName>
    <definedName name="StockCodeOnly">StockCode[Stock Code]</definedName>
    <definedName name="StockError">StockCode[Error Code]</definedName>
    <definedName name="StockMaster">StockCode[#Data]</definedName>
    <definedName name="StockOpenCost">StockCode[Opening Cost]</definedName>
    <definedName name="StockOpenQty">StockCode[Opening Quantity]</definedName>
    <definedName name="StockOpenValue">StockCode[Opening Value]</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T5" i="2" l="1"/>
  <c r="T6" i="2"/>
  <c r="T7" i="2"/>
  <c r="T8" i="2"/>
  <c r="T9" i="2"/>
  <c r="T10" i="2"/>
  <c r="T11" i="2"/>
  <c r="T12" i="2"/>
  <c r="T13" i="2"/>
  <c r="T14" i="2"/>
  <c r="T15" i="2"/>
  <c r="T16" i="2"/>
  <c r="T17" i="2"/>
  <c r="T18" i="2"/>
  <c r="T19" i="2"/>
  <c r="T20" i="2"/>
  <c r="T21" i="2"/>
  <c r="T22" i="2"/>
  <c r="T23" i="2"/>
  <c r="T24" i="2"/>
  <c r="T25" i="2"/>
  <c r="T26" i="2"/>
  <c r="T27" i="2"/>
  <c r="T28" i="2"/>
  <c r="T29" i="2"/>
  <c r="T30" i="2"/>
  <c r="T31" i="2"/>
  <c r="T32" i="2"/>
  <c r="T33" i="2"/>
  <c r="T34" i="2"/>
  <c r="T35" i="2"/>
  <c r="T36" i="2"/>
  <c r="T37" i="2"/>
  <c r="T38" i="2"/>
  <c r="T39" i="2"/>
  <c r="T40" i="2"/>
  <c r="T41" i="2"/>
  <c r="T42" i="2"/>
  <c r="T43" i="2"/>
  <c r="T44" i="2"/>
  <c r="T45" i="2"/>
  <c r="T46" i="2"/>
  <c r="T47" i="2"/>
  <c r="T48" i="2"/>
  <c r="T49" i="2"/>
  <c r="T50" i="2"/>
  <c r="T51" i="2"/>
  <c r="T52" i="2"/>
  <c r="T53" i="2"/>
  <c r="T54" i="2"/>
  <c r="T55" i="2"/>
  <c r="T56" i="2"/>
  <c r="T57" i="2"/>
  <c r="T58" i="2"/>
  <c r="T59" i="2"/>
  <c r="T60" i="2"/>
  <c r="T61" i="2"/>
  <c r="T62" i="2"/>
  <c r="T63" i="2"/>
  <c r="T64" i="2"/>
  <c r="T65" i="2"/>
  <c r="T66" i="2"/>
  <c r="T67" i="2"/>
  <c r="T68" i="2"/>
  <c r="T69" i="2"/>
  <c r="T70" i="2"/>
  <c r="T71" i="2"/>
  <c r="T72" i="2"/>
  <c r="T73" i="2"/>
  <c r="T74" i="2"/>
  <c r="T75" i="2"/>
  <c r="T76" i="2"/>
  <c r="T77" i="2"/>
  <c r="T78" i="2"/>
  <c r="T79" i="2"/>
  <c r="T80" i="2"/>
  <c r="T81" i="2"/>
  <c r="T82" i="2"/>
  <c r="T83" i="2"/>
  <c r="T84" i="2"/>
  <c r="T85" i="2"/>
  <c r="T86" i="2"/>
  <c r="T87" i="2"/>
  <c r="T88" i="2"/>
  <c r="T89" i="2"/>
  <c r="T90" i="2"/>
  <c r="T91" i="2"/>
  <c r="T92" i="2"/>
  <c r="T93" i="2"/>
  <c r="T94" i="2"/>
  <c r="T95" i="2"/>
  <c r="T96" i="2"/>
  <c r="T97" i="2"/>
  <c r="T98" i="2"/>
  <c r="T99" i="2"/>
  <c r="T100" i="2"/>
  <c r="T101" i="2"/>
  <c r="T102" i="2"/>
  <c r="T103" i="2"/>
  <c r="T104" i="2"/>
  <c r="T105" i="2"/>
  <c r="T106" i="2"/>
  <c r="T107" i="2"/>
  <c r="T108" i="2"/>
  <c r="T109" i="2"/>
  <c r="T110" i="2"/>
  <c r="T111" i="2"/>
  <c r="T112" i="2"/>
  <c r="T113" i="2"/>
  <c r="T114" i="2"/>
  <c r="T115" i="2"/>
  <c r="T116" i="2"/>
  <c r="T117" i="2"/>
  <c r="T118" i="2"/>
  <c r="T119" i="2"/>
  <c r="T120" i="2"/>
  <c r="T121" i="2"/>
  <c r="T122" i="2"/>
  <c r="T123" i="2"/>
  <c r="T124" i="2"/>
  <c r="T125" i="2"/>
  <c r="T126" i="2"/>
  <c r="T127" i="2"/>
  <c r="T128" i="2"/>
  <c r="T129" i="2"/>
  <c r="T130" i="2"/>
  <c r="T131" i="2"/>
  <c r="T132" i="2"/>
  <c r="T133" i="2"/>
  <c r="T134" i="2"/>
  <c r="T135" i="2"/>
  <c r="T136" i="2"/>
  <c r="T137" i="2"/>
  <c r="T138" i="2"/>
  <c r="T139" i="2"/>
  <c r="T140" i="2"/>
  <c r="T141" i="2"/>
  <c r="T142" i="2"/>
  <c r="T143" i="2"/>
  <c r="T144" i="2"/>
  <c r="T145" i="2"/>
  <c r="T146" i="2"/>
  <c r="T147" i="2"/>
  <c r="T148" i="2"/>
  <c r="J5" i="2"/>
  <c r="J6" i="2"/>
  <c r="J7" i="2"/>
  <c r="J8" i="2"/>
  <c r="J9" i="2"/>
  <c r="J10" i="2"/>
  <c r="J11" i="2"/>
  <c r="J12" i="2"/>
  <c r="J13" i="2"/>
  <c r="J14" i="2"/>
  <c r="J15" i="2"/>
  <c r="J16" i="2"/>
  <c r="J17" i="2"/>
  <c r="J18" i="2"/>
  <c r="J19" i="2"/>
  <c r="J20" i="2"/>
  <c r="J21" i="2"/>
  <c r="J22" i="2"/>
  <c r="J23" i="2"/>
  <c r="J24" i="2"/>
  <c r="J25" i="2"/>
  <c r="J26" i="2"/>
  <c r="J27" i="2"/>
  <c r="J28" i="2"/>
  <c r="J29" i="2"/>
  <c r="J30" i="2"/>
  <c r="J31" i="2"/>
  <c r="J32" i="2"/>
  <c r="J33" i="2"/>
  <c r="J34" i="2"/>
  <c r="J35" i="2"/>
  <c r="J36" i="2"/>
  <c r="J37" i="2"/>
  <c r="J38" i="2"/>
  <c r="J39" i="2"/>
  <c r="J40" i="2"/>
  <c r="J41" i="2"/>
  <c r="J42" i="2"/>
  <c r="J43" i="2"/>
  <c r="J44" i="2"/>
  <c r="J45" i="2"/>
  <c r="J46" i="2"/>
  <c r="J47" i="2"/>
  <c r="J48" i="2"/>
  <c r="J49" i="2"/>
  <c r="J50" i="2"/>
  <c r="J51" i="2"/>
  <c r="J52" i="2"/>
  <c r="J53" i="2"/>
  <c r="J54" i="2"/>
  <c r="J55" i="2"/>
  <c r="J56" i="2"/>
  <c r="J57" i="2"/>
  <c r="J58" i="2"/>
  <c r="J59" i="2"/>
  <c r="J60" i="2"/>
  <c r="J61" i="2"/>
  <c r="J62" i="2"/>
  <c r="J63" i="2"/>
  <c r="J64" i="2"/>
  <c r="J65" i="2"/>
  <c r="J66" i="2"/>
  <c r="J67" i="2"/>
  <c r="J68" i="2"/>
  <c r="J69" i="2"/>
  <c r="J70" i="2"/>
  <c r="J71" i="2"/>
  <c r="J72" i="2"/>
  <c r="J73" i="2"/>
  <c r="J74" i="2"/>
  <c r="J75" i="2"/>
  <c r="J76" i="2"/>
  <c r="J77" i="2"/>
  <c r="J78" i="2"/>
  <c r="J79" i="2"/>
  <c r="J80" i="2"/>
  <c r="J81" i="2"/>
  <c r="J82" i="2"/>
  <c r="J83" i="2"/>
  <c r="J84" i="2"/>
  <c r="J85" i="2"/>
  <c r="J86" i="2"/>
  <c r="J87" i="2"/>
  <c r="J88" i="2"/>
  <c r="J89" i="2"/>
  <c r="J90" i="2"/>
  <c r="J91" i="2"/>
  <c r="J92" i="2"/>
  <c r="J93" i="2"/>
  <c r="J94" i="2"/>
  <c r="J95" i="2"/>
  <c r="J96" i="2"/>
  <c r="J97" i="2"/>
  <c r="J98" i="2"/>
  <c r="J99" i="2"/>
  <c r="J100" i="2"/>
  <c r="J101" i="2"/>
  <c r="J102" i="2"/>
  <c r="J103" i="2"/>
  <c r="J104" i="2"/>
  <c r="J105" i="2"/>
  <c r="J106" i="2"/>
  <c r="J107" i="2"/>
  <c r="J108" i="2"/>
  <c r="J109" i="2"/>
  <c r="J110" i="2"/>
  <c r="J111" i="2"/>
  <c r="J112" i="2"/>
  <c r="J113" i="2"/>
  <c r="J114" i="2"/>
  <c r="J115" i="2"/>
  <c r="J116" i="2"/>
  <c r="J117" i="2"/>
  <c r="J118" i="2"/>
  <c r="J119" i="2"/>
  <c r="J120" i="2"/>
  <c r="J121" i="2"/>
  <c r="J122" i="2"/>
  <c r="J123" i="2"/>
  <c r="J124" i="2"/>
  <c r="J125" i="2"/>
  <c r="J126" i="2"/>
  <c r="J127" i="2"/>
  <c r="J128" i="2"/>
  <c r="J129" i="2"/>
  <c r="J130" i="2"/>
  <c r="J131" i="2"/>
  <c r="J132" i="2"/>
  <c r="J133" i="2"/>
  <c r="J134" i="2"/>
  <c r="J135" i="2"/>
  <c r="J136" i="2"/>
  <c r="J137" i="2"/>
  <c r="J138" i="2"/>
  <c r="J139" i="2"/>
  <c r="J140" i="2"/>
  <c r="J141" i="2"/>
  <c r="J142" i="2"/>
  <c r="J143" i="2"/>
  <c r="J144" i="2"/>
  <c r="J145" i="2"/>
  <c r="J146" i="2"/>
  <c r="J147" i="2"/>
  <c r="J148" i="2"/>
  <c r="C5" i="5" l="1"/>
  <c r="C6" i="5"/>
  <c r="C7" i="5"/>
  <c r="C8" i="5"/>
  <c r="C9" i="5"/>
  <c r="C10" i="5"/>
  <c r="C11" i="5"/>
  <c r="C12" i="5"/>
  <c r="G4" i="1" l="1"/>
  <c r="K28" i="11" l="1"/>
  <c r="F8" i="1" l="1"/>
  <c r="G8" i="1"/>
  <c r="F9" i="1"/>
  <c r="G9" i="1"/>
  <c r="F10" i="1"/>
  <c r="G10" i="1"/>
  <c r="F11" i="1"/>
  <c r="G11" i="1"/>
  <c r="F12" i="1"/>
  <c r="G12" i="1"/>
  <c r="F13" i="1"/>
  <c r="G13" i="1"/>
  <c r="G6" i="1" l="1"/>
  <c r="G7" i="1"/>
  <c r="C71" i="18" l="1"/>
  <c r="E71" i="18"/>
  <c r="D71" i="18"/>
  <c r="D179" i="18" l="1"/>
  <c r="D72" i="18"/>
  <c r="D164" i="18"/>
  <c r="F71" i="18"/>
  <c r="B15" i="18" s="1"/>
  <c r="A63" i="18"/>
  <c r="A61" i="18"/>
  <c r="E60" i="18"/>
  <c r="D60" i="18"/>
  <c r="C56" i="18"/>
  <c r="D55" i="18"/>
  <c r="A59" i="18"/>
  <c r="B178" i="18" l="1"/>
  <c r="S3" i="1"/>
  <c r="B166" i="18"/>
  <c r="B176" i="18"/>
  <c r="B168" i="18"/>
  <c r="B175" i="18"/>
  <c r="B167" i="18"/>
  <c r="B174" i="18"/>
  <c r="B177" i="18"/>
  <c r="B173" i="18"/>
  <c r="B172" i="18"/>
  <c r="B171" i="18"/>
  <c r="B170" i="18"/>
  <c r="B169" i="18"/>
  <c r="B181" i="18"/>
  <c r="B192" i="18"/>
  <c r="B184" i="18"/>
  <c r="B191" i="18"/>
  <c r="B183" i="18"/>
  <c r="B186" i="18"/>
  <c r="B190" i="18"/>
  <c r="B182" i="18"/>
  <c r="B187" i="18"/>
  <c r="B189" i="18"/>
  <c r="B188" i="18"/>
  <c r="B185" i="18"/>
  <c r="B74" i="18"/>
  <c r="B163" i="18"/>
  <c r="B155" i="18"/>
  <c r="B147" i="18"/>
  <c r="B139" i="18"/>
  <c r="B131" i="18"/>
  <c r="B123" i="18"/>
  <c r="B115" i="18"/>
  <c r="B107" i="18"/>
  <c r="B99" i="18"/>
  <c r="B91" i="18"/>
  <c r="B83" i="18"/>
  <c r="B75" i="18"/>
  <c r="B116" i="18"/>
  <c r="B84" i="18"/>
  <c r="B162" i="18"/>
  <c r="B154" i="18"/>
  <c r="B146" i="18"/>
  <c r="B138" i="18"/>
  <c r="B130" i="18"/>
  <c r="B122" i="18"/>
  <c r="B114" i="18"/>
  <c r="B106" i="18"/>
  <c r="B98" i="18"/>
  <c r="B90" i="18"/>
  <c r="B82" i="18"/>
  <c r="B132" i="18"/>
  <c r="B161" i="18"/>
  <c r="B153" i="18"/>
  <c r="B145" i="18"/>
  <c r="B137" i="18"/>
  <c r="B129" i="18"/>
  <c r="B121" i="18"/>
  <c r="B113" i="18"/>
  <c r="B105" i="18"/>
  <c r="B97" i="18"/>
  <c r="B89" i="18"/>
  <c r="B81" i="18"/>
  <c r="B124" i="18"/>
  <c r="B160" i="18"/>
  <c r="B152" i="18"/>
  <c r="B144" i="18"/>
  <c r="B136" i="18"/>
  <c r="B128" i="18"/>
  <c r="B120" i="18"/>
  <c r="B112" i="18"/>
  <c r="B104" i="18"/>
  <c r="B96" i="18"/>
  <c r="B88" i="18"/>
  <c r="B80" i="18"/>
  <c r="B140" i="18"/>
  <c r="B100" i="18"/>
  <c r="B159" i="18"/>
  <c r="B151" i="18"/>
  <c r="B143" i="18"/>
  <c r="B135" i="18"/>
  <c r="B127" i="18"/>
  <c r="B119" i="18"/>
  <c r="B111" i="18"/>
  <c r="B103" i="18"/>
  <c r="B95" i="18"/>
  <c r="B87" i="18"/>
  <c r="B79" i="18"/>
  <c r="B108" i="18"/>
  <c r="B158" i="18"/>
  <c r="B150" i="18"/>
  <c r="B142" i="18"/>
  <c r="B134" i="18"/>
  <c r="B126" i="18"/>
  <c r="B118" i="18"/>
  <c r="B110" i="18"/>
  <c r="B102" i="18"/>
  <c r="B94" i="18"/>
  <c r="B86" i="18"/>
  <c r="B78" i="18"/>
  <c r="B148" i="18"/>
  <c r="B76" i="18"/>
  <c r="B157" i="18"/>
  <c r="B149" i="18"/>
  <c r="B141" i="18"/>
  <c r="B133" i="18"/>
  <c r="B125" i="18"/>
  <c r="B117" i="18"/>
  <c r="B109" i="18"/>
  <c r="B101" i="18"/>
  <c r="B93" i="18"/>
  <c r="B85" i="18"/>
  <c r="B77" i="18"/>
  <c r="B156" i="18"/>
  <c r="B92" i="18"/>
  <c r="C57" i="18"/>
  <c r="G3" i="18" s="1"/>
  <c r="C58" i="18"/>
  <c r="G5" i="18" l="1"/>
  <c r="D5" i="5" l="1"/>
  <c r="D6" i="5"/>
  <c r="D7" i="5"/>
  <c r="D8" i="5"/>
  <c r="D9" i="5"/>
  <c r="D10" i="5"/>
  <c r="D11" i="5"/>
  <c r="D12" i="5"/>
  <c r="E1" i="11" l="1"/>
  <c r="I1" i="1" l="1"/>
  <c r="F6" i="1" l="1"/>
  <c r="F7" i="1"/>
  <c r="O5" i="2" l="1"/>
  <c r="O7" i="2"/>
  <c r="O8" i="2"/>
  <c r="O9" i="2"/>
  <c r="O10" i="2"/>
  <c r="O11" i="2"/>
  <c r="O12" i="2"/>
  <c r="O21" i="2"/>
  <c r="O22" i="2"/>
  <c r="O23" i="2"/>
  <c r="O24" i="2"/>
  <c r="O25" i="2"/>
  <c r="O26" i="2"/>
  <c r="O27" i="2"/>
  <c r="O28" i="2"/>
  <c r="O37" i="2"/>
  <c r="O38" i="2"/>
  <c r="O39" i="2"/>
  <c r="O40" i="2"/>
  <c r="O41" i="2"/>
  <c r="O42" i="2"/>
  <c r="O43" i="2"/>
  <c r="O44" i="2"/>
  <c r="O53" i="2"/>
  <c r="O54" i="2"/>
  <c r="O55" i="2"/>
  <c r="O56" i="2"/>
  <c r="O57" i="2"/>
  <c r="O58" i="2"/>
  <c r="O59" i="2"/>
  <c r="O60" i="2"/>
  <c r="O77" i="2"/>
  <c r="O78" i="2"/>
  <c r="O79" i="2"/>
  <c r="O80" i="2"/>
  <c r="O81" i="2"/>
  <c r="O82" i="2"/>
  <c r="O83" i="2"/>
  <c r="O84" i="2"/>
  <c r="O93" i="2"/>
  <c r="O94" i="2"/>
  <c r="O95" i="2"/>
  <c r="O96" i="2"/>
  <c r="O97" i="2"/>
  <c r="O98" i="2"/>
  <c r="O99" i="2"/>
  <c r="O100" i="2"/>
  <c r="O109" i="2"/>
  <c r="O110" i="2"/>
  <c r="O111" i="2"/>
  <c r="O112" i="2"/>
  <c r="O113" i="2"/>
  <c r="O114" i="2"/>
  <c r="O115" i="2"/>
  <c r="O116" i="2"/>
  <c r="O125" i="2"/>
  <c r="O126" i="2"/>
  <c r="O127" i="2"/>
  <c r="O128" i="2"/>
  <c r="O129" i="2"/>
  <c r="O130" i="2"/>
  <c r="O131" i="2"/>
  <c r="O132" i="2"/>
  <c r="F3" i="11" l="1"/>
  <c r="I3" i="1"/>
  <c r="E8" i="11" l="1"/>
  <c r="G17" i="11"/>
  <c r="D8" i="11"/>
  <c r="D5" i="11"/>
  <c r="A17" i="11"/>
  <c r="E5" i="11"/>
  <c r="B5" i="5"/>
  <c r="B6" i="5"/>
  <c r="B7" i="5"/>
  <c r="B8" i="5"/>
  <c r="B9" i="5"/>
  <c r="B10" i="5"/>
  <c r="B11" i="5"/>
  <c r="B12" i="5"/>
  <c r="R13" i="2"/>
  <c r="R14" i="2"/>
  <c r="R15" i="2"/>
  <c r="R16" i="2"/>
  <c r="R17" i="2"/>
  <c r="R18" i="2"/>
  <c r="R19" i="2"/>
  <c r="R20" i="2"/>
  <c r="R29" i="2"/>
  <c r="R30" i="2"/>
  <c r="R31" i="2"/>
  <c r="R32" i="2"/>
  <c r="R33" i="2"/>
  <c r="R34" i="2"/>
  <c r="R35" i="2"/>
  <c r="R36" i="2"/>
  <c r="R45" i="2"/>
  <c r="R46" i="2"/>
  <c r="R47" i="2"/>
  <c r="R48" i="2"/>
  <c r="R49" i="2"/>
  <c r="R50" i="2"/>
  <c r="R51" i="2"/>
  <c r="R52" i="2"/>
  <c r="R61" i="2"/>
  <c r="R62" i="2"/>
  <c r="R63" i="2"/>
  <c r="R64" i="2"/>
  <c r="R65" i="2"/>
  <c r="R66" i="2"/>
  <c r="R67" i="2"/>
  <c r="R68" i="2"/>
  <c r="R69" i="2"/>
  <c r="R70" i="2"/>
  <c r="R71" i="2"/>
  <c r="R72" i="2"/>
  <c r="R73" i="2"/>
  <c r="R74" i="2"/>
  <c r="R75" i="2"/>
  <c r="R76" i="2"/>
  <c r="R85" i="2"/>
  <c r="R86" i="2"/>
  <c r="R87" i="2"/>
  <c r="R88" i="2"/>
  <c r="R89" i="2"/>
  <c r="R90" i="2"/>
  <c r="R91" i="2"/>
  <c r="R92" i="2"/>
  <c r="R101" i="2"/>
  <c r="R102" i="2"/>
  <c r="R103" i="2"/>
  <c r="R104" i="2"/>
  <c r="R105" i="2"/>
  <c r="R106" i="2"/>
  <c r="R107" i="2"/>
  <c r="R108" i="2"/>
  <c r="R117" i="2"/>
  <c r="R118" i="2"/>
  <c r="R119" i="2"/>
  <c r="R120" i="2"/>
  <c r="R121" i="2"/>
  <c r="R122" i="2"/>
  <c r="R123" i="2"/>
  <c r="R124" i="2"/>
  <c r="R133" i="2"/>
  <c r="R134" i="2"/>
  <c r="R135" i="2"/>
  <c r="R136" i="2"/>
  <c r="R137" i="2"/>
  <c r="R138" i="2"/>
  <c r="R139" i="2"/>
  <c r="R140" i="2"/>
  <c r="R141" i="2"/>
  <c r="R142" i="2"/>
  <c r="R143" i="2"/>
  <c r="R144" i="2"/>
  <c r="R145" i="2"/>
  <c r="R146" i="2"/>
  <c r="R147" i="2"/>
  <c r="R148" i="2"/>
  <c r="Q13" i="2"/>
  <c r="S13" i="2" s="1"/>
  <c r="Q14" i="2"/>
  <c r="S14" i="2" s="1"/>
  <c r="Q15" i="2"/>
  <c r="S15" i="2" s="1"/>
  <c r="Q16" i="2"/>
  <c r="S16" i="2" s="1"/>
  <c r="Q17" i="2"/>
  <c r="S17" i="2" s="1"/>
  <c r="Q18" i="2"/>
  <c r="S18" i="2" s="1"/>
  <c r="Q19" i="2"/>
  <c r="S19" i="2" s="1"/>
  <c r="Q20" i="2"/>
  <c r="S20" i="2" s="1"/>
  <c r="Q29" i="2"/>
  <c r="S29" i="2" s="1"/>
  <c r="Q30" i="2"/>
  <c r="S30" i="2" s="1"/>
  <c r="Q31" i="2"/>
  <c r="S31" i="2" s="1"/>
  <c r="Q32" i="2"/>
  <c r="S32" i="2" s="1"/>
  <c r="Q33" i="2"/>
  <c r="S33" i="2" s="1"/>
  <c r="Q34" i="2"/>
  <c r="S34" i="2" s="1"/>
  <c r="Q35" i="2"/>
  <c r="S35" i="2" s="1"/>
  <c r="Q36" i="2"/>
  <c r="S36" i="2" s="1"/>
  <c r="Q45" i="2"/>
  <c r="S45" i="2" s="1"/>
  <c r="Q46" i="2"/>
  <c r="S46" i="2" s="1"/>
  <c r="Q47" i="2"/>
  <c r="S47" i="2" s="1"/>
  <c r="Q48" i="2"/>
  <c r="S48" i="2" s="1"/>
  <c r="Q49" i="2"/>
  <c r="S49" i="2" s="1"/>
  <c r="Q50" i="2"/>
  <c r="S50" i="2" s="1"/>
  <c r="Q51" i="2"/>
  <c r="S51" i="2" s="1"/>
  <c r="Q52" i="2"/>
  <c r="S52" i="2" s="1"/>
  <c r="Q61" i="2"/>
  <c r="S61" i="2" s="1"/>
  <c r="Q62" i="2"/>
  <c r="S62" i="2" s="1"/>
  <c r="Q63" i="2"/>
  <c r="S63" i="2" s="1"/>
  <c r="Q64" i="2"/>
  <c r="S64" i="2" s="1"/>
  <c r="Q65" i="2"/>
  <c r="S65" i="2" s="1"/>
  <c r="Q66" i="2"/>
  <c r="S66" i="2" s="1"/>
  <c r="Q67" i="2"/>
  <c r="S67" i="2" s="1"/>
  <c r="Q68" i="2"/>
  <c r="S68" i="2" s="1"/>
  <c r="Q69" i="2"/>
  <c r="S69" i="2" s="1"/>
  <c r="Q70" i="2"/>
  <c r="S70" i="2" s="1"/>
  <c r="Q71" i="2"/>
  <c r="S71" i="2" s="1"/>
  <c r="Q72" i="2"/>
  <c r="S72" i="2" s="1"/>
  <c r="Q73" i="2"/>
  <c r="S73" i="2" s="1"/>
  <c r="Q74" i="2"/>
  <c r="S74" i="2" s="1"/>
  <c r="Q75" i="2"/>
  <c r="S75" i="2" s="1"/>
  <c r="Q76" i="2"/>
  <c r="S76" i="2" s="1"/>
  <c r="Q85" i="2"/>
  <c r="S85" i="2" s="1"/>
  <c r="Q86" i="2"/>
  <c r="S86" i="2" s="1"/>
  <c r="Q87" i="2"/>
  <c r="S87" i="2" s="1"/>
  <c r="Q88" i="2"/>
  <c r="S88" i="2" s="1"/>
  <c r="Q89" i="2"/>
  <c r="S89" i="2" s="1"/>
  <c r="Q90" i="2"/>
  <c r="S90" i="2" s="1"/>
  <c r="Q91" i="2"/>
  <c r="S91" i="2" s="1"/>
  <c r="Q92" i="2"/>
  <c r="S92" i="2" s="1"/>
  <c r="Q101" i="2"/>
  <c r="S101" i="2" s="1"/>
  <c r="Q102" i="2"/>
  <c r="S102" i="2" s="1"/>
  <c r="Q103" i="2"/>
  <c r="S103" i="2" s="1"/>
  <c r="Q104" i="2"/>
  <c r="S104" i="2" s="1"/>
  <c r="Q105" i="2"/>
  <c r="S105" i="2" s="1"/>
  <c r="Q106" i="2"/>
  <c r="S106" i="2" s="1"/>
  <c r="Q107" i="2"/>
  <c r="S107" i="2" s="1"/>
  <c r="Q108" i="2"/>
  <c r="S108" i="2" s="1"/>
  <c r="Q117" i="2"/>
  <c r="S117" i="2" s="1"/>
  <c r="Q118" i="2"/>
  <c r="S118" i="2" s="1"/>
  <c r="Q119" i="2"/>
  <c r="S119" i="2" s="1"/>
  <c r="Q120" i="2"/>
  <c r="S120" i="2" s="1"/>
  <c r="Q121" i="2"/>
  <c r="S121" i="2" s="1"/>
  <c r="Q122" i="2"/>
  <c r="S122" i="2" s="1"/>
  <c r="Q123" i="2"/>
  <c r="S123" i="2" s="1"/>
  <c r="Q124" i="2"/>
  <c r="S124" i="2" s="1"/>
  <c r="Q133" i="2"/>
  <c r="S133" i="2" s="1"/>
  <c r="Q134" i="2"/>
  <c r="S134" i="2" s="1"/>
  <c r="Q135" i="2"/>
  <c r="S135" i="2" s="1"/>
  <c r="Q136" i="2"/>
  <c r="S136" i="2" s="1"/>
  <c r="Q137" i="2"/>
  <c r="S137" i="2" s="1"/>
  <c r="Q138" i="2"/>
  <c r="S138" i="2" s="1"/>
  <c r="Q139" i="2"/>
  <c r="S139" i="2" s="1"/>
  <c r="Q140" i="2"/>
  <c r="S140" i="2" s="1"/>
  <c r="Q141" i="2"/>
  <c r="S141" i="2" s="1"/>
  <c r="Q142" i="2"/>
  <c r="S142" i="2" s="1"/>
  <c r="Q143" i="2"/>
  <c r="S143" i="2" s="1"/>
  <c r="Q144" i="2"/>
  <c r="S144" i="2" s="1"/>
  <c r="Q145" i="2"/>
  <c r="S145" i="2" s="1"/>
  <c r="Q146" i="2"/>
  <c r="S146" i="2" s="1"/>
  <c r="Q147" i="2"/>
  <c r="S147" i="2" s="1"/>
  <c r="Q148" i="2"/>
  <c r="S148" i="2" s="1"/>
  <c r="B17" i="11" l="1" a="1"/>
  <c r="B17" i="11" s="1"/>
  <c r="G18" i="11"/>
  <c r="H17" i="11" a="1"/>
  <c r="H17" i="11" s="1"/>
  <c r="P5" i="2"/>
  <c r="P6" i="2"/>
  <c r="P7" i="2"/>
  <c r="P8" i="2"/>
  <c r="P9" i="2"/>
  <c r="P10" i="2"/>
  <c r="P11" i="2"/>
  <c r="P12" i="2"/>
  <c r="P21" i="2"/>
  <c r="P22" i="2"/>
  <c r="P23" i="2"/>
  <c r="P24" i="2"/>
  <c r="P25" i="2"/>
  <c r="P26" i="2"/>
  <c r="P27" i="2"/>
  <c r="P28" i="2"/>
  <c r="P37" i="2"/>
  <c r="P38" i="2"/>
  <c r="P39" i="2"/>
  <c r="P40" i="2"/>
  <c r="P41" i="2"/>
  <c r="P42" i="2"/>
  <c r="P43" i="2"/>
  <c r="P44" i="2"/>
  <c r="P53" i="2"/>
  <c r="P54" i="2"/>
  <c r="P55" i="2"/>
  <c r="P56" i="2"/>
  <c r="P57" i="2"/>
  <c r="P58" i="2"/>
  <c r="P59" i="2"/>
  <c r="P60" i="2"/>
  <c r="P77" i="2"/>
  <c r="P78" i="2"/>
  <c r="P79" i="2"/>
  <c r="P80" i="2"/>
  <c r="P81" i="2"/>
  <c r="P82" i="2"/>
  <c r="P83" i="2"/>
  <c r="P84" i="2"/>
  <c r="P93" i="2"/>
  <c r="P94" i="2"/>
  <c r="P95" i="2"/>
  <c r="P96" i="2"/>
  <c r="P97" i="2"/>
  <c r="P98" i="2"/>
  <c r="P99" i="2"/>
  <c r="P100" i="2"/>
  <c r="P109" i="2"/>
  <c r="P110" i="2"/>
  <c r="P111" i="2"/>
  <c r="P112" i="2"/>
  <c r="P113" i="2"/>
  <c r="P114" i="2"/>
  <c r="P115" i="2"/>
  <c r="P116" i="2"/>
  <c r="P125" i="2"/>
  <c r="P126" i="2"/>
  <c r="P127" i="2"/>
  <c r="P128" i="2"/>
  <c r="P129" i="2"/>
  <c r="P130" i="2"/>
  <c r="P131" i="2"/>
  <c r="P132" i="2"/>
  <c r="P13" i="2"/>
  <c r="P14" i="2"/>
  <c r="P15" i="2"/>
  <c r="P16" i="2"/>
  <c r="P17" i="2"/>
  <c r="P18" i="2"/>
  <c r="P19" i="2"/>
  <c r="P20" i="2"/>
  <c r="P29" i="2"/>
  <c r="P30" i="2"/>
  <c r="P31" i="2"/>
  <c r="P32" i="2"/>
  <c r="P33" i="2"/>
  <c r="P34" i="2"/>
  <c r="P35" i="2"/>
  <c r="P36" i="2"/>
  <c r="P45" i="2"/>
  <c r="P46" i="2"/>
  <c r="P47" i="2"/>
  <c r="P48" i="2"/>
  <c r="P49" i="2"/>
  <c r="P50" i="2"/>
  <c r="P51" i="2"/>
  <c r="P52" i="2"/>
  <c r="P61" i="2"/>
  <c r="P62" i="2"/>
  <c r="P63" i="2"/>
  <c r="P64" i="2"/>
  <c r="P65" i="2"/>
  <c r="P66" i="2"/>
  <c r="P67" i="2"/>
  <c r="P68" i="2"/>
  <c r="P69" i="2"/>
  <c r="P70" i="2"/>
  <c r="P71" i="2"/>
  <c r="P72" i="2"/>
  <c r="P73" i="2"/>
  <c r="P74" i="2"/>
  <c r="P75" i="2"/>
  <c r="P76" i="2"/>
  <c r="P85" i="2"/>
  <c r="P86" i="2"/>
  <c r="P87" i="2"/>
  <c r="P88" i="2"/>
  <c r="P89" i="2"/>
  <c r="P90" i="2"/>
  <c r="P91" i="2"/>
  <c r="P92" i="2"/>
  <c r="P101" i="2"/>
  <c r="P102" i="2"/>
  <c r="P103" i="2"/>
  <c r="P104" i="2"/>
  <c r="P105" i="2"/>
  <c r="P106" i="2"/>
  <c r="P107" i="2"/>
  <c r="P108" i="2"/>
  <c r="P117" i="2"/>
  <c r="P118" i="2"/>
  <c r="P119" i="2"/>
  <c r="P120" i="2"/>
  <c r="P121" i="2"/>
  <c r="P122" i="2"/>
  <c r="P123" i="2"/>
  <c r="P124" i="2"/>
  <c r="P133" i="2"/>
  <c r="P134" i="2"/>
  <c r="P135" i="2"/>
  <c r="P136" i="2"/>
  <c r="P137" i="2"/>
  <c r="P138" i="2"/>
  <c r="P139" i="2"/>
  <c r="P140" i="2"/>
  <c r="P141" i="2"/>
  <c r="P142" i="2"/>
  <c r="P143" i="2"/>
  <c r="P144" i="2"/>
  <c r="P145" i="2"/>
  <c r="P146" i="2"/>
  <c r="P147" i="2"/>
  <c r="P148" i="2"/>
  <c r="I5" i="2"/>
  <c r="I6" i="2"/>
  <c r="I7" i="2"/>
  <c r="I8" i="2"/>
  <c r="I9" i="2"/>
  <c r="I10" i="2"/>
  <c r="I11" i="2"/>
  <c r="I12" i="2"/>
  <c r="I21" i="2"/>
  <c r="I22" i="2"/>
  <c r="I23" i="2"/>
  <c r="I24" i="2"/>
  <c r="I25" i="2"/>
  <c r="I26" i="2"/>
  <c r="I27" i="2"/>
  <c r="I28" i="2"/>
  <c r="I37" i="2"/>
  <c r="I38" i="2"/>
  <c r="I39" i="2"/>
  <c r="I40" i="2"/>
  <c r="I41" i="2"/>
  <c r="I42" i="2"/>
  <c r="I43" i="2"/>
  <c r="I44" i="2"/>
  <c r="I53" i="2"/>
  <c r="I54" i="2"/>
  <c r="I55" i="2"/>
  <c r="I56" i="2"/>
  <c r="I57" i="2"/>
  <c r="I58" i="2"/>
  <c r="I59" i="2"/>
  <c r="I60" i="2"/>
  <c r="I77" i="2"/>
  <c r="I78" i="2"/>
  <c r="I79" i="2"/>
  <c r="I80" i="2"/>
  <c r="I81" i="2"/>
  <c r="I82" i="2"/>
  <c r="I83" i="2"/>
  <c r="I84" i="2"/>
  <c r="I93" i="2"/>
  <c r="I94" i="2"/>
  <c r="I95" i="2"/>
  <c r="I96" i="2"/>
  <c r="I97" i="2"/>
  <c r="I98" i="2"/>
  <c r="I99" i="2"/>
  <c r="I100" i="2"/>
  <c r="I109" i="2"/>
  <c r="I110" i="2"/>
  <c r="I111" i="2"/>
  <c r="I112" i="2"/>
  <c r="I113" i="2"/>
  <c r="I114" i="2"/>
  <c r="I115" i="2"/>
  <c r="I116" i="2"/>
  <c r="I125" i="2"/>
  <c r="I126" i="2"/>
  <c r="I127" i="2"/>
  <c r="I128" i="2"/>
  <c r="I129" i="2"/>
  <c r="I130" i="2"/>
  <c r="I131" i="2"/>
  <c r="I132" i="2"/>
  <c r="I13" i="2"/>
  <c r="I14" i="2"/>
  <c r="I15" i="2"/>
  <c r="I16" i="2"/>
  <c r="I17" i="2"/>
  <c r="I18" i="2"/>
  <c r="I19" i="2"/>
  <c r="I20" i="2"/>
  <c r="I29" i="2"/>
  <c r="I30" i="2"/>
  <c r="I31" i="2"/>
  <c r="I32" i="2"/>
  <c r="I33" i="2"/>
  <c r="I34" i="2"/>
  <c r="I35" i="2"/>
  <c r="I36" i="2"/>
  <c r="I45" i="2"/>
  <c r="I46" i="2"/>
  <c r="I47" i="2"/>
  <c r="I48" i="2"/>
  <c r="I49" i="2"/>
  <c r="I50" i="2"/>
  <c r="I51" i="2"/>
  <c r="I52" i="2"/>
  <c r="I61" i="2"/>
  <c r="I62" i="2"/>
  <c r="I63" i="2"/>
  <c r="I64" i="2"/>
  <c r="I65" i="2"/>
  <c r="I66" i="2"/>
  <c r="I67" i="2"/>
  <c r="I68" i="2"/>
  <c r="I69" i="2"/>
  <c r="I70" i="2"/>
  <c r="I71" i="2"/>
  <c r="I72" i="2"/>
  <c r="I73" i="2"/>
  <c r="I74" i="2"/>
  <c r="I75" i="2"/>
  <c r="I76" i="2"/>
  <c r="I85" i="2"/>
  <c r="I86" i="2"/>
  <c r="I87" i="2"/>
  <c r="I88" i="2"/>
  <c r="I89" i="2"/>
  <c r="I90" i="2"/>
  <c r="I91" i="2"/>
  <c r="I92" i="2"/>
  <c r="I101" i="2"/>
  <c r="I102" i="2"/>
  <c r="I103" i="2"/>
  <c r="I104" i="2"/>
  <c r="I105" i="2"/>
  <c r="I106" i="2"/>
  <c r="I107" i="2"/>
  <c r="I108" i="2"/>
  <c r="I117" i="2"/>
  <c r="I118" i="2"/>
  <c r="I119" i="2"/>
  <c r="I120" i="2"/>
  <c r="I121" i="2"/>
  <c r="I122" i="2"/>
  <c r="I123" i="2"/>
  <c r="I124" i="2"/>
  <c r="I133" i="2"/>
  <c r="I134" i="2"/>
  <c r="I135" i="2"/>
  <c r="I136" i="2"/>
  <c r="I137" i="2"/>
  <c r="I138" i="2"/>
  <c r="I139" i="2"/>
  <c r="I140" i="2"/>
  <c r="I141" i="2"/>
  <c r="I142" i="2"/>
  <c r="I143" i="2"/>
  <c r="I144" i="2"/>
  <c r="I145" i="2"/>
  <c r="I146" i="2"/>
  <c r="I147" i="2"/>
  <c r="I148" i="2"/>
  <c r="C17" i="11" l="1" a="1"/>
  <c r="C17" i="11" s="1"/>
  <c r="D178" i="18" a="1"/>
  <c r="D178" i="18" s="1"/>
  <c r="G178" i="18" a="1"/>
  <c r="G178" i="18" s="1"/>
  <c r="G19" i="11"/>
  <c r="H18" i="11" a="1"/>
  <c r="H18" i="11" s="1"/>
  <c r="H11" i="1"/>
  <c r="H12" i="1"/>
  <c r="H9" i="1"/>
  <c r="H10" i="1"/>
  <c r="H8" i="1"/>
  <c r="H13" i="1"/>
  <c r="G169" i="18" a="1"/>
  <c r="G169" i="18" s="1"/>
  <c r="D173" i="18" a="1"/>
  <c r="D173" i="18" s="1"/>
  <c r="D168" i="18" a="1"/>
  <c r="D168" i="18" s="1"/>
  <c r="G172" i="18" a="1"/>
  <c r="G172" i="18" s="1"/>
  <c r="G173" i="18" a="1"/>
  <c r="G173" i="18" s="1"/>
  <c r="D177" i="18" a="1"/>
  <c r="D177" i="18" s="1"/>
  <c r="G174" i="18" a="1"/>
  <c r="G174" i="18" s="1"/>
  <c r="D170" i="18" a="1"/>
  <c r="D170" i="18" s="1"/>
  <c r="G175" i="18" a="1"/>
  <c r="G175" i="18" s="1"/>
  <c r="G168" i="18" a="1"/>
  <c r="G168" i="18" s="1"/>
  <c r="G171" i="18" a="1"/>
  <c r="G171" i="18" s="1"/>
  <c r="G176" i="18" a="1"/>
  <c r="G176" i="18" s="1"/>
  <c r="G177" i="18" a="1"/>
  <c r="G177" i="18" s="1"/>
  <c r="G170" i="18" a="1"/>
  <c r="G170" i="18" s="1"/>
  <c r="D174" i="18" a="1"/>
  <c r="D174" i="18" s="1"/>
  <c r="D167" i="18" a="1"/>
  <c r="D167" i="18" s="1"/>
  <c r="D176" i="18" a="1"/>
  <c r="D176" i="18" s="1"/>
  <c r="D169" i="18" a="1"/>
  <c r="D169" i="18" s="1"/>
  <c r="G167" i="18" a="1"/>
  <c r="G167" i="18" s="1"/>
  <c r="D175" i="18" a="1"/>
  <c r="D175" i="18" s="1"/>
  <c r="D171" i="18" a="1"/>
  <c r="D171" i="18" s="1"/>
  <c r="D172" i="18" a="1"/>
  <c r="D172" i="18" s="1"/>
  <c r="D166" i="18" a="1"/>
  <c r="D166" i="18" s="1"/>
  <c r="G166" i="18" a="1"/>
  <c r="G166" i="18" s="1"/>
  <c r="G183" i="18" a="1"/>
  <c r="G183" i="18" s="1"/>
  <c r="D185" i="18" a="1"/>
  <c r="D185" i="18" s="1"/>
  <c r="D187" i="18" a="1"/>
  <c r="D187" i="18" s="1"/>
  <c r="E187" i="18" s="1"/>
  <c r="G182" i="18" a="1"/>
  <c r="G182" i="18" s="1"/>
  <c r="D190" i="18" a="1"/>
  <c r="D190" i="18" s="1"/>
  <c r="D183" i="18" a="1"/>
  <c r="D183" i="18" s="1"/>
  <c r="E183" i="18" s="1"/>
  <c r="D188" i="18" a="1"/>
  <c r="D188" i="18" s="1"/>
  <c r="E188" i="18" s="1"/>
  <c r="D189" i="18" a="1"/>
  <c r="D189" i="18" s="1"/>
  <c r="I182" i="18" a="1"/>
  <c r="I182" i="18" s="1"/>
  <c r="I183" i="18" a="1"/>
  <c r="I183" i="18" s="1"/>
  <c r="F182" i="18" a="1"/>
  <c r="F182" i="18" s="1"/>
  <c r="D191" i="18" a="1"/>
  <c r="D191" i="18" s="1"/>
  <c r="I184" i="18" a="1"/>
  <c r="I184" i="18" s="1"/>
  <c r="G189" i="18" a="1"/>
  <c r="G189" i="18" s="1"/>
  <c r="D182" i="18" a="1"/>
  <c r="D182" i="18" s="1"/>
  <c r="E182" i="18" s="1"/>
  <c r="D186" i="18" a="1"/>
  <c r="D186" i="18" s="1"/>
  <c r="G185" i="18" a="1"/>
  <c r="G185" i="18" s="1"/>
  <c r="D184" i="18" a="1"/>
  <c r="D184" i="18" s="1"/>
  <c r="E184" i="18" s="1"/>
  <c r="G191" i="18" a="1"/>
  <c r="G191" i="18" s="1"/>
  <c r="G187" i="18" a="1"/>
  <c r="G187" i="18" s="1"/>
  <c r="F187" i="18" a="1"/>
  <c r="F187" i="18" s="1"/>
  <c r="G190" i="18" a="1"/>
  <c r="G190" i="18" s="1"/>
  <c r="G186" i="18" a="1"/>
  <c r="G186" i="18" s="1"/>
  <c r="G188" i="18" a="1"/>
  <c r="G188" i="18" s="1"/>
  <c r="G184" i="18" a="1"/>
  <c r="G184" i="18" s="1"/>
  <c r="D192" i="18" a="1"/>
  <c r="D192" i="18" s="1"/>
  <c r="G192" i="18" a="1"/>
  <c r="G192" i="18" s="1"/>
  <c r="F183" i="18" a="1"/>
  <c r="F183" i="18" s="1"/>
  <c r="F188" i="18" a="1"/>
  <c r="F188" i="18" s="1"/>
  <c r="F184" i="18" a="1"/>
  <c r="F184" i="18" s="1"/>
  <c r="F181" i="18" a="1"/>
  <c r="F181" i="18" s="1"/>
  <c r="D181" i="18" a="1"/>
  <c r="D181" i="18" s="1"/>
  <c r="E181" i="18" s="1"/>
  <c r="I181" i="18" a="1"/>
  <c r="I181" i="18" s="1"/>
  <c r="G181" i="18" a="1"/>
  <c r="G181" i="18" s="1"/>
  <c r="C70" i="18" a="1"/>
  <c r="C70" i="18" s="1"/>
  <c r="I12" i="18" s="1"/>
  <c r="D62" i="18"/>
  <c r="E62" i="18" s="1"/>
  <c r="C60" i="18" a="1"/>
  <c r="C60" i="18" s="1"/>
  <c r="C55" i="18"/>
  <c r="K148" i="2"/>
  <c r="G5" i="5"/>
  <c r="G6" i="5"/>
  <c r="G7" i="5"/>
  <c r="G8" i="5"/>
  <c r="G9" i="5"/>
  <c r="G10" i="5"/>
  <c r="G11" i="5"/>
  <c r="G12" i="5"/>
  <c r="H7" i="1"/>
  <c r="H6" i="1"/>
  <c r="K147" i="2"/>
  <c r="K146" i="2"/>
  <c r="K145" i="2"/>
  <c r="K144" i="2"/>
  <c r="K143" i="2"/>
  <c r="K142" i="2"/>
  <c r="K141" i="2"/>
  <c r="K140" i="2"/>
  <c r="K139" i="2"/>
  <c r="K138" i="2"/>
  <c r="K137" i="2"/>
  <c r="K136" i="2"/>
  <c r="K135" i="2"/>
  <c r="K134" i="2"/>
  <c r="K133" i="2"/>
  <c r="K124" i="2"/>
  <c r="K123" i="2"/>
  <c r="K122" i="2"/>
  <c r="K121" i="2"/>
  <c r="K120" i="2"/>
  <c r="K119" i="2"/>
  <c r="K118" i="2"/>
  <c r="K117" i="2"/>
  <c r="K108" i="2"/>
  <c r="K107" i="2"/>
  <c r="K106" i="2"/>
  <c r="K105" i="2"/>
  <c r="K104" i="2"/>
  <c r="K103" i="2"/>
  <c r="K102" i="2"/>
  <c r="K101" i="2"/>
  <c r="K92" i="2"/>
  <c r="K91" i="2"/>
  <c r="K90" i="2"/>
  <c r="K89" i="2"/>
  <c r="K88" i="2"/>
  <c r="K87" i="2"/>
  <c r="K86" i="2"/>
  <c r="K85" i="2"/>
  <c r="K76" i="2"/>
  <c r="K75" i="2"/>
  <c r="K74" i="2"/>
  <c r="K73" i="2"/>
  <c r="K72" i="2"/>
  <c r="K71" i="2"/>
  <c r="K70" i="2"/>
  <c r="K69" i="2"/>
  <c r="K68" i="2"/>
  <c r="K67" i="2"/>
  <c r="K66" i="2"/>
  <c r="K65" i="2"/>
  <c r="K64" i="2"/>
  <c r="K63" i="2"/>
  <c r="K62" i="2"/>
  <c r="K61" i="2"/>
  <c r="K52" i="2"/>
  <c r="K51" i="2"/>
  <c r="K50" i="2"/>
  <c r="K49" i="2"/>
  <c r="K48" i="2"/>
  <c r="K47" i="2"/>
  <c r="K46" i="2"/>
  <c r="K45" i="2"/>
  <c r="K36" i="2"/>
  <c r="K35" i="2"/>
  <c r="K34" i="2"/>
  <c r="K33" i="2"/>
  <c r="K32" i="2"/>
  <c r="K31" i="2"/>
  <c r="K30" i="2"/>
  <c r="K29" i="2"/>
  <c r="K20" i="2"/>
  <c r="M20" i="2" s="1" a="1"/>
  <c r="M20" i="2" s="1"/>
  <c r="K19" i="2"/>
  <c r="M19" i="2" s="1" a="1"/>
  <c r="M19" i="2" s="1"/>
  <c r="K18" i="2"/>
  <c r="M18" i="2" s="1" a="1"/>
  <c r="M18" i="2" s="1"/>
  <c r="K17" i="2"/>
  <c r="M17" i="2" s="1" a="1"/>
  <c r="M17" i="2" s="1"/>
  <c r="K16" i="2"/>
  <c r="M16" i="2" s="1" a="1"/>
  <c r="M16" i="2" s="1"/>
  <c r="K15" i="2"/>
  <c r="M15" i="2" s="1" a="1"/>
  <c r="M15" i="2" s="1"/>
  <c r="K14" i="2"/>
  <c r="K13" i="2"/>
  <c r="M13" i="2" s="1" a="1"/>
  <c r="M13" i="2" s="1"/>
  <c r="K132" i="2"/>
  <c r="K131" i="2"/>
  <c r="K130" i="2"/>
  <c r="K129" i="2"/>
  <c r="K128" i="2"/>
  <c r="K127" i="2"/>
  <c r="K126" i="2"/>
  <c r="K125" i="2"/>
  <c r="K116" i="2"/>
  <c r="K115" i="2"/>
  <c r="K114" i="2"/>
  <c r="K113" i="2"/>
  <c r="K112" i="2"/>
  <c r="K111" i="2"/>
  <c r="K110" i="2"/>
  <c r="K109" i="2"/>
  <c r="K100" i="2"/>
  <c r="K99" i="2"/>
  <c r="K98" i="2"/>
  <c r="K97" i="2"/>
  <c r="K96" i="2"/>
  <c r="K95" i="2"/>
  <c r="K94" i="2"/>
  <c r="K93" i="2"/>
  <c r="K84" i="2"/>
  <c r="K83" i="2"/>
  <c r="K82" i="2"/>
  <c r="K81" i="2"/>
  <c r="K80" i="2"/>
  <c r="K79" i="2"/>
  <c r="K78" i="2"/>
  <c r="M78" i="2" s="1" a="1"/>
  <c r="M78" i="2" s="1"/>
  <c r="K77" i="2"/>
  <c r="K60" i="2"/>
  <c r="K59" i="2"/>
  <c r="K58" i="2"/>
  <c r="K57" i="2"/>
  <c r="K56" i="2"/>
  <c r="K55" i="2"/>
  <c r="K54" i="2"/>
  <c r="K53" i="2"/>
  <c r="K44" i="2"/>
  <c r="K43" i="2"/>
  <c r="K42" i="2"/>
  <c r="K41" i="2"/>
  <c r="K40" i="2"/>
  <c r="K39" i="2"/>
  <c r="K38" i="2"/>
  <c r="K37" i="2"/>
  <c r="K28" i="2"/>
  <c r="K27" i="2"/>
  <c r="K26" i="2"/>
  <c r="K25" i="2"/>
  <c r="K24" i="2"/>
  <c r="K23" i="2"/>
  <c r="K22" i="2"/>
  <c r="K21" i="2"/>
  <c r="K12" i="2"/>
  <c r="M12" i="2" s="1" a="1"/>
  <c r="M12" i="2" s="1"/>
  <c r="K11" i="2"/>
  <c r="M11" i="2" s="1" a="1"/>
  <c r="M11" i="2" s="1"/>
  <c r="K10" i="2"/>
  <c r="M10" i="2" s="1" a="1"/>
  <c r="M10" i="2" s="1"/>
  <c r="K9" i="2"/>
  <c r="M9" i="2" s="1" a="1"/>
  <c r="M9" i="2" s="1"/>
  <c r="K8" i="2"/>
  <c r="M8" i="2" s="1" a="1"/>
  <c r="M8" i="2" s="1"/>
  <c r="K7" i="2"/>
  <c r="M7" i="2" s="1" a="1"/>
  <c r="M7" i="2" s="1"/>
  <c r="K6" i="2"/>
  <c r="M6" i="2" s="1" a="1"/>
  <c r="M6" i="2" s="1"/>
  <c r="K5" i="2"/>
  <c r="M5" i="2" s="1" a="1"/>
  <c r="M5" i="2" s="1"/>
  <c r="F2" i="11"/>
  <c r="C8" i="11" s="1"/>
  <c r="I2" i="1"/>
  <c r="G20" i="11" l="1"/>
  <c r="I20" i="11" s="1" a="1"/>
  <c r="I20" i="11" s="1"/>
  <c r="H19" i="11" a="1"/>
  <c r="H19" i="11" s="1"/>
  <c r="L148" i="2"/>
  <c r="H148" i="2" s="1"/>
  <c r="N8" i="1"/>
  <c r="L10" i="1"/>
  <c r="O11" i="1"/>
  <c r="O8" i="1"/>
  <c r="M10" i="1"/>
  <c r="P11" i="1"/>
  <c r="K12" i="1"/>
  <c r="N13" i="1"/>
  <c r="M13" i="1"/>
  <c r="P8" i="1"/>
  <c r="K9" i="1"/>
  <c r="N10" i="1"/>
  <c r="L12" i="1"/>
  <c r="O13" i="1"/>
  <c r="L9" i="1"/>
  <c r="O10" i="1"/>
  <c r="M12" i="1"/>
  <c r="P13" i="1"/>
  <c r="N12" i="1"/>
  <c r="M9" i="1"/>
  <c r="P10" i="1"/>
  <c r="K11" i="1"/>
  <c r="N11" i="1"/>
  <c r="L13" i="1"/>
  <c r="K8" i="1"/>
  <c r="N9" i="1"/>
  <c r="L11" i="1"/>
  <c r="O12" i="1"/>
  <c r="L8" i="1"/>
  <c r="O9" i="1"/>
  <c r="M11" i="1"/>
  <c r="P12" i="1"/>
  <c r="K13" i="1"/>
  <c r="M8" i="1"/>
  <c r="P9" i="1"/>
  <c r="K10" i="1"/>
  <c r="D66" i="18" a="1"/>
  <c r="D66" i="18" s="1"/>
  <c r="S2" i="1"/>
  <c r="C182" i="18"/>
  <c r="C184" i="18"/>
  <c r="C181" i="18"/>
  <c r="C183" i="18"/>
  <c r="H182" i="18"/>
  <c r="H184" i="18"/>
  <c r="H183" i="18"/>
  <c r="H181" i="18"/>
  <c r="C67" i="18" a="1"/>
  <c r="C67" i="18" s="1"/>
  <c r="I9" i="18" s="1"/>
  <c r="C69" i="18" a="1"/>
  <c r="C69" i="18" s="1"/>
  <c r="I11" i="18" s="1"/>
  <c r="C68" i="18" a="1"/>
  <c r="C68" i="18" s="1"/>
  <c r="I10" i="18" s="1"/>
  <c r="C66" i="18" a="1"/>
  <c r="C66" i="18" s="1"/>
  <c r="I8" i="18" s="1"/>
  <c r="P6" i="1"/>
  <c r="N6" i="1"/>
  <c r="N7" i="1"/>
  <c r="M6" i="1"/>
  <c r="M7" i="1"/>
  <c r="L6" i="1"/>
  <c r="L7" i="1"/>
  <c r="K6" i="1"/>
  <c r="K7" i="1"/>
  <c r="L5" i="2"/>
  <c r="H5" i="2" s="1"/>
  <c r="L6" i="2"/>
  <c r="H6" i="2" s="1"/>
  <c r="L7" i="2"/>
  <c r="H7" i="2" s="1"/>
  <c r="L8" i="2"/>
  <c r="H8" i="2" s="1"/>
  <c r="L9" i="2"/>
  <c r="H9" i="2" s="1"/>
  <c r="L10" i="2"/>
  <c r="H10" i="2" s="1"/>
  <c r="L11" i="2"/>
  <c r="H11" i="2" s="1"/>
  <c r="L12" i="2"/>
  <c r="H12" i="2" s="1"/>
  <c r="L21" i="2"/>
  <c r="H21" i="2" s="1"/>
  <c r="L22" i="2"/>
  <c r="H22" i="2" s="1"/>
  <c r="L23" i="2"/>
  <c r="H23" i="2" s="1"/>
  <c r="L24" i="2"/>
  <c r="H24" i="2" s="1"/>
  <c r="L25" i="2"/>
  <c r="H25" i="2" s="1"/>
  <c r="L26" i="2"/>
  <c r="H26" i="2" s="1"/>
  <c r="L27" i="2"/>
  <c r="H27" i="2" s="1"/>
  <c r="L28" i="2"/>
  <c r="H28" i="2" s="1"/>
  <c r="L37" i="2"/>
  <c r="H37" i="2" s="1"/>
  <c r="L38" i="2"/>
  <c r="H38" i="2" s="1"/>
  <c r="L39" i="2"/>
  <c r="H39" i="2" s="1"/>
  <c r="L40" i="2"/>
  <c r="H40" i="2" s="1"/>
  <c r="L41" i="2"/>
  <c r="H41" i="2" s="1"/>
  <c r="L42" i="2"/>
  <c r="H42" i="2" s="1"/>
  <c r="L43" i="2"/>
  <c r="H43" i="2" s="1"/>
  <c r="L44" i="2"/>
  <c r="H44" i="2" s="1"/>
  <c r="L53" i="2"/>
  <c r="H53" i="2" s="1"/>
  <c r="L54" i="2"/>
  <c r="H54" i="2" s="1"/>
  <c r="L55" i="2"/>
  <c r="H55" i="2" s="1"/>
  <c r="L56" i="2"/>
  <c r="H56" i="2" s="1"/>
  <c r="L57" i="2"/>
  <c r="H57" i="2" s="1"/>
  <c r="L58" i="2"/>
  <c r="H58" i="2" s="1"/>
  <c r="L59" i="2"/>
  <c r="H59" i="2" s="1"/>
  <c r="L60" i="2"/>
  <c r="H60" i="2" s="1"/>
  <c r="L77" i="2"/>
  <c r="H77" i="2" s="1"/>
  <c r="L78" i="2"/>
  <c r="H78" i="2" s="1"/>
  <c r="R78" i="2"/>
  <c r="L79" i="2"/>
  <c r="H79" i="2" s="1"/>
  <c r="L80" i="2"/>
  <c r="H80" i="2" s="1"/>
  <c r="L81" i="2"/>
  <c r="H81" i="2" s="1"/>
  <c r="L82" i="2"/>
  <c r="H82" i="2" s="1"/>
  <c r="L83" i="2"/>
  <c r="H83" i="2" s="1"/>
  <c r="L84" i="2"/>
  <c r="H84" i="2" s="1"/>
  <c r="L93" i="2"/>
  <c r="H93" i="2" s="1"/>
  <c r="L94" i="2"/>
  <c r="H94" i="2" s="1"/>
  <c r="L95" i="2"/>
  <c r="H95" i="2" s="1"/>
  <c r="L96" i="2"/>
  <c r="H96" i="2" s="1"/>
  <c r="L97" i="2"/>
  <c r="H97" i="2" s="1"/>
  <c r="L98" i="2"/>
  <c r="H98" i="2" s="1"/>
  <c r="L99" i="2"/>
  <c r="H99" i="2" s="1"/>
  <c r="L100" i="2"/>
  <c r="H100" i="2" s="1"/>
  <c r="L109" i="2"/>
  <c r="H109" i="2" s="1"/>
  <c r="L110" i="2"/>
  <c r="H110" i="2" s="1"/>
  <c r="L111" i="2"/>
  <c r="H111" i="2" s="1"/>
  <c r="L112" i="2"/>
  <c r="H112" i="2" s="1"/>
  <c r="L113" i="2"/>
  <c r="H113" i="2" s="1"/>
  <c r="L114" i="2"/>
  <c r="H114" i="2" s="1"/>
  <c r="L115" i="2"/>
  <c r="H115" i="2" s="1"/>
  <c r="L116" i="2"/>
  <c r="H116" i="2" s="1"/>
  <c r="L125" i="2"/>
  <c r="H125" i="2" s="1"/>
  <c r="L126" i="2"/>
  <c r="H126" i="2" s="1"/>
  <c r="L127" i="2"/>
  <c r="H127" i="2" s="1"/>
  <c r="L128" i="2"/>
  <c r="H128" i="2" s="1"/>
  <c r="L129" i="2"/>
  <c r="H129" i="2" s="1"/>
  <c r="L130" i="2"/>
  <c r="H130" i="2" s="1"/>
  <c r="L131" i="2"/>
  <c r="H131" i="2" s="1"/>
  <c r="L132" i="2"/>
  <c r="H132" i="2" s="1"/>
  <c r="L13" i="2"/>
  <c r="H13" i="2" s="1"/>
  <c r="L14" i="2"/>
  <c r="H14" i="2" s="1"/>
  <c r="L15" i="2"/>
  <c r="H15" i="2" s="1"/>
  <c r="L16" i="2"/>
  <c r="H16" i="2" s="1"/>
  <c r="L17" i="2"/>
  <c r="H17" i="2" s="1"/>
  <c r="L18" i="2"/>
  <c r="H18" i="2" s="1"/>
  <c r="L19" i="2"/>
  <c r="H19" i="2" s="1"/>
  <c r="L20" i="2"/>
  <c r="H20" i="2" s="1"/>
  <c r="L29" i="2"/>
  <c r="H29" i="2" s="1"/>
  <c r="L30" i="2"/>
  <c r="H30" i="2" s="1"/>
  <c r="L31" i="2"/>
  <c r="H31" i="2" s="1"/>
  <c r="L32" i="2"/>
  <c r="H32" i="2" s="1"/>
  <c r="L33" i="2"/>
  <c r="H33" i="2" s="1"/>
  <c r="L34" i="2"/>
  <c r="H34" i="2" s="1"/>
  <c r="L35" i="2"/>
  <c r="H35" i="2" s="1"/>
  <c r="L36" i="2"/>
  <c r="H36" i="2" s="1"/>
  <c r="L45" i="2"/>
  <c r="H45" i="2" s="1"/>
  <c r="L46" i="2"/>
  <c r="H46" i="2" s="1"/>
  <c r="L47" i="2"/>
  <c r="H47" i="2" s="1"/>
  <c r="L48" i="2"/>
  <c r="H48" i="2" s="1"/>
  <c r="L49" i="2"/>
  <c r="H49" i="2" s="1"/>
  <c r="L50" i="2"/>
  <c r="H50" i="2" s="1"/>
  <c r="L51" i="2"/>
  <c r="H51" i="2" s="1"/>
  <c r="L52" i="2"/>
  <c r="H52" i="2" s="1"/>
  <c r="L61" i="2"/>
  <c r="H61" i="2" s="1"/>
  <c r="L62" i="2"/>
  <c r="H62" i="2" s="1"/>
  <c r="L63" i="2"/>
  <c r="H63" i="2" s="1"/>
  <c r="L64" i="2"/>
  <c r="H64" i="2" s="1"/>
  <c r="L65" i="2"/>
  <c r="H65" i="2" s="1"/>
  <c r="L66" i="2"/>
  <c r="H66" i="2" s="1"/>
  <c r="L67" i="2"/>
  <c r="H67" i="2" s="1"/>
  <c r="L68" i="2"/>
  <c r="H68" i="2" s="1"/>
  <c r="L69" i="2"/>
  <c r="H69" i="2" s="1"/>
  <c r="L70" i="2"/>
  <c r="H70" i="2" s="1"/>
  <c r="L71" i="2"/>
  <c r="H71" i="2" s="1"/>
  <c r="L72" i="2"/>
  <c r="H72" i="2" s="1"/>
  <c r="L73" i="2"/>
  <c r="H73" i="2" s="1"/>
  <c r="L74" i="2"/>
  <c r="H74" i="2" s="1"/>
  <c r="L75" i="2"/>
  <c r="H75" i="2" s="1"/>
  <c r="L76" i="2"/>
  <c r="H76" i="2" s="1"/>
  <c r="L85" i="2"/>
  <c r="H85" i="2" s="1"/>
  <c r="L86" i="2"/>
  <c r="H86" i="2" s="1"/>
  <c r="L87" i="2"/>
  <c r="H87" i="2" s="1"/>
  <c r="L88" i="2"/>
  <c r="H88" i="2" s="1"/>
  <c r="L89" i="2"/>
  <c r="H89" i="2" s="1"/>
  <c r="L90" i="2"/>
  <c r="H90" i="2" s="1"/>
  <c r="L91" i="2"/>
  <c r="H91" i="2" s="1"/>
  <c r="L92" i="2"/>
  <c r="H92" i="2" s="1"/>
  <c r="L101" i="2"/>
  <c r="H101" i="2" s="1"/>
  <c r="L102" i="2"/>
  <c r="H102" i="2" s="1"/>
  <c r="L103" i="2"/>
  <c r="H103" i="2" s="1"/>
  <c r="L104" i="2"/>
  <c r="H104" i="2" s="1"/>
  <c r="L105" i="2"/>
  <c r="H105" i="2" s="1"/>
  <c r="L106" i="2"/>
  <c r="H106" i="2" s="1"/>
  <c r="L107" i="2"/>
  <c r="H107" i="2" s="1"/>
  <c r="L108" i="2"/>
  <c r="H108" i="2" s="1"/>
  <c r="L117" i="2"/>
  <c r="H117" i="2" s="1"/>
  <c r="L118" i="2"/>
  <c r="H118" i="2" s="1"/>
  <c r="L119" i="2"/>
  <c r="H119" i="2" s="1"/>
  <c r="L120" i="2"/>
  <c r="H120" i="2" s="1"/>
  <c r="L121" i="2"/>
  <c r="H121" i="2" s="1"/>
  <c r="L122" i="2"/>
  <c r="H122" i="2" s="1"/>
  <c r="L123" i="2"/>
  <c r="H123" i="2" s="1"/>
  <c r="L124" i="2"/>
  <c r="H124" i="2" s="1"/>
  <c r="L133" i="2"/>
  <c r="H133" i="2" s="1"/>
  <c r="L134" i="2"/>
  <c r="H134" i="2" s="1"/>
  <c r="L135" i="2"/>
  <c r="H135" i="2" s="1"/>
  <c r="L136" i="2"/>
  <c r="H136" i="2" s="1"/>
  <c r="L137" i="2"/>
  <c r="H137" i="2" s="1"/>
  <c r="L138" i="2"/>
  <c r="H138" i="2" s="1"/>
  <c r="L139" i="2"/>
  <c r="H139" i="2" s="1"/>
  <c r="L140" i="2"/>
  <c r="H140" i="2" s="1"/>
  <c r="L141" i="2"/>
  <c r="H141" i="2" s="1"/>
  <c r="L142" i="2"/>
  <c r="H142" i="2" s="1"/>
  <c r="L143" i="2"/>
  <c r="H143" i="2" s="1"/>
  <c r="L144" i="2"/>
  <c r="H144" i="2" s="1"/>
  <c r="L145" i="2"/>
  <c r="H145" i="2" s="1"/>
  <c r="L146" i="2"/>
  <c r="H146" i="2" s="1"/>
  <c r="L147" i="2"/>
  <c r="H147" i="2" s="1"/>
  <c r="Q78" i="2"/>
  <c r="S78" i="2" s="1"/>
  <c r="G21" i="11" l="1"/>
  <c r="I21" i="11" s="1" a="1"/>
  <c r="I21" i="11" s="1"/>
  <c r="H20" i="11" a="1"/>
  <c r="H20" i="11" s="1"/>
  <c r="V9" i="1" a="1"/>
  <c r="V9" i="1" s="1"/>
  <c r="U11" i="1" a="1"/>
  <c r="U11" i="1" s="1"/>
  <c r="U8" i="1" a="1"/>
  <c r="U8" i="1" s="1"/>
  <c r="T10" i="1" a="1"/>
  <c r="T10" i="1" s="1"/>
  <c r="S12" i="1" a="1"/>
  <c r="S12" i="1" s="1"/>
  <c r="U13" i="1" a="1"/>
  <c r="U13" i="1" s="1"/>
  <c r="S9" i="1" a="1"/>
  <c r="S9" i="1" s="1"/>
  <c r="V11" i="1" a="1"/>
  <c r="V11" i="1" s="1"/>
  <c r="T13" i="1" a="1"/>
  <c r="T13" i="1" s="1"/>
  <c r="V8" i="1" a="1"/>
  <c r="V8" i="1" s="1"/>
  <c r="U10" i="1" a="1"/>
  <c r="U10" i="1" s="1"/>
  <c r="T12" i="1" a="1"/>
  <c r="T12" i="1" s="1"/>
  <c r="V10" i="1" a="1"/>
  <c r="V10" i="1" s="1"/>
  <c r="U12" i="1" a="1"/>
  <c r="U12" i="1" s="1"/>
  <c r="T9" i="1" a="1"/>
  <c r="T9" i="1" s="1"/>
  <c r="S11" i="1" a="1"/>
  <c r="S11" i="1" s="1"/>
  <c r="V13" i="1" a="1"/>
  <c r="V13" i="1" s="1"/>
  <c r="S8" i="1" a="1"/>
  <c r="S8" i="1" s="1"/>
  <c r="V12" i="1" a="1"/>
  <c r="V12" i="1" s="1"/>
  <c r="U9" i="1" a="1"/>
  <c r="U9" i="1" s="1"/>
  <c r="T11" i="1" a="1"/>
  <c r="T11" i="1" s="1"/>
  <c r="S13" i="1" a="1"/>
  <c r="S13" i="1" s="1"/>
  <c r="T8" i="1" a="1"/>
  <c r="T8" i="1" s="1"/>
  <c r="S10" i="1" a="1"/>
  <c r="S10" i="1" s="1"/>
  <c r="V6" i="1" a="1"/>
  <c r="V6" i="1" s="1"/>
  <c r="S6" i="1" a="1"/>
  <c r="S6" i="1" s="1"/>
  <c r="S7" i="1" a="1"/>
  <c r="S7" i="1" s="1"/>
  <c r="T6" i="1" a="1"/>
  <c r="T6" i="1" s="1"/>
  <c r="T7" i="1" a="1"/>
  <c r="T7" i="1" s="1"/>
  <c r="U6" i="1" a="1"/>
  <c r="U6" i="1" s="1"/>
  <c r="U7" i="1" a="1"/>
  <c r="U7" i="1" s="1"/>
  <c r="N78" i="2"/>
  <c r="N12" i="2"/>
  <c r="N11" i="2"/>
  <c r="N10" i="2"/>
  <c r="N9" i="2"/>
  <c r="N8" i="2"/>
  <c r="N7" i="2"/>
  <c r="N6" i="2"/>
  <c r="O6" i="2" s="1"/>
  <c r="V7" i="1" s="1" a="1"/>
  <c r="V7" i="1" s="1"/>
  <c r="N5" i="2"/>
  <c r="Q12" i="2"/>
  <c r="Q11" i="2"/>
  <c r="Q10" i="2"/>
  <c r="Q9" i="2"/>
  <c r="Q8" i="2"/>
  <c r="Q7" i="2"/>
  <c r="Q6" i="2"/>
  <c r="Q5" i="2"/>
  <c r="E3" i="10"/>
  <c r="P7" i="1" l="1"/>
  <c r="M14" i="2" a="1"/>
  <c r="M14" i="2" s="1"/>
  <c r="N14" i="2" s="1"/>
  <c r="O14" i="2" s="1"/>
  <c r="D67" i="18" a="1"/>
  <c r="D67" i="18" s="1"/>
  <c r="J9" i="18" s="1"/>
  <c r="J20" i="11"/>
  <c r="K20" i="11"/>
  <c r="G22" i="11"/>
  <c r="I22" i="11" s="1" a="1"/>
  <c r="I22" i="11" s="1"/>
  <c r="H21" i="11" a="1"/>
  <c r="H21" i="11" s="1"/>
  <c r="R7" i="2"/>
  <c r="S7" i="2"/>
  <c r="R8" i="2"/>
  <c r="S8" i="2"/>
  <c r="R11" i="2"/>
  <c r="S11" i="2"/>
  <c r="R6" i="2"/>
  <c r="S6" i="2"/>
  <c r="R9" i="2"/>
  <c r="S9" i="2"/>
  <c r="R10" i="2"/>
  <c r="S10" i="2"/>
  <c r="R12" i="2"/>
  <c r="S12" i="2"/>
  <c r="R5" i="2"/>
  <c r="S5" i="2"/>
  <c r="B210" i="18" a="1"/>
  <c r="B210" i="18" s="1"/>
  <c r="B209" i="18" a="1"/>
  <c r="B209" i="18" s="1"/>
  <c r="B207" i="18" a="1"/>
  <c r="B207" i="18" s="1"/>
  <c r="B208" i="18" a="1"/>
  <c r="B208" i="18" s="1"/>
  <c r="B206" i="18" a="1"/>
  <c r="B206" i="18" s="1"/>
  <c r="N13" i="2"/>
  <c r="O13" i="2" s="1"/>
  <c r="N15" i="2"/>
  <c r="O15" i="2" s="1"/>
  <c r="N16" i="2"/>
  <c r="O16" i="2" s="1"/>
  <c r="N17" i="2"/>
  <c r="O17" i="2" s="1"/>
  <c r="N18" i="2"/>
  <c r="O18" i="2" s="1"/>
  <c r="N19" i="2"/>
  <c r="O19" i="2" s="1"/>
  <c r="N20" i="2"/>
  <c r="O20" i="2" s="1"/>
  <c r="G3" i="2"/>
  <c r="M31" i="2" l="1" a="1"/>
  <c r="M31" i="2" s="1"/>
  <c r="M23" i="2" a="1"/>
  <c r="M23" i="2" s="1"/>
  <c r="N23" i="2" s="1"/>
  <c r="M30" i="2" a="1"/>
  <c r="M30" i="2" s="1"/>
  <c r="M22" i="2" a="1"/>
  <c r="M22" i="2" s="1"/>
  <c r="N22" i="2" s="1"/>
  <c r="M21" i="2" a="1"/>
  <c r="M21" i="2" s="1"/>
  <c r="N21" i="2" s="1"/>
  <c r="M29" i="2" a="1"/>
  <c r="M29" i="2" s="1"/>
  <c r="M36" i="2" a="1"/>
  <c r="M36" i="2" s="1"/>
  <c r="M28" i="2" a="1"/>
  <c r="M28" i="2" s="1"/>
  <c r="N28" i="2" s="1"/>
  <c r="M27" i="2" a="1"/>
  <c r="M27" i="2" s="1"/>
  <c r="N27" i="2" s="1"/>
  <c r="M35" i="2" a="1"/>
  <c r="M35" i="2" s="1"/>
  <c r="M33" i="2" a="1"/>
  <c r="M33" i="2" s="1"/>
  <c r="M25" i="2" a="1"/>
  <c r="M25" i="2" s="1"/>
  <c r="N25" i="2" s="1"/>
  <c r="M26" i="2" a="1"/>
  <c r="M26" i="2" s="1"/>
  <c r="N26" i="2" s="1"/>
  <c r="M34" i="2" a="1"/>
  <c r="M34" i="2" s="1"/>
  <c r="M32" i="2" a="1"/>
  <c r="M32" i="2" s="1"/>
  <c r="M24" i="2" a="1"/>
  <c r="M24" i="2" s="1"/>
  <c r="N24" i="2" s="1"/>
  <c r="K21" i="11"/>
  <c r="J21" i="11"/>
  <c r="G23" i="11"/>
  <c r="I23" i="11" s="1" a="1"/>
  <c r="I23" i="11" s="1"/>
  <c r="H22" i="11" a="1"/>
  <c r="H22" i="11" s="1"/>
  <c r="D210" i="18"/>
  <c r="E210" i="18"/>
  <c r="D208" i="18"/>
  <c r="E208" i="18"/>
  <c r="D207" i="18"/>
  <c r="E207" i="18"/>
  <c r="D209" i="18"/>
  <c r="E209" i="18"/>
  <c r="D206" i="18"/>
  <c r="E206" i="18"/>
  <c r="J5" i="5"/>
  <c r="J6" i="5"/>
  <c r="J7" i="5"/>
  <c r="J8" i="5"/>
  <c r="J9" i="5"/>
  <c r="J10" i="5"/>
  <c r="J11" i="5"/>
  <c r="J12" i="5"/>
  <c r="A18" i="11"/>
  <c r="C18" i="11" l="1" a="1"/>
  <c r="C18" i="11" s="1"/>
  <c r="B18" i="11" a="1"/>
  <c r="B18" i="11" s="1"/>
  <c r="K22" i="11"/>
  <c r="J22" i="11"/>
  <c r="G24" i="11"/>
  <c r="I24" i="11" s="1" a="1"/>
  <c r="I24" i="11" s="1"/>
  <c r="H23" i="11" a="1"/>
  <c r="H23" i="11" s="1"/>
  <c r="F209" i="18"/>
  <c r="F207" i="18"/>
  <c r="F208" i="18"/>
  <c r="F210" i="18"/>
  <c r="F206" i="18"/>
  <c r="G206" i="18" s="1"/>
  <c r="Q22" i="2"/>
  <c r="S22" i="2" s="1"/>
  <c r="Q23" i="2"/>
  <c r="S23" i="2" s="1"/>
  <c r="Q25" i="2"/>
  <c r="S25" i="2" s="1"/>
  <c r="Q26" i="2"/>
  <c r="S26" i="2" s="1"/>
  <c r="Q24" i="2"/>
  <c r="S24" i="2" s="1"/>
  <c r="Q21" i="2"/>
  <c r="S21" i="2" s="1"/>
  <c r="A19" i="11"/>
  <c r="Q28" i="2"/>
  <c r="S28" i="2" s="1"/>
  <c r="Q27" i="2"/>
  <c r="S27" i="2" s="1"/>
  <c r="N29" i="2"/>
  <c r="O29" i="2" s="1"/>
  <c r="N30" i="2"/>
  <c r="O30" i="2" s="1"/>
  <c r="N31" i="2"/>
  <c r="O31" i="2" s="1"/>
  <c r="N32" i="2"/>
  <c r="O32" i="2" s="1"/>
  <c r="N33" i="2"/>
  <c r="O33" i="2" s="1"/>
  <c r="N34" i="2"/>
  <c r="O34" i="2" s="1"/>
  <c r="N35" i="2"/>
  <c r="O35" i="2" s="1"/>
  <c r="N36" i="2"/>
  <c r="O36" i="2" s="1"/>
  <c r="M43" i="2" l="1" a="1"/>
  <c r="M43" i="2" s="1"/>
  <c r="N43" i="2" s="1"/>
  <c r="M51" i="2" a="1"/>
  <c r="M51" i="2" s="1"/>
  <c r="N51" i="2" s="1"/>
  <c r="O51" i="2" s="1"/>
  <c r="M49" i="2" a="1"/>
  <c r="M49" i="2" s="1"/>
  <c r="N49" i="2" s="1"/>
  <c r="O49" i="2" s="1"/>
  <c r="M41" i="2" a="1"/>
  <c r="M41" i="2" s="1"/>
  <c r="N41" i="2" s="1"/>
  <c r="M45" i="2" a="1"/>
  <c r="M45" i="2" s="1"/>
  <c r="N45" i="2" s="1"/>
  <c r="O45" i="2" s="1"/>
  <c r="M37" i="2" a="1"/>
  <c r="M37" i="2" s="1"/>
  <c r="N37" i="2" s="1"/>
  <c r="M44" i="2" a="1"/>
  <c r="M44" i="2" s="1"/>
  <c r="N44" i="2" s="1"/>
  <c r="M52" i="2" a="1"/>
  <c r="M52" i="2" s="1"/>
  <c r="N52" i="2" s="1"/>
  <c r="O52" i="2" s="1"/>
  <c r="M38" i="2" a="1"/>
  <c r="M38" i="2" s="1"/>
  <c r="N38" i="2" s="1"/>
  <c r="M46" i="2" a="1"/>
  <c r="M46" i="2" s="1"/>
  <c r="N46" i="2" s="1"/>
  <c r="O46" i="2" s="1"/>
  <c r="M42" i="2" a="1"/>
  <c r="M42" i="2" s="1"/>
  <c r="N42" i="2" s="1"/>
  <c r="M50" i="2" a="1"/>
  <c r="M50" i="2" s="1"/>
  <c r="N50" i="2" s="1"/>
  <c r="O50" i="2" s="1"/>
  <c r="M40" i="2" a="1"/>
  <c r="M40" i="2" s="1"/>
  <c r="N40" i="2" s="1"/>
  <c r="M48" i="2" a="1"/>
  <c r="M48" i="2" s="1"/>
  <c r="N48" i="2" s="1"/>
  <c r="O48" i="2" s="1"/>
  <c r="M47" i="2" a="1"/>
  <c r="M47" i="2" s="1"/>
  <c r="N47" i="2" s="1"/>
  <c r="O47" i="2" s="1"/>
  <c r="M39" i="2" a="1"/>
  <c r="M39" i="2" s="1"/>
  <c r="N39" i="2" s="1"/>
  <c r="C19" i="11" a="1"/>
  <c r="C19" i="11" s="1"/>
  <c r="B19" i="11" a="1"/>
  <c r="B19" i="11" s="1"/>
  <c r="K23" i="11"/>
  <c r="J23" i="11"/>
  <c r="G25" i="11"/>
  <c r="I25" i="11" s="1" a="1"/>
  <c r="I25" i="11" s="1"/>
  <c r="H24" i="11" a="1"/>
  <c r="H24" i="11" s="1"/>
  <c r="G208" i="18"/>
  <c r="G209" i="18"/>
  <c r="G210" i="18"/>
  <c r="G207" i="18"/>
  <c r="R25" i="2"/>
  <c r="R23" i="2"/>
  <c r="R28" i="2"/>
  <c r="R27" i="2"/>
  <c r="R22" i="2"/>
  <c r="R21" i="2"/>
  <c r="R24" i="2"/>
  <c r="R26" i="2"/>
  <c r="A20" i="11"/>
  <c r="D18" i="11"/>
  <c r="E18" i="11" s="1"/>
  <c r="D17" i="11"/>
  <c r="E17" i="11"/>
  <c r="P4" i="1"/>
  <c r="M68" i="2" l="1" a="1"/>
  <c r="M68" i="2" s="1"/>
  <c r="N68" i="2" s="1"/>
  <c r="O68" i="2" s="1"/>
  <c r="M60" i="2" a="1"/>
  <c r="M60" i="2" s="1"/>
  <c r="Q60" i="2" s="1"/>
  <c r="M61" i="2" a="1"/>
  <c r="M61" i="2" s="1"/>
  <c r="N61" i="2" s="1"/>
  <c r="O61" i="2" s="1"/>
  <c r="M53" i="2" a="1"/>
  <c r="M53" i="2" s="1"/>
  <c r="N53" i="2" s="1"/>
  <c r="M65" i="2" a="1"/>
  <c r="M65" i="2" s="1"/>
  <c r="N65" i="2" s="1"/>
  <c r="O65" i="2" s="1"/>
  <c r="M57" i="2" a="1"/>
  <c r="M57" i="2" s="1"/>
  <c r="M55" i="2" a="1"/>
  <c r="M55" i="2" s="1"/>
  <c r="N55" i="2" s="1"/>
  <c r="M56" i="2" a="1"/>
  <c r="M56" i="2" s="1"/>
  <c r="M59" i="2" a="1"/>
  <c r="M59" i="2" s="1"/>
  <c r="M66" i="2" a="1"/>
  <c r="M66" i="2" s="1"/>
  <c r="N66" i="2" s="1"/>
  <c r="O66" i="2" s="1"/>
  <c r="M54" i="2" a="1"/>
  <c r="M54" i="2" s="1"/>
  <c r="Q54" i="2" s="1"/>
  <c r="M67" i="2" a="1"/>
  <c r="M67" i="2" s="1"/>
  <c r="N67" i="2" s="1"/>
  <c r="O67" i="2" s="1"/>
  <c r="M75" i="2" s="1" a="1"/>
  <c r="M75" i="2" s="1"/>
  <c r="M63" i="2" a="1"/>
  <c r="M63" i="2" s="1"/>
  <c r="N63" i="2" s="1"/>
  <c r="O63" i="2" s="1"/>
  <c r="M64" i="2" a="1"/>
  <c r="M64" i="2" s="1"/>
  <c r="N64" i="2" s="1"/>
  <c r="O64" i="2" s="1"/>
  <c r="M62" i="2" a="1"/>
  <c r="M62" i="2" s="1"/>
  <c r="N62" i="2" s="1"/>
  <c r="O62" i="2" s="1"/>
  <c r="M58" i="2" a="1"/>
  <c r="M58" i="2" s="1"/>
  <c r="N58" i="2" s="1"/>
  <c r="D19" i="11"/>
  <c r="E19" i="11" s="1"/>
  <c r="C20" i="11" a="1"/>
  <c r="C20" i="11" s="1"/>
  <c r="B20" i="11" a="1"/>
  <c r="B20" i="11" s="1"/>
  <c r="J24" i="11"/>
  <c r="K24" i="11"/>
  <c r="G26" i="11"/>
  <c r="I26" i="11" s="1" a="1"/>
  <c r="I26" i="11" s="1"/>
  <c r="H25" i="11" a="1"/>
  <c r="H25" i="11" s="1"/>
  <c r="E48" i="18" a="1"/>
  <c r="E48" i="18" s="1"/>
  <c r="E47" i="18" a="1"/>
  <c r="E47" i="18" s="1"/>
  <c r="D48" i="18" a="1"/>
  <c r="D48" i="18" s="1"/>
  <c r="D47" i="18" a="1"/>
  <c r="D47" i="18" s="1"/>
  <c r="Q43" i="2"/>
  <c r="S43" i="2" s="1"/>
  <c r="Q39" i="2"/>
  <c r="S39" i="2" s="1"/>
  <c r="Q40" i="2"/>
  <c r="S40" i="2" s="1"/>
  <c r="A21" i="11"/>
  <c r="Q42" i="2"/>
  <c r="S42" i="2" s="1"/>
  <c r="Q44" i="2"/>
  <c r="S44" i="2" s="1"/>
  <c r="Q37" i="2"/>
  <c r="S37" i="2" s="1"/>
  <c r="Q41" i="2"/>
  <c r="S41" i="2" s="1"/>
  <c r="Q38" i="2"/>
  <c r="S38" i="2" s="1"/>
  <c r="N60" i="2" l="1"/>
  <c r="D20" i="11"/>
  <c r="E20" i="11" s="1"/>
  <c r="Q53" i="2"/>
  <c r="R53" i="2" s="1"/>
  <c r="N54" i="2"/>
  <c r="C21" i="11" a="1"/>
  <c r="C21" i="11" s="1"/>
  <c r="B21" i="11" a="1"/>
  <c r="B21" i="11" s="1"/>
  <c r="Q58" i="2"/>
  <c r="R58" i="2" s="1"/>
  <c r="Q55" i="2"/>
  <c r="R55" i="2" s="1"/>
  <c r="J25" i="11"/>
  <c r="K25" i="11"/>
  <c r="G27" i="11"/>
  <c r="I27" i="11" s="1" a="1"/>
  <c r="I27" i="11" s="1"/>
  <c r="H26" i="11" a="1"/>
  <c r="H26" i="11" s="1"/>
  <c r="R54" i="2"/>
  <c r="S54" i="2"/>
  <c r="R60" i="2"/>
  <c r="S60" i="2"/>
  <c r="R40" i="2"/>
  <c r="R38" i="2"/>
  <c r="R44" i="2"/>
  <c r="R41" i="2"/>
  <c r="R39" i="2"/>
  <c r="R37" i="2"/>
  <c r="R43" i="2"/>
  <c r="R42" i="2"/>
  <c r="A22" i="11"/>
  <c r="N56" i="2"/>
  <c r="Q56" i="2"/>
  <c r="N57" i="2"/>
  <c r="Q57" i="2"/>
  <c r="N59" i="2"/>
  <c r="Q59" i="2"/>
  <c r="S53" i="2" l="1"/>
  <c r="S55" i="2"/>
  <c r="S58" i="2"/>
  <c r="D21" i="11"/>
  <c r="E21" i="11" s="1"/>
  <c r="A23" i="11"/>
  <c r="A24" i="11" s="1"/>
  <c r="B22" i="11" a="1"/>
  <c r="B22" i="11" s="1"/>
  <c r="I185" i="18" a="1"/>
  <c r="I185" i="18" s="1"/>
  <c r="F185" i="18" a="1"/>
  <c r="F185" i="18" s="1"/>
  <c r="E185" i="18" s="1"/>
  <c r="K26" i="11"/>
  <c r="J26" i="11"/>
  <c r="G28" i="11"/>
  <c r="I28" i="11" s="1" a="1"/>
  <c r="I28" i="11" s="1"/>
  <c r="J28" i="11" s="1"/>
  <c r="H27" i="11" a="1"/>
  <c r="H27" i="11" s="1"/>
  <c r="R56" i="2"/>
  <c r="S56" i="2"/>
  <c r="R59" i="2"/>
  <c r="S59" i="2"/>
  <c r="R57" i="2"/>
  <c r="S57" i="2"/>
  <c r="I74" i="18" a="1"/>
  <c r="I74" i="18" s="1"/>
  <c r="I76" i="18" a="1"/>
  <c r="I76" i="18" s="1"/>
  <c r="F189" i="18" a="1"/>
  <c r="F189" i="18" s="1"/>
  <c r="E189" i="18" s="1"/>
  <c r="I75" i="18" a="1"/>
  <c r="I75" i="18" s="1"/>
  <c r="C24" i="11" l="1" a="1"/>
  <c r="C24" i="11" s="1"/>
  <c r="B24" i="11" a="1"/>
  <c r="B24" i="11" s="1"/>
  <c r="C23" i="11" a="1"/>
  <c r="C23" i="11" s="1"/>
  <c r="B23" i="11" a="1"/>
  <c r="B23" i="11" s="1"/>
  <c r="E23" i="11" s="1"/>
  <c r="F171" i="18" a="1"/>
  <c r="F171" i="18" s="1"/>
  <c r="E171" i="18" s="1"/>
  <c r="H185" i="18"/>
  <c r="C185" i="18"/>
  <c r="K27" i="11"/>
  <c r="J27" i="11"/>
  <c r="F166" i="18" a="1"/>
  <c r="F166" i="18" s="1"/>
  <c r="E166" i="18" s="1"/>
  <c r="A25" i="11"/>
  <c r="D23" i="11" l="1"/>
  <c r="C25" i="11" a="1"/>
  <c r="C25" i="11" s="1"/>
  <c r="B25" i="11" a="1"/>
  <c r="B25" i="11" s="1"/>
  <c r="F167" i="18" a="1"/>
  <c r="F167" i="18" s="1"/>
  <c r="E167" i="18" s="1"/>
  <c r="D24" i="11"/>
  <c r="E24" i="11"/>
  <c r="O7" i="1"/>
  <c r="O6" i="1"/>
  <c r="A26" i="11"/>
  <c r="C26" i="11" l="1" a="1"/>
  <c r="C26" i="11" s="1"/>
  <c r="B26" i="11" a="1"/>
  <c r="B26" i="11" s="1"/>
  <c r="F168" i="18" a="1"/>
  <c r="F168" i="18" s="1"/>
  <c r="E168" i="18" s="1"/>
  <c r="D25" i="11"/>
  <c r="E25" i="11" s="1"/>
  <c r="A27" i="11"/>
  <c r="C27" i="11" l="1" a="1"/>
  <c r="C27" i="11" s="1"/>
  <c r="B27" i="11" a="1"/>
  <c r="B27" i="11" s="1"/>
  <c r="F169" i="18" a="1"/>
  <c r="F169" i="18" s="1"/>
  <c r="E169" i="18" s="1"/>
  <c r="D26" i="11"/>
  <c r="E26" i="11" s="1"/>
  <c r="A28" i="11"/>
  <c r="C28" i="11" l="1" a="1"/>
  <c r="C28" i="11" s="1"/>
  <c r="B28" i="11" a="1"/>
  <c r="B28" i="11" s="1"/>
  <c r="I19" i="11" a="1"/>
  <c r="I19" i="11" s="1"/>
  <c r="J19" i="11" s="1"/>
  <c r="K19" i="11" s="1"/>
  <c r="F170" i="18" a="1"/>
  <c r="F170" i="18" s="1"/>
  <c r="E170" i="18" s="1"/>
  <c r="I188" i="18" a="1"/>
  <c r="I188" i="18" s="1"/>
  <c r="I186" i="18" a="1"/>
  <c r="I186" i="18" s="1"/>
  <c r="I187" i="18" a="1"/>
  <c r="I187" i="18" s="1"/>
  <c r="F186" i="18" a="1"/>
  <c r="F186" i="18" s="1"/>
  <c r="E186" i="18" s="1"/>
  <c r="I189" i="18" a="1"/>
  <c r="I189" i="18" s="1"/>
  <c r="I166" i="18" a="1"/>
  <c r="I166" i="18" s="1"/>
  <c r="I167" i="18" a="1"/>
  <c r="I167" i="18" s="1"/>
  <c r="I169" i="18" a="1"/>
  <c r="I169" i="18" s="1"/>
  <c r="I172" i="18" a="1"/>
  <c r="I172" i="18" s="1"/>
  <c r="I170" i="18" a="1"/>
  <c r="I170" i="18" s="1"/>
  <c r="I171" i="18" a="1"/>
  <c r="I171" i="18" s="1"/>
  <c r="I168" i="18" a="1"/>
  <c r="I168" i="18" s="1"/>
  <c r="F190" i="18" a="1"/>
  <c r="F190" i="18" s="1"/>
  <c r="E190" i="18" s="1"/>
  <c r="I190" i="18" a="1"/>
  <c r="I190" i="18" s="1"/>
  <c r="I86" i="18" a="1"/>
  <c r="I86" i="18" s="1"/>
  <c r="I109" i="18" a="1"/>
  <c r="I109" i="18" s="1"/>
  <c r="I115" i="18" a="1"/>
  <c r="I115" i="18" s="1"/>
  <c r="I103" i="18" a="1"/>
  <c r="I103" i="18" s="1"/>
  <c r="I112" i="18" a="1"/>
  <c r="I112" i="18" s="1"/>
  <c r="I116" i="18" a="1"/>
  <c r="I116" i="18" s="1"/>
  <c r="I131" i="18" a="1"/>
  <c r="I131" i="18" s="1"/>
  <c r="I125" i="18" a="1"/>
  <c r="I125" i="18" s="1"/>
  <c r="I84" i="18" a="1"/>
  <c r="I84" i="18" s="1"/>
  <c r="I90" i="18" a="1"/>
  <c r="I90" i="18" s="1"/>
  <c r="I85" i="18" a="1"/>
  <c r="I85" i="18" s="1"/>
  <c r="I121" i="18" a="1"/>
  <c r="I121" i="18" s="1"/>
  <c r="I108" i="18" a="1"/>
  <c r="I108" i="18" s="1"/>
  <c r="I94" i="18" a="1"/>
  <c r="I94" i="18" s="1"/>
  <c r="I105" i="18" a="1"/>
  <c r="I105" i="18" s="1"/>
  <c r="I113" i="18" a="1"/>
  <c r="I113" i="18" s="1"/>
  <c r="I130" i="18" a="1"/>
  <c r="I130" i="18" s="1"/>
  <c r="I92" i="18" a="1"/>
  <c r="I92" i="18" s="1"/>
  <c r="I124" i="18" a="1"/>
  <c r="I124" i="18" s="1"/>
  <c r="I123" i="18" a="1"/>
  <c r="I123" i="18" s="1"/>
  <c r="I80" i="18" a="1"/>
  <c r="I80" i="18" s="1"/>
  <c r="I82" i="18" a="1"/>
  <c r="I82" i="18" s="1"/>
  <c r="I83" i="18" a="1"/>
  <c r="I83" i="18" s="1"/>
  <c r="I104" i="18" a="1"/>
  <c r="I104" i="18" s="1"/>
  <c r="I99" i="18" a="1"/>
  <c r="I99" i="18" s="1"/>
  <c r="I129" i="18" a="1"/>
  <c r="I129" i="18" s="1"/>
  <c r="I87" i="18" a="1"/>
  <c r="I87" i="18" s="1"/>
  <c r="I78" i="18" a="1"/>
  <c r="I78" i="18" s="1"/>
  <c r="I93" i="18" a="1"/>
  <c r="I93" i="18" s="1"/>
  <c r="I119" i="18" a="1"/>
  <c r="I119" i="18" s="1"/>
  <c r="I81" i="18" a="1"/>
  <c r="I81" i="18" s="1"/>
  <c r="I97" i="18" a="1"/>
  <c r="I97" i="18" s="1"/>
  <c r="I79" i="18" a="1"/>
  <c r="I79" i="18" s="1"/>
  <c r="I122" i="18" a="1"/>
  <c r="I122" i="18" s="1"/>
  <c r="I127" i="18" a="1"/>
  <c r="I127" i="18" s="1"/>
  <c r="I102" i="18" a="1"/>
  <c r="I102" i="18" s="1"/>
  <c r="I101" i="18" a="1"/>
  <c r="I101" i="18" s="1"/>
  <c r="I77" i="18" a="1"/>
  <c r="I77" i="18" s="1"/>
  <c r="I98" i="18" a="1"/>
  <c r="I98" i="18" s="1"/>
  <c r="I106" i="18" a="1"/>
  <c r="I106" i="18" s="1"/>
  <c r="I89" i="18" a="1"/>
  <c r="I89" i="18" s="1"/>
  <c r="I120" i="18" a="1"/>
  <c r="I120" i="18" s="1"/>
  <c r="I110" i="18" a="1"/>
  <c r="I110" i="18" s="1"/>
  <c r="I111" i="18" a="1"/>
  <c r="I111" i="18" s="1"/>
  <c r="I107" i="18" a="1"/>
  <c r="I107" i="18" s="1"/>
  <c r="I128" i="18" a="1"/>
  <c r="I128" i="18" s="1"/>
  <c r="I100" i="18" a="1"/>
  <c r="I100" i="18" s="1"/>
  <c r="I117" i="18" a="1"/>
  <c r="I117" i="18" s="1"/>
  <c r="I96" i="18" a="1"/>
  <c r="I96" i="18" s="1"/>
  <c r="I114" i="18" a="1"/>
  <c r="I114" i="18" s="1"/>
  <c r="I95" i="18" a="1"/>
  <c r="I95" i="18" s="1"/>
  <c r="I91" i="18" a="1"/>
  <c r="I91" i="18" s="1"/>
  <c r="I126" i="18" a="1"/>
  <c r="I126" i="18" s="1"/>
  <c r="I88" i="18" a="1"/>
  <c r="I88" i="18" s="1"/>
  <c r="I118" i="18" a="1"/>
  <c r="I118" i="18" s="1"/>
  <c r="O4" i="1"/>
  <c r="D27" i="11"/>
  <c r="E27" i="11" s="1"/>
  <c r="A29" i="11"/>
  <c r="B29" i="11" l="1" a="1"/>
  <c r="B29" i="11" s="1"/>
  <c r="C189" i="18"/>
  <c r="H189" i="18"/>
  <c r="C187" i="18"/>
  <c r="H187" i="18"/>
  <c r="C186" i="18"/>
  <c r="H186" i="18"/>
  <c r="H188" i="18"/>
  <c r="C188" i="18"/>
  <c r="C171" i="18"/>
  <c r="H171" i="18"/>
  <c r="H170" i="18"/>
  <c r="C170" i="18"/>
  <c r="H172" i="18"/>
  <c r="C169" i="18"/>
  <c r="H169" i="18"/>
  <c r="H167" i="18"/>
  <c r="C167" i="18"/>
  <c r="C168" i="18"/>
  <c r="H168" i="18"/>
  <c r="H166" i="18"/>
  <c r="C166" i="18"/>
  <c r="C190" i="18"/>
  <c r="H190" i="18"/>
  <c r="J8" i="18"/>
  <c r="D64" i="18"/>
  <c r="E64" i="18" s="1"/>
  <c r="D28" i="11"/>
  <c r="E28" i="11" s="1"/>
  <c r="A30" i="11"/>
  <c r="C30" i="11" l="1" a="1"/>
  <c r="C30" i="11" s="1"/>
  <c r="B30" i="11" a="1"/>
  <c r="B30" i="11" s="1"/>
  <c r="C210" i="18"/>
  <c r="C209" i="18"/>
  <c r="C208" i="18"/>
  <c r="C207" i="18"/>
  <c r="C206" i="18"/>
  <c r="A31" i="11"/>
  <c r="C31" i="11" l="1" a="1"/>
  <c r="C31" i="11" s="1"/>
  <c r="B31" i="11" a="1"/>
  <c r="B31" i="11" s="1"/>
  <c r="E31" i="11" s="1"/>
  <c r="B47" i="18" a="1"/>
  <c r="B47" i="18" s="1"/>
  <c r="B48" i="18" a="1"/>
  <c r="B48" i="18" s="1"/>
  <c r="D30" i="11"/>
  <c r="E30" i="11"/>
  <c r="A32" i="11"/>
  <c r="C32" i="11" l="1" a="1"/>
  <c r="C32" i="11" s="1"/>
  <c r="B32" i="11" a="1"/>
  <c r="B32" i="11" s="1"/>
  <c r="B45" i="18" a="1"/>
  <c r="B45" i="18" s="1"/>
  <c r="A33" i="11"/>
  <c r="D31" i="11"/>
  <c r="C33" i="11" l="1" a="1"/>
  <c r="C33" i="11" s="1"/>
  <c r="B33" i="11" a="1"/>
  <c r="B33" i="11" s="1"/>
  <c r="E46" i="18" a="1"/>
  <c r="E46" i="18" s="1"/>
  <c r="E45" i="18" a="1"/>
  <c r="E45" i="18" s="1"/>
  <c r="D46" i="18" a="1"/>
  <c r="D46" i="18" s="1"/>
  <c r="E49" i="18" a="1"/>
  <c r="E49" i="18" s="1"/>
  <c r="B49" i="18" a="1"/>
  <c r="B49" i="18" s="1"/>
  <c r="D49" i="18" a="1"/>
  <c r="D49" i="18" s="1"/>
  <c r="B46" i="18" a="1"/>
  <c r="B46" i="18" s="1"/>
  <c r="D45" i="18" a="1"/>
  <c r="D45" i="18" s="1"/>
  <c r="D32" i="11"/>
  <c r="E32" i="11" s="1"/>
  <c r="A34" i="11"/>
  <c r="C34" i="11" l="1" a="1"/>
  <c r="C34" i="11" s="1"/>
  <c r="B34" i="11" a="1"/>
  <c r="B34" i="11" s="1"/>
  <c r="A35" i="11"/>
  <c r="D33" i="11"/>
  <c r="E33" i="11" s="1"/>
  <c r="C35" i="11" l="1" a="1"/>
  <c r="C35" i="11" s="1"/>
  <c r="B35" i="11" a="1"/>
  <c r="B35" i="11" s="1"/>
  <c r="D34" i="11"/>
  <c r="E34" i="11" s="1"/>
  <c r="A36" i="11"/>
  <c r="B36" i="11" l="1" a="1"/>
  <c r="B36" i="11" s="1"/>
  <c r="D35" i="11"/>
  <c r="E35" i="11" s="1"/>
  <c r="A37" i="11"/>
  <c r="C37" i="11" l="1" a="1"/>
  <c r="C37" i="11" s="1"/>
  <c r="B37" i="11" a="1"/>
  <c r="B37" i="11" s="1"/>
  <c r="A38" i="11"/>
  <c r="C38" i="11" l="1" a="1"/>
  <c r="C38" i="11" s="1"/>
  <c r="B38" i="11" a="1"/>
  <c r="B38" i="11" s="1"/>
  <c r="E38" i="11" s="1"/>
  <c r="D37" i="11"/>
  <c r="E37" i="11"/>
  <c r="A39" i="11"/>
  <c r="C39" i="11" l="1" a="1"/>
  <c r="C39" i="11" s="1"/>
  <c r="B39" i="11" a="1"/>
  <c r="B39" i="11" s="1"/>
  <c r="A40" i="11"/>
  <c r="D38" i="11"/>
  <c r="C40" i="11" l="1" a="1"/>
  <c r="C40" i="11" s="1"/>
  <c r="B40" i="11" a="1"/>
  <c r="B40" i="11" s="1"/>
  <c r="D39" i="11"/>
  <c r="E39" i="11" s="1"/>
  <c r="A41" i="11"/>
  <c r="C41" i="11" l="1" a="1"/>
  <c r="C41" i="11" s="1"/>
  <c r="B41" i="11" a="1"/>
  <c r="B41" i="11" s="1"/>
  <c r="D40" i="11"/>
  <c r="E40" i="11" s="1"/>
  <c r="A42" i="11"/>
  <c r="C42" i="11" l="1" a="1"/>
  <c r="C42" i="11" s="1"/>
  <c r="B42" i="11" a="1"/>
  <c r="B42" i="11" s="1"/>
  <c r="D41" i="11"/>
  <c r="E41" i="11" s="1"/>
  <c r="A43" i="11"/>
  <c r="B43" i="11" l="1" a="1"/>
  <c r="B43" i="11" s="1"/>
  <c r="D42" i="11"/>
  <c r="E42" i="11" s="1"/>
  <c r="A44" i="11"/>
  <c r="C44" i="11" l="1" a="1"/>
  <c r="C44" i="11" s="1"/>
  <c r="B44" i="11" a="1"/>
  <c r="B44" i="11" s="1"/>
  <c r="E44" i="11" s="1"/>
  <c r="A45" i="11"/>
  <c r="C45" i="11" l="1" a="1"/>
  <c r="C45" i="11" s="1"/>
  <c r="B45" i="11" a="1"/>
  <c r="B45" i="11" s="1"/>
  <c r="D44" i="11"/>
  <c r="A46" i="11"/>
  <c r="C46" i="11" l="1" a="1"/>
  <c r="C46" i="11" s="1"/>
  <c r="B46" i="11" a="1"/>
  <c r="B46" i="11" s="1"/>
  <c r="D45" i="11"/>
  <c r="A47" i="11"/>
  <c r="E45" i="11"/>
  <c r="B47" i="11" l="1" a="1"/>
  <c r="B47" i="11" s="1"/>
  <c r="D46" i="11"/>
  <c r="E46" i="11" s="1"/>
  <c r="F76" i="18" l="1" a="1"/>
  <c r="F76" i="18" s="1"/>
  <c r="D76" i="18" a="1"/>
  <c r="D76" i="18" s="1"/>
  <c r="E76" i="18" s="1"/>
  <c r="G76" i="18" a="1"/>
  <c r="G76" i="18" s="1"/>
  <c r="D75" i="18" a="1"/>
  <c r="D75" i="18" s="1"/>
  <c r="G75" i="18" a="1"/>
  <c r="G75" i="18" s="1"/>
  <c r="F75" i="18" a="1"/>
  <c r="F75" i="18" s="1"/>
  <c r="D74" i="18" a="1"/>
  <c r="D74" i="18" s="1"/>
  <c r="E74" i="18" s="1"/>
  <c r="F74" i="18" a="1"/>
  <c r="F74" i="18" s="1"/>
  <c r="G74" i="18" a="1"/>
  <c r="G74" i="18" s="1"/>
  <c r="H74" i="18" s="1"/>
  <c r="E75" i="18" l="1"/>
  <c r="C74" i="18"/>
  <c r="C76" i="18"/>
  <c r="H76" i="18"/>
  <c r="H75" i="18"/>
  <c r="C75" i="18" s="1"/>
  <c r="D77" i="18" a="1"/>
  <c r="D77" i="18" s="1"/>
  <c r="G77" i="18" a="1"/>
  <c r="G77" i="18" s="1"/>
  <c r="F77" i="18" a="1"/>
  <c r="F77" i="18" s="1"/>
  <c r="E77" i="18" l="1"/>
  <c r="H77" i="18"/>
  <c r="C77" i="18" s="1"/>
  <c r="G78" i="18" a="1"/>
  <c r="G78" i="18" s="1"/>
  <c r="F78" i="18" a="1"/>
  <c r="F78" i="18" s="1"/>
  <c r="D78" i="18" a="1"/>
  <c r="D78" i="18" s="1"/>
  <c r="E78" i="18" l="1"/>
  <c r="G79" i="18" a="1"/>
  <c r="G79" i="18" s="1"/>
  <c r="D79" i="18" a="1"/>
  <c r="D79" i="18" s="1"/>
  <c r="F79" i="18" a="1"/>
  <c r="F79" i="18" s="1"/>
  <c r="H78" i="18"/>
  <c r="C78" i="18" s="1"/>
  <c r="E79" i="18" l="1"/>
  <c r="H79" i="18"/>
  <c r="C79" i="18" s="1"/>
  <c r="D80" i="18" a="1"/>
  <c r="D80" i="18" s="1"/>
  <c r="G80" i="18" a="1"/>
  <c r="G80" i="18" s="1"/>
  <c r="F80" i="18" a="1"/>
  <c r="F80" i="18" s="1"/>
  <c r="E80" i="18" l="1"/>
  <c r="D81" i="18" a="1"/>
  <c r="D81" i="18" s="1"/>
  <c r="F81" i="18" a="1"/>
  <c r="F81" i="18" s="1"/>
  <c r="G81" i="18" a="1"/>
  <c r="G81" i="18" s="1"/>
  <c r="H80" i="18"/>
  <c r="C80" i="18" s="1"/>
  <c r="H81" i="18" l="1"/>
  <c r="C81" i="18" s="1"/>
  <c r="E81" i="18"/>
  <c r="D82" i="18" a="1"/>
  <c r="D82" i="18" s="1"/>
  <c r="G82" i="18" a="1"/>
  <c r="G82" i="18" s="1"/>
  <c r="F82" i="18" a="1"/>
  <c r="F82" i="18" s="1"/>
  <c r="E82" i="18" l="1"/>
  <c r="H82" i="18"/>
  <c r="C82" i="18" s="1"/>
  <c r="D83" i="18" a="1"/>
  <c r="D83" i="18" s="1"/>
  <c r="E83" i="18" s="1"/>
  <c r="G83" i="18" a="1"/>
  <c r="G83" i="18" s="1"/>
  <c r="F83" i="18" a="1"/>
  <c r="F83" i="18" s="1"/>
  <c r="C83" i="18" l="1"/>
  <c r="H83" i="18"/>
  <c r="G84" i="18" a="1"/>
  <c r="G84" i="18" s="1"/>
  <c r="D84" i="18" a="1"/>
  <c r="D84" i="18" s="1"/>
  <c r="F84" i="18" a="1"/>
  <c r="F84" i="18" s="1"/>
  <c r="E84" i="18" l="1"/>
  <c r="G85" i="18" a="1"/>
  <c r="G85" i="18" s="1"/>
  <c r="D85" i="18" a="1"/>
  <c r="D85" i="18" s="1"/>
  <c r="E85" i="18" s="1"/>
  <c r="F85" i="18" a="1"/>
  <c r="F85" i="18" s="1"/>
  <c r="H84" i="18"/>
  <c r="C84" i="18" s="1"/>
  <c r="H85" i="18" l="1"/>
  <c r="C85" i="18" s="1"/>
  <c r="D86" i="18" a="1"/>
  <c r="D86" i="18" s="1"/>
  <c r="G86" i="18" a="1"/>
  <c r="G86" i="18" s="1"/>
  <c r="F86" i="18" a="1"/>
  <c r="F86" i="18" s="1"/>
  <c r="E86" i="18" l="1"/>
  <c r="H86" i="18"/>
  <c r="C86" i="18" s="1"/>
  <c r="D87" i="18" a="1"/>
  <c r="D87" i="18" s="1"/>
  <c r="G87" i="18" a="1"/>
  <c r="G87" i="18" s="1"/>
  <c r="F87" i="18" a="1"/>
  <c r="F87" i="18" s="1"/>
  <c r="E87" i="18" l="1"/>
  <c r="H87" i="18"/>
  <c r="C87" i="18" s="1"/>
  <c r="F88" i="18" a="1"/>
  <c r="F88" i="18" s="1"/>
  <c r="G88" i="18" a="1"/>
  <c r="G88" i="18" s="1"/>
  <c r="D88" i="18" a="1"/>
  <c r="D88" i="18" s="1"/>
  <c r="E88" i="18" l="1"/>
  <c r="H88" i="18"/>
  <c r="C88" i="18" s="1"/>
  <c r="F89" i="18" a="1"/>
  <c r="F89" i="18" s="1"/>
  <c r="D89" i="18" a="1"/>
  <c r="D89" i="18" s="1"/>
  <c r="G89" i="18" a="1"/>
  <c r="G89" i="18" s="1"/>
  <c r="E89" i="18" l="1"/>
  <c r="C89" i="18"/>
  <c r="H89" i="18"/>
  <c r="G90" i="18" a="1"/>
  <c r="G90" i="18" s="1"/>
  <c r="F90" i="18" a="1"/>
  <c r="F90" i="18" s="1"/>
  <c r="D90" i="18" a="1"/>
  <c r="D90" i="18" s="1"/>
  <c r="E90" i="18" s="1"/>
  <c r="D91" i="18" l="1" a="1"/>
  <c r="D91" i="18" s="1"/>
  <c r="G91" i="18" a="1"/>
  <c r="G91" i="18" s="1"/>
  <c r="F91" i="18" a="1"/>
  <c r="F91" i="18" s="1"/>
  <c r="H90" i="18"/>
  <c r="C90" i="18" s="1"/>
  <c r="E91" i="18" l="1"/>
  <c r="H91" i="18"/>
  <c r="C91" i="18" s="1"/>
  <c r="D92" i="18" a="1"/>
  <c r="D92" i="18" s="1"/>
  <c r="E92" i="18" s="1"/>
  <c r="F92" i="18" a="1"/>
  <c r="F92" i="18" s="1"/>
  <c r="G92" i="18" a="1"/>
  <c r="G92" i="18" s="1"/>
  <c r="F93" i="18" l="1" a="1"/>
  <c r="F93" i="18" s="1"/>
  <c r="D93" i="18" a="1"/>
  <c r="D93" i="18" s="1"/>
  <c r="G93" i="18" a="1"/>
  <c r="G93" i="18" s="1"/>
  <c r="H92" i="18"/>
  <c r="C92" i="18" s="1"/>
  <c r="E93" i="18" l="1"/>
  <c r="C93" i="18"/>
  <c r="H93" i="18"/>
  <c r="D94" i="18" a="1"/>
  <c r="D94" i="18" s="1"/>
  <c r="G94" i="18" a="1"/>
  <c r="G94" i="18" s="1"/>
  <c r="F94" i="18" a="1"/>
  <c r="F94" i="18" s="1"/>
  <c r="E94" i="18" l="1"/>
  <c r="G95" i="18" a="1"/>
  <c r="G95" i="18" s="1"/>
  <c r="F95" i="18" a="1"/>
  <c r="F95" i="18" s="1"/>
  <c r="D95" i="18" a="1"/>
  <c r="D95" i="18" s="1"/>
  <c r="H94" i="18"/>
  <c r="C94" i="18" s="1"/>
  <c r="E95" i="18" l="1"/>
  <c r="G96" i="18" a="1"/>
  <c r="G96" i="18" s="1"/>
  <c r="D96" i="18" a="1"/>
  <c r="D96" i="18" s="1"/>
  <c r="F96" i="18" a="1"/>
  <c r="F96" i="18" s="1"/>
  <c r="H95" i="18"/>
  <c r="C95" i="18" s="1"/>
  <c r="E96" i="18" l="1"/>
  <c r="F97" i="18" a="1"/>
  <c r="F97" i="18" s="1"/>
  <c r="G97" i="18" a="1"/>
  <c r="G97" i="18" s="1"/>
  <c r="D97" i="18" a="1"/>
  <c r="D97" i="18" s="1"/>
  <c r="E97" i="18" s="1"/>
  <c r="H96" i="18"/>
  <c r="C96" i="18" s="1"/>
  <c r="H97" i="18" l="1"/>
  <c r="C97" i="18" s="1"/>
  <c r="G98" i="18" a="1"/>
  <c r="G98" i="18" s="1"/>
  <c r="F98" i="18" a="1"/>
  <c r="F98" i="18" s="1"/>
  <c r="D98" i="18" a="1"/>
  <c r="D98" i="18" s="1"/>
  <c r="E98" i="18" l="1"/>
  <c r="H98" i="18"/>
  <c r="C98" i="18" s="1"/>
  <c r="D99" i="18" a="1"/>
  <c r="D99" i="18" s="1"/>
  <c r="E99" i="18" s="1"/>
  <c r="G99" i="18" a="1"/>
  <c r="G99" i="18" s="1"/>
  <c r="F99" i="18" a="1"/>
  <c r="F99" i="18" s="1"/>
  <c r="G100" i="18" l="1" a="1"/>
  <c r="G100" i="18" s="1"/>
  <c r="F100" i="18" a="1"/>
  <c r="F100" i="18" s="1"/>
  <c r="D100" i="18" a="1"/>
  <c r="D100" i="18" s="1"/>
  <c r="H99" i="18"/>
  <c r="C99" i="18" s="1"/>
  <c r="E100" i="18" l="1"/>
  <c r="G101" i="18" a="1"/>
  <c r="G101" i="18" s="1"/>
  <c r="D101" i="18" a="1"/>
  <c r="D101" i="18" s="1"/>
  <c r="F101" i="18" a="1"/>
  <c r="F101" i="18" s="1"/>
  <c r="H100" i="18"/>
  <c r="C100" i="18" s="1"/>
  <c r="E101" i="18" l="1"/>
  <c r="G102" i="18" a="1"/>
  <c r="G102" i="18" s="1"/>
  <c r="D102" i="18" a="1"/>
  <c r="D102" i="18" s="1"/>
  <c r="F102" i="18" a="1"/>
  <c r="F102" i="18" s="1"/>
  <c r="H101" i="18"/>
  <c r="C101" i="18" s="1"/>
  <c r="E102" i="18" l="1"/>
  <c r="H102" i="18"/>
  <c r="C102" i="18" s="1"/>
  <c r="D103" i="18" a="1"/>
  <c r="D103" i="18" s="1"/>
  <c r="F103" i="18" a="1"/>
  <c r="F103" i="18" s="1"/>
  <c r="G103" i="18" a="1"/>
  <c r="G103" i="18" s="1"/>
  <c r="E103" i="18" l="1"/>
  <c r="D104" i="18" a="1"/>
  <c r="D104" i="18" s="1"/>
  <c r="E104" i="18" s="1"/>
  <c r="G104" i="18" a="1"/>
  <c r="G104" i="18" s="1"/>
  <c r="F104" i="18" a="1"/>
  <c r="F104" i="18" s="1"/>
  <c r="H103" i="18"/>
  <c r="C103" i="18" s="1"/>
  <c r="D105" i="18" l="1" a="1"/>
  <c r="D105" i="18" s="1"/>
  <c r="G105" i="18" a="1"/>
  <c r="G105" i="18" s="1"/>
  <c r="F105" i="18" a="1"/>
  <c r="F105" i="18" s="1"/>
  <c r="H104" i="18"/>
  <c r="C104" i="18" s="1"/>
  <c r="E105" i="18" l="1"/>
  <c r="G106" i="18" a="1"/>
  <c r="G106" i="18" s="1"/>
  <c r="F106" i="18" a="1"/>
  <c r="F106" i="18" s="1"/>
  <c r="D106" i="18" a="1"/>
  <c r="D106" i="18" s="1"/>
  <c r="E106" i="18" s="1"/>
  <c r="H105" i="18"/>
  <c r="C105" i="18" s="1"/>
  <c r="G107" i="18" l="1" a="1"/>
  <c r="G107" i="18" s="1"/>
  <c r="D107" i="18" a="1"/>
  <c r="D107" i="18" s="1"/>
  <c r="F107" i="18" a="1"/>
  <c r="F107" i="18" s="1"/>
  <c r="H106" i="18"/>
  <c r="C106" i="18" s="1"/>
  <c r="E107" i="18" l="1"/>
  <c r="G108" i="18" a="1"/>
  <c r="G108" i="18" s="1"/>
  <c r="F108" i="18" a="1"/>
  <c r="F108" i="18" s="1"/>
  <c r="D108" i="18" a="1"/>
  <c r="D108" i="18" s="1"/>
  <c r="H107" i="18"/>
  <c r="C107" i="18" s="1"/>
  <c r="E108" i="18" l="1"/>
  <c r="D109" i="18" a="1"/>
  <c r="D109" i="18" s="1"/>
  <c r="G109" i="18" a="1"/>
  <c r="G109" i="18" s="1"/>
  <c r="F109" i="18" a="1"/>
  <c r="F109" i="18" s="1"/>
  <c r="H108" i="18"/>
  <c r="C108" i="18" s="1"/>
  <c r="E109" i="18" l="1"/>
  <c r="G110" i="18" a="1"/>
  <c r="G110" i="18" s="1"/>
  <c r="D110" i="18" a="1"/>
  <c r="D110" i="18" s="1"/>
  <c r="F110" i="18" a="1"/>
  <c r="F110" i="18" s="1"/>
  <c r="H109" i="18"/>
  <c r="C109" i="18" s="1"/>
  <c r="E110" i="18" l="1"/>
  <c r="D111" i="18" a="1"/>
  <c r="D111" i="18" s="1"/>
  <c r="G111" i="18" a="1"/>
  <c r="G111" i="18" s="1"/>
  <c r="F111" i="18" a="1"/>
  <c r="F111" i="18" s="1"/>
  <c r="H110" i="18"/>
  <c r="C110" i="18" s="1"/>
  <c r="E111" i="18" l="1"/>
  <c r="G112" i="18" a="1"/>
  <c r="G112" i="18" s="1"/>
  <c r="D112" i="18" a="1"/>
  <c r="D112" i="18" s="1"/>
  <c r="F112" i="18" a="1"/>
  <c r="F112" i="18" s="1"/>
  <c r="H111" i="18"/>
  <c r="C111" i="18" s="1"/>
  <c r="E112" i="18" l="1"/>
  <c r="D113" i="18" a="1"/>
  <c r="D113" i="18" s="1"/>
  <c r="E113" i="18" s="1"/>
  <c r="G113" i="18" a="1"/>
  <c r="G113" i="18" s="1"/>
  <c r="F113" i="18" a="1"/>
  <c r="F113" i="18" s="1"/>
  <c r="H112" i="18"/>
  <c r="C112" i="18" s="1"/>
  <c r="D114" i="18" l="1" a="1"/>
  <c r="D114" i="18" s="1"/>
  <c r="G114" i="18" a="1"/>
  <c r="G114" i="18" s="1"/>
  <c r="F114" i="18" a="1"/>
  <c r="F114" i="18" s="1"/>
  <c r="H113" i="18"/>
  <c r="C113" i="18" s="1"/>
  <c r="E114" i="18" l="1"/>
  <c r="H114" i="18"/>
  <c r="C114" i="18" s="1"/>
  <c r="D115" i="18" a="1"/>
  <c r="D115" i="18" s="1"/>
  <c r="G115" i="18" a="1"/>
  <c r="G115" i="18" s="1"/>
  <c r="F115" i="18" a="1"/>
  <c r="F115" i="18" s="1"/>
  <c r="E115" i="18" l="1"/>
  <c r="H115" i="18"/>
  <c r="C115" i="18" s="1"/>
  <c r="G116" i="18" a="1"/>
  <c r="G116" i="18" s="1"/>
  <c r="D116" i="18" a="1"/>
  <c r="D116" i="18" s="1"/>
  <c r="F116" i="18" a="1"/>
  <c r="F116" i="18" s="1"/>
  <c r="E116" i="18" l="1"/>
  <c r="G117" i="18" a="1"/>
  <c r="G117" i="18" s="1"/>
  <c r="D117" i="18" a="1"/>
  <c r="D117" i="18" s="1"/>
  <c r="F117" i="18" a="1"/>
  <c r="F117" i="18" s="1"/>
  <c r="H116" i="18"/>
  <c r="C116" i="18" s="1"/>
  <c r="E117" i="18" l="1"/>
  <c r="G118" i="18" a="1"/>
  <c r="G118" i="18" s="1"/>
  <c r="F118" i="18" a="1"/>
  <c r="F118" i="18" s="1"/>
  <c r="D118" i="18" a="1"/>
  <c r="D118" i="18" s="1"/>
  <c r="H117" i="18"/>
  <c r="C117" i="18" s="1"/>
  <c r="E118" i="18" l="1"/>
  <c r="G119" i="18" a="1"/>
  <c r="G119" i="18" s="1"/>
  <c r="F119" i="18" a="1"/>
  <c r="F119" i="18" s="1"/>
  <c r="D119" i="18" a="1"/>
  <c r="D119" i="18" s="1"/>
  <c r="E119" i="18" s="1"/>
  <c r="H118" i="18"/>
  <c r="C118" i="18" s="1"/>
  <c r="C119" i="18" l="1"/>
  <c r="H119" i="18"/>
  <c r="D120" i="18" a="1"/>
  <c r="D120" i="18" s="1"/>
  <c r="E120" i="18" s="1"/>
  <c r="G120" i="18" a="1"/>
  <c r="G120" i="18" s="1"/>
  <c r="F120" i="18" a="1"/>
  <c r="F120" i="18" s="1"/>
  <c r="D121" i="18" l="1" a="1"/>
  <c r="D121" i="18" s="1"/>
  <c r="E121" i="18" s="1"/>
  <c r="G121" i="18" a="1"/>
  <c r="G121" i="18" s="1"/>
  <c r="F121" i="18" a="1"/>
  <c r="F121" i="18" s="1"/>
  <c r="H120" i="18"/>
  <c r="C120" i="18" s="1"/>
  <c r="D122" i="18" l="1" a="1"/>
  <c r="D122" i="18" s="1"/>
  <c r="F122" i="18" a="1"/>
  <c r="F122" i="18" s="1"/>
  <c r="G122" i="18" a="1"/>
  <c r="G122" i="18" s="1"/>
  <c r="H121" i="18"/>
  <c r="C121" i="18" s="1"/>
  <c r="E122" i="18" l="1"/>
  <c r="H122" i="18"/>
  <c r="C122" i="18" s="1"/>
  <c r="D123" i="18" a="1"/>
  <c r="D123" i="18" s="1"/>
  <c r="G123" i="18" a="1"/>
  <c r="G123" i="18" s="1"/>
  <c r="F123" i="18" a="1"/>
  <c r="F123" i="18" s="1"/>
  <c r="E123" i="18" l="1"/>
  <c r="D124" i="18" a="1"/>
  <c r="D124" i="18" s="1"/>
  <c r="G124" i="18" a="1"/>
  <c r="G124" i="18" s="1"/>
  <c r="F124" i="18" a="1"/>
  <c r="F124" i="18" s="1"/>
  <c r="H123" i="18"/>
  <c r="C123" i="18" s="1"/>
  <c r="E124" i="18" l="1"/>
  <c r="F125" i="18" a="1"/>
  <c r="F125" i="18" s="1"/>
  <c r="G125" i="18" a="1"/>
  <c r="G125" i="18" s="1"/>
  <c r="D125" i="18" a="1"/>
  <c r="D125" i="18" s="1"/>
  <c r="H124" i="18"/>
  <c r="C124" i="18" s="1"/>
  <c r="H125" i="18" l="1"/>
  <c r="C125" i="18" s="1"/>
  <c r="E125" i="18"/>
  <c r="F126" i="18" a="1"/>
  <c r="F126" i="18" s="1"/>
  <c r="D126" i="18" a="1"/>
  <c r="D126" i="18" s="1"/>
  <c r="E126" i="18" s="1"/>
  <c r="G126" i="18" a="1"/>
  <c r="G126" i="18" s="1"/>
  <c r="G127" i="18" l="1" a="1"/>
  <c r="G127" i="18" s="1"/>
  <c r="D127" i="18" a="1"/>
  <c r="D127" i="18" s="1"/>
  <c r="E127" i="18" s="1"/>
  <c r="F127" i="18" a="1"/>
  <c r="F127" i="18" s="1"/>
  <c r="H126" i="18"/>
  <c r="C126" i="18" s="1"/>
  <c r="G128" i="18" l="1" a="1"/>
  <c r="G128" i="18" s="1"/>
  <c r="F128" i="18" a="1"/>
  <c r="F128" i="18" s="1"/>
  <c r="D128" i="18" a="1"/>
  <c r="D128" i="18" s="1"/>
  <c r="E128" i="18" s="1"/>
  <c r="H127" i="18"/>
  <c r="C127" i="18" s="1"/>
  <c r="H128" i="18" l="1"/>
  <c r="C128" i="18" s="1"/>
  <c r="G129" i="18" a="1"/>
  <c r="G129" i="18" s="1"/>
  <c r="D129" i="18" a="1"/>
  <c r="D129" i="18" s="1"/>
  <c r="F129" i="18" a="1"/>
  <c r="F129" i="18" s="1"/>
  <c r="E129" i="18" l="1"/>
  <c r="H129" i="18"/>
  <c r="C129" i="18" s="1"/>
  <c r="D130" i="18" a="1"/>
  <c r="D130" i="18" s="1"/>
  <c r="G130" i="18" a="1"/>
  <c r="G130" i="18" s="1"/>
  <c r="F130" i="18" a="1"/>
  <c r="F130" i="18" s="1"/>
  <c r="E130" i="18" l="1"/>
  <c r="H130" i="18"/>
  <c r="C130" i="18" s="1"/>
  <c r="D131" i="18" a="1"/>
  <c r="D131" i="18" s="1"/>
  <c r="G131" i="18" a="1"/>
  <c r="G131" i="18" s="1"/>
  <c r="F131" i="18" a="1"/>
  <c r="F131" i="18" s="1"/>
  <c r="E131" i="18" l="1"/>
  <c r="D132" i="18" a="1"/>
  <c r="D132" i="18" s="1"/>
  <c r="G132" i="18" a="1"/>
  <c r="G132" i="18" s="1"/>
  <c r="H131" i="18"/>
  <c r="C131" i="18" s="1"/>
  <c r="D133" i="18" l="1" a="1"/>
  <c r="D133" i="18" s="1"/>
  <c r="G133" i="18" a="1"/>
  <c r="G133" i="18" s="1"/>
  <c r="F133" i="18" a="1"/>
  <c r="F133" i="18" s="1"/>
  <c r="E133" i="18" l="1"/>
  <c r="D134" i="18" a="1"/>
  <c r="D134" i="18" s="1"/>
  <c r="E134" i="18" s="1"/>
  <c r="F134" i="18" a="1"/>
  <c r="F134" i="18" s="1"/>
  <c r="G134" i="18" a="1"/>
  <c r="G134" i="18" s="1"/>
  <c r="G135" i="18" l="1" a="1"/>
  <c r="G135" i="18" s="1"/>
  <c r="D135" i="18" a="1"/>
  <c r="D135" i="18" s="1"/>
  <c r="E135" i="18" s="1"/>
  <c r="F135" i="18" a="1"/>
  <c r="F135" i="18" s="1"/>
  <c r="D136" i="18" l="1" a="1"/>
  <c r="D136" i="18" s="1"/>
  <c r="G136" i="18" a="1"/>
  <c r="G136" i="18" s="1"/>
  <c r="F136" i="18" a="1"/>
  <c r="F136" i="18" s="1"/>
  <c r="E136" i="18" l="1"/>
  <c r="G137" i="18" a="1"/>
  <c r="G137" i="18" s="1"/>
  <c r="D137" i="18" a="1"/>
  <c r="D137" i="18" s="1"/>
  <c r="E137" i="18" s="1"/>
  <c r="F137" i="18" a="1"/>
  <c r="F137" i="18" s="1"/>
  <c r="G138" i="18" l="1" a="1"/>
  <c r="G138" i="18" s="1"/>
  <c r="D138" i="18" a="1"/>
  <c r="D138" i="18" s="1"/>
  <c r="G139" i="18" l="1" a="1"/>
  <c r="G139" i="18" s="1"/>
  <c r="F139" i="18" a="1"/>
  <c r="F139" i="18" s="1"/>
  <c r="D139" i="18" a="1"/>
  <c r="D139" i="18" s="1"/>
  <c r="E139" i="18" l="1"/>
  <c r="G140" i="18" a="1"/>
  <c r="G140" i="18" s="1"/>
  <c r="F140" i="18" a="1"/>
  <c r="F140" i="18" s="1"/>
  <c r="D140" i="18" a="1"/>
  <c r="D140" i="18" s="1"/>
  <c r="E140" i="18" s="1"/>
  <c r="D141" i="18" l="1" a="1"/>
  <c r="D141" i="18" s="1"/>
  <c r="G141" i="18" a="1"/>
  <c r="G141" i="18" s="1"/>
  <c r="F141" i="18" a="1"/>
  <c r="F141" i="18" s="1"/>
  <c r="E141" i="18" l="1"/>
  <c r="F142" i="18" a="1"/>
  <c r="F142" i="18" s="1"/>
  <c r="G142" i="18" a="1"/>
  <c r="G142" i="18" s="1"/>
  <c r="D142" i="18" a="1"/>
  <c r="D142" i="18" s="1"/>
  <c r="E142" i="18" s="1"/>
  <c r="D143" i="18" l="1" a="1"/>
  <c r="D143" i="18" s="1"/>
  <c r="F143" i="18" a="1"/>
  <c r="F143" i="18" s="1"/>
  <c r="G143" i="18" a="1"/>
  <c r="G143" i="18" s="1"/>
  <c r="E143" i="18" l="1"/>
  <c r="G144" i="18" a="1"/>
  <c r="G144" i="18" s="1"/>
  <c r="F144" i="18" a="1"/>
  <c r="F144" i="18" s="1"/>
  <c r="D144" i="18" a="1"/>
  <c r="D144" i="18" s="1"/>
  <c r="E144" i="18" s="1"/>
  <c r="D145" i="18" l="1" a="1"/>
  <c r="D145" i="18" s="1"/>
  <c r="G145" i="18" a="1"/>
  <c r="G145" i="18" s="1"/>
  <c r="G146" i="18" l="1" a="1"/>
  <c r="G146" i="18" s="1"/>
  <c r="D146" i="18" a="1"/>
  <c r="D146" i="18" s="1"/>
  <c r="F146" i="18" a="1"/>
  <c r="F146" i="18" s="1"/>
  <c r="E146" i="18" l="1"/>
  <c r="D147" i="18" a="1"/>
  <c r="D147" i="18" s="1"/>
  <c r="G147" i="18" a="1"/>
  <c r="G147" i="18" s="1"/>
  <c r="F147" i="18" a="1"/>
  <c r="F147" i="18" s="1"/>
  <c r="E147" i="18" l="1"/>
  <c r="G148" i="18" a="1"/>
  <c r="G148" i="18" s="1"/>
  <c r="D148" i="18" a="1"/>
  <c r="D148" i="18" s="1"/>
  <c r="F148" i="18" a="1"/>
  <c r="F148" i="18" s="1"/>
  <c r="E148" i="18" l="1"/>
  <c r="D149" i="18" a="1"/>
  <c r="D149" i="18" s="1"/>
  <c r="E149" i="18" s="1"/>
  <c r="G149" i="18" a="1"/>
  <c r="G149" i="18" s="1"/>
  <c r="F149" i="18" a="1"/>
  <c r="F149" i="18" s="1"/>
  <c r="G150" i="18" l="1" a="1"/>
  <c r="G150" i="18" s="1"/>
  <c r="D150" i="18" a="1"/>
  <c r="D150" i="18" s="1"/>
  <c r="F150" i="18" a="1"/>
  <c r="F150" i="18" s="1"/>
  <c r="E150" i="18" l="1"/>
  <c r="F151" i="18" a="1"/>
  <c r="F151" i="18" s="1"/>
  <c r="G151" i="18" a="1"/>
  <c r="G151" i="18" s="1"/>
  <c r="D151" i="18" a="1"/>
  <c r="D151" i="18" s="1"/>
  <c r="E151" i="18" s="1"/>
  <c r="G152" i="18" l="1" a="1"/>
  <c r="G152" i="18" s="1"/>
  <c r="D152" i="18" a="1"/>
  <c r="D152" i="18" s="1"/>
  <c r="D153" i="18" l="1" a="1"/>
  <c r="D153" i="18" s="1"/>
  <c r="G153" i="18" a="1"/>
  <c r="G153" i="18" s="1"/>
  <c r="F153" i="18" a="1"/>
  <c r="F153" i="18" s="1"/>
  <c r="E153" i="18" l="1"/>
  <c r="D154" i="18" a="1"/>
  <c r="D154" i="18" s="1"/>
  <c r="E154" i="18" s="1"/>
  <c r="G154" i="18" a="1"/>
  <c r="G154" i="18" s="1"/>
  <c r="F154" i="18" a="1"/>
  <c r="F154" i="18" s="1"/>
  <c r="G155" i="18" l="1" a="1"/>
  <c r="G155" i="18" s="1"/>
  <c r="D155" i="18" a="1"/>
  <c r="D155" i="18" s="1"/>
  <c r="F155" i="18" a="1"/>
  <c r="F155" i="18" s="1"/>
  <c r="E155" i="18" l="1"/>
  <c r="F156" i="18" a="1"/>
  <c r="F156" i="18" s="1"/>
  <c r="D156" i="18" a="1"/>
  <c r="D156" i="18" s="1"/>
  <c r="E156" i="18" s="1"/>
  <c r="G156" i="18" a="1"/>
  <c r="G156" i="18" s="1"/>
  <c r="D157" i="18" l="1" a="1"/>
  <c r="D157" i="18" s="1"/>
  <c r="G157" i="18" a="1"/>
  <c r="G157" i="18" s="1"/>
  <c r="F157" i="18" a="1"/>
  <c r="F157" i="18" s="1"/>
  <c r="E157" i="18" l="1"/>
  <c r="G158" i="18" a="1"/>
  <c r="G158" i="18" s="1"/>
  <c r="D158" i="18" a="1"/>
  <c r="D158" i="18" s="1"/>
  <c r="E158" i="18" s="1"/>
  <c r="F158" i="18" a="1"/>
  <c r="F158" i="18" s="1"/>
  <c r="G159" i="18" l="1" a="1"/>
  <c r="G159" i="18" s="1"/>
  <c r="D159" i="18" a="1"/>
  <c r="D159" i="18" s="1"/>
  <c r="F160" i="18" l="1" a="1"/>
  <c r="F160" i="18" s="1"/>
  <c r="D160" i="18" a="1"/>
  <c r="D160" i="18" s="1"/>
  <c r="G160" i="18" a="1"/>
  <c r="G160" i="18" s="1"/>
  <c r="E160" i="18" l="1"/>
  <c r="F161" i="18" a="1"/>
  <c r="F161" i="18" s="1"/>
  <c r="D161" i="18" a="1"/>
  <c r="D161" i="18" s="1"/>
  <c r="G161" i="18" a="1"/>
  <c r="G161" i="18" s="1"/>
  <c r="E161" i="18" l="1"/>
  <c r="G162" i="18" a="1"/>
  <c r="G162" i="18" s="1"/>
  <c r="F162" i="18" a="1"/>
  <c r="F162" i="18" s="1"/>
  <c r="D162" i="18" a="1"/>
  <c r="D162" i="18" s="1"/>
  <c r="E162" i="18" l="1"/>
  <c r="D163" i="18" a="1"/>
  <c r="D163" i="18" s="1"/>
  <c r="G163" i="18" a="1"/>
  <c r="G163" i="18" s="1"/>
  <c r="N75" i="2" l="1"/>
  <c r="O75" i="2" s="1"/>
  <c r="M91" i="2" s="1" a="1"/>
  <c r="M91" i="2" s="1"/>
  <c r="N91" i="2" s="1"/>
  <c r="O91" i="2" s="1"/>
  <c r="M107" i="2" s="1" a="1"/>
  <c r="M107" i="2" s="1"/>
  <c r="N107" i="2" s="1"/>
  <c r="O107" i="2" s="1"/>
  <c r="I7" i="1"/>
  <c r="F172" i="18" a="1"/>
  <c r="F172" i="18" s="1"/>
  <c r="M69" i="2" a="1"/>
  <c r="M69" i="2" s="1"/>
  <c r="N69" i="2" s="1"/>
  <c r="O69" i="2" s="1"/>
  <c r="M77" i="2" s="1" a="1"/>
  <c r="M77" i="2" s="1"/>
  <c r="M70" i="2" a="1"/>
  <c r="M70" i="2" s="1"/>
  <c r="N70" i="2" s="1"/>
  <c r="O70" i="2" s="1"/>
  <c r="M71" i="2" a="1"/>
  <c r="M71" i="2" s="1"/>
  <c r="N71" i="2" s="1"/>
  <c r="O71" i="2" s="1"/>
  <c r="M79" i="2" s="1" a="1"/>
  <c r="M79" i="2" s="1"/>
  <c r="Q79" i="2" s="1"/>
  <c r="S79" i="2" s="1"/>
  <c r="M72" i="2" a="1"/>
  <c r="M72" i="2" s="1"/>
  <c r="N72" i="2" s="1"/>
  <c r="O72" i="2" s="1"/>
  <c r="M88" i="2" s="1" a="1"/>
  <c r="M88" i="2" s="1"/>
  <c r="N88" i="2" s="1"/>
  <c r="O88" i="2" s="1"/>
  <c r="M73" i="2" a="1"/>
  <c r="M73" i="2" s="1"/>
  <c r="N73" i="2" s="1"/>
  <c r="O73" i="2" s="1"/>
  <c r="M74" i="2" a="1"/>
  <c r="M74" i="2" s="1"/>
  <c r="N74" i="2" s="1"/>
  <c r="O74" i="2" s="1"/>
  <c r="M90" i="2" s="1" a="1"/>
  <c r="M90" i="2" s="1"/>
  <c r="N90" i="2" s="1"/>
  <c r="O90" i="2" s="1"/>
  <c r="M98" i="2" s="1" a="1"/>
  <c r="M98" i="2" s="1"/>
  <c r="Q98" i="2" s="1"/>
  <c r="S98" i="2" s="1"/>
  <c r="M76" i="2" a="1"/>
  <c r="M76" i="2" s="1"/>
  <c r="N76" i="2" s="1"/>
  <c r="O76" i="2" s="1"/>
  <c r="M83" i="2" a="1"/>
  <c r="M83" i="2" s="1"/>
  <c r="N83" i="2" s="1"/>
  <c r="E172" i="18" l="1"/>
  <c r="C172" i="18"/>
  <c r="I132" i="18" a="1"/>
  <c r="I132" i="18" s="1"/>
  <c r="H132" i="18" s="1"/>
  <c r="I134" i="18" a="1"/>
  <c r="I134" i="18" s="1"/>
  <c r="H134" i="18" s="1"/>
  <c r="I191" i="18" a="1"/>
  <c r="I191" i="18" s="1"/>
  <c r="H191" i="18" s="1"/>
  <c r="F191" i="18" a="1"/>
  <c r="F191" i="18" s="1"/>
  <c r="E191" i="18" s="1"/>
  <c r="N98" i="2"/>
  <c r="I18" i="11" a="1"/>
  <c r="I18" i="11" s="1"/>
  <c r="J18" i="11" s="1"/>
  <c r="K18" i="11" s="1"/>
  <c r="F173" i="18" a="1"/>
  <c r="F173" i="18" s="1"/>
  <c r="E173" i="18" s="1"/>
  <c r="F132" i="18" a="1"/>
  <c r="F132" i="18" s="1"/>
  <c r="E132" i="18" s="1"/>
  <c r="I137" i="18" a="1"/>
  <c r="I137" i="18" s="1"/>
  <c r="C137" i="18" s="1"/>
  <c r="N79" i="2"/>
  <c r="I135" i="18" a="1"/>
  <c r="I135" i="18" s="1"/>
  <c r="C135" i="18" s="1"/>
  <c r="R98" i="2"/>
  <c r="I136" i="18" a="1"/>
  <c r="I136" i="18" s="1"/>
  <c r="C136" i="18" s="1"/>
  <c r="R79" i="2"/>
  <c r="I173" i="18" a="1"/>
  <c r="I173" i="18" s="1"/>
  <c r="I133" i="18" a="1"/>
  <c r="I133" i="18" s="1"/>
  <c r="M123" i="2" a="1"/>
  <c r="M123" i="2" s="1"/>
  <c r="N123" i="2" s="1"/>
  <c r="O123" i="2" s="1"/>
  <c r="M131" i="2" s="1" a="1"/>
  <c r="M131" i="2" s="1"/>
  <c r="Q77" i="2"/>
  <c r="R77" i="2" s="1"/>
  <c r="N77" i="2"/>
  <c r="M85" i="2" a="1"/>
  <c r="M85" i="2" s="1"/>
  <c r="N85" i="2" s="1"/>
  <c r="O85" i="2" s="1"/>
  <c r="M101" i="2" s="1" a="1"/>
  <c r="M101" i="2" s="1"/>
  <c r="N101" i="2" s="1"/>
  <c r="O101" i="2" s="1"/>
  <c r="M86" i="2" a="1"/>
  <c r="M86" i="2" s="1"/>
  <c r="N86" i="2" s="1"/>
  <c r="O86" i="2" s="1"/>
  <c r="M106" i="2" a="1"/>
  <c r="M106" i="2" s="1"/>
  <c r="N106" i="2" s="1"/>
  <c r="O106" i="2" s="1"/>
  <c r="M84" i="2" a="1"/>
  <c r="M84" i="2" s="1"/>
  <c r="M104" i="2" a="1"/>
  <c r="M104" i="2" s="1"/>
  <c r="N104" i="2" s="1"/>
  <c r="O104" i="2" s="1"/>
  <c r="M82" i="2" a="1"/>
  <c r="M82" i="2" s="1"/>
  <c r="Q83" i="2"/>
  <c r="S83" i="2" s="1"/>
  <c r="M89" i="2" a="1"/>
  <c r="M89" i="2" s="1"/>
  <c r="N89" i="2" s="1"/>
  <c r="O89" i="2" s="1"/>
  <c r="M105" i="2" s="1" a="1"/>
  <c r="M105" i="2" s="1"/>
  <c r="N105" i="2" s="1"/>
  <c r="O105" i="2" s="1"/>
  <c r="M81" i="2" a="1"/>
  <c r="M81" i="2" s="1"/>
  <c r="M92" i="2" a="1"/>
  <c r="M92" i="2" s="1"/>
  <c r="N92" i="2" s="1"/>
  <c r="O92" i="2" s="1"/>
  <c r="M80" i="2" a="1"/>
  <c r="M80" i="2" s="1"/>
  <c r="M96" i="2" a="1"/>
  <c r="M96" i="2" s="1"/>
  <c r="M115" i="2" a="1"/>
  <c r="M115" i="2" s="1"/>
  <c r="M99" i="2" a="1"/>
  <c r="M99" i="2" s="1"/>
  <c r="M87" i="2" a="1"/>
  <c r="M87" i="2" s="1"/>
  <c r="N87" i="2" s="1"/>
  <c r="O87" i="2" s="1"/>
  <c r="M103" i="2" s="1" a="1"/>
  <c r="M103" i="2" s="1"/>
  <c r="N103" i="2" s="1"/>
  <c r="O103" i="2" s="1"/>
  <c r="C191" i="18" l="1"/>
  <c r="C134" i="18"/>
  <c r="C132" i="18"/>
  <c r="H137" i="18"/>
  <c r="H136" i="18"/>
  <c r="H135" i="18"/>
  <c r="H133" i="18"/>
  <c r="C133" i="18"/>
  <c r="C173" i="18"/>
  <c r="H173" i="18"/>
  <c r="M139" i="2" a="1"/>
  <c r="M139" i="2" s="1"/>
  <c r="N139" i="2" s="1"/>
  <c r="O139" i="2" s="1"/>
  <c r="M147" i="2" s="1" a="1"/>
  <c r="M147" i="2" s="1"/>
  <c r="N147" i="2" s="1"/>
  <c r="O147" i="2" s="1"/>
  <c r="M93" i="2" a="1"/>
  <c r="M93" i="2" s="1"/>
  <c r="Q93" i="2" s="1"/>
  <c r="Q96" i="2"/>
  <c r="S96" i="2" s="1"/>
  <c r="N96" i="2"/>
  <c r="M121" i="2" a="1"/>
  <c r="M121" i="2" s="1"/>
  <c r="N121" i="2" s="1"/>
  <c r="O121" i="2" s="1"/>
  <c r="M137" i="2" s="1" a="1"/>
  <c r="M137" i="2" s="1"/>
  <c r="N137" i="2" s="1"/>
  <c r="O137" i="2" s="1"/>
  <c r="Q10" i="1" s="1"/>
  <c r="M113" i="2" a="1"/>
  <c r="M113" i="2" s="1"/>
  <c r="Q82" i="2"/>
  <c r="S82" i="2" s="1"/>
  <c r="N82" i="2"/>
  <c r="N131" i="2"/>
  <c r="Q131" i="2"/>
  <c r="S131" i="2" s="1"/>
  <c r="Q80" i="2"/>
  <c r="S80" i="2" s="1"/>
  <c r="N80" i="2"/>
  <c r="M122" i="2" a="1"/>
  <c r="M122" i="2" s="1"/>
  <c r="N122" i="2" s="1"/>
  <c r="O122" i="2" s="1"/>
  <c r="M138" i="2" s="1" a="1"/>
  <c r="M138" i="2" s="1"/>
  <c r="N138" i="2" s="1"/>
  <c r="O138" i="2" s="1"/>
  <c r="M114" i="2" a="1"/>
  <c r="M114" i="2" s="1"/>
  <c r="C22" i="11" a="1"/>
  <c r="C22" i="11" s="1"/>
  <c r="D22" i="11" s="1"/>
  <c r="E22" i="11" s="1"/>
  <c r="F174" i="18" a="1"/>
  <c r="F174" i="18" s="1"/>
  <c r="E174" i="18" s="1"/>
  <c r="I139" i="18" a="1"/>
  <c r="I139" i="18" s="1"/>
  <c r="I143" i="18" a="1"/>
  <c r="I143" i="18" s="1"/>
  <c r="I174" i="18" a="1"/>
  <c r="I174" i="18" s="1"/>
  <c r="I140" i="18" a="1"/>
  <c r="I140" i="18" s="1"/>
  <c r="I144" i="18" a="1"/>
  <c r="I144" i="18" s="1"/>
  <c r="I141" i="18" a="1"/>
  <c r="I141" i="18" s="1"/>
  <c r="M109" i="2" a="1"/>
  <c r="M109" i="2" s="1"/>
  <c r="F138" i="18" a="1"/>
  <c r="F138" i="18" s="1"/>
  <c r="E138" i="18" s="1"/>
  <c r="M117" i="2" a="1"/>
  <c r="M117" i="2" s="1"/>
  <c r="N117" i="2" s="1"/>
  <c r="O117" i="2" s="1"/>
  <c r="I138" i="18" a="1"/>
  <c r="I138" i="18" s="1"/>
  <c r="I142" i="18" a="1"/>
  <c r="I142" i="18" s="1"/>
  <c r="M112" i="2" a="1"/>
  <c r="M112" i="2" s="1"/>
  <c r="M120" i="2" a="1"/>
  <c r="M120" i="2" s="1"/>
  <c r="N120" i="2" s="1"/>
  <c r="O120" i="2" s="1"/>
  <c r="M136" i="2" s="1" a="1"/>
  <c r="M136" i="2" s="1"/>
  <c r="N136" i="2" s="1"/>
  <c r="O136" i="2" s="1"/>
  <c r="M102" i="2" a="1"/>
  <c r="M102" i="2" s="1"/>
  <c r="N102" i="2" s="1"/>
  <c r="O102" i="2" s="1"/>
  <c r="S77" i="2"/>
  <c r="M100" i="2" a="1"/>
  <c r="M100" i="2" s="1"/>
  <c r="M108" i="2" a="1"/>
  <c r="M108" i="2" s="1"/>
  <c r="N108" i="2" s="1"/>
  <c r="O108" i="2" s="1"/>
  <c r="M116" i="2" s="1" a="1"/>
  <c r="M116" i="2" s="1"/>
  <c r="M94" i="2" a="1"/>
  <c r="M94" i="2" s="1"/>
  <c r="Q84" i="2"/>
  <c r="S84" i="2" s="1"/>
  <c r="N84" i="2"/>
  <c r="N93" i="2"/>
  <c r="Q99" i="2"/>
  <c r="S99" i="2" s="1"/>
  <c r="N99" i="2"/>
  <c r="N115" i="2"/>
  <c r="Q115" i="2"/>
  <c r="S115" i="2" s="1"/>
  <c r="M111" i="2" a="1"/>
  <c r="M111" i="2" s="1"/>
  <c r="M119" i="2" a="1"/>
  <c r="M119" i="2" s="1"/>
  <c r="N119" i="2" s="1"/>
  <c r="O119" i="2" s="1"/>
  <c r="M135" i="2" s="1" a="1"/>
  <c r="M135" i="2" s="1"/>
  <c r="N135" i="2" s="1"/>
  <c r="O135" i="2" s="1"/>
  <c r="M95" i="2" a="1"/>
  <c r="M95" i="2" s="1"/>
  <c r="M97" i="2" a="1"/>
  <c r="M97" i="2" s="1"/>
  <c r="R83" i="2"/>
  <c r="N81" i="2"/>
  <c r="Q81" i="2"/>
  <c r="S81" i="2" s="1"/>
  <c r="M127" i="2" l="1" a="1"/>
  <c r="M127" i="2" s="1"/>
  <c r="Q127" i="2" s="1"/>
  <c r="S127" i="2" s="1"/>
  <c r="M129" i="2" a="1"/>
  <c r="M129" i="2" s="1"/>
  <c r="N129" i="2" s="1"/>
  <c r="Z12" i="1" a="1"/>
  <c r="Z12" i="1" s="1"/>
  <c r="AA12" i="1" s="1"/>
  <c r="S93" i="2"/>
  <c r="R93" i="2"/>
  <c r="M130" i="2" a="1"/>
  <c r="M130" i="2" s="1"/>
  <c r="Q130" i="2" s="1"/>
  <c r="S130" i="2" s="1"/>
  <c r="R80" i="2"/>
  <c r="M146" i="2" a="1"/>
  <c r="M146" i="2" s="1"/>
  <c r="N146" i="2" s="1"/>
  <c r="O146" i="2" s="1"/>
  <c r="X11" i="1" s="1" a="1"/>
  <c r="X11" i="1" s="1"/>
  <c r="Y11" i="1" s="1"/>
  <c r="Q11" i="1"/>
  <c r="I145" i="18" a="1"/>
  <c r="I145" i="18" s="1"/>
  <c r="H145" i="18" s="1"/>
  <c r="R82" i="2"/>
  <c r="R115" i="2"/>
  <c r="I149" i="18" a="1"/>
  <c r="I149" i="18" s="1"/>
  <c r="H149" i="18" s="1"/>
  <c r="W11" i="1" a="1"/>
  <c r="W11" i="1" s="1"/>
  <c r="X12" i="1" a="1"/>
  <c r="X12" i="1" s="1"/>
  <c r="Y12" i="1" s="1"/>
  <c r="R12" i="1"/>
  <c r="W10" i="1" a="1"/>
  <c r="W10" i="1" s="1"/>
  <c r="Q12" i="1"/>
  <c r="I11" i="5"/>
  <c r="H11" i="5" s="1"/>
  <c r="J12" i="1"/>
  <c r="I12" i="1" s="1"/>
  <c r="W12" i="1" a="1"/>
  <c r="W12" i="1" s="1"/>
  <c r="W9" i="1" a="1"/>
  <c r="W9" i="1" s="1"/>
  <c r="Q111" i="2"/>
  <c r="S111" i="2" s="1"/>
  <c r="N111" i="2"/>
  <c r="M125" i="2" a="1"/>
  <c r="M125" i="2" s="1"/>
  <c r="C142" i="18"/>
  <c r="H142" i="18"/>
  <c r="N97" i="2"/>
  <c r="Q97" i="2"/>
  <c r="S97" i="2" s="1"/>
  <c r="M124" i="2" a="1"/>
  <c r="M124" i="2" s="1"/>
  <c r="N124" i="2" s="1"/>
  <c r="O124" i="2" s="1"/>
  <c r="M144" i="2" a="1"/>
  <c r="M144" i="2" s="1"/>
  <c r="N144" i="2" s="1"/>
  <c r="O144" i="2" s="1"/>
  <c r="I8" i="5" s="1"/>
  <c r="H8" i="5" s="1"/>
  <c r="C138" i="18"/>
  <c r="H138" i="18"/>
  <c r="I150" i="18" a="1"/>
  <c r="I150" i="18" s="1"/>
  <c r="I148" i="18" a="1"/>
  <c r="I148" i="18" s="1"/>
  <c r="Q95" i="2"/>
  <c r="S95" i="2" s="1"/>
  <c r="N95" i="2"/>
  <c r="Q8" i="1"/>
  <c r="I146" i="18" a="1"/>
  <c r="I146" i="18" s="1"/>
  <c r="R131" i="2"/>
  <c r="R96" i="2"/>
  <c r="W8" i="1" a="1"/>
  <c r="W8" i="1" s="1"/>
  <c r="R81" i="2"/>
  <c r="Q116" i="2"/>
  <c r="S116" i="2" s="1"/>
  <c r="N116" i="2"/>
  <c r="M128" i="2" a="1"/>
  <c r="M128" i="2" s="1"/>
  <c r="I175" i="18" a="1"/>
  <c r="I175" i="18" s="1"/>
  <c r="H143" i="18"/>
  <c r="C143" i="18"/>
  <c r="F145" i="18" a="1"/>
  <c r="F145" i="18" s="1"/>
  <c r="E145" i="18" s="1"/>
  <c r="Q113" i="2"/>
  <c r="S113" i="2" s="1"/>
  <c r="N113" i="2"/>
  <c r="Q94" i="2"/>
  <c r="S94" i="2" s="1"/>
  <c r="N94" i="2"/>
  <c r="Q100" i="2"/>
  <c r="S100" i="2" s="1"/>
  <c r="N100" i="2"/>
  <c r="I151" i="18" a="1"/>
  <c r="I151" i="18" s="1"/>
  <c r="Q109" i="2"/>
  <c r="S109" i="2" s="1"/>
  <c r="N109" i="2"/>
  <c r="C144" i="18"/>
  <c r="H144" i="18"/>
  <c r="C174" i="18"/>
  <c r="H174" i="18"/>
  <c r="H139" i="18"/>
  <c r="C139" i="18"/>
  <c r="C29" i="11" a="1"/>
  <c r="C29" i="11" s="1"/>
  <c r="D29" i="11" s="1"/>
  <c r="E29" i="11" s="1"/>
  <c r="M145" i="2" a="1"/>
  <c r="M145" i="2" s="1"/>
  <c r="N145" i="2" s="1"/>
  <c r="O145" i="2" s="1"/>
  <c r="M143" i="2" a="1"/>
  <c r="M143" i="2" s="1"/>
  <c r="N143" i="2" s="1"/>
  <c r="O143" i="2" s="1"/>
  <c r="I7" i="5" s="1"/>
  <c r="H7" i="5" s="1"/>
  <c r="N112" i="2"/>
  <c r="Q112" i="2"/>
  <c r="S112" i="2" s="1"/>
  <c r="C141" i="18"/>
  <c r="H141" i="18"/>
  <c r="C140" i="18"/>
  <c r="H140" i="18"/>
  <c r="M110" i="2" a="1"/>
  <c r="M110" i="2" s="1"/>
  <c r="R84" i="2"/>
  <c r="I147" i="18" a="1"/>
  <c r="I147" i="18" s="1"/>
  <c r="Q114" i="2"/>
  <c r="S114" i="2" s="1"/>
  <c r="N114" i="2"/>
  <c r="F175" i="18" a="1"/>
  <c r="F175" i="18" s="1"/>
  <c r="E175" i="18" s="1"/>
  <c r="Q9" i="1"/>
  <c r="R99" i="2"/>
  <c r="M118" i="2" a="1"/>
  <c r="M118" i="2" s="1"/>
  <c r="N118" i="2" s="1"/>
  <c r="O118" i="2" s="1"/>
  <c r="M133" i="2" a="1"/>
  <c r="M133" i="2" s="1"/>
  <c r="N133" i="2" s="1"/>
  <c r="O133" i="2" s="1"/>
  <c r="W6" i="1" s="1" a="1"/>
  <c r="W6" i="1" s="1"/>
  <c r="Q129" i="2" l="1"/>
  <c r="S129" i="2" s="1"/>
  <c r="Z10" i="1" s="1" a="1"/>
  <c r="Z10" i="1" s="1"/>
  <c r="AA10" i="1" s="1"/>
  <c r="F152" i="18" a="1"/>
  <c r="F152" i="18" s="1"/>
  <c r="E152" i="18" s="1"/>
  <c r="N127" i="2"/>
  <c r="C149" i="18"/>
  <c r="N130" i="2"/>
  <c r="J11" i="1"/>
  <c r="I11" i="1" s="1"/>
  <c r="R11" i="1"/>
  <c r="I10" i="5"/>
  <c r="H10" i="5" s="1"/>
  <c r="F10" i="5" s="1"/>
  <c r="C145" i="18"/>
  <c r="J9" i="1"/>
  <c r="I9" i="1" s="1"/>
  <c r="Z11" i="1" a="1"/>
  <c r="Z11" i="1" s="1"/>
  <c r="AA11" i="1" s="1"/>
  <c r="R113" i="2"/>
  <c r="R100" i="2"/>
  <c r="R111" i="2"/>
  <c r="R109" i="2"/>
  <c r="R127" i="2"/>
  <c r="J8" i="1"/>
  <c r="I8" i="1" s="1"/>
  <c r="F11" i="5"/>
  <c r="K11" i="5"/>
  <c r="F8" i="5"/>
  <c r="K8" i="5"/>
  <c r="F7" i="5"/>
  <c r="K7" i="5"/>
  <c r="I158" i="18" a="1"/>
  <c r="I158" i="18" s="1"/>
  <c r="H150" i="18"/>
  <c r="C150" i="18"/>
  <c r="R114" i="2"/>
  <c r="I176" i="18" a="1"/>
  <c r="I176" i="18" s="1"/>
  <c r="I155" i="18" a="1"/>
  <c r="I155" i="18" s="1"/>
  <c r="Q125" i="2"/>
  <c r="S125" i="2" s="1"/>
  <c r="Z6" i="1" s="1" a="1"/>
  <c r="Z6" i="1" s="1"/>
  <c r="AA6" i="1" s="1"/>
  <c r="N125" i="2"/>
  <c r="R112" i="2"/>
  <c r="I153" i="18" a="1"/>
  <c r="I153" i="18" s="1"/>
  <c r="R94" i="2"/>
  <c r="I157" i="18" a="1"/>
  <c r="I157" i="18" s="1"/>
  <c r="R116" i="2"/>
  <c r="C36" i="11" a="1"/>
  <c r="C36" i="11" s="1"/>
  <c r="D36" i="11" s="1"/>
  <c r="E36" i="11" s="1"/>
  <c r="N110" i="2"/>
  <c r="Q110" i="2"/>
  <c r="R110" i="2" s="1"/>
  <c r="X10" i="1" a="1"/>
  <c r="X10" i="1" s="1"/>
  <c r="Y10" i="1" s="1"/>
  <c r="R10" i="1"/>
  <c r="I9" i="5"/>
  <c r="H9" i="5" s="1"/>
  <c r="J10" i="1"/>
  <c r="I10" i="1" s="1"/>
  <c r="F176" i="18" a="1"/>
  <c r="F176" i="18" s="1"/>
  <c r="E176" i="18" s="1"/>
  <c r="I154" i="18" a="1"/>
  <c r="I154" i="18" s="1"/>
  <c r="M141" i="2" a="1"/>
  <c r="M141" i="2" s="1"/>
  <c r="N141" i="2" s="1"/>
  <c r="O141" i="2" s="1"/>
  <c r="I5" i="5" s="1"/>
  <c r="H151" i="18"/>
  <c r="C151" i="18"/>
  <c r="Q6" i="1"/>
  <c r="I156" i="18" a="1"/>
  <c r="I156" i="18" s="1"/>
  <c r="M126" i="2" a="1"/>
  <c r="M126" i="2" s="1"/>
  <c r="C175" i="18"/>
  <c r="H175" i="18"/>
  <c r="H146" i="18"/>
  <c r="C146" i="18"/>
  <c r="H148" i="18"/>
  <c r="C148" i="18"/>
  <c r="X9" i="1" a="1"/>
  <c r="X9" i="1" s="1"/>
  <c r="Y9" i="1" s="1"/>
  <c r="R9" i="1"/>
  <c r="R97" i="2"/>
  <c r="H147" i="18"/>
  <c r="C147" i="18"/>
  <c r="R8" i="1"/>
  <c r="X8" i="1" a="1"/>
  <c r="X8" i="1" s="1"/>
  <c r="Y8" i="1" s="1"/>
  <c r="R130" i="2"/>
  <c r="R95" i="2"/>
  <c r="M134" i="2" a="1"/>
  <c r="M134" i="2" s="1"/>
  <c r="N134" i="2" s="1"/>
  <c r="O134" i="2" s="1"/>
  <c r="Q128" i="2"/>
  <c r="S128" i="2" s="1"/>
  <c r="Z9" i="1" s="1" a="1"/>
  <c r="Z9" i="1" s="1"/>
  <c r="AA9" i="1" s="1"/>
  <c r="N128" i="2"/>
  <c r="I152" i="18" a="1"/>
  <c r="I152" i="18" s="1"/>
  <c r="Z8" i="1" a="1"/>
  <c r="Z8" i="1" s="1"/>
  <c r="AA8" i="1" s="1"/>
  <c r="M132" i="2" a="1"/>
  <c r="M132" i="2" s="1"/>
  <c r="M140" i="2" a="1"/>
  <c r="M140" i="2" s="1"/>
  <c r="N140" i="2" s="1"/>
  <c r="O140" i="2" s="1"/>
  <c r="Q13" i="1" s="1"/>
  <c r="R129" i="2" l="1"/>
  <c r="K10" i="5"/>
  <c r="R128" i="2"/>
  <c r="I162" i="18" a="1"/>
  <c r="I162" i="18" s="1"/>
  <c r="H162" i="18" s="1"/>
  <c r="I160" i="18" a="1"/>
  <c r="I160" i="18" s="1"/>
  <c r="H160" i="18" s="1"/>
  <c r="J6" i="1"/>
  <c r="I6" i="1" s="1"/>
  <c r="W13" i="1" a="1"/>
  <c r="W13" i="1" s="1"/>
  <c r="H5" i="5"/>
  <c r="H156" i="18"/>
  <c r="C156" i="18"/>
  <c r="H154" i="18"/>
  <c r="C154" i="18"/>
  <c r="I159" i="18" a="1"/>
  <c r="I159" i="18" s="1"/>
  <c r="I177" i="18" a="1"/>
  <c r="I177" i="18" s="1"/>
  <c r="F177" i="18" a="1"/>
  <c r="F177" i="18" s="1"/>
  <c r="E177" i="18" s="1"/>
  <c r="M148" i="2" a="1"/>
  <c r="M148" i="2" s="1"/>
  <c r="N148" i="2" s="1"/>
  <c r="O148" i="2" s="1"/>
  <c r="M142" i="2" a="1"/>
  <c r="M142" i="2" s="1"/>
  <c r="N142" i="2" s="1"/>
  <c r="O142" i="2" s="1"/>
  <c r="H157" i="18"/>
  <c r="C157" i="18"/>
  <c r="H155" i="18"/>
  <c r="C155" i="18"/>
  <c r="I161" i="18" a="1"/>
  <c r="I161" i="18" s="1"/>
  <c r="K9" i="5"/>
  <c r="F9" i="5"/>
  <c r="D68" i="18" a="1"/>
  <c r="D68" i="18" s="1"/>
  <c r="J10" i="18" s="1"/>
  <c r="Q7" i="1"/>
  <c r="Q4" i="1" s="1"/>
  <c r="H158" i="18"/>
  <c r="C158" i="18"/>
  <c r="N126" i="2"/>
  <c r="Q126" i="2"/>
  <c r="S126" i="2" s="1"/>
  <c r="H153" i="18"/>
  <c r="C153" i="18"/>
  <c r="F159" i="18" a="1"/>
  <c r="F159" i="18" s="1"/>
  <c r="E159" i="18" s="1"/>
  <c r="Q132" i="2"/>
  <c r="S132" i="2" s="1"/>
  <c r="Z13" i="1" s="1" a="1"/>
  <c r="Z13" i="1" s="1"/>
  <c r="AA13" i="1" s="1"/>
  <c r="N132" i="2"/>
  <c r="X6" i="1" a="1"/>
  <c r="X6" i="1" s="1"/>
  <c r="Y6" i="1" s="1"/>
  <c r="R6" i="1"/>
  <c r="R125" i="2"/>
  <c r="C43" i="11" a="1"/>
  <c r="C43" i="11" s="1"/>
  <c r="D43" i="11" s="1"/>
  <c r="E43" i="11" s="1"/>
  <c r="H152" i="18"/>
  <c r="C152" i="18"/>
  <c r="S110" i="2"/>
  <c r="W7" i="1" a="1"/>
  <c r="W7" i="1" s="1"/>
  <c r="C176" i="18"/>
  <c r="H176" i="18"/>
  <c r="J13" i="1" l="1"/>
  <c r="I13" i="1" s="1"/>
  <c r="C64" i="18" a="1"/>
  <c r="C64" i="18" s="1"/>
  <c r="C62" i="18" s="1"/>
  <c r="F178" i="18" a="1"/>
  <c r="F178" i="18" s="1"/>
  <c r="E178" i="18" s="1"/>
  <c r="F163" i="18" a="1"/>
  <c r="F163" i="18" s="1"/>
  <c r="E163" i="18" s="1"/>
  <c r="E10" i="11"/>
  <c r="E12" i="11" s="1"/>
  <c r="E14" i="11" s="1"/>
  <c r="C47" i="11" a="1"/>
  <c r="C47" i="11" s="1"/>
  <c r="D47" i="11" s="1"/>
  <c r="E47" i="11" s="1"/>
  <c r="D10" i="11"/>
  <c r="D12" i="11" s="1"/>
  <c r="D14" i="11" s="1"/>
  <c r="I178" i="18" a="1"/>
  <c r="I178" i="18" s="1"/>
  <c r="H178" i="18" s="1"/>
  <c r="F192" i="18" a="1"/>
  <c r="F192" i="18" s="1"/>
  <c r="E192" i="18" s="1"/>
  <c r="I17" i="11" a="1"/>
  <c r="I17" i="11" s="1"/>
  <c r="J17" i="11" s="1"/>
  <c r="K17" i="11" s="1"/>
  <c r="D70" i="18" a="1"/>
  <c r="D70" i="18" s="1"/>
  <c r="J12" i="18" s="1"/>
  <c r="Q3" i="2"/>
  <c r="Z7" i="1" a="1"/>
  <c r="Z7" i="1" s="1"/>
  <c r="AA7" i="1" s="1"/>
  <c r="B212" i="18" s="1" a="1"/>
  <c r="B212" i="18" s="1"/>
  <c r="C212" i="18" s="1"/>
  <c r="D69" i="18" a="1"/>
  <c r="D69" i="18" s="1"/>
  <c r="J11" i="18" s="1"/>
  <c r="C162" i="18"/>
  <c r="O3" i="2"/>
  <c r="I163" i="18" a="1"/>
  <c r="I163" i="18" s="1"/>
  <c r="C163" i="18" s="1"/>
  <c r="J7" i="1"/>
  <c r="C160" i="18"/>
  <c r="R126" i="2"/>
  <c r="I6" i="5"/>
  <c r="H6" i="5" s="1"/>
  <c r="B198" i="18" a="1"/>
  <c r="B198" i="18" s="1"/>
  <c r="B195" i="18" a="1"/>
  <c r="B195" i="18" s="1"/>
  <c r="B196" i="18" a="1"/>
  <c r="B196" i="18" s="1"/>
  <c r="B194" i="18" a="1"/>
  <c r="B194" i="18" s="1"/>
  <c r="B197" i="18" a="1"/>
  <c r="B197" i="18" s="1"/>
  <c r="C177" i="18"/>
  <c r="H177" i="18"/>
  <c r="H159" i="18"/>
  <c r="C159" i="18"/>
  <c r="R132" i="2"/>
  <c r="H161" i="18"/>
  <c r="C161" i="18"/>
  <c r="X7" i="1" a="1"/>
  <c r="X7" i="1" s="1"/>
  <c r="Y7" i="1" s="1"/>
  <c r="R7" i="1"/>
  <c r="C10" i="11"/>
  <c r="C12" i="11" s="1"/>
  <c r="C14" i="11" s="1"/>
  <c r="R13" i="1"/>
  <c r="X13" i="1" a="1"/>
  <c r="X13" i="1" s="1"/>
  <c r="Y13" i="1" s="1"/>
  <c r="I12" i="5"/>
  <c r="H12" i="5" s="1"/>
  <c r="I192" i="18" a="1"/>
  <c r="I192" i="18" s="1"/>
  <c r="K5" i="5"/>
  <c r="F5" i="5"/>
  <c r="K6" i="5" l="1"/>
  <c r="F6" i="5"/>
  <c r="J4" i="1"/>
  <c r="C178" i="18"/>
  <c r="B214" i="18" a="1"/>
  <c r="B214" i="18" s="1"/>
  <c r="D214" i="18" s="1"/>
  <c r="B216" i="18" a="1"/>
  <c r="B216" i="18" s="1"/>
  <c r="C216" i="18" s="1"/>
  <c r="B215" i="18" a="1"/>
  <c r="B215" i="18" s="1"/>
  <c r="D215" i="18" s="1"/>
  <c r="D212" i="18"/>
  <c r="F212" i="18" s="1"/>
  <c r="B213" i="18" a="1"/>
  <c r="B213" i="18" s="1"/>
  <c r="I212" i="18"/>
  <c r="H163" i="18"/>
  <c r="R4" i="1"/>
  <c r="E194" i="18"/>
  <c r="D194" i="18"/>
  <c r="C194" i="18"/>
  <c r="I3" i="5"/>
  <c r="B200" i="18" a="1"/>
  <c r="B200" i="18" s="1"/>
  <c r="C192" i="18"/>
  <c r="H192" i="18"/>
  <c r="B202" i="18" a="1"/>
  <c r="B202" i="18" s="1"/>
  <c r="C196" i="18"/>
  <c r="D196" i="18"/>
  <c r="E196" i="18"/>
  <c r="F12" i="5"/>
  <c r="K12" i="5"/>
  <c r="K3" i="5" s="1"/>
  <c r="B204" i="18" a="1"/>
  <c r="B204" i="18" s="1"/>
  <c r="B203" i="18" a="1"/>
  <c r="B203" i="18" s="1"/>
  <c r="D195" i="18"/>
  <c r="C195" i="18"/>
  <c r="E195" i="18"/>
  <c r="B201" i="18" a="1"/>
  <c r="B201" i="18" s="1"/>
  <c r="E198" i="18"/>
  <c r="C198" i="18"/>
  <c r="D198" i="18"/>
  <c r="C197" i="18"/>
  <c r="D197" i="18"/>
  <c r="E197" i="18"/>
  <c r="F3" i="5" l="1"/>
  <c r="I214" i="18"/>
  <c r="E214" i="18" s="1"/>
  <c r="E212" i="18"/>
  <c r="C214" i="18"/>
  <c r="C215" i="18"/>
  <c r="I216" i="18"/>
  <c r="D216" i="18"/>
  <c r="F216" i="18" s="1"/>
  <c r="I215" i="18"/>
  <c r="E215" i="18" s="1"/>
  <c r="C213" i="18"/>
  <c r="D213" i="18"/>
  <c r="I213" i="18"/>
  <c r="F195" i="18"/>
  <c r="D203" i="18"/>
  <c r="C203" i="18"/>
  <c r="E203" i="18"/>
  <c r="F203" i="18" s="1"/>
  <c r="F196" i="18"/>
  <c r="F214" i="18"/>
  <c r="F198" i="18"/>
  <c r="C201" i="18"/>
  <c r="D201" i="18"/>
  <c r="E201" i="18"/>
  <c r="F201" i="18" s="1"/>
  <c r="E202" i="18"/>
  <c r="F202" i="18" s="1"/>
  <c r="C202" i="18"/>
  <c r="D202" i="18"/>
  <c r="F215" i="18"/>
  <c r="F194" i="18"/>
  <c r="G194" i="18" s="1"/>
  <c r="F197" i="18"/>
  <c r="C204" i="18"/>
  <c r="D204" i="18"/>
  <c r="E204" i="18"/>
  <c r="F204" i="18" s="1"/>
  <c r="E200" i="18"/>
  <c r="F200" i="18" s="1"/>
  <c r="C200" i="18"/>
  <c r="D200" i="18"/>
  <c r="E216" i="18" l="1"/>
  <c r="E213" i="18"/>
  <c r="F213" i="18"/>
  <c r="G214" i="18" s="1"/>
  <c r="G200" i="18"/>
  <c r="H200" i="18" s="1"/>
  <c r="G197" i="18"/>
  <c r="G201" i="18"/>
  <c r="G198" i="18"/>
  <c r="G196" i="18"/>
  <c r="G202" i="18"/>
  <c r="G203" i="18"/>
  <c r="G212" i="18"/>
  <c r="H212" i="18" s="1"/>
  <c r="G204" i="18"/>
  <c r="G195" i="18"/>
  <c r="B39" i="18" s="1" a="1"/>
  <c r="B39" i="18" s="1"/>
  <c r="E39" i="18" l="1" a="1"/>
  <c r="E39" i="18" s="1"/>
  <c r="D39" i="18" a="1"/>
  <c r="D39" i="18" s="1"/>
  <c r="H201" i="18"/>
  <c r="F39" i="18" s="1" a="1"/>
  <c r="F39" i="18" s="1"/>
  <c r="H202" i="18"/>
  <c r="H203" i="18"/>
  <c r="G213" i="18"/>
  <c r="H214" i="18" s="1"/>
  <c r="G215" i="18"/>
  <c r="G216" i="18"/>
  <c r="H204" i="18"/>
  <c r="D38" i="18" a="1"/>
  <c r="D38" i="18" s="1"/>
  <c r="E38" i="18" a="1"/>
  <c r="E38" i="18" s="1"/>
  <c r="B38" i="18" a="1"/>
  <c r="B38" i="18" s="1"/>
  <c r="D41" i="18" a="1"/>
  <c r="D41" i="18" s="1"/>
  <c r="B40" i="18" a="1"/>
  <c r="B40" i="18" s="1"/>
  <c r="D37" i="18" a="1"/>
  <c r="D37" i="18" s="1"/>
  <c r="B41" i="18" a="1"/>
  <c r="B41" i="18" s="1"/>
  <c r="E40" i="18" a="1"/>
  <c r="E40" i="18" s="1"/>
  <c r="D40" i="18" a="1"/>
  <c r="D40" i="18" s="1"/>
  <c r="B37" i="18" a="1"/>
  <c r="B37" i="18" s="1"/>
  <c r="E41" i="18" a="1"/>
  <c r="E41" i="18" s="1"/>
  <c r="E37" i="18" a="1"/>
  <c r="E37" i="18" s="1"/>
  <c r="F41" i="18" l="1" a="1"/>
  <c r="F41" i="18" s="1"/>
  <c r="I41" i="18" a="1"/>
  <c r="I41" i="18" s="1"/>
  <c r="J41" i="18" a="1"/>
  <c r="J41" i="18" s="1"/>
  <c r="I37" i="18" a="1"/>
  <c r="I37" i="18" s="1"/>
  <c r="I39" i="18" a="1"/>
  <c r="I39" i="18" s="1"/>
  <c r="F40" i="18" a="1"/>
  <c r="F40" i="18" s="1"/>
  <c r="J39" i="18" a="1"/>
  <c r="J39" i="18" s="1"/>
  <c r="J37" i="18" a="1"/>
  <c r="J37" i="18" s="1"/>
  <c r="J40" i="18" a="1"/>
  <c r="J40" i="18" s="1"/>
  <c r="H215" i="18"/>
  <c r="H216" i="18"/>
  <c r="H213" i="18"/>
  <c r="F38" i="18" a="1"/>
  <c r="F38" i="18" s="1"/>
  <c r="F37" i="18" a="1"/>
  <c r="F37" i="18" s="1"/>
  <c r="I40" i="18" a="1"/>
  <c r="I40" i="18" s="1"/>
  <c r="J38" i="18" a="1"/>
  <c r="J38" i="18" s="1"/>
  <c r="I38" i="18" a="1"/>
  <c r="I38" i="18" s="1"/>
  <c r="J49" i="18" l="1" a="1"/>
  <c r="J49" i="18" s="1"/>
  <c r="I46" i="18" a="1"/>
  <c r="I46" i="18" s="1"/>
  <c r="J46" i="18" a="1"/>
  <c r="J46" i="18" s="1"/>
  <c r="F46" i="18" a="1"/>
  <c r="F46" i="18" s="1"/>
  <c r="F49" i="18" a="1"/>
  <c r="F49" i="18" s="1"/>
  <c r="F47" i="18" a="1"/>
  <c r="F47" i="18" s="1"/>
  <c r="I47" i="18" a="1"/>
  <c r="I47" i="18" s="1"/>
  <c r="F48" i="18" a="1"/>
  <c r="F48" i="18" s="1"/>
  <c r="I49" i="18" a="1"/>
  <c r="I49" i="18" s="1"/>
  <c r="F45" i="18" a="1"/>
  <c r="F45" i="18" s="1"/>
  <c r="J47" i="18" a="1"/>
  <c r="J47" i="18" s="1"/>
  <c r="J48" i="18" a="1"/>
  <c r="J48" i="18" s="1"/>
  <c r="I48" i="18" a="1"/>
  <c r="I48" i="18" s="1"/>
  <c r="I45" i="18" a="1"/>
  <c r="I45" i="18" s="1"/>
  <c r="J45" i="18" a="1"/>
  <c r="J45" i="1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<sst xmlns="http://schemas.openxmlformats.org/spreadsheetml/2006/main" count="1068" uniqueCount="307">
  <si>
    <t>Inventory Adjustments</t>
  </si>
  <si>
    <t>The following columns require user input:</t>
  </si>
  <si>
    <t>The following sheets are included in this template:</t>
  </si>
  <si>
    <t>The two letters are used to identify the type of stock - for example, RM refers to raw materials and PM refers to packaging material. The four numbers that are included in the stock code convention provides for sufficient unique stock codes to be created for each type of stock.</t>
  </si>
  <si>
    <t>The StockCodes sheet contains the following user input columns:</t>
  </si>
  <si>
    <t>www.excel-skills.com</t>
  </si>
  <si>
    <t>Help &amp; Customization</t>
  </si>
  <si>
    <t>Invoice Date</t>
  </si>
  <si>
    <t>Customer</t>
  </si>
  <si>
    <t>Opening Quantity</t>
  </si>
  <si>
    <t>Opening Cost</t>
  </si>
  <si>
    <t>Opening Value</t>
  </si>
  <si>
    <t>Stock Count Variance Report</t>
  </si>
  <si>
    <t>Record Inventory Related Sales Transactions</t>
  </si>
  <si>
    <t>Daily Sales</t>
  </si>
  <si>
    <t>Exclusive Sales Amount</t>
  </si>
  <si>
    <t>Month-to-Date</t>
  </si>
  <si>
    <t>Year-to-Date</t>
  </si>
  <si>
    <t>Units</t>
  </si>
  <si>
    <t>PM2000</t>
  </si>
  <si>
    <t>Plastic Wrap</t>
  </si>
  <si>
    <t>Rolls</t>
  </si>
  <si>
    <t>PM2005</t>
  </si>
  <si>
    <t>PM2015</t>
  </si>
  <si>
    <t>Boxes</t>
  </si>
  <si>
    <t>RM1000</t>
  </si>
  <si>
    <t>Meat</t>
  </si>
  <si>
    <t>Kg</t>
  </si>
  <si>
    <t>RM1005</t>
  </si>
  <si>
    <t>Bread Rolls</t>
  </si>
  <si>
    <t>Dozen</t>
  </si>
  <si>
    <t>RM1010</t>
  </si>
  <si>
    <t>Lettuce</t>
  </si>
  <si>
    <t>RM1020</t>
  </si>
  <si>
    <t>Gurkins</t>
  </si>
  <si>
    <t>RM1025</t>
  </si>
  <si>
    <t>Onions</t>
  </si>
  <si>
    <t>Cash Sales</t>
  </si>
  <si>
    <t>XY Packaging</t>
  </si>
  <si>
    <t>ABC Packaging</t>
  </si>
  <si>
    <t>Aurora Bakery</t>
  </si>
  <si>
    <t>Fruit &amp; Veg</t>
  </si>
  <si>
    <t>WW Butchery</t>
  </si>
  <si>
    <t>QS Printers</t>
  </si>
  <si>
    <t>© www.excel-skills.com</t>
  </si>
  <si>
    <t>Instructions</t>
  </si>
  <si>
    <t>Excel Skills | Inventory Control Template | Usage Based</t>
  </si>
  <si>
    <t>INV999</t>
  </si>
  <si>
    <t>Cash</t>
  </si>
  <si>
    <t>Inventory Usage</t>
  </si>
  <si>
    <t>Stock Count Variances</t>
  </si>
  <si>
    <t>Stock Code</t>
  </si>
  <si>
    <t>Description</t>
  </si>
  <si>
    <t>Labels</t>
  </si>
  <si>
    <t>UOM</t>
  </si>
  <si>
    <t>Invoice Number</t>
  </si>
  <si>
    <t>Average Cost</t>
  </si>
  <si>
    <t>Price Variance %</t>
  </si>
  <si>
    <t>Count Date</t>
  </si>
  <si>
    <t>Quantity Counted</t>
  </si>
  <si>
    <t>Theoretical Stock Qty</t>
  </si>
  <si>
    <t>Theoretical Stock Value</t>
  </si>
  <si>
    <t>Quantity Variance</t>
  </si>
  <si>
    <t>Variance Value</t>
  </si>
  <si>
    <t>IN0009</t>
  </si>
  <si>
    <t>Quantity on Hand</t>
  </si>
  <si>
    <t>Inventory Valuation</t>
  </si>
  <si>
    <t>Count Value</t>
  </si>
  <si>
    <t>Average Cost: New</t>
  </si>
  <si>
    <t>Purchase Price per Unit</t>
  </si>
  <si>
    <t>From Date</t>
  </si>
  <si>
    <t>To Date</t>
  </si>
  <si>
    <t>Set-up and Reporting</t>
  </si>
  <si>
    <t>Purchases Quantity</t>
  </si>
  <si>
    <t>Stock Count</t>
  </si>
  <si>
    <t>Calculate Stock Count Variances</t>
  </si>
  <si>
    <t>Date</t>
  </si>
  <si>
    <t>Sales</t>
  </si>
  <si>
    <t>Cost of Sales</t>
  </si>
  <si>
    <t>Gross Profit</t>
  </si>
  <si>
    <t>Gross Profit %</t>
  </si>
  <si>
    <t>Date Range</t>
  </si>
  <si>
    <t>Calculation of sales, cost of sales and gross profit</t>
  </si>
  <si>
    <t>Stock Codes</t>
  </si>
  <si>
    <t>Create &amp; Maintain Stock Codes</t>
  </si>
  <si>
    <t>Stock Description</t>
  </si>
  <si>
    <t>The recording of inventory usage on a regular basis (daily or weekly) enables users to calculate accurate theoretical stock balances which can be compared to physical count quantities. This system makes it a lot easier to identify and investigate problem stock items and areas and enables users to limit excess stock usage a lot more effectively.</t>
  </si>
  <si>
    <t>Profitability Report</t>
  </si>
  <si>
    <t>If you experience any difficulty while using this template and you are not able to find the appropriate guidance in these instructions, please e-mail us at support@excel-skills.com for assistance. This template has been designed with flexibility in mind to ensure that it can be used in most business environments. If however you need an Excel based template that is customized specifically for your business requirements, please e-mail our Support function and provide a brief explanation of your requirements.</t>
  </si>
  <si>
    <t>If stock items are received from a supplier on the day of the stock count, you should consider whether these items will be included in the physical stock count. If the items are not going to be counted, you should not record the purchase transaction before the stock count has been completed and these stock items should also not be included in the physical stock count.</t>
  </si>
  <si>
    <t>Note: The layout of the Sales sheet can be amended if you want to align the columns with data from another Excel template or data source but the existing columns should not be deleted because this may result in errors in the template calculations.</t>
  </si>
  <si>
    <t>Roll Forward</t>
  </si>
  <si>
    <t>A company purchases 100 units of a product at a cost of $10.00 per unit. The supplier invoice value is therefore $1,000. The company then uses 50 units before purchasing another 100 units, this time at $20.00 per unit.</t>
  </si>
  <si>
    <t>The disadvantage of using a stock count system to record usage is that there is no reference point for identifying stock items and areas which result in losses because the transaction cycle is in effect incomplete. It will therefore be extremely difficult to investigate and to explain inventory usage in excess of expectations.</t>
  </si>
  <si>
    <t>Inventory Valuation &amp; Movement Reports</t>
  </si>
  <si>
    <t>Inventory Purchases</t>
  </si>
  <si>
    <t>Opening Quantity2</t>
  </si>
  <si>
    <t>© Copyright</t>
  </si>
  <si>
    <t>This template remains the intellectual property of www.excel-skills.com and is protected by international copyright laws. Any publication or distribution of this template outside the scope of the permitted use of the template is expressly prohibited. In terms of the permitted use of this template, only the distribution of the template to persons within the same organisation as the registered user or persons outside the organisation who can reasonably be expected to require access to the template as a direct result of the use of the template by the registered user is allowed. Subsequent distribution of the template by parties outside of the organisation is however expressly prohibited and represents an infringement of international copyright laws.</t>
  </si>
  <si>
    <t>Transaction Quantity</t>
  </si>
  <si>
    <t>Document Number</t>
  </si>
  <si>
    <t>Purchase</t>
  </si>
  <si>
    <t>Usage</t>
  </si>
  <si>
    <t>Adjustment</t>
  </si>
  <si>
    <t>None</t>
  </si>
  <si>
    <t>Invoice Amount</t>
  </si>
  <si>
    <t>Transaction Date</t>
  </si>
  <si>
    <t>Transaction Type</t>
  </si>
  <si>
    <t>Movement Date</t>
  </si>
  <si>
    <t>Quantity on Hand: Prev</t>
  </si>
  <si>
    <t>Quantity on Hand: New</t>
  </si>
  <si>
    <t>Average Cost: Prev</t>
  </si>
  <si>
    <t>Transaction Value</t>
  </si>
  <si>
    <t>Supplier Name</t>
  </si>
  <si>
    <t>Error Code</t>
  </si>
  <si>
    <t>Error Codes</t>
  </si>
  <si>
    <t>The following error codes may result from inaccurate user input and will be displayed in the Error Code columns of the appropriate sheet. The heading of the affected input column will also be highlighted in orange:</t>
  </si>
  <si>
    <t>■ E1 - this error code means that a duplicated stock code has been entered in the appropriate row. The error can be corrected by simply deleting one of the duplicated entries.</t>
  </si>
  <si>
    <t>Record Inventory Movement Transactions</t>
  </si>
  <si>
    <t>Stock Movements</t>
  </si>
  <si>
    <t>Purchases Value</t>
  </si>
  <si>
    <t>Usages Value</t>
  </si>
  <si>
    <t>Adjustments Value</t>
  </si>
  <si>
    <t>Usages Quantity</t>
  </si>
  <si>
    <t>Adjustments Quantity</t>
  </si>
  <si>
    <t>The inventory valuation and movement calculations are based on the "From" and "To" dates that are specified in cells H2 and H3 respectively. If both of these cells contain valid dates, the inventory valuations are calculated based on the "To" date that is specified in cell H3, the opening quantities and values include all transactions that are dated before the "From" date in cell H2 and the inventory movements include all transactions between the "From" and "To" dates.</t>
  </si>
  <si>
    <t>If both the "From" and "To" date cells are left blank, the opening balances are calculated based on the user input in columns D and E and the inventory valuation and movement calculations include all the transactions that are included on the Movements sheet and dated on or before the end of the current month (which is determined by the current system date).</t>
  </si>
  <si>
    <t>Note: If a supplier invoice includes multiple stock codes, each stock code needs to be recorded individually on the Movements sheet. A single supplier invoice could therefore consist of multiple stock purchase transactions on the Movements sheet.</t>
  </si>
  <si>
    <t>The previous and new average cost calculations are based on all the stock purchase transactions for the particular stock code as well as the quantity on hand at the time of purchasing stock. These calculations are only affected by stock purchase transactions because stock unit costs can only change when the purchase price of new stock items differ from the current average cost. The previous and new average costs will therefore be the same when recording stock usage or stock adjustment type transactions.</t>
  </si>
  <si>
    <t>The transaction value for stock purchase transactions will equal the invoice total for the particular stock item in column G. Stock usage and adjustment type transactions are valued based on the current average cost on the date of recording the transaction.</t>
  </si>
  <si>
    <t>Note: Purchase price variances are only applicable to stock purchase transactions. These columns will therefore all contain nil values when recording stock usage or adjustment type transactions.</t>
  </si>
  <si>
    <t>Average Cost Calculations</t>
  </si>
  <si>
    <t>The initial average cost is therefore $10.00 per unit and the stock on hand at the time of the next purchase is valued at $500.00 (50 units x $10.00 per unit). After purchasing additional stock, there are 150 units in stock at a cost of $2,500 (the remaining $500.00 plus the new supplier invoice total of $2,000.00). The new average cost is therefore $16.67 per unit - the stock item in our example should therefore be valued at $16.67 per unit and all stock usage or adjustment transactions should be recorded at an average cost of $16.67 per unit.</t>
  </si>
  <si>
    <t>Another important point to emphasize is that the average cost calculation will only be accurate if the stock quantity on hand at the time of the purchase is calculated accurately. The quantity on hand could be inaccurate if errors are made when recording stock purchase, usage or adjustment transactions. In order to identify possible errors, we have included error codes on the sheet in order to highlight possible stock inaccuracies. If an error code is therefore reflected in the Error Code column, the error should be investigated and resolved in order to prevent inaccurate average costs being calculated and used in the valuation of inventory.</t>
  </si>
  <si>
    <t>All the user input and calculated columns on the Movements sheet have been covered in the Inventory Purchases section of the instructions. We will therefore only point out differences between the recording of stock purchase and stock usage transactions in this section of the instructions.</t>
  </si>
  <si>
    <t>Note: The supplier name and document number columns can be left blank when recording stock adjustment type transactions or you can enter a default value in these columns. Refer to the Inventory Purchases and Inventory Usage sections of the instructions for guidance on the calculations in the calculated columns (the columns with light blue column headings).</t>
  </si>
  <si>
    <t>Note: After copying the stock count variances to the Movements sheet and recoding the appropriate stock adjustment transactions, the theoretical stock quantities on the StockCount sheet are automatically updated and all the stock variances should be nil. If you therefore want to print a stock variance report for recordkeeping purposes, you should do so before recording the stock adjustment entries on the Movements sheet.</t>
  </si>
  <si>
    <t>Note: The same stock count procedures can be followed for cycle counts (counts where only selected stock items are physically counted). Only the appropriate stock codes then need to be added to the StockCount sheet, but you still have to ensure that proper cut off is applied for all cycle counts (all the appropriate purchase and usage transactions must be recorded before the physical stock count commences).</t>
  </si>
  <si>
    <t>■ Save a copy of the template under a new file name.</t>
  </si>
  <si>
    <t>■ Clear the "From" and "To" dates from the StockCodes sheet in the existing template to ensure that all transactions are included in the inventory quantity on hand and valuation columns.</t>
  </si>
  <si>
    <t>■ All future transactions can now be recorded in the new version of the template and the old version can be retained if you want to refer back to historical inventory transactions.</t>
  </si>
  <si>
    <t>■ Delete all the inventory purchase, usage and adjustment transactions from the Movements sheets in the new file but make sure that you retain the formulas in the calculated columns on these sheets in at least two rows.</t>
  </si>
  <si>
    <t>■ E5 - this error code indicates that the quantity on hand before or after recording a transaction is negative. When the quantity on hand for a particular stock code goes into a negative value, it indicates that an error has been made in recording or not recording some of the previous inventory movement transactions. These errors should be investigated and resolved by correcting previous stock movement entries. If after investigating the error, no solution is found the quantity on hand should be adjusted by entering a positive adjustment type entry in the row above the transaction which contains the error (and using the same transaction date) otherwise the average cost calculation for the affected stock item may not be accurate.</t>
  </si>
  <si>
    <t>Note: Input errors may result in inaccurate template calculations and it is therefore imperative that all errors are resolved before reviewing the inventory movement or inventory valuation data.</t>
  </si>
  <si>
    <t>All inventory related sales amounts need to be recorded on the Sales sheet in order to facilitate a comparison between sales and cost of sales (the sum of inventory usage &amp; adjustments) and the calculation of gross profit amounts and percentages. We recommend recording sales values on a daily basis but note that you will only be able to calculate and analyse gross profit amounts and percentages on a daily basis if daily stock usage transactions are recorded on the Movements sheet.</t>
  </si>
  <si>
    <t>The StockCount sheet can be prepared for a stock count by copying the stock codes that you want to include in the stock count from the StockCodes sheet and pasting the stock codes into column A. All the formulas in the columns with light blue column headings are then automatically copied into all the rows that contain a stock code. The counted quantities in column E then need to be replaced by a nil value.</t>
  </si>
  <si>
    <t>Sales Data</t>
  </si>
  <si>
    <r>
      <t>Movements</t>
    </r>
    <r>
      <rPr>
        <sz val="10"/>
        <rFont val="Arial"/>
        <family val="2"/>
      </rPr>
      <t xml:space="preserve"> - all inventory movement transactions should be recorded on this sheet.</t>
    </r>
  </si>
  <si>
    <r>
      <t xml:space="preserve">StockCount </t>
    </r>
    <r>
      <rPr>
        <sz val="10"/>
        <rFont val="Arial"/>
        <family val="2"/>
      </rPr>
      <t>- this sheet can be used to perform a physical stock count and to analyse stock take variances. Physical stock count quantities are measured against theoretical stock balances and once the accuracy of the stock take variances has been established, the calculated stock variances can be recorded as stock adjustments on the Movements sheet in order to adjust the theoretical stock quantities to the physical stock count quantities.</t>
    </r>
  </si>
  <si>
    <r>
      <t>Description</t>
    </r>
    <r>
      <rPr>
        <sz val="10"/>
        <rFont val="Arial"/>
        <family val="2"/>
      </rPr>
      <t xml:space="preserve"> - enter a description of the stock item. This description should enable users to easily distinguish between stock items.</t>
    </r>
  </si>
  <si>
    <r>
      <t xml:space="preserve">Transaction Type: </t>
    </r>
    <r>
      <rPr>
        <sz val="10"/>
        <rFont val="Arial"/>
        <family val="2"/>
      </rPr>
      <t>select the Purchase transaction type in column B.</t>
    </r>
  </si>
  <si>
    <r>
      <t>Supplier Name:</t>
    </r>
    <r>
      <rPr>
        <sz val="10"/>
        <rFont val="Arial"/>
        <family val="2"/>
      </rPr>
      <t xml:space="preserve"> enter the name of the appropriate supplier in column C.</t>
    </r>
  </si>
  <si>
    <r>
      <t>Document Number:</t>
    </r>
    <r>
      <rPr>
        <sz val="10"/>
        <rFont val="Arial"/>
        <family val="2"/>
      </rPr>
      <t xml:space="preserve"> enter the supplier invoice number or other unique reference number in column D. The reference that you enter in this column should enable you to trace the transaction back to its supporting documentation.</t>
    </r>
  </si>
  <si>
    <r>
      <t>Stock Code:</t>
    </r>
    <r>
      <rPr>
        <sz val="10"/>
        <rFont val="Arial"/>
        <family val="2"/>
      </rPr>
      <t xml:space="preserve"> select the appropriate stock code from the list box in column E. All stock codes need to be created on the StockCodes sheet before being available for selection. Refer to the stock description which is displayed in column I to ensure that the correct stock code has been selected.</t>
    </r>
  </si>
  <si>
    <r>
      <t>Transaction Date:</t>
    </r>
    <r>
      <rPr>
        <sz val="10"/>
        <rFont val="Arial"/>
        <family val="2"/>
      </rPr>
      <t xml:space="preserve"> the date on which the appropriate stock item has been used should be entered in column A.</t>
    </r>
  </si>
  <si>
    <r>
      <t>Transaction Type:</t>
    </r>
    <r>
      <rPr>
        <sz val="10"/>
        <rFont val="Arial"/>
        <family val="2"/>
      </rPr>
      <t xml:space="preserve"> select the Usage transaction type from the list box in column B.</t>
    </r>
  </si>
  <si>
    <r>
      <t xml:space="preserve">Supplier Name, Document Number: </t>
    </r>
    <r>
      <rPr>
        <sz val="10"/>
        <rFont val="Arial"/>
        <family val="2"/>
      </rPr>
      <t>these columns can be left blank when entering usage type transactions or you can enter a default value like "None" or "N/A".</t>
    </r>
  </si>
  <si>
    <r>
      <t>Stock Code:</t>
    </r>
    <r>
      <rPr>
        <sz val="10"/>
        <rFont val="Arial"/>
        <family val="2"/>
      </rPr>
      <t xml:space="preserve"> select the appropriate stock code from the list box in column E. All stock codes need to be created on the StockCodes sheet before being available for selection.</t>
    </r>
  </si>
  <si>
    <r>
      <t>Transaction Quantity:</t>
    </r>
    <r>
      <rPr>
        <sz val="10"/>
        <rFont val="Arial"/>
        <family val="2"/>
      </rPr>
      <t xml:space="preserve"> enter the quantity of stock that has been used as a negative value in column F. The usage quantity should be recorded in the unit of measure which is displayed in column J. If a usage transaction type is selected in column B and a positive value is entered in this column, an error code will be displayed in the Error Code column. Refer to the Error Codes section of the instructions for guidance on how to resolve user input errors.</t>
    </r>
  </si>
  <si>
    <r>
      <t xml:space="preserve">Invoice Amount: </t>
    </r>
    <r>
      <rPr>
        <sz val="10"/>
        <rFont val="Arial"/>
        <family val="2"/>
      </rPr>
      <t>enter a nil value in this column when recording stock usage transactions.</t>
    </r>
  </si>
  <si>
    <t>All inventory adjustments also need to be recorded on the Movements sheet. Inventory adjustments consist mainly of stock take variances but could also include manual adjustments which are required to correct the quantity on hand of a particular stock item. Inventory adjustments are recorded in exactly the same way as usage transactions, except for selecting an "Adjustment" transaction type in column B on the Movements sheet and being able to record both positive and negative values for inventory adjustments. Note that positive adjustments increase the quantity on hand, while negative adjustments decrease the quantity on hand.</t>
  </si>
  <si>
    <t>Note: If you clear the contents of the "To" date cell, all the calculations on the Profitability sheet will be based on a date range which includes all transactions up to the end of the current month (based on the current system date on your computer).</t>
  </si>
  <si>
    <r>
      <rPr>
        <sz val="24"/>
        <rFont val="Century Gothic"/>
        <family val="2"/>
        <scheme val="minor"/>
      </rPr>
      <t>INVENTORY</t>
    </r>
    <r>
      <rPr>
        <sz val="11"/>
        <rFont val="Century Gothic"/>
        <family val="1"/>
        <scheme val="minor"/>
      </rPr>
      <t xml:space="preserve">
</t>
    </r>
    <r>
      <rPr>
        <sz val="20"/>
        <rFont val="Century Gothic"/>
        <family val="2"/>
        <scheme val="minor"/>
      </rPr>
      <t>DASHBOARD</t>
    </r>
  </si>
  <si>
    <t>STOCK CODE</t>
  </si>
  <si>
    <t>FROM DATE</t>
  </si>
  <si>
    <t>TO DATE</t>
  </si>
  <si>
    <t>Dashboard Filters</t>
  </si>
  <si>
    <t>Arrows</t>
  </si>
  <si>
    <t></t>
  </si>
  <si>
    <t></t>
  </si>
  <si>
    <t></t>
  </si>
  <si>
    <t>Value</t>
  </si>
  <si>
    <t>Rest</t>
  </si>
  <si>
    <t>Gap</t>
  </si>
  <si>
    <t>Date Selection</t>
  </si>
  <si>
    <t>Stock Selection</t>
  </si>
  <si>
    <t>Quantity On Hand</t>
  </si>
  <si>
    <t>F</t>
  </si>
  <si>
    <t>SELECTED STOCK CODE:</t>
  </si>
  <si>
    <t>UNIT OF MEASURE:</t>
  </si>
  <si>
    <t>Unit of Measure</t>
  </si>
  <si>
    <t>Valuation</t>
  </si>
  <si>
    <t>Stock Movement</t>
  </si>
  <si>
    <t>Opening Balance</t>
  </si>
  <si>
    <t>Purchases</t>
  </si>
  <si>
    <t>Adjustments</t>
  </si>
  <si>
    <t>Closing Balance</t>
  </si>
  <si>
    <t>Qty</t>
  </si>
  <si>
    <t>Movements Section:</t>
  </si>
  <si>
    <t>BASIS</t>
  </si>
  <si>
    <t>Cost</t>
  </si>
  <si>
    <t>Amount</t>
  </si>
  <si>
    <t>Balance</t>
  </si>
  <si>
    <t>TYPE</t>
  </si>
  <si>
    <t>All</t>
  </si>
  <si>
    <t>Qty Bal</t>
  </si>
  <si>
    <t>Val Bal</t>
  </si>
  <si>
    <t>MEASUREMENT</t>
  </si>
  <si>
    <t>Cost Bal</t>
  </si>
  <si>
    <t>rank</t>
  </si>
  <si>
    <t>sequence</t>
  </si>
  <si>
    <t>Number of Days</t>
  </si>
  <si>
    <t>Interactive Inventory Reports</t>
  </si>
  <si>
    <t>Opening Value2</t>
  </si>
  <si>
    <t>Interactive Charts:</t>
  </si>
  <si>
    <t>Number of Months</t>
  </si>
  <si>
    <t>Number of Weeks</t>
  </si>
  <si>
    <t>Top Products By Usage</t>
  </si>
  <si>
    <t>Top Products By Adjustment</t>
  </si>
  <si>
    <t>Dash Usage Qty</t>
  </si>
  <si>
    <t>Dash Usage Value</t>
  </si>
  <si>
    <t>Dash Adjust Qty</t>
  </si>
  <si>
    <t>Dash Adjust Value</t>
  </si>
  <si>
    <t>Top 5 Usage</t>
  </si>
  <si>
    <t>Full</t>
  </si>
  <si>
    <t>Top 5 Adjustment</t>
  </si>
  <si>
    <t>Dash Adjust AB Value</t>
  </si>
  <si>
    <t>ABS Value</t>
  </si>
  <si>
    <t>Top Products Purchased</t>
  </si>
  <si>
    <t>Top Products By Price Variance</t>
  </si>
  <si>
    <t>Dash Purch Qty</t>
  </si>
  <si>
    <t>Dash Purch Value</t>
  </si>
  <si>
    <t>Top 5 Purchases</t>
  </si>
  <si>
    <t>Dash Price Value</t>
  </si>
  <si>
    <t>Unit Price Variance</t>
  </si>
  <si>
    <t>Total Price Variance</t>
  </si>
  <si>
    <t>Top 5 Price Variance</t>
  </si>
  <si>
    <t>Dash ABS Price</t>
  </si>
  <si>
    <t>Variance</t>
  </si>
  <si>
    <t>%</t>
  </si>
  <si>
    <t>■ E4 - removed.</t>
  </si>
  <si>
    <t>Month</t>
  </si>
  <si>
    <t>Day</t>
  </si>
  <si>
    <t>Dashboard Data (not printed)</t>
  </si>
  <si>
    <t>This unique template enables users to analyse the profitability of a business by comparing sales to inventory usage. In many business environments, it is impractical to perform accurate calculations of cost of sales and it is a lot more feasible to compare inventory usage to sales. The functionality included in this template enables users to control inventory by creating stock codes for all individual inventory items; recording inventory purchases, usage and adjustments; performing physical stock counts and analysing stock take variances; calculating stock valuations and measuring sales, cost of sales &amp; gross profits based on any user defined date range. All inventory valuations are performed on an average cost basis.</t>
  </si>
  <si>
    <r>
      <t>StockCodes</t>
    </r>
    <r>
      <rPr>
        <sz val="10"/>
        <rFont val="Arial"/>
        <family val="2"/>
      </rPr>
      <t xml:space="preserve"> - this sheet can be used to create unique stock codes for all inventory items and also includes inventory valuation and inventory movement calculations by stock code.</t>
    </r>
  </si>
  <si>
    <r>
      <rPr>
        <b/>
        <sz val="10"/>
        <rFont val="Arial"/>
        <family val="2"/>
      </rPr>
      <t>Dashboard</t>
    </r>
    <r>
      <rPr>
        <sz val="10"/>
        <rFont val="Arial"/>
        <family val="2"/>
      </rPr>
      <t xml:space="preserve"> - the inventory dashboard is automatically updated based on the stock code and dates selected in the filter section of the dashboard. You can select an individual stock code or clear the contents of the list box to view calculations for all stock items. The dashboard also includes a unique interactive report where you can select the basis of balances or movements, select amounts, costs or quantities and view all transaction types or any of purchases, usage and adjustments individually. The dashboard also contains stats of the top products by transaction type as well as purchase price variance stats. Aside from the filter and report selections, no user input is required on this sheet and all workings are included below the dashboard.</t>
    </r>
  </si>
  <si>
    <r>
      <t>Sales</t>
    </r>
    <r>
      <rPr>
        <sz val="10"/>
        <rFont val="Arial"/>
        <family val="2"/>
      </rPr>
      <t xml:space="preserve"> - record daily sales totals if you want to measure stock usage against sales in order to analyse profitability. Cost of sales for the purpose of this analysis is defined as the total of stock usage and stock adjustments. The profitability features of this template is therefore not appropriate for businesses which carry a significant amount of finished product stock as sales and usage would not always be comparable.</t>
    </r>
  </si>
  <si>
    <r>
      <t>Profitability</t>
    </r>
    <r>
      <rPr>
        <sz val="10"/>
        <rFont val="Arial"/>
        <family val="2"/>
      </rPr>
      <t xml:space="preserve"> - the calculations on this sheet enable users to compare inventory usage and inventory adjustments to sales. The total inventory usage and adjustments are included in the cost of sales total and deducted from the sales total in order to calculate the appropriate gross profit amounts and percentages. A daily sales analysis for the specified calendar month and a monthly analysis for the last 12 months are also included on this sheet and can be calculated for any user defined period by simply entering the appropriate "From" and "To" dates at the top of the sheet.</t>
    </r>
  </si>
  <si>
    <t>Note: If you do not want to use the profitability calculations to measure sales against inventory usage, you can safely delete the Sales and Profitability sheets without it having any effect on the other sheets. You can then use the template only for controlling inventory on hand and analysing inventory movements.</t>
  </si>
  <si>
    <t>A unique stock code needs to be created on the StockCodes sheet for all inventory items that you want to include in the template. The stock codes created on this sheet are included in list boxes in the stock code columns on the other sheets and users are therefore required to create the appropriate stock code before the code will be available for selection on the other sheets.</t>
  </si>
  <si>
    <t>A stock code convention that makes sense in the context of your business should be used and the stock code convention should make it easy to identify stock items based on the stock code that is assigned to each stock item. Refer to the sample data on the StockCodes sheet - we have used a code convention which starts with two letters followed by four numbers.</t>
  </si>
  <si>
    <t>Stock codes should not be duplicated - if a stock code is duplicated on the StockCodes sheet, it may result in inaccurate inventory valuation calculations. If a stock code is duplicated on the StockCodes sheet, an error will be reflected in the error code column. All the error codes reflected in this column should be rectified before reviewing the data. Refer to the Error Codes section of the instructions for more information on the different types of error codes which may be encountered when using the template.</t>
  </si>
  <si>
    <t>Our sample stock code convention is by no means a template requirement. You can use any stock code convention as long as only unique stock codes are created and you are able to easily identify the stock codes for each stock item.</t>
  </si>
  <si>
    <r>
      <t>Stock Code</t>
    </r>
    <r>
      <rPr>
        <sz val="10"/>
        <rFont val="Arial"/>
        <family val="2"/>
      </rPr>
      <t xml:space="preserve"> - enter a unique stock code in accordance with the stock code convention which is suitable for your type of business.</t>
    </r>
  </si>
  <si>
    <r>
      <t>UOM</t>
    </r>
    <r>
      <rPr>
        <sz val="10"/>
        <rFont val="Arial"/>
        <family val="2"/>
      </rPr>
      <t xml:space="preserve"> - the unit of measure (UOM) refers to the stock measurement which is used when ordering, using and counting stock. Stock usage and counting units of measure carry more weight than stock ordering units of measure. For example, if it is easier to record the usage and stock count of an inventory item in kilogram and the product is purchased from a supplier in bags, the unit of measure should be specified as kilogram. When the product is purchased from the supplier, the quantity that is purchased then simply needs to be converted to kilogram when recording the stock purchase transaction on the Movements sheet.</t>
    </r>
  </si>
  <si>
    <r>
      <t>Opening Quantity</t>
    </r>
    <r>
      <rPr>
        <sz val="10"/>
        <rFont val="Arial"/>
        <family val="2"/>
      </rPr>
      <t xml:space="preserve"> - enter the opening stock quantity. This is the stock quantity on hand on the date that you start using the template for recording inventory transactions. All subsequent inventory movements should be recorded on the Movements sheet.</t>
    </r>
  </si>
  <si>
    <r>
      <t>Opening Cost</t>
    </r>
    <r>
      <rPr>
        <sz val="10"/>
        <rFont val="Arial"/>
        <family val="2"/>
      </rPr>
      <t xml:space="preserve"> - enter the cost of the opening stock quantity recorded in column D. The cost is multiplied by the opening stock quantity in order to calculate an opening stock valuation.</t>
    </r>
  </si>
  <si>
    <t>Note: The contents on the StockCodes sheet have been included in an Excel data table. All the columns on the StockCodes sheet with yellow column headings require user input. The columns with light blue column headings contain formulas which are automatically copied for all new stock codes created on this sheet.</t>
  </si>
  <si>
    <t>The calculated columns on the StockCodes sheet enable users to view a stock valuation and movement report for each individual stock item which is automatically calculated based on the inventory transactions recorded on the Movements sheet. The last 9 columns are only used in the dashboard calculations on the Dashboard sheet and are therefore not included in the print range.</t>
  </si>
  <si>
    <t>The inventory valuation report on the StockCodes sheet consists of the quantity on hand, average cost and inventory valuation for each individual stock item (columns H to J). The inventory movement report consists of the opening quantity2, purchases quantity, usages quantity, adjustments quantity, opening value2, purchases value, usages value and adjustments value (columns K to R). The total of the quantity movements should equal the quantity on hand in column H and the total of the value movements should equal the inventory valuation in column J.</t>
  </si>
  <si>
    <t>If only a "From" date is specified and the "To" date cell is left blank, the opening balances include all transactions before the "From" date and the inventory valuation and movement calculations include all transactions after the "From" date and on or before the end of the current month (which is determined by the current system date). If only a "To" date is specified, the opening balances include only the opening quantities and values that are calculated based on the user input in column D and E and the inventory valuation and movement calculations include all transactions that are dated on or before the "To" date specified.</t>
  </si>
  <si>
    <t>Note: The StockCodes sheet functionality enables users to display an inventory valuation and movement report for any user defined date range. Users are therefore not only able to calculate a current inventory valuation by stock code, but are also able to view the inventory valuations or movements for any previous reporting periods.</t>
  </si>
  <si>
    <t>Note: All the amount columns on the StockCodes sheet also include a subtotal above the column heading (formatted in italic) which displays a total for all the stock codes which are visible on the sheet. If the Filter feature is used to filter the data on this sheet, these calculations will be based only on the filtered data.</t>
  </si>
  <si>
    <t>Note: The Error Code column will contain an error code if there is a problem with the data which has been entered in any of the user input columns. If this column therefore contains any error codes, these user input errors need to be resolved before viewing the data on this sheet. Refer to the Error Codes section of the instructions for guidance on the different error codes which may be encountered when using this template.</t>
  </si>
  <si>
    <t>Opening Stock</t>
  </si>
  <si>
    <t>Dashboard Calculations</t>
  </si>
  <si>
    <t>The calculations in columns S to AA on the StockCodes sheet are used in the inventory dashboard calculations on the Dashboard sheet. These columns are therefore not included in the print range on the StockCodes sheet. The only difference between these calculations and some of the inventory movement calculations is that the dashboard calculations are based on the selected date range on the Dashboard sheet which may be different from the selected date range on the StockCodes sheet.</t>
  </si>
  <si>
    <t>All inventory purchase transactions should be recorded on the Movements sheet. The contents on this sheet have been included in an Excel data table. The columns with yellow column headings require user input and the columns with light blue column headings contain formulas which are automatically copied for all new transactions added to the sheet.</t>
  </si>
  <si>
    <r>
      <t>Transaction Date:</t>
    </r>
    <r>
      <rPr>
        <sz val="10"/>
        <rFont val="Arial"/>
        <family val="2"/>
      </rPr>
      <t xml:space="preserve"> enter the delivery date of the stock purchased in column A. All dates should be entered in accordance with your regional date settings. We've added data validation to column A to ensure that only valid dates are entered in this column. The date on which the supplier delivers the inventory to your business premises should be recorded in this column because the inventory is added to the theoretical inventory balance on this date. If the inventory has not been delivered yet, the physical stock on hand will not agree to the theoretical stock balance.</t>
    </r>
  </si>
  <si>
    <r>
      <t xml:space="preserve">Transaction Quantity: </t>
    </r>
    <r>
      <rPr>
        <sz val="10"/>
        <rFont val="Arial"/>
        <family val="2"/>
      </rPr>
      <t>enter the purchased quantity in column F. The purchased quantity should be recorded in the unit of measure which is displayed in column J.</t>
    </r>
  </si>
  <si>
    <r>
      <t>Invoice Amount:</t>
    </r>
    <r>
      <rPr>
        <sz val="10"/>
        <rFont val="Arial"/>
        <family val="2"/>
      </rPr>
      <t xml:space="preserve"> enter the total invoice amount which relates to the stock code selected in column E. This amount should be entered exclusive of sales tax if the business is registered for sales tax purposes and inclusive of sales tax if it is not registered. If the business is registered for sales tax purposes, the sales tax can be claimed back from the appropriate tax authorities and should therefore not form part of the inventory cost.</t>
    </r>
  </si>
  <si>
    <t>Note: If stock is delivered by a supplier which is not the same supplier as the one from which the stock is ordered, the supplier invoice for the delivery cost will have to be recorded separately to include the delivery cost in the average cost calculation. When you record the information from the delivery invoice, it is important that the stock quantity should be entered as a nil value, otherwise the quantity may be included twice in the calculation of the stock quantity on hand. It may also be necessary to allocate the delivery cost to more than one stock code if multiple stock items have been included in the same delivery.</t>
  </si>
  <si>
    <t>The calculated columns on the Movements sheet consist of the error code, stock description, unit of measure (UOM), previous quantity on hand, new quantity on hand, previous average cost, new average cost, transaction value, purchase price per unit, unit price variance, purchase price variance percentage, total price variance and the stock movement date. The values in all of these calculated columns are calculated automatically based on the values recorded in the user input columns.</t>
  </si>
  <si>
    <t>The stock description is included to enable users to view a description of the stock code selected in column E and the UOM is included to indicate which unit of measure should be used when entering transaction quantities. The previous and new quantity on hand calculations reflect the quantity of stock on hand before and after taking the purchase transaction into account.</t>
  </si>
  <si>
    <t>Note: The quantity on hand calculations reflect the quantity of stock on hand before and after recording a transaction. These calculations play an important role in calculating the previous and new average costs in columns M &amp; N and can also be used to identify stock transaction recording errors - if either the quantity on hand before or after recording a transaction is negative, it means that an error has been made in the recording of previous stock movement transactions. Should this be the case, an error code will be reflected in column H which indicates that the previous inventory movement transactions for the affected stock code need to be investigated.</t>
  </si>
  <si>
    <t>The purchase price per unit is calculated by dividing the invoice total in column G by the transaction quantity in column F and this price is deducted from the previous average cost in column M in order to calculate the per unit purchase price variance in column Q, the purchase price variance percentage in column R and the total price variance in column S. The price variance values in these three columns can be used to analyse buying trends and movements in the prices charged by suppliers.</t>
  </si>
  <si>
    <t>The movement date in column T is determined based on the transaction date in column A and the relative row position of the transaction which is applied to the transaction date as a time value. This means that where two transactions are entered with the same transaction date, the transaction which is entered first on the Movements sheet will be deemed to have occurred before any subsequent transactions.</t>
  </si>
  <si>
    <r>
      <t xml:space="preserve">It is therefore important to record transactions in the correct sequence when the transaction dates are the same. </t>
    </r>
    <r>
      <rPr>
        <i/>
        <sz val="10"/>
        <rFont val="Arial"/>
        <family val="2"/>
      </rPr>
      <t>For example, if a stock purchase transaction occurs at the beginning of the day and a usage or adjustment transaction needs to be recorded on the same day, the purchase transaction should be recorded before recording the usage or adjustment transactions otherwise the average cost which will be calculated for the usage or adjustment transactions may not be accurate.</t>
    </r>
  </si>
  <si>
    <t>All the inventory valuation calculations in this template are based on an average cost calculation methodology. When you use the average cost basis for inventory valuation purposes, a revaluation of the appropriate stock item is required after each stock purchase. The revaluation is based on the stock quantity on hand at the time of the purchase, the average cost of stock on hand, the stock quantity purchased and the purchase price per unit which is charged by the appropriate supplier.</t>
  </si>
  <si>
    <t>The stock on hand at the time of the purchase is valued at the average cost that was calculated after the previous stock purchase and the stock quantity purchased is valued at the supplier invoice value (excluding sales tax if applicable) for the particular stock code. This principle is best illustrated through an example.</t>
  </si>
  <si>
    <t>Note: A common misconception of average cost is that it is calculated based on historic purchase prices and that it is therefore not a very accurate method of inventory valuation. As we illustrated in the above example, this is actually not the case. Previous stock purchases and the prices at which these stock purchase transactions occurred only influence the average cost calculation to the extent of the inventory quantities still on hand at the time of the next purchase. Under most circumstances, the inventory on hand is valued at a cost that consists mainly of the most recent purchase price resulting in a reasonably accurate valuation of inventory and also therefore accurate recording of cost of sales or inventory usage.</t>
  </si>
  <si>
    <t>Note: Good stock returns can be recorded as negative purchase transactions on the same basis as recording the initial purchases of the affected stock items but just with a negative quantity in column F. These transactions will therefore also affect the average cost calculations of the returned stock items.</t>
  </si>
  <si>
    <t>All inventory usage transactions should be recorded by entering the appropriate negative quantities on the Movements sheet. The user input required on this sheet includes the transaction date, transaction type, stock code and quantity used. The other user input columns (supplier name, document number and invoice total) are not required when entering stock usage transactions and can either be left blank or you can enter a default value in these columns. The invoice amount should equal a nil value when entering stock usage transactions.</t>
  </si>
  <si>
    <t>We recommend implementing a system whereby the inventory used on a daily basis is recorded independently and then recorded on this sheet at the end of the day or the beginning of the next day. There are significant benefits to controlling stock on a daily basis and the recording of daily stock usage forms an integral part of this process. If there are factors which result in daily stock usage measurement being impractical, this template can also be used to record and analyse weekly stock usage.</t>
  </si>
  <si>
    <t>Another method of controlling inventory usage is to simply perform a physical stock count and to record the difference between the theoretical stock on hand and the stock count quantities as usage on the stock count date. If a system like this is in place, inventory usage is not recorded independently and the theoretical stock balance will therefore only consist of the stock quantities that have been purchased. The resulting stock variances therefore represent the inventory used since the previous stock count.</t>
  </si>
  <si>
    <t>Note: The previous and new average costs calculated for stock usage transactions will be the same. This is because average unit costs will only change when purchasing stock at a different price from the ruling average cost at the time. The transaction value for stock usage transactions is therefore calculated by multiplying the transaction quantity by the average cost per unit.</t>
  </si>
  <si>
    <t>Note: The average cost calculations will only be completely accurate if there are no error messages in column H on the Movements sheet. It is therefore imperative that users ensure that all the user input errors reflected in this column are resolved before viewing any of the inventory movement or valuation data in this template.</t>
  </si>
  <si>
    <t>Note: A stock usage transaction may result in an error if the transaction quantity entered in column F is greater than the previous quantity on hand in column K. If this is the case, the new quantity on hand will be a negative value and an error code will be reflected in column H. The most recent transactions for the affected stock code need to be investigated in order to resolve the error and if no explanation can be found, a positive stock adjustment should be recorded in a row above the usage transaction (and by using the same transaction date) in order to adjust the quantity on hand upwards so that the new quantity on hand (after taking the effect of the usage transaction into account) does not go into a negative stock position.</t>
  </si>
  <si>
    <t>All stock count variances should be recorded on the Movements sheet based on the stock variances calculated on the StockCount sheet. Positive quantity variances result in an increase in the appropriate stock item's theoretical quantity on hand, while negative quantity variances result in a decrease in the appropriate stock item's theoretical quantity on hand (thereby effectively writing off the particular stock variance).</t>
  </si>
  <si>
    <t>Stock adjustments which result from a stock take can be recorded on the Movements sheet by copying the appropriate count date into column A, selecting the "Adjustment" transaction type in column B, copying the appropriate stock codes into column E (from the StockCount sheet), copying the appropriate adjustment quantities into column F (from column J on the StockCount sheet) and entering a nil value in the Invoice Amount column.</t>
  </si>
  <si>
    <t>The StockCount sheet can be used to record stock count quantities, compare the quantities counted to theoretical stock quantities, calculate and review stock quantity variances and compare a theoretical stock valuation to a stock count valuation. This stock count feature only requires limited user input - simply enter the appropriate stock count date in cell K1, copy the stock codes that need to be included in the stock count into column A and record the quantities counted in column E. A stock variance report is automatically compiled based on the data entered by the user.</t>
  </si>
  <si>
    <t>Note: The contents on the StockCount sheet have been included in an Excel table. The columns with yellow column headings require user input and the columns with light blue column headings contain formulas which are automatically copied for all the stock codes added to the StockCount sheet.</t>
  </si>
  <si>
    <t>The calculation of all theoretical stock balances is based on the stock count date entered in cell K1. All the transactions recorded on the Movements sheets and dated on or before this date are included in the theoretical stock balances. It is imperative that you specify the correct stock count date in cell K1, otherwise the stock variance report will not be calculated accurately.</t>
  </si>
  <si>
    <t>After preparing the StockCount sheet for the stock count, the stock quantities counted need to be recorded in column E. All the stock quantity and value variance calculations will be updated automatically and can then be reviewed and recounted until you are satisfied that the physical stock count has been performed and recorded accurately. The stock count variances can then be copied to the Movements sheet and recorded as stock adjustment transactions in order to adjust the theoretical stock quantities to the quantities counted.</t>
  </si>
  <si>
    <t>Proper cut off also needs to be applied to stock usage transactions. Stock usage transactions should be recorded for all stock items used before the physical stock count commences in order to ensure that all stock variances are calculated accurately.</t>
  </si>
  <si>
    <t>Note: If you change the count date in cell K1, the theoretical stock balances will also change based on the date entered in this cell. All the transactions recorded on the Movements sheet and dated on or before the count date will be included in the theoretical stock balance calculation.</t>
  </si>
  <si>
    <t>Dashboard</t>
  </si>
  <si>
    <t>The inventory dashboard on the Dashboard sheet is calculated automatically from the movements entered on the Movements sheet. All you need to do is select the appropriate stock code and from and to dates in the filter section of the dashboard. All the calculations are then automatically updated.</t>
  </si>
  <si>
    <t>If you do not specify a From date in the filter section, all inventory transactions from the first date captured on the Movements sheet will be included in the dashboard calculations. If you do not specify a To date in the dashboard filter section, all stock movements on or before the current system date will be included in the dashboard calculations.</t>
  </si>
  <si>
    <t>Our unique inventory dashboard also includes a comprehensive interactive inventory movement report section which consists of three charts - a 90-day daily chart, a 13-week weekly chart and a 12-month monthly chart displaying inventory movements for the selected stock code and selected date range.</t>
  </si>
  <si>
    <t>The interactive inventory report contains selections for the basis, measurement and type. The basis selection contains options for displaying balances or movements. The measurement section contains options for displaying quantities, costs or amounts. The type selection contains options for all, purchase, usage or adjustment which refers to the transaction types to display.</t>
  </si>
  <si>
    <t>Note: The default options for the interactive report selections is to display movement amounts for all transactions. This is therefore the settings which are applied when no selections are active.</t>
  </si>
  <si>
    <t>Note: The daily report can be amended to include less than 90 days by simply specifying a new value in cell C72 on the Dashboard sheet. If the chart does not update automatically, just change one of the selections and it should update the new days setting. We do not recommend making changes to the weekly or monthly charts.</t>
  </si>
  <si>
    <t>The inventory dashboard also includes top product sections which displays the top 5 products in terms of value for each of the main transaction types as well as the purchase price variances.</t>
  </si>
  <si>
    <t>Only the dashboard itself is included in the print range on the Dashboard sheet. The calculations below the dashboard which are used to compile the automated calculations will therefore not be printed.</t>
  </si>
  <si>
    <t>Note: The recording of daily sales amounts is only necessary if you want to measure stock usage against sales in order to analyse profitability. Cost of sales for the purpose of this analysis is defined as the total of stock usage and stock adjustments. The profitability features of this template is therefore not appropriate for businesses which carry a significant amount of finished product stock as sales and usage would not always be comparable. If you only want to use the template to control inventory quantities on hand and analyse inventory movements, you can delete the Sales and Profitability sheets.</t>
  </si>
  <si>
    <t>The Profitability sheet includes an automated calculation of sales, cost of sales and gross profits which can be compiled for any user defined date range by simply entering the appropriate "From" and "To" dates in cells E2 and E3. The sales amounts are calculated based on the sales values recorded on the Sales sheet and the cost of sales amounts are calculated based on the inventory usage and inventory adjustment transactions recorded on the Movements sheet.</t>
  </si>
  <si>
    <t>The sales analysis on the Profitability sheet is automatically compiled for the date range between the "From" and "To" date, a month-to-date and year-to-date period, a daily date range for the last calendar month included in the date range and a 12-month date range for the last calendar year (also includes a chart with the monthly sales values and gross profit percentages).</t>
  </si>
  <si>
    <t>This template can be rolled forward for subsequent periods if the calculation speed slows down too much because of adding thousands of transactions to the template. We recommend completing the following steps in order to roll the template forward:</t>
  </si>
  <si>
    <t>■ Copy the average costs from column I on the StockCodes sheet in the existing template and paste these values into column E (opening cost) on the StockCode sheet in the new template.</t>
  </si>
  <si>
    <t>■ Make sure that the inventory valuations in column J in both templates agree.</t>
  </si>
  <si>
    <t>■ E2 - this error code means that the stock code specified is invalid. Stock codes must be created on the StockCodes sheet before being used on any of the other sheets and the error can therefore be corrected by simply creating the appropriate stock code on the StockCodes sheet. If a stock code has been deleted, this error code will be displayed in all the rows on the other sheets which still refer to the stock code. These entries must be deleted or a valid stock code needs to be selected.</t>
  </si>
  <si>
    <t>■ E3 - this error code means that an invalid transaction type has been selected. The transaction types which can be used in this template are limited to the types provided in the appropriate list box. This error is also displayed if a transaction has been entered without specifying a transaction type.</t>
  </si>
  <si>
    <t>The opening stock values which are calculated in column G are calculated by multiplying the opening stock quantities and costs in columns D and E. These are the opening stock quantities on hand before the first inventory movement is recorded and are therefore added to the movements to calculate stock on hand.</t>
  </si>
  <si>
    <t>The dashboard calculations and charts can be compiled for an individual stock code by simply selecting the appropriate stock code in the dashboard filter section or you can show the data for all stock codes by simply clearing the stock code section (pressing delete on the keyboard).</t>
  </si>
  <si>
    <t>■ Copy the quantities on hand from column H on the StockCodes sheet in the existing template and paste these quantities into column D (opening quantities) on the StockCodes sheet in the new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</si>
</sst>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_(* \(#,##0.00\);_(* &quot;-&quot;??_);_(@_)"/>
    <numFmt numFmtId="164" formatCode="_ * #,##0.00_ ;_ * \-#,##0.00_ ;_ * &quot;-&quot;??_ ;_ @_ "/>
    <numFmt numFmtId="165" formatCode="0.0%"/>
    <numFmt numFmtId="166" formatCode="mmmm\-yyyy"/>
    <numFmt numFmtId="167" formatCode="yyyy"/>
    <numFmt numFmtId="168" formatCode="_ * #,##0_ ;_ * \-#,##0_ ;_ * &quot;-&quot;??_ ;_ @_ "/>
    <numFmt numFmtId="169" formatCode="_ * #,##0.0_ ;_ * \-#,##0.0_ ;_ * &quot;-&quot;??_ ;_ @_ "/>
    <numFmt numFmtId="170" formatCode="mmm/yyyy"/>
  </numFmts>
  <fonts count="41" x14ac:knownFonts="1">
    <font>
      <sz val="10"/>
      <name val="Century Gothic"/>
      <family val="2"/>
      <scheme val="minor"/>
    </font>
    <font>
      <sz val="10"/>
      <name val="Arial"/>
      <family val="2"/>
    </font>
    <font>
      <sz val="8"/>
      <name val="Arial"/>
      <family val="2"/>
    </font>
    <font>
      <u/>
      <sz val="10"/>
      <color indexed="12"/>
      <name val="Arial"/>
      <family val="2"/>
    </font>
    <font>
      <sz val="11"/>
      <name val="Century Gothic"/>
      <family val="2"/>
      <scheme val="minor"/>
    </font>
    <font>
      <b/>
      <sz val="10"/>
      <name val="Century Gothic"/>
      <family val="2"/>
      <scheme val="minor"/>
    </font>
    <font>
      <sz val="10"/>
      <name val="Century Gothic"/>
      <family val="2"/>
      <scheme val="minor"/>
    </font>
    <font>
      <i/>
      <sz val="10"/>
      <name val="Century Gothic"/>
      <family val="2"/>
      <scheme val="minor"/>
    </font>
    <font>
      <sz val="10"/>
      <color indexed="8"/>
      <name val="Century Gothic"/>
      <family val="2"/>
      <scheme val="minor"/>
    </font>
    <font>
      <i/>
      <sz val="10"/>
      <color indexed="8"/>
      <name val="Century Gothic"/>
      <family val="2"/>
      <scheme val="minor"/>
    </font>
    <font>
      <b/>
      <sz val="12"/>
      <name val="Century Gothic"/>
      <family val="2"/>
      <scheme val="minor"/>
    </font>
    <font>
      <sz val="10"/>
      <color rgb="FFFF0000"/>
      <name val="Century Gothic"/>
      <family val="2"/>
      <scheme val="minor"/>
    </font>
    <font>
      <i/>
      <sz val="10"/>
      <color theme="0"/>
      <name val="Century Gothic"/>
      <family val="2"/>
      <scheme val="minor"/>
    </font>
    <font>
      <b/>
      <sz val="10"/>
      <color indexed="9"/>
      <name val="Century Gothic"/>
      <family val="2"/>
      <scheme val="minor"/>
    </font>
    <font>
      <b/>
      <sz val="10"/>
      <color theme="1"/>
      <name val="Century Gothic"/>
      <family val="2"/>
      <scheme val="minor"/>
    </font>
    <font>
      <sz val="10"/>
      <color theme="0"/>
      <name val="Century Gothic"/>
      <family val="2"/>
      <scheme val="minor"/>
    </font>
    <font>
      <b/>
      <sz val="12"/>
      <name val="Arial"/>
      <family val="2"/>
    </font>
    <font>
      <i/>
      <sz val="10"/>
      <name val="Arial"/>
      <family val="2"/>
    </font>
    <font>
      <b/>
      <u/>
      <sz val="10"/>
      <color theme="4" tint="-0.249977111117893"/>
      <name val="Arial"/>
      <family val="2"/>
    </font>
    <font>
      <b/>
      <u/>
      <sz val="10"/>
      <color indexed="17"/>
      <name val="Arial"/>
      <family val="2"/>
    </font>
    <font>
      <b/>
      <sz val="10"/>
      <name val="Arial"/>
      <family val="2"/>
    </font>
    <font>
      <b/>
      <i/>
      <sz val="10"/>
      <name val="Arial"/>
      <family val="2"/>
    </font>
    <font>
      <b/>
      <sz val="10"/>
      <color indexed="8"/>
      <name val="Arial"/>
      <family val="2"/>
    </font>
    <font>
      <sz val="10"/>
      <color indexed="8"/>
      <name val="Arial"/>
      <family val="2"/>
    </font>
    <font>
      <i/>
      <sz val="10"/>
      <color indexed="8"/>
      <name val="Arial"/>
      <family val="2"/>
    </font>
    <font>
      <sz val="24"/>
      <name val="Century Gothic"/>
      <family val="2"/>
      <scheme val="minor"/>
    </font>
    <font>
      <sz val="11"/>
      <name val="Century Gothic"/>
      <family val="1"/>
      <scheme val="minor"/>
    </font>
    <font>
      <sz val="20"/>
      <name val="Century Gothic"/>
      <family val="2"/>
      <scheme val="minor"/>
    </font>
    <font>
      <sz val="16"/>
      <name val="Century Gothic"/>
      <family val="2"/>
      <scheme val="minor"/>
    </font>
    <font>
      <b/>
      <sz val="12"/>
      <name val="Century Gothic"/>
      <family val="1"/>
      <scheme val="minor"/>
    </font>
    <font>
      <b/>
      <sz val="11"/>
      <name val="Century Gothic"/>
      <family val="1"/>
      <scheme val="minor"/>
    </font>
    <font>
      <i/>
      <sz val="11"/>
      <name val="Century Gothic"/>
      <family val="2"/>
      <scheme val="minor"/>
    </font>
    <font>
      <sz val="14"/>
      <name val="Wingdings 3"/>
      <family val="1"/>
      <charset val="2"/>
    </font>
    <font>
      <sz val="11"/>
      <name val="Wingdings 3"/>
      <family val="1"/>
      <charset val="2"/>
    </font>
    <font>
      <i/>
      <sz val="11"/>
      <name val="Century Gothic"/>
      <family val="1"/>
      <scheme val="minor"/>
    </font>
    <font>
      <i/>
      <sz val="14"/>
      <name val="Wingdings 3"/>
      <family val="1"/>
      <charset val="2"/>
    </font>
    <font>
      <b/>
      <sz val="16"/>
      <name val="Century Gothic"/>
      <family val="2"/>
      <scheme val="minor"/>
    </font>
    <font>
      <u/>
      <sz val="10"/>
      <name val="Century Gothic"/>
      <family val="2"/>
      <scheme val="minor"/>
    </font>
    <font>
      <sz val="11"/>
      <color rgb="FF00B0F0"/>
      <name val="Century Gothic"/>
      <family val="2"/>
      <scheme val="minor"/>
    </font>
    <font>
      <sz val="12"/>
      <name val="Century Gothic"/>
      <family val="2"/>
      <scheme val="minor"/>
    </font>
    <font>
      <sz val="11"/>
      <color theme="1"/>
      <name val="Century Gothic"/>
      <family val="1"/>
      <scheme val="minor"/>
    </font>
  </fonts>
  <fills count="7">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rgb="FFCCFFFF"/>
        <bgColor indexed="64"/>
      </patternFill>
    </fill>
    <fill>
      <patternFill patternType="solid">
        <fgColor theme="4" tint="-0.499984740745262"/>
        <bgColor indexed="64"/>
      </patternFill>
    </fill>
    <fill>
      <patternFill patternType="solid">
        <fgColor rgb="FFFFFF99"/>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ck">
        <color theme="4" tint="-0.499984740745262"/>
      </left>
      <right style="thick">
        <color theme="4" tint="-0.499984740745262"/>
      </right>
      <top style="thick">
        <color theme="4" tint="-0.499984740745262"/>
      </top>
      <bottom/>
      <diagonal/>
    </border>
    <border>
      <left style="thick">
        <color theme="4" tint="-0.499984740745262"/>
      </left>
      <right style="thick">
        <color theme="4" tint="-0.499984740745262"/>
      </right>
      <top/>
      <bottom/>
      <diagonal/>
    </border>
    <border>
      <left style="thick">
        <color theme="4" tint="-0.499984740745262"/>
      </left>
      <right style="thick">
        <color theme="4" tint="-0.499984740745262"/>
      </right>
      <top/>
      <bottom style="thick">
        <color theme="4" tint="-0.499984740745262"/>
      </bottom>
      <diagonal/>
    </border>
    <border>
      <left style="thick">
        <color theme="4" tint="-0.499984740745262"/>
      </left>
      <right/>
      <top/>
      <bottom/>
      <diagonal/>
    </border>
    <border>
      <left style="thick">
        <color theme="4" tint="-0.499984740745262"/>
      </left>
      <right/>
      <top style="thick">
        <color theme="4" tint="-0.499984740745262"/>
      </top>
      <bottom/>
      <diagonal/>
    </border>
    <border>
      <left/>
      <right/>
      <top style="thick">
        <color theme="4" tint="-0.499984740745262"/>
      </top>
      <bottom/>
      <diagonal/>
    </border>
    <border>
      <left/>
      <right style="thick">
        <color theme="4" tint="-0.499984740745262"/>
      </right>
      <top style="thick">
        <color theme="4" tint="-0.499984740745262"/>
      </top>
      <bottom/>
      <diagonal/>
    </border>
    <border>
      <left/>
      <right style="thick">
        <color theme="4" tint="-0.499984740745262"/>
      </right>
      <top/>
      <bottom/>
      <diagonal/>
    </border>
    <border>
      <left style="thick">
        <color theme="4" tint="-0.499984740745262"/>
      </left>
      <right/>
      <top/>
      <bottom style="thick">
        <color theme="4" tint="-0.499984740745262"/>
      </bottom>
      <diagonal/>
    </border>
    <border>
      <left/>
      <right/>
      <top/>
      <bottom style="thick">
        <color theme="4" tint="-0.499984740745262"/>
      </bottom>
      <diagonal/>
    </border>
    <border>
      <left/>
      <right style="thick">
        <color theme="4" tint="-0.499984740745262"/>
      </right>
      <top/>
      <bottom style="thick">
        <color theme="4" tint="-0.499984740745262"/>
      </bottom>
      <diagonal/>
    </border>
    <border>
      <left style="thin">
        <color indexed="64"/>
      </left>
      <right style="thick">
        <color theme="4" tint="-0.499984740745262"/>
      </right>
      <top style="thin">
        <color indexed="64"/>
      </top>
      <bottom style="thin">
        <color indexed="64"/>
      </bottom>
      <diagonal/>
    </border>
    <border>
      <left style="thick">
        <color theme="4" tint="-0.499984740745262"/>
      </left>
      <right style="thin">
        <color theme="0"/>
      </right>
      <top/>
      <bottom style="thick">
        <color theme="4" tint="-0.499984740745262"/>
      </bottom>
      <diagonal/>
    </border>
    <border>
      <left style="thin">
        <color theme="0"/>
      </left>
      <right style="thin">
        <color theme="0"/>
      </right>
      <top/>
      <bottom style="thick">
        <color theme="4" tint="-0.499984740745262"/>
      </bottom>
      <diagonal/>
    </border>
    <border>
      <left style="thin">
        <color theme="0"/>
      </left>
      <right style="thick">
        <color theme="4" tint="-0.499984740745262"/>
      </right>
      <top/>
      <bottom style="thick">
        <color theme="4" tint="-0.499984740745262"/>
      </bottom>
      <diagonal/>
    </border>
    <border>
      <left style="thick">
        <color theme="4" tint="-0.499984740745262"/>
      </left>
      <right/>
      <top style="medium">
        <color theme="4" tint="-0.499984740745262"/>
      </top>
      <bottom/>
      <diagonal/>
    </border>
    <border>
      <left/>
      <right/>
      <top style="medium">
        <color theme="4" tint="-0.499984740745262"/>
      </top>
      <bottom/>
      <diagonal/>
    </border>
    <border>
      <left/>
      <right style="medium">
        <color theme="4" tint="-0.499984740745262"/>
      </right>
      <top style="medium">
        <color theme="4" tint="-0.499984740745262"/>
      </top>
      <bottom/>
      <diagonal/>
    </border>
    <border>
      <left/>
      <right style="medium">
        <color theme="4" tint="-0.499984740745262"/>
      </right>
      <top/>
      <bottom/>
      <diagonal/>
    </border>
    <border>
      <left/>
      <right style="medium">
        <color theme="4" tint="-0.499984740745262"/>
      </right>
      <top/>
      <bottom style="thick">
        <color theme="4" tint="-0.499984740745262"/>
      </bottom>
      <diagonal/>
    </border>
    <border>
      <left style="medium">
        <color theme="4" tint="-0.499984740745262"/>
      </left>
      <right/>
      <top style="medium">
        <color theme="4" tint="-0.499984740745262"/>
      </top>
      <bottom/>
      <diagonal/>
    </border>
    <border>
      <left style="medium">
        <color theme="4" tint="-0.499984740745262"/>
      </left>
      <right/>
      <top/>
      <bottom/>
      <diagonal/>
    </border>
    <border>
      <left style="medium">
        <color theme="4" tint="-0.499984740745262"/>
      </left>
      <right/>
      <top/>
      <bottom style="thick">
        <color theme="4" tint="-0.499984740745262"/>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s>
  <cellStyleXfs count="6">
    <xf numFmtId="0" fontId="0" fillId="0" borderId="0"/>
    <xf numFmtId="164" fontId="1" fillId="0" borderId="0" applyFont="0" applyFill="0" applyBorder="0" applyAlignment="0" applyProtection="0"/>
    <xf numFmtId="43" fontId="1" fillId="0" borderId="0" applyFont="0" applyFill="0" applyBorder="0" applyAlignment="0" applyProtection="0"/>
    <xf numFmtId="0" fontId="3" fillId="0" borderId="0" applyNumberFormat="0" applyFill="0" applyBorder="0" applyAlignment="0" applyProtection="0">
      <alignment vertical="top"/>
      <protection locked="0"/>
    </xf>
    <xf numFmtId="9" fontId="1" fillId="0" borderId="0" applyFont="0" applyFill="0" applyBorder="0" applyAlignment="0" applyProtection="0"/>
    <xf numFmtId="0" fontId="1" fillId="0" borderId="0"/>
  </cellStyleXfs>
  <cellXfs count="282">
    <xf numFmtId="0" fontId="0" fillId="0" borderId="0" xfId="0"/>
    <xf numFmtId="0" fontId="4" fillId="0" borderId="0" xfId="0" applyFont="1"/>
    <xf numFmtId="14" fontId="5" fillId="0" borderId="0" xfId="0" applyNumberFormat="1" applyFont="1" applyAlignment="1" applyProtection="1">
      <alignment horizontal="left"/>
      <protection hidden="1"/>
    </xf>
    <xf numFmtId="0" fontId="6" fillId="0" borderId="0" xfId="0" applyFont="1" applyProtection="1">
      <protection hidden="1"/>
    </xf>
    <xf numFmtId="0" fontId="11" fillId="0" borderId="0" xfId="0" applyFont="1" applyProtection="1">
      <protection hidden="1"/>
    </xf>
    <xf numFmtId="14" fontId="7" fillId="0" borderId="0" xfId="0" applyNumberFormat="1" applyFont="1" applyAlignment="1" applyProtection="1">
      <alignment horizontal="left" vertical="center"/>
      <protection hidden="1"/>
    </xf>
    <xf numFmtId="0" fontId="7" fillId="0" borderId="0" xfId="0" applyFont="1" applyAlignment="1" applyProtection="1">
      <alignment vertical="center"/>
      <protection hidden="1"/>
    </xf>
    <xf numFmtId="0" fontId="7" fillId="0" borderId="0" xfId="0" applyFont="1" applyProtection="1">
      <protection hidden="1"/>
    </xf>
    <xf numFmtId="14" fontId="6" fillId="3" borderId="1" xfId="0" applyNumberFormat="1" applyFont="1" applyFill="1" applyBorder="1" applyAlignment="1" applyProtection="1">
      <alignment horizontal="center"/>
      <protection hidden="1"/>
    </xf>
    <xf numFmtId="14" fontId="12" fillId="0" borderId="0" xfId="0" applyNumberFormat="1" applyFont="1" applyAlignment="1" applyProtection="1">
      <alignment horizontal="center" vertical="center"/>
      <protection hidden="1"/>
    </xf>
    <xf numFmtId="0" fontId="13" fillId="0" borderId="0" xfId="0" applyFont="1" applyProtection="1">
      <protection hidden="1"/>
    </xf>
    <xf numFmtId="0" fontId="5" fillId="0" borderId="0" xfId="1" applyNumberFormat="1" applyFont="1" applyAlignment="1" applyProtection="1">
      <alignment horizontal="left" vertical="center"/>
      <protection hidden="1"/>
    </xf>
    <xf numFmtId="0" fontId="6" fillId="0" borderId="0" xfId="0" applyFont="1" applyAlignment="1" applyProtection="1">
      <alignment vertical="center"/>
      <protection hidden="1"/>
    </xf>
    <xf numFmtId="166" fontId="5" fillId="2" borderId="1" xfId="0" applyNumberFormat="1" applyFont="1" applyFill="1" applyBorder="1" applyAlignment="1" applyProtection="1">
      <alignment horizontal="center" vertical="center"/>
      <protection hidden="1"/>
    </xf>
    <xf numFmtId="167" fontId="5" fillId="2" borderId="1" xfId="0" applyNumberFormat="1" applyFont="1" applyFill="1" applyBorder="1" applyAlignment="1" applyProtection="1">
      <alignment horizontal="center" vertical="center"/>
      <protection hidden="1"/>
    </xf>
    <xf numFmtId="0" fontId="5" fillId="2" borderId="1" xfId="0" applyFont="1" applyFill="1" applyBorder="1" applyAlignment="1" applyProtection="1">
      <alignment horizontal="center" vertical="center"/>
      <protection hidden="1"/>
    </xf>
    <xf numFmtId="0" fontId="5" fillId="0" borderId="0" xfId="1" applyNumberFormat="1" applyFont="1" applyAlignment="1" applyProtection="1">
      <alignment horizontal="left"/>
      <protection hidden="1"/>
    </xf>
    <xf numFmtId="43" fontId="6" fillId="0" borderId="0" xfId="0" applyNumberFormat="1" applyFont="1" applyProtection="1">
      <protection hidden="1"/>
    </xf>
    <xf numFmtId="0" fontId="5" fillId="0" borderId="0" xfId="4" applyNumberFormat="1" applyFont="1" applyAlignment="1" applyProtection="1">
      <alignment horizontal="left"/>
      <protection hidden="1"/>
    </xf>
    <xf numFmtId="165" fontId="6" fillId="0" borderId="0" xfId="4" applyNumberFormat="1" applyFont="1" applyProtection="1">
      <protection hidden="1"/>
    </xf>
    <xf numFmtId="0" fontId="5" fillId="2" borderId="1" xfId="0" applyFont="1" applyFill="1" applyBorder="1" applyAlignment="1" applyProtection="1">
      <alignment horizontal="left" vertical="center" wrapText="1"/>
      <protection hidden="1"/>
    </xf>
    <xf numFmtId="0" fontId="5" fillId="2" borderId="1" xfId="0" applyFont="1" applyFill="1" applyBorder="1" applyAlignment="1" applyProtection="1">
      <alignment horizontal="center" vertical="center" wrapText="1"/>
      <protection hidden="1"/>
    </xf>
    <xf numFmtId="165" fontId="5" fillId="2" borderId="1" xfId="4" applyNumberFormat="1" applyFont="1" applyFill="1" applyBorder="1" applyAlignment="1" applyProtection="1">
      <alignment horizontal="center" vertical="center" wrapText="1"/>
      <protection hidden="1"/>
    </xf>
    <xf numFmtId="14" fontId="6" fillId="0" borderId="0" xfId="1" applyNumberFormat="1" applyFont="1" applyAlignment="1" applyProtection="1">
      <alignment horizontal="left"/>
      <protection hidden="1"/>
    </xf>
    <xf numFmtId="0" fontId="5" fillId="0" borderId="0" xfId="0" applyNumberFormat="1" applyFont="1" applyAlignment="1" applyProtection="1">
      <alignment horizontal="left"/>
      <protection hidden="1"/>
    </xf>
    <xf numFmtId="0" fontId="6" fillId="0" borderId="0" xfId="0" applyNumberFormat="1" applyFont="1" applyAlignment="1" applyProtection="1">
      <alignment horizontal="left"/>
      <protection hidden="1"/>
    </xf>
    <xf numFmtId="0" fontId="6" fillId="0" borderId="0" xfId="1" applyNumberFormat="1" applyFont="1" applyAlignment="1" applyProtection="1">
      <alignment horizontal="center"/>
      <protection hidden="1"/>
    </xf>
    <xf numFmtId="0" fontId="6" fillId="0" borderId="0" xfId="0" applyNumberFormat="1" applyFont="1" applyProtection="1">
      <protection hidden="1"/>
    </xf>
    <xf numFmtId="0" fontId="7" fillId="0" borderId="0" xfId="0" applyNumberFormat="1" applyFont="1" applyAlignment="1" applyProtection="1">
      <alignment horizontal="left" vertical="center"/>
      <protection hidden="1"/>
    </xf>
    <xf numFmtId="0" fontId="7" fillId="0" borderId="0" xfId="0" applyNumberFormat="1" applyFont="1" applyAlignment="1" applyProtection="1">
      <alignment vertical="center"/>
      <protection hidden="1"/>
    </xf>
    <xf numFmtId="0" fontId="7" fillId="0" borderId="0" xfId="1" applyNumberFormat="1" applyFont="1" applyAlignment="1" applyProtection="1">
      <alignment horizontal="center" vertical="center"/>
      <protection hidden="1"/>
    </xf>
    <xf numFmtId="0" fontId="13" fillId="0" borderId="0" xfId="0" applyNumberFormat="1" applyFont="1" applyProtection="1">
      <protection hidden="1"/>
    </xf>
    <xf numFmtId="164" fontId="9" fillId="0" borderId="0" xfId="1" applyFont="1" applyAlignment="1" applyProtection="1">
      <alignment horizontal="center" vertical="center"/>
      <protection hidden="1"/>
    </xf>
    <xf numFmtId="0" fontId="14" fillId="3" borderId="4" xfId="0" applyNumberFormat="1" applyFont="1" applyFill="1" applyBorder="1" applyAlignment="1" applyProtection="1">
      <alignment vertical="center" wrapText="1"/>
      <protection hidden="1"/>
    </xf>
    <xf numFmtId="0" fontId="14" fillId="3" borderId="4" xfId="0" applyNumberFormat="1" applyFont="1" applyFill="1" applyBorder="1" applyAlignment="1" applyProtection="1">
      <alignment horizontal="left" vertical="center" wrapText="1"/>
      <protection hidden="1"/>
    </xf>
    <xf numFmtId="0" fontId="14" fillId="3" borderId="4" xfId="1" applyNumberFormat="1" applyFont="1" applyFill="1" applyBorder="1" applyAlignment="1" applyProtection="1">
      <alignment horizontal="center" vertical="center" wrapText="1"/>
      <protection hidden="1"/>
    </xf>
    <xf numFmtId="0" fontId="14" fillId="0" borderId="0" xfId="0" applyNumberFormat="1" applyFont="1" applyAlignment="1" applyProtection="1">
      <alignment vertical="center" wrapText="1"/>
      <protection hidden="1"/>
    </xf>
    <xf numFmtId="14" fontId="6" fillId="0" borderId="0" xfId="0" applyNumberFormat="1" applyFont="1" applyAlignment="1" applyProtection="1">
      <alignment horizontal="left"/>
      <protection hidden="1"/>
    </xf>
    <xf numFmtId="164" fontId="6" fillId="0" borderId="0" xfId="1" applyFont="1" applyAlignment="1" applyProtection="1">
      <alignment horizontal="center"/>
      <protection hidden="1"/>
    </xf>
    <xf numFmtId="0" fontId="6" fillId="0" borderId="0" xfId="0" applyFont="1" applyAlignment="1" applyProtection="1">
      <alignment horizontal="center"/>
      <protection hidden="1"/>
    </xf>
    <xf numFmtId="0" fontId="5" fillId="0" borderId="0" xfId="0" applyFont="1" applyProtection="1">
      <protection hidden="1"/>
    </xf>
    <xf numFmtId="14" fontId="5" fillId="3" borderId="1" xfId="0" applyNumberFormat="1" applyFont="1" applyFill="1" applyBorder="1" applyAlignment="1" applyProtection="1">
      <alignment horizontal="center"/>
      <protection hidden="1"/>
    </xf>
    <xf numFmtId="14" fontId="5" fillId="0" borderId="0" xfId="0" applyNumberFormat="1" applyFont="1" applyFill="1" applyBorder="1" applyAlignment="1" applyProtection="1">
      <alignment horizontal="center"/>
      <protection hidden="1"/>
    </xf>
    <xf numFmtId="0" fontId="7" fillId="0" borderId="0" xfId="0" applyFont="1" applyAlignment="1" applyProtection="1">
      <alignment horizontal="center" vertical="center"/>
      <protection hidden="1"/>
    </xf>
    <xf numFmtId="164" fontId="7" fillId="0" borderId="0" xfId="1" applyFont="1" applyAlignment="1" applyProtection="1">
      <alignment horizontal="center" vertical="center"/>
      <protection hidden="1"/>
    </xf>
    <xf numFmtId="43" fontId="9" fillId="0" borderId="0" xfId="2" applyFont="1" applyAlignment="1" applyProtection="1">
      <alignment horizontal="center" vertical="center"/>
      <protection hidden="1"/>
    </xf>
    <xf numFmtId="0" fontId="14" fillId="3" borderId="4" xfId="0" applyFont="1" applyFill="1" applyBorder="1" applyAlignment="1" applyProtection="1">
      <alignment wrapText="1"/>
      <protection hidden="1"/>
    </xf>
    <xf numFmtId="0" fontId="14" fillId="2" borderId="4" xfId="0" applyFont="1" applyFill="1" applyBorder="1" applyAlignment="1" applyProtection="1">
      <alignment wrapText="1"/>
      <protection hidden="1"/>
    </xf>
    <xf numFmtId="0" fontId="14" fillId="2" borderId="4" xfId="0" applyFont="1" applyFill="1" applyBorder="1" applyAlignment="1" applyProtection="1">
      <alignment horizontal="center" wrapText="1"/>
      <protection hidden="1"/>
    </xf>
    <xf numFmtId="164" fontId="14" fillId="3" borderId="4" xfId="1" applyFont="1" applyFill="1" applyBorder="1" applyAlignment="1" applyProtection="1">
      <alignment horizontal="center" wrapText="1"/>
      <protection hidden="1"/>
    </xf>
    <xf numFmtId="164" fontId="14" fillId="2" borderId="4" xfId="1" applyFont="1" applyFill="1" applyBorder="1" applyAlignment="1" applyProtection="1">
      <alignment horizontal="center" wrapText="1"/>
      <protection hidden="1"/>
    </xf>
    <xf numFmtId="0" fontId="14" fillId="0" borderId="0" xfId="0" applyFont="1" applyAlignment="1" applyProtection="1">
      <alignment wrapText="1"/>
      <protection hidden="1"/>
    </xf>
    <xf numFmtId="164" fontId="6" fillId="0" borderId="0" xfId="0" applyNumberFormat="1" applyFont="1" applyProtection="1">
      <protection hidden="1"/>
    </xf>
    <xf numFmtId="0" fontId="5" fillId="0" borderId="0" xfId="1" applyNumberFormat="1" applyFont="1" applyAlignment="1" applyProtection="1">
      <alignment horizontal="center"/>
      <protection hidden="1"/>
    </xf>
    <xf numFmtId="0" fontId="5" fillId="0" borderId="0" xfId="2" applyNumberFormat="1" applyFont="1" applyAlignment="1" applyProtection="1">
      <alignment horizontal="center"/>
      <protection hidden="1"/>
    </xf>
    <xf numFmtId="0" fontId="5" fillId="0" borderId="0" xfId="2" applyNumberFormat="1" applyFont="1" applyAlignment="1" applyProtection="1">
      <alignment horizontal="left"/>
      <protection hidden="1"/>
    </xf>
    <xf numFmtId="0" fontId="6" fillId="0" borderId="0" xfId="1" applyNumberFormat="1" applyFont="1" applyProtection="1">
      <protection hidden="1"/>
    </xf>
    <xf numFmtId="0" fontId="6" fillId="0" borderId="0" xfId="4" applyNumberFormat="1" applyFont="1" applyProtection="1">
      <protection hidden="1"/>
    </xf>
    <xf numFmtId="0" fontId="6" fillId="0" borderId="0" xfId="0" applyNumberFormat="1" applyFont="1" applyAlignment="1" applyProtection="1">
      <alignment horizontal="center"/>
      <protection hidden="1"/>
    </xf>
    <xf numFmtId="0" fontId="7" fillId="0" borderId="0" xfId="1" applyNumberFormat="1" applyFont="1" applyAlignment="1" applyProtection="1">
      <alignment vertical="center"/>
      <protection hidden="1"/>
    </xf>
    <xf numFmtId="0" fontId="7" fillId="0" borderId="0" xfId="0" applyNumberFormat="1" applyFont="1" applyAlignment="1" applyProtection="1">
      <alignment horizontal="center" vertical="center"/>
      <protection hidden="1"/>
    </xf>
    <xf numFmtId="0" fontId="9" fillId="0" borderId="0" xfId="2" applyNumberFormat="1" applyFont="1" applyAlignment="1" applyProtection="1">
      <alignment horizontal="left" vertical="center"/>
      <protection hidden="1"/>
    </xf>
    <xf numFmtId="0" fontId="9" fillId="0" borderId="0" xfId="2" applyNumberFormat="1" applyFont="1" applyAlignment="1" applyProtection="1">
      <alignment horizontal="center" vertical="center"/>
      <protection hidden="1"/>
    </xf>
    <xf numFmtId="0" fontId="9" fillId="0" borderId="0" xfId="1" applyNumberFormat="1" applyFont="1" applyAlignment="1" applyProtection="1">
      <alignment horizontal="center" vertical="center"/>
      <protection hidden="1"/>
    </xf>
    <xf numFmtId="0" fontId="7" fillId="0" borderId="0" xfId="4" applyNumberFormat="1" applyFont="1" applyAlignment="1" applyProtection="1">
      <alignment vertical="center"/>
      <protection hidden="1"/>
    </xf>
    <xf numFmtId="164" fontId="9" fillId="0" borderId="0" xfId="1" applyFont="1" applyAlignment="1" applyProtection="1">
      <alignment vertical="center"/>
      <protection hidden="1"/>
    </xf>
    <xf numFmtId="0" fontId="5" fillId="0" borderId="0" xfId="0" applyNumberFormat="1" applyFont="1" applyFill="1" applyBorder="1" applyAlignment="1" applyProtection="1">
      <alignment horizontal="left" vertical="center"/>
      <protection hidden="1"/>
    </xf>
    <xf numFmtId="0" fontId="5" fillId="0" borderId="0" xfId="0" applyNumberFormat="1" applyFont="1" applyFill="1" applyBorder="1" applyAlignment="1" applyProtection="1">
      <alignment horizontal="center" vertical="center"/>
      <protection hidden="1"/>
    </xf>
    <xf numFmtId="0" fontId="5" fillId="0" borderId="0" xfId="1" applyNumberFormat="1" applyFont="1" applyFill="1" applyBorder="1" applyAlignment="1" applyProtection="1">
      <alignment horizontal="center" vertical="center"/>
      <protection hidden="1"/>
    </xf>
    <xf numFmtId="0" fontId="14" fillId="3" borderId="4" xfId="0" applyNumberFormat="1" applyFont="1" applyFill="1" applyBorder="1" applyAlignment="1" applyProtection="1">
      <alignment horizontal="left" wrapText="1"/>
      <protection hidden="1"/>
    </xf>
    <xf numFmtId="0" fontId="14" fillId="3" borderId="4" xfId="0" applyNumberFormat="1" applyFont="1" applyFill="1" applyBorder="1" applyAlignment="1" applyProtection="1">
      <alignment wrapText="1"/>
      <protection hidden="1"/>
    </xf>
    <xf numFmtId="0" fontId="14" fillId="3" borderId="4" xfId="1" applyNumberFormat="1" applyFont="1" applyFill="1" applyBorder="1" applyAlignment="1" applyProtection="1">
      <alignment horizontal="center" wrapText="1"/>
      <protection hidden="1"/>
    </xf>
    <xf numFmtId="0" fontId="14" fillId="4" borderId="4" xfId="2" applyNumberFormat="1" applyFont="1" applyFill="1" applyBorder="1" applyAlignment="1" applyProtection="1">
      <alignment horizontal="center" wrapText="1"/>
      <protection hidden="1"/>
    </xf>
    <xf numFmtId="0" fontId="14" fillId="2" borderId="4" xfId="2" applyNumberFormat="1" applyFont="1" applyFill="1" applyBorder="1" applyAlignment="1" applyProtection="1">
      <alignment horizontal="left" wrapText="1"/>
      <protection hidden="1"/>
    </xf>
    <xf numFmtId="0" fontId="14" fillId="2" borderId="4" xfId="2" applyNumberFormat="1" applyFont="1" applyFill="1" applyBorder="1" applyAlignment="1" applyProtection="1">
      <alignment horizontal="center" wrapText="1"/>
      <protection hidden="1"/>
    </xf>
    <xf numFmtId="0" fontId="14" fillId="2" borderId="4" xfId="1" applyNumberFormat="1" applyFont="1" applyFill="1" applyBorder="1" applyAlignment="1" applyProtection="1">
      <alignment horizontal="center" wrapText="1"/>
      <protection hidden="1"/>
    </xf>
    <xf numFmtId="0" fontId="14" fillId="2" borderId="4" xfId="4" applyNumberFormat="1" applyFont="1" applyFill="1" applyBorder="1" applyAlignment="1" applyProtection="1">
      <alignment horizontal="center" wrapText="1"/>
      <protection hidden="1"/>
    </xf>
    <xf numFmtId="0" fontId="14" fillId="0" borderId="0" xfId="0" applyNumberFormat="1" applyFont="1" applyAlignment="1" applyProtection="1">
      <alignment wrapText="1"/>
      <protection hidden="1"/>
    </xf>
    <xf numFmtId="0" fontId="6" fillId="0" borderId="0" xfId="0" applyFont="1" applyAlignment="1" applyProtection="1">
      <alignment horizontal="left"/>
      <protection hidden="1"/>
    </xf>
    <xf numFmtId="164" fontId="6" fillId="0" borderId="0" xfId="1" applyFont="1" applyProtection="1">
      <protection hidden="1"/>
    </xf>
    <xf numFmtId="43" fontId="6" fillId="0" borderId="0" xfId="2" applyFont="1" applyAlignment="1" applyProtection="1">
      <alignment horizontal="center"/>
      <protection hidden="1"/>
    </xf>
    <xf numFmtId="14" fontId="6" fillId="0" borderId="0" xfId="1" applyNumberFormat="1" applyFont="1" applyFill="1" applyBorder="1" applyAlignment="1" applyProtection="1">
      <alignment horizontal="center"/>
      <protection hidden="1"/>
    </xf>
    <xf numFmtId="164" fontId="6" fillId="0" borderId="0" xfId="1" applyNumberFormat="1" applyFont="1" applyProtection="1">
      <protection hidden="1"/>
    </xf>
    <xf numFmtId="164" fontId="6" fillId="0" borderId="0" xfId="1" applyNumberFormat="1" applyFont="1" applyAlignment="1" applyProtection="1">
      <alignment horizontal="center"/>
      <protection hidden="1"/>
    </xf>
    <xf numFmtId="14" fontId="6" fillId="0" borderId="0" xfId="0" applyNumberFormat="1" applyFont="1" applyProtection="1">
      <protection hidden="1"/>
    </xf>
    <xf numFmtId="14" fontId="6" fillId="0" borderId="0" xfId="0" applyNumberFormat="1" applyFont="1" applyAlignment="1" applyProtection="1">
      <alignment horizontal="center"/>
      <protection hidden="1"/>
    </xf>
    <xf numFmtId="43" fontId="6" fillId="0" borderId="0" xfId="2" applyFont="1" applyAlignment="1" applyProtection="1">
      <alignment horizontal="left"/>
      <protection hidden="1"/>
    </xf>
    <xf numFmtId="0" fontId="11" fillId="0" borderId="0" xfId="0" applyFont="1" applyAlignment="1" applyProtection="1">
      <alignment horizontal="left"/>
      <protection hidden="1"/>
    </xf>
    <xf numFmtId="14" fontId="15" fillId="0" borderId="0" xfId="0" applyNumberFormat="1" applyFont="1" applyFill="1" applyAlignment="1" applyProtection="1">
      <alignment horizontal="center"/>
      <protection hidden="1"/>
    </xf>
    <xf numFmtId="0" fontId="6" fillId="0" borderId="0" xfId="0" applyFont="1" applyAlignment="1" applyProtection="1">
      <protection hidden="1"/>
    </xf>
    <xf numFmtId="43" fontId="9" fillId="0" borderId="0" xfId="2" applyFont="1" applyAlignment="1" applyProtection="1">
      <protection hidden="1"/>
    </xf>
    <xf numFmtId="0" fontId="14" fillId="3" borderId="4" xfId="0" applyNumberFormat="1" applyFont="1" applyFill="1" applyBorder="1" applyAlignment="1" applyProtection="1">
      <alignment horizontal="center" wrapText="1"/>
      <protection hidden="1"/>
    </xf>
    <xf numFmtId="0" fontId="14" fillId="4" borderId="4" xfId="1" applyNumberFormat="1" applyFont="1" applyFill="1" applyBorder="1" applyAlignment="1" applyProtection="1">
      <alignment horizontal="center" wrapText="1"/>
      <protection hidden="1"/>
    </xf>
    <xf numFmtId="0" fontId="14" fillId="2" borderId="4" xfId="0" applyNumberFormat="1" applyFont="1" applyFill="1" applyBorder="1" applyAlignment="1" applyProtection="1">
      <alignment horizontal="center" wrapText="1"/>
      <protection hidden="1"/>
    </xf>
    <xf numFmtId="0" fontId="8" fillId="0" borderId="0" xfId="0" applyFont="1" applyProtection="1">
      <protection hidden="1"/>
    </xf>
    <xf numFmtId="0" fontId="8" fillId="0" borderId="0" xfId="0" applyFont="1" applyAlignment="1" applyProtection="1">
      <alignment horizontal="center"/>
      <protection hidden="1"/>
    </xf>
    <xf numFmtId="164" fontId="8" fillId="0" borderId="0" xfId="1" applyFont="1" applyAlignment="1" applyProtection="1">
      <alignment horizontal="center"/>
      <protection hidden="1"/>
    </xf>
    <xf numFmtId="0" fontId="10" fillId="0" borderId="0" xfId="0" applyFont="1" applyProtection="1">
      <protection hidden="1"/>
    </xf>
    <xf numFmtId="0" fontId="10" fillId="0" borderId="0" xfId="0" applyNumberFormat="1" applyFont="1" applyAlignment="1" applyProtection="1">
      <alignment horizontal="left"/>
      <protection hidden="1"/>
    </xf>
    <xf numFmtId="14" fontId="10" fillId="0" borderId="0" xfId="0" applyNumberFormat="1" applyFont="1" applyAlignment="1" applyProtection="1">
      <alignment horizontal="left"/>
      <protection hidden="1"/>
    </xf>
    <xf numFmtId="0" fontId="16" fillId="0" borderId="0" xfId="0" applyFont="1" applyAlignment="1" applyProtection="1">
      <alignment horizontal="left" wrapText="1"/>
      <protection hidden="1"/>
    </xf>
    <xf numFmtId="0" fontId="1" fillId="0" borderId="0" xfId="0" applyFont="1" applyAlignment="1" applyProtection="1">
      <alignment horizontal="justify" wrapText="1"/>
      <protection hidden="1"/>
    </xf>
    <xf numFmtId="0" fontId="17" fillId="0" borderId="0" xfId="0" applyFont="1" applyAlignment="1" applyProtection="1">
      <alignment horizontal="left" wrapText="1"/>
      <protection hidden="1"/>
    </xf>
    <xf numFmtId="0" fontId="19" fillId="0" borderId="0" xfId="3" applyFont="1" applyAlignment="1" applyProtection="1">
      <alignment horizontal="right" wrapText="1"/>
      <protection hidden="1"/>
    </xf>
    <xf numFmtId="0" fontId="20" fillId="0" borderId="0" xfId="0" applyFont="1" applyAlignment="1" applyProtection="1">
      <alignment horizontal="justify" wrapText="1"/>
      <protection hidden="1"/>
    </xf>
    <xf numFmtId="0" fontId="21" fillId="0" borderId="0" xfId="0" applyFont="1" applyAlignment="1" applyProtection="1">
      <alignment horizontal="justify" wrapText="1"/>
      <protection hidden="1"/>
    </xf>
    <xf numFmtId="0" fontId="17" fillId="0" borderId="0" xfId="0" applyFont="1" applyAlignment="1" applyProtection="1">
      <alignment horizontal="justify" wrapText="1"/>
      <protection hidden="1"/>
    </xf>
    <xf numFmtId="0" fontId="22" fillId="0" borderId="0" xfId="0" applyFont="1" applyAlignment="1" applyProtection="1">
      <alignment horizontal="justify" wrapText="1"/>
      <protection hidden="1"/>
    </xf>
    <xf numFmtId="0" fontId="23" fillId="0" borderId="0" xfId="0" applyFont="1" applyAlignment="1" applyProtection="1">
      <alignment horizontal="justify" wrapText="1"/>
      <protection hidden="1"/>
    </xf>
    <xf numFmtId="0" fontId="24" fillId="0" borderId="0" xfId="0" applyFont="1" applyAlignment="1" applyProtection="1">
      <alignment horizontal="justify" wrapText="1"/>
      <protection hidden="1"/>
    </xf>
    <xf numFmtId="0" fontId="1" fillId="0" borderId="0" xfId="0" applyFont="1" applyAlignment="1">
      <alignment wrapText="1"/>
    </xf>
    <xf numFmtId="0" fontId="18" fillId="0" borderId="0" xfId="3" applyFont="1" applyAlignment="1" applyProtection="1">
      <alignment horizontal="left" wrapText="1"/>
      <protection hidden="1"/>
    </xf>
    <xf numFmtId="164" fontId="6" fillId="0" borderId="0" xfId="1" applyFont="1" applyFill="1" applyProtection="1">
      <protection hidden="1"/>
    </xf>
    <xf numFmtId="164" fontId="6" fillId="0" borderId="0" xfId="1" applyFont="1" applyFill="1" applyAlignment="1" applyProtection="1">
      <protection hidden="1"/>
    </xf>
    <xf numFmtId="164" fontId="0" fillId="0" borderId="0" xfId="1" applyFont="1" applyFill="1" applyBorder="1" applyAlignment="1" applyProtection="1">
      <protection hidden="1"/>
    </xf>
    <xf numFmtId="0" fontId="14" fillId="4" borderId="29" xfId="1" applyNumberFormat="1" applyFont="1" applyFill="1" applyBorder="1" applyAlignment="1" applyProtection="1">
      <alignment horizontal="center" wrapText="1"/>
      <protection hidden="1"/>
    </xf>
    <xf numFmtId="164" fontId="6" fillId="0" borderId="0" xfId="1" applyFont="1" applyAlignment="1" applyProtection="1">
      <protection hidden="1"/>
    </xf>
    <xf numFmtId="164" fontId="7" fillId="0" borderId="0" xfId="1" applyFont="1" applyAlignment="1" applyProtection="1">
      <alignment vertical="center"/>
      <protection hidden="1"/>
    </xf>
    <xf numFmtId="0" fontId="14" fillId="4" borderId="30" xfId="1" applyNumberFormat="1" applyFont="1" applyFill="1" applyBorder="1" applyAlignment="1" applyProtection="1">
      <alignment horizontal="center" wrapText="1"/>
      <protection hidden="1"/>
    </xf>
    <xf numFmtId="164" fontId="6" fillId="0" borderId="0" xfId="1" applyFont="1" applyFill="1" applyBorder="1" applyProtection="1">
      <protection hidden="1"/>
    </xf>
    <xf numFmtId="164" fontId="6" fillId="0" borderId="0" xfId="1" applyFont="1" applyFill="1" applyBorder="1" applyAlignment="1" applyProtection="1">
      <protection hidden="1"/>
    </xf>
    <xf numFmtId="0" fontId="14" fillId="2" borderId="29" xfId="1" applyNumberFormat="1" applyFont="1" applyFill="1" applyBorder="1" applyAlignment="1" applyProtection="1">
      <alignment horizontal="center" wrapText="1"/>
      <protection hidden="1"/>
    </xf>
    <xf numFmtId="0" fontId="14" fillId="4" borderId="0" xfId="1" applyNumberFormat="1" applyFont="1" applyFill="1" applyBorder="1" applyAlignment="1" applyProtection="1">
      <alignment horizontal="center" wrapText="1"/>
      <protection hidden="1"/>
    </xf>
    <xf numFmtId="14" fontId="15" fillId="0" borderId="0" xfId="1" applyNumberFormat="1" applyFont="1" applyFill="1" applyAlignment="1" applyProtection="1">
      <alignment horizontal="center"/>
      <protection hidden="1"/>
    </xf>
    <xf numFmtId="164" fontId="6" fillId="0" borderId="0" xfId="1" applyFont="1" applyAlignment="1" applyProtection="1">
      <alignment vertical="center"/>
      <protection hidden="1"/>
    </xf>
    <xf numFmtId="164" fontId="5" fillId="2" borderId="1" xfId="1" applyFont="1" applyFill="1" applyBorder="1" applyAlignment="1" applyProtection="1">
      <alignment horizontal="center" vertical="center" wrapText="1"/>
      <protection hidden="1"/>
    </xf>
    <xf numFmtId="165" fontId="7" fillId="0" borderId="0" xfId="4" applyNumberFormat="1" applyFont="1" applyAlignment="1" applyProtection="1">
      <alignment vertical="center"/>
      <protection hidden="1"/>
    </xf>
    <xf numFmtId="165" fontId="6" fillId="0" borderId="0" xfId="4" applyNumberFormat="1" applyFont="1" applyAlignment="1" applyProtection="1">
      <alignment vertical="center"/>
      <protection hidden="1"/>
    </xf>
    <xf numFmtId="0" fontId="4" fillId="5" borderId="0" xfId="0" applyFont="1" applyFill="1" applyProtection="1">
      <protection hidden="1"/>
    </xf>
    <xf numFmtId="0" fontId="4" fillId="0" borderId="0" xfId="0" applyFont="1" applyProtection="1">
      <protection hidden="1"/>
    </xf>
    <xf numFmtId="0" fontId="4" fillId="5" borderId="0" xfId="0" applyFont="1" applyFill="1" applyAlignment="1" applyProtection="1">
      <alignment horizontal="center" vertical="center"/>
      <protection hidden="1"/>
    </xf>
    <xf numFmtId="0" fontId="4" fillId="0" borderId="0" xfId="0" applyFont="1" applyFill="1" applyBorder="1" applyAlignment="1" applyProtection="1">
      <alignment horizontal="center"/>
      <protection hidden="1"/>
    </xf>
    <xf numFmtId="0" fontId="4" fillId="0" borderId="12" xfId="0" applyFont="1" applyFill="1" applyBorder="1" applyAlignment="1" applyProtection="1">
      <alignment horizontal="center"/>
      <protection hidden="1"/>
    </xf>
    <xf numFmtId="14" fontId="4" fillId="6" borderId="18" xfId="0" applyNumberFormat="1" applyFont="1" applyFill="1" applyBorder="1" applyAlignment="1" applyProtection="1">
      <alignment horizontal="center"/>
      <protection hidden="1"/>
    </xf>
    <xf numFmtId="14" fontId="4" fillId="6" borderId="19" xfId="0" applyNumberFormat="1" applyFont="1" applyFill="1" applyBorder="1" applyAlignment="1" applyProtection="1">
      <alignment horizontal="center"/>
      <protection hidden="1"/>
    </xf>
    <xf numFmtId="0" fontId="37" fillId="0" borderId="0" xfId="0" applyFont="1" applyFill="1" applyBorder="1" applyAlignment="1" applyProtection="1">
      <alignment horizontal="center"/>
      <protection hidden="1"/>
    </xf>
    <xf numFmtId="0" fontId="37" fillId="0" borderId="12" xfId="0" applyFont="1" applyFill="1" applyBorder="1" applyAlignment="1" applyProtection="1">
      <alignment horizontal="center"/>
      <protection hidden="1"/>
    </xf>
    <xf numFmtId="164" fontId="4" fillId="0" borderId="0" xfId="0" applyNumberFormat="1" applyFont="1" applyFill="1" applyBorder="1" applyAlignment="1" applyProtection="1">
      <alignment horizontal="center"/>
      <protection hidden="1"/>
    </xf>
    <xf numFmtId="164" fontId="4" fillId="0" borderId="12" xfId="0" applyNumberFormat="1" applyFont="1" applyFill="1" applyBorder="1" applyAlignment="1" applyProtection="1">
      <alignment horizontal="center"/>
      <protection hidden="1"/>
    </xf>
    <xf numFmtId="0" fontId="4" fillId="0" borderId="14" xfId="0" applyFont="1" applyFill="1" applyBorder="1" applyProtection="1">
      <protection hidden="1"/>
    </xf>
    <xf numFmtId="0" fontId="4" fillId="0" borderId="15" xfId="0" applyFont="1" applyFill="1" applyBorder="1" applyProtection="1">
      <protection hidden="1"/>
    </xf>
    <xf numFmtId="0" fontId="4" fillId="0" borderId="10" xfId="0" applyFont="1" applyFill="1" applyBorder="1" applyAlignment="1" applyProtection="1">
      <alignment horizontal="center"/>
      <protection hidden="1"/>
    </xf>
    <xf numFmtId="0" fontId="4" fillId="0" borderId="11" xfId="0" applyFont="1" applyFill="1" applyBorder="1" applyAlignment="1" applyProtection="1">
      <alignment horizontal="center"/>
      <protection hidden="1"/>
    </xf>
    <xf numFmtId="0" fontId="4" fillId="6" borderId="1" xfId="0" applyFont="1" applyFill="1" applyBorder="1" applyAlignment="1" applyProtection="1">
      <alignment horizontal="center"/>
      <protection hidden="1"/>
    </xf>
    <xf numFmtId="0" fontId="4" fillId="6" borderId="16" xfId="0" applyFont="1" applyFill="1" applyBorder="1" applyAlignment="1" applyProtection="1">
      <alignment horizontal="center"/>
      <protection hidden="1"/>
    </xf>
    <xf numFmtId="0" fontId="28" fillId="0" borderId="10" xfId="0" applyFont="1" applyFill="1" applyBorder="1" applyAlignment="1" applyProtection="1">
      <alignment horizontal="left" vertical="center" indent="1"/>
      <protection hidden="1"/>
    </xf>
    <xf numFmtId="0" fontId="28" fillId="0" borderId="11" xfId="0" applyFont="1" applyFill="1" applyBorder="1" applyAlignment="1" applyProtection="1">
      <alignment horizontal="left" vertical="center" indent="1"/>
      <protection hidden="1"/>
    </xf>
    <xf numFmtId="0" fontId="28" fillId="0" borderId="10" xfId="0" applyFont="1" applyFill="1" applyBorder="1" applyAlignment="1" applyProtection="1">
      <alignment horizontal="left" vertical="center" indent="2"/>
      <protection hidden="1"/>
    </xf>
    <xf numFmtId="0" fontId="28" fillId="0" borderId="11" xfId="0" applyFont="1" applyFill="1" applyBorder="1" applyAlignment="1" applyProtection="1">
      <alignment horizontal="left" vertical="center" indent="2"/>
      <protection hidden="1"/>
    </xf>
    <xf numFmtId="0" fontId="4" fillId="0" borderId="8" xfId="0" applyFont="1" applyFill="1" applyBorder="1" applyAlignment="1" applyProtection="1">
      <alignment horizontal="left" indent="1"/>
      <protection hidden="1"/>
    </xf>
    <xf numFmtId="0" fontId="4" fillId="0" borderId="0" xfId="0" applyFont="1" applyFill="1" applyBorder="1" applyProtection="1">
      <protection hidden="1"/>
    </xf>
    <xf numFmtId="37" fontId="4" fillId="0" borderId="0" xfId="1" applyNumberFormat="1" applyFont="1" applyFill="1" applyBorder="1" applyAlignment="1" applyProtection="1">
      <alignment horizontal="right" indent="1"/>
      <protection hidden="1"/>
    </xf>
    <xf numFmtId="37" fontId="4" fillId="0" borderId="12" xfId="1" applyNumberFormat="1" applyFont="1" applyFill="1" applyBorder="1" applyAlignment="1" applyProtection="1">
      <alignment horizontal="right" indent="1"/>
      <protection hidden="1"/>
    </xf>
    <xf numFmtId="3" fontId="4" fillId="0" borderId="0" xfId="0" applyNumberFormat="1" applyFont="1" applyFill="1" applyBorder="1" applyAlignment="1" applyProtection="1">
      <alignment horizontal="right" indent="1"/>
      <protection hidden="1"/>
    </xf>
    <xf numFmtId="3" fontId="4" fillId="0" borderId="12" xfId="0" applyNumberFormat="1" applyFont="1" applyFill="1" applyBorder="1" applyAlignment="1" applyProtection="1">
      <alignment horizontal="right" indent="1"/>
      <protection hidden="1"/>
    </xf>
    <xf numFmtId="0" fontId="4" fillId="0" borderId="13" xfId="0" applyFont="1" applyFill="1" applyBorder="1" applyProtection="1">
      <protection hidden="1"/>
    </xf>
    <xf numFmtId="37" fontId="4" fillId="0" borderId="14" xfId="1" applyNumberFormat="1" applyFont="1" applyFill="1" applyBorder="1" applyAlignment="1" applyProtection="1">
      <alignment horizontal="right"/>
      <protection hidden="1"/>
    </xf>
    <xf numFmtId="37" fontId="4" fillId="0" borderId="15" xfId="1" applyNumberFormat="1" applyFont="1" applyFill="1" applyBorder="1" applyAlignment="1" applyProtection="1">
      <alignment horizontal="right"/>
      <protection hidden="1"/>
    </xf>
    <xf numFmtId="3" fontId="4" fillId="0" borderId="14" xfId="0" applyNumberFormat="1" applyFont="1" applyFill="1" applyBorder="1" applyAlignment="1" applyProtection="1">
      <alignment horizontal="right"/>
      <protection hidden="1"/>
    </xf>
    <xf numFmtId="3" fontId="4" fillId="0" borderId="15" xfId="0" applyNumberFormat="1" applyFont="1" applyFill="1" applyBorder="1" applyAlignment="1" applyProtection="1">
      <alignment horizontal="right"/>
      <protection hidden="1"/>
    </xf>
    <xf numFmtId="165" fontId="4" fillId="0" borderId="12" xfId="4" applyNumberFormat="1" applyFont="1" applyFill="1" applyBorder="1" applyAlignment="1" applyProtection="1">
      <alignment horizontal="right" indent="1"/>
      <protection hidden="1"/>
    </xf>
    <xf numFmtId="0" fontId="29" fillId="0" borderId="0" xfId="5" applyFont="1" applyProtection="1">
      <protection hidden="1"/>
    </xf>
    <xf numFmtId="0" fontId="30" fillId="0" borderId="0" xfId="5" applyFont="1" applyProtection="1">
      <protection hidden="1"/>
    </xf>
    <xf numFmtId="0" fontId="30" fillId="0" borderId="0" xfId="5" applyFont="1" applyAlignment="1" applyProtection="1">
      <alignment horizontal="center"/>
      <protection hidden="1"/>
    </xf>
    <xf numFmtId="0" fontId="31" fillId="0" borderId="0" xfId="5" applyFont="1" applyAlignment="1" applyProtection="1">
      <alignment horizontal="center"/>
      <protection hidden="1"/>
    </xf>
    <xf numFmtId="0" fontId="26" fillId="0" borderId="0" xfId="5" applyFont="1" applyAlignment="1" applyProtection="1">
      <alignment horizontal="left"/>
      <protection hidden="1"/>
    </xf>
    <xf numFmtId="0" fontId="26" fillId="0" borderId="0" xfId="5" applyFont="1" applyAlignment="1" applyProtection="1">
      <alignment horizontal="center"/>
      <protection hidden="1"/>
    </xf>
    <xf numFmtId="0" fontId="33" fillId="0" borderId="0" xfId="5" applyFont="1" applyAlignment="1" applyProtection="1">
      <alignment horizontal="center"/>
      <protection hidden="1"/>
    </xf>
    <xf numFmtId="1" fontId="26" fillId="0" borderId="0" xfId="5" applyNumberFormat="1" applyFont="1" applyAlignment="1" applyProtection="1">
      <alignment horizontal="center"/>
      <protection hidden="1"/>
    </xf>
    <xf numFmtId="14" fontId="26" fillId="0" borderId="0" xfId="1" applyNumberFormat="1" applyFont="1" applyBorder="1" applyAlignment="1" applyProtection="1">
      <alignment horizontal="left"/>
      <protection hidden="1"/>
    </xf>
    <xf numFmtId="1" fontId="26" fillId="0" borderId="0" xfId="1" applyNumberFormat="1" applyFont="1" applyBorder="1" applyAlignment="1" applyProtection="1">
      <alignment horizontal="center"/>
      <protection hidden="1"/>
    </xf>
    <xf numFmtId="1" fontId="26" fillId="0" borderId="0" xfId="1" applyNumberFormat="1" applyFont="1" applyBorder="1" applyAlignment="1" applyProtection="1">
      <alignment horizontal="left"/>
      <protection hidden="1"/>
    </xf>
    <xf numFmtId="0" fontId="34" fillId="0" borderId="0" xfId="5" applyFont="1" applyAlignment="1" applyProtection="1">
      <alignment horizontal="left"/>
      <protection hidden="1"/>
    </xf>
    <xf numFmtId="1" fontId="34" fillId="0" borderId="0" xfId="5" applyNumberFormat="1" applyFont="1" applyAlignment="1" applyProtection="1">
      <alignment horizontal="center"/>
      <protection hidden="1"/>
    </xf>
    <xf numFmtId="168" fontId="34" fillId="0" borderId="0" xfId="1" applyNumberFormat="1" applyFont="1" applyBorder="1" applyAlignment="1" applyProtection="1">
      <alignment horizontal="center"/>
      <protection hidden="1"/>
    </xf>
    <xf numFmtId="0" fontId="26" fillId="0" borderId="0" xfId="1" applyNumberFormat="1" applyFont="1" applyBorder="1" applyProtection="1">
      <protection hidden="1"/>
    </xf>
    <xf numFmtId="168" fontId="26" fillId="0" borderId="0" xfId="1" applyNumberFormat="1" applyFont="1" applyBorder="1" applyProtection="1">
      <protection hidden="1"/>
    </xf>
    <xf numFmtId="169" fontId="40" fillId="0" borderId="0" xfId="1" applyNumberFormat="1" applyFont="1" applyBorder="1" applyProtection="1">
      <protection hidden="1"/>
    </xf>
    <xf numFmtId="3" fontId="26" fillId="0" borderId="0" xfId="1" applyNumberFormat="1" applyFont="1" applyBorder="1" applyAlignment="1" applyProtection="1">
      <alignment horizontal="center"/>
      <protection hidden="1"/>
    </xf>
    <xf numFmtId="3" fontId="26" fillId="0" borderId="0" xfId="5" applyNumberFormat="1" applyFont="1" applyAlignment="1" applyProtection="1">
      <alignment horizontal="center"/>
      <protection hidden="1"/>
    </xf>
    <xf numFmtId="168" fontId="26" fillId="0" borderId="0" xfId="1" applyNumberFormat="1" applyFont="1" applyBorder="1" applyAlignment="1" applyProtection="1">
      <alignment horizontal="center"/>
      <protection hidden="1"/>
    </xf>
    <xf numFmtId="0" fontId="31" fillId="0" borderId="0" xfId="1" applyNumberFormat="1" applyFont="1" applyBorder="1" applyAlignment="1" applyProtection="1">
      <alignment horizontal="left"/>
      <protection hidden="1"/>
    </xf>
    <xf numFmtId="168" fontId="26" fillId="0" borderId="0" xfId="1" applyNumberFormat="1" applyFont="1" applyFill="1" applyBorder="1" applyProtection="1">
      <protection hidden="1"/>
    </xf>
    <xf numFmtId="164" fontId="26" fillId="0" borderId="0" xfId="1" applyNumberFormat="1" applyFont="1" applyBorder="1" applyProtection="1">
      <protection hidden="1"/>
    </xf>
    <xf numFmtId="0" fontId="4" fillId="0" borderId="0" xfId="0" applyFont="1" applyAlignment="1" applyProtection="1">
      <alignment horizontal="center"/>
      <protection hidden="1"/>
    </xf>
    <xf numFmtId="164" fontId="4" fillId="0" borderId="0" xfId="0" applyNumberFormat="1" applyFont="1" applyProtection="1">
      <protection hidden="1"/>
    </xf>
    <xf numFmtId="0" fontId="38" fillId="0" borderId="0" xfId="0" applyFont="1" applyAlignment="1" applyProtection="1">
      <alignment horizontal="center"/>
      <protection hidden="1"/>
    </xf>
    <xf numFmtId="14" fontId="4" fillId="0" borderId="0" xfId="0" applyNumberFormat="1" applyFont="1" applyAlignment="1" applyProtection="1">
      <alignment horizontal="left"/>
      <protection hidden="1"/>
    </xf>
    <xf numFmtId="164" fontId="4" fillId="0" borderId="0" xfId="1" applyFont="1" applyProtection="1">
      <protection hidden="1"/>
    </xf>
    <xf numFmtId="170" fontId="4" fillId="0" borderId="0" xfId="0" applyNumberFormat="1" applyFont="1" applyAlignment="1" applyProtection="1">
      <alignment horizontal="left"/>
      <protection hidden="1"/>
    </xf>
    <xf numFmtId="0" fontId="34" fillId="0" borderId="0" xfId="1" applyNumberFormat="1" applyFont="1" applyBorder="1" applyProtection="1">
      <protection hidden="1"/>
    </xf>
    <xf numFmtId="168" fontId="34" fillId="0" borderId="0" xfId="1" applyNumberFormat="1" applyFont="1" applyBorder="1" applyProtection="1">
      <protection hidden="1"/>
    </xf>
    <xf numFmtId="1" fontId="34" fillId="0" borderId="0" xfId="1" applyNumberFormat="1" applyFont="1" applyBorder="1" applyAlignment="1" applyProtection="1">
      <alignment horizontal="center"/>
      <protection hidden="1"/>
    </xf>
    <xf numFmtId="0" fontId="34" fillId="0" borderId="0" xfId="1" applyNumberFormat="1" applyFont="1" applyBorder="1" applyAlignment="1" applyProtection="1">
      <alignment horizontal="center"/>
      <protection hidden="1"/>
    </xf>
    <xf numFmtId="168" fontId="34" fillId="0" borderId="0" xfId="1" applyNumberFormat="1" applyFont="1" applyBorder="1" applyAlignment="1" applyProtection="1">
      <alignment horizontal="right"/>
      <protection hidden="1"/>
    </xf>
    <xf numFmtId="168" fontId="35" fillId="0" borderId="0" xfId="1" applyNumberFormat="1" applyFont="1" applyBorder="1" applyAlignment="1" applyProtection="1">
      <alignment horizontal="center"/>
      <protection hidden="1"/>
    </xf>
    <xf numFmtId="168" fontId="26" fillId="0" borderId="0" xfId="1" applyNumberFormat="1" applyFont="1" applyBorder="1" applyAlignment="1" applyProtection="1">
      <alignment horizontal="right"/>
      <protection hidden="1"/>
    </xf>
    <xf numFmtId="168" fontId="32" fillId="0" borderId="0" xfId="1" applyNumberFormat="1" applyFont="1" applyBorder="1" applyAlignment="1" applyProtection="1">
      <alignment horizontal="center"/>
      <protection hidden="1"/>
    </xf>
    <xf numFmtId="0" fontId="26" fillId="0" borderId="0" xfId="5" applyFont="1" applyProtection="1">
      <protection hidden="1"/>
    </xf>
    <xf numFmtId="0" fontId="32" fillId="0" borderId="0" xfId="5" applyFont="1" applyAlignment="1" applyProtection="1">
      <alignment horizontal="center"/>
      <protection hidden="1"/>
    </xf>
    <xf numFmtId="3" fontId="32" fillId="0" borderId="0" xfId="5" applyNumberFormat="1" applyFont="1" applyAlignment="1" applyProtection="1">
      <alignment horizontal="center"/>
      <protection hidden="1"/>
    </xf>
    <xf numFmtId="168" fontId="4" fillId="0" borderId="0" xfId="1" applyNumberFormat="1" applyFont="1" applyProtection="1">
      <protection hidden="1"/>
    </xf>
    <xf numFmtId="165" fontId="26" fillId="0" borderId="0" xfId="4" applyNumberFormat="1" applyFont="1" applyBorder="1" applyProtection="1">
      <protection hidden="1"/>
    </xf>
    <xf numFmtId="170" fontId="6" fillId="0" borderId="0" xfId="0" applyNumberFormat="1" applyFont="1" applyAlignment="1" applyProtection="1">
      <alignment horizontal="left"/>
      <protection hidden="1"/>
    </xf>
    <xf numFmtId="170" fontId="7" fillId="0" borderId="0" xfId="0" applyNumberFormat="1" applyFont="1" applyAlignment="1" applyProtection="1">
      <alignment horizontal="left" vertical="center"/>
      <protection hidden="1"/>
    </xf>
    <xf numFmtId="170" fontId="6" fillId="0" borderId="0" xfId="0" applyNumberFormat="1" applyFont="1" applyAlignment="1" applyProtection="1">
      <alignment horizontal="left" vertical="center"/>
      <protection hidden="1"/>
    </xf>
    <xf numFmtId="170" fontId="6" fillId="0" borderId="0" xfId="4" applyNumberFormat="1" applyFont="1" applyAlignment="1" applyProtection="1">
      <alignment horizontal="left"/>
      <protection hidden="1"/>
    </xf>
    <xf numFmtId="170" fontId="5" fillId="2" borderId="1" xfId="0" applyNumberFormat="1" applyFont="1" applyFill="1" applyBorder="1" applyAlignment="1" applyProtection="1">
      <alignment horizontal="left" vertical="center" wrapText="1"/>
      <protection hidden="1"/>
    </xf>
    <xf numFmtId="14" fontId="14" fillId="3" borderId="4" xfId="0" applyNumberFormat="1" applyFont="1" applyFill="1" applyBorder="1" applyAlignment="1" applyProtection="1">
      <alignment horizontal="left" wrapText="1"/>
      <protection hidden="1"/>
    </xf>
    <xf numFmtId="14" fontId="14" fillId="3" borderId="4" xfId="0" applyNumberFormat="1" applyFont="1" applyFill="1" applyBorder="1" applyAlignment="1" applyProtection="1">
      <alignment horizontal="left" vertical="center" wrapText="1"/>
      <protection hidden="1"/>
    </xf>
    <xf numFmtId="0" fontId="4" fillId="0" borderId="13" xfId="0" applyFont="1" applyFill="1" applyBorder="1" applyAlignment="1" applyProtection="1">
      <alignment horizontal="left"/>
      <protection hidden="1"/>
    </xf>
    <xf numFmtId="0" fontId="4" fillId="0" borderId="14" xfId="0" applyFont="1" applyFill="1" applyBorder="1" applyAlignment="1" applyProtection="1">
      <alignment horizontal="left"/>
      <protection hidden="1"/>
    </xf>
    <xf numFmtId="0" fontId="4" fillId="0" borderId="10" xfId="0" applyFont="1" applyFill="1" applyBorder="1" applyAlignment="1" applyProtection="1">
      <alignment horizontal="center"/>
      <protection hidden="1"/>
    </xf>
    <xf numFmtId="0" fontId="4" fillId="6" borderId="2" xfId="0" applyFont="1" applyFill="1" applyBorder="1" applyAlignment="1" applyProtection="1">
      <alignment horizontal="center"/>
      <protection hidden="1"/>
    </xf>
    <xf numFmtId="0" fontId="4" fillId="6" borderId="3" xfId="0" applyFont="1" applyFill="1" applyBorder="1" applyAlignment="1" applyProtection="1">
      <alignment horizontal="center"/>
      <protection hidden="1"/>
    </xf>
    <xf numFmtId="0" fontId="4" fillId="0" borderId="8" xfId="0" applyFont="1" applyFill="1" applyBorder="1" applyAlignment="1" applyProtection="1">
      <alignment horizontal="center"/>
      <protection hidden="1"/>
    </xf>
    <xf numFmtId="0" fontId="4" fillId="0" borderId="0" xfId="0" applyFont="1" applyFill="1" applyBorder="1" applyAlignment="1" applyProtection="1">
      <alignment horizontal="center"/>
      <protection hidden="1"/>
    </xf>
    <xf numFmtId="0" fontId="4" fillId="0" borderId="12" xfId="0" applyFont="1" applyFill="1" applyBorder="1" applyAlignment="1" applyProtection="1">
      <alignment horizontal="center"/>
      <protection hidden="1"/>
    </xf>
    <xf numFmtId="0" fontId="28" fillId="0" borderId="9" xfId="0" applyFont="1" applyFill="1" applyBorder="1" applyAlignment="1" applyProtection="1">
      <alignment horizontal="left" vertical="center" indent="1"/>
      <protection hidden="1"/>
    </xf>
    <xf numFmtId="0" fontId="28" fillId="0" borderId="10" xfId="0" applyFont="1" applyFill="1" applyBorder="1" applyAlignment="1" applyProtection="1">
      <alignment horizontal="left" vertical="center" indent="1"/>
      <protection hidden="1"/>
    </xf>
    <xf numFmtId="0" fontId="28" fillId="0" borderId="8" xfId="0" applyFont="1" applyFill="1" applyBorder="1" applyAlignment="1" applyProtection="1">
      <alignment horizontal="left" vertical="center" indent="1"/>
      <protection hidden="1"/>
    </xf>
    <xf numFmtId="0" fontId="28" fillId="0" borderId="0" xfId="0" applyFont="1" applyFill="1" applyBorder="1" applyAlignment="1" applyProtection="1">
      <alignment horizontal="left" vertical="center" indent="1"/>
      <protection hidden="1"/>
    </xf>
    <xf numFmtId="0" fontId="4" fillId="0" borderId="20" xfId="0" applyFont="1" applyFill="1" applyBorder="1" applyAlignment="1" applyProtection="1">
      <alignment horizontal="center" vertical="center"/>
      <protection hidden="1"/>
    </xf>
    <xf numFmtId="0" fontId="4" fillId="0" borderId="21" xfId="0" applyFont="1" applyFill="1" applyBorder="1" applyAlignment="1" applyProtection="1">
      <alignment horizontal="center" vertical="center"/>
      <protection hidden="1"/>
    </xf>
    <xf numFmtId="0" fontId="4" fillId="0" borderId="22" xfId="0" applyFont="1" applyFill="1" applyBorder="1" applyAlignment="1" applyProtection="1">
      <alignment horizontal="center" vertical="center"/>
      <protection hidden="1"/>
    </xf>
    <xf numFmtId="0" fontId="4" fillId="0" borderId="8" xfId="0" applyFont="1" applyFill="1" applyBorder="1" applyAlignment="1" applyProtection="1">
      <alignment horizontal="center" vertical="center"/>
      <protection hidden="1"/>
    </xf>
    <xf numFmtId="0" fontId="4" fillId="0" borderId="0" xfId="0" applyFont="1" applyFill="1" applyBorder="1" applyAlignment="1" applyProtection="1">
      <alignment horizontal="center" vertical="center"/>
      <protection hidden="1"/>
    </xf>
    <xf numFmtId="0" fontId="4" fillId="0" borderId="23" xfId="0" applyFont="1" applyFill="1" applyBorder="1" applyAlignment="1" applyProtection="1">
      <alignment horizontal="center" vertical="center"/>
      <protection hidden="1"/>
    </xf>
    <xf numFmtId="0" fontId="4" fillId="0" borderId="13" xfId="0" applyFont="1" applyFill="1" applyBorder="1" applyAlignment="1" applyProtection="1">
      <alignment horizontal="center" vertical="center"/>
      <protection hidden="1"/>
    </xf>
    <xf numFmtId="0" fontId="4" fillId="0" borderId="14" xfId="0" applyFont="1" applyFill="1" applyBorder="1" applyAlignment="1" applyProtection="1">
      <alignment horizontal="center" vertical="center"/>
      <protection hidden="1"/>
    </xf>
    <xf numFmtId="0" fontId="4" fillId="0" borderId="24" xfId="0" applyFont="1" applyFill="1" applyBorder="1" applyAlignment="1" applyProtection="1">
      <alignment horizontal="center" vertical="center"/>
      <protection hidden="1"/>
    </xf>
    <xf numFmtId="0" fontId="4" fillId="0" borderId="25" xfId="0" applyFont="1" applyFill="1" applyBorder="1" applyAlignment="1" applyProtection="1">
      <alignment horizontal="center" vertical="center"/>
      <protection hidden="1"/>
    </xf>
    <xf numFmtId="0" fontId="4" fillId="0" borderId="26" xfId="0" applyFont="1" applyFill="1" applyBorder="1" applyAlignment="1" applyProtection="1">
      <alignment horizontal="center" vertical="center"/>
      <protection hidden="1"/>
    </xf>
    <xf numFmtId="0" fontId="4" fillId="0" borderId="27" xfId="0" applyFont="1" applyFill="1" applyBorder="1" applyAlignment="1" applyProtection="1">
      <alignment horizontal="center" vertical="center"/>
      <protection hidden="1"/>
    </xf>
    <xf numFmtId="0" fontId="28" fillId="0" borderId="9" xfId="0" applyFont="1" applyFill="1" applyBorder="1" applyAlignment="1" applyProtection="1">
      <alignment horizontal="left" indent="1"/>
      <protection hidden="1"/>
    </xf>
    <xf numFmtId="0" fontId="28" fillId="0" borderId="10" xfId="0" applyFont="1" applyFill="1" applyBorder="1" applyAlignment="1" applyProtection="1">
      <alignment horizontal="left" indent="1"/>
      <protection hidden="1"/>
    </xf>
    <xf numFmtId="0" fontId="39" fillId="0" borderId="8" xfId="0" applyFont="1" applyFill="1" applyBorder="1" applyAlignment="1" applyProtection="1">
      <alignment horizontal="left" indent="1"/>
      <protection hidden="1"/>
    </xf>
    <xf numFmtId="0" fontId="39" fillId="0" borderId="0" xfId="0" applyFont="1" applyFill="1" applyBorder="1" applyAlignment="1" applyProtection="1">
      <alignment horizontal="left" indent="1"/>
      <protection hidden="1"/>
    </xf>
    <xf numFmtId="0" fontId="39" fillId="0" borderId="28" xfId="0" applyFont="1" applyFill="1" applyBorder="1" applyAlignment="1" applyProtection="1">
      <alignment horizontal="left" indent="1"/>
      <protection hidden="1"/>
    </xf>
    <xf numFmtId="0" fontId="4" fillId="0" borderId="8" xfId="0" applyFont="1" applyFill="1" applyBorder="1" applyAlignment="1" applyProtection="1">
      <alignment horizontal="left" indent="1"/>
      <protection hidden="1"/>
    </xf>
    <xf numFmtId="0" fontId="4" fillId="0" borderId="0" xfId="0" applyFont="1" applyFill="1" applyAlignment="1" applyProtection="1">
      <alignment horizontal="left" indent="1"/>
      <protection hidden="1"/>
    </xf>
    <xf numFmtId="0" fontId="4" fillId="0" borderId="9" xfId="0" applyFont="1" applyFill="1" applyBorder="1" applyAlignment="1" applyProtection="1">
      <alignment horizontal="center"/>
      <protection hidden="1"/>
    </xf>
    <xf numFmtId="0" fontId="4" fillId="0" borderId="11" xfId="0" applyFont="1" applyFill="1" applyBorder="1" applyAlignment="1" applyProtection="1">
      <alignment horizontal="center"/>
      <protection hidden="1"/>
    </xf>
    <xf numFmtId="0" fontId="10" fillId="0" borderId="8" xfId="0" applyFont="1" applyFill="1" applyBorder="1" applyAlignment="1" applyProtection="1">
      <alignment horizontal="center"/>
      <protection hidden="1"/>
    </xf>
    <xf numFmtId="0" fontId="10" fillId="0" borderId="0" xfId="0" applyFont="1" applyFill="1" applyBorder="1" applyAlignment="1" applyProtection="1">
      <alignment horizontal="center"/>
      <protection hidden="1"/>
    </xf>
    <xf numFmtId="0" fontId="10" fillId="0" borderId="12" xfId="0" applyFont="1" applyFill="1" applyBorder="1" applyAlignment="1" applyProtection="1">
      <alignment horizontal="center"/>
      <protection hidden="1"/>
    </xf>
    <xf numFmtId="1" fontId="4" fillId="0" borderId="13" xfId="0" applyNumberFormat="1" applyFont="1" applyFill="1" applyBorder="1" applyAlignment="1" applyProtection="1">
      <alignment horizontal="center"/>
      <protection hidden="1"/>
    </xf>
    <xf numFmtId="1" fontId="4" fillId="0" borderId="14" xfId="0" applyNumberFormat="1" applyFont="1" applyFill="1" applyBorder="1" applyAlignment="1" applyProtection="1">
      <alignment horizontal="center"/>
      <protection hidden="1"/>
    </xf>
    <xf numFmtId="0" fontId="4" fillId="0" borderId="14" xfId="0" applyFont="1" applyFill="1" applyBorder="1" applyAlignment="1" applyProtection="1">
      <alignment horizontal="center"/>
      <protection hidden="1"/>
    </xf>
    <xf numFmtId="0" fontId="4" fillId="0" borderId="15" xfId="0" applyFont="1" applyFill="1" applyBorder="1" applyAlignment="1" applyProtection="1">
      <alignment horizontal="center"/>
      <protection hidden="1"/>
    </xf>
    <xf numFmtId="0" fontId="36" fillId="0" borderId="9" xfId="0" applyFont="1" applyFill="1" applyBorder="1" applyAlignment="1" applyProtection="1">
      <alignment horizontal="center"/>
      <protection hidden="1"/>
    </xf>
    <xf numFmtId="0" fontId="36" fillId="0" borderId="10" xfId="0" applyFont="1" applyFill="1" applyBorder="1" applyAlignment="1" applyProtection="1">
      <alignment horizontal="center"/>
      <protection hidden="1"/>
    </xf>
    <xf numFmtId="0" fontId="36" fillId="0" borderId="11" xfId="0" applyFont="1" applyFill="1" applyBorder="1" applyAlignment="1" applyProtection="1">
      <alignment horizontal="center"/>
      <protection hidden="1"/>
    </xf>
    <xf numFmtId="0" fontId="37" fillId="0" borderId="8" xfId="0" applyFont="1" applyFill="1" applyBorder="1" applyAlignment="1" applyProtection="1">
      <alignment horizontal="left"/>
      <protection hidden="1"/>
    </xf>
    <xf numFmtId="0" fontId="37" fillId="0" borderId="0" xfId="0" applyFont="1" applyFill="1" applyBorder="1" applyAlignment="1" applyProtection="1">
      <alignment horizontal="left"/>
      <protection hidden="1"/>
    </xf>
    <xf numFmtId="0" fontId="4" fillId="0" borderId="0" xfId="0" applyFont="1" applyFill="1" applyBorder="1" applyAlignment="1" applyProtection="1">
      <alignment horizontal="left" indent="1"/>
      <protection hidden="1"/>
    </xf>
    <xf numFmtId="0" fontId="4" fillId="0" borderId="5" xfId="5" applyFont="1" applyBorder="1" applyAlignment="1" applyProtection="1">
      <alignment horizontal="center" vertical="center" wrapText="1"/>
      <protection hidden="1"/>
    </xf>
    <xf numFmtId="0" fontId="26" fillId="0" borderId="6" xfId="5" applyFont="1" applyBorder="1" applyAlignment="1" applyProtection="1">
      <alignment horizontal="center" vertical="center"/>
      <protection hidden="1"/>
    </xf>
    <xf numFmtId="0" fontId="26" fillId="0" borderId="7" xfId="5" applyFont="1" applyBorder="1" applyAlignment="1" applyProtection="1">
      <alignment horizontal="center" vertical="center"/>
      <protection hidden="1"/>
    </xf>
    <xf numFmtId="0" fontId="28" fillId="0" borderId="9" xfId="0" applyFont="1" applyFill="1" applyBorder="1" applyAlignment="1" applyProtection="1">
      <alignment horizontal="center" vertical="center"/>
      <protection hidden="1"/>
    </xf>
    <xf numFmtId="0" fontId="28" fillId="0" borderId="10" xfId="0" applyFont="1" applyFill="1" applyBorder="1" applyAlignment="1" applyProtection="1">
      <alignment horizontal="center" vertical="center"/>
      <protection hidden="1"/>
    </xf>
    <xf numFmtId="0" fontId="28" fillId="0" borderId="11" xfId="0" applyFont="1" applyFill="1" applyBorder="1" applyAlignment="1" applyProtection="1">
      <alignment horizontal="center" vertical="center"/>
      <protection hidden="1"/>
    </xf>
    <xf numFmtId="0" fontId="28" fillId="0" borderId="8" xfId="0" applyFont="1" applyFill="1" applyBorder="1" applyAlignment="1" applyProtection="1">
      <alignment horizontal="center" vertical="center"/>
      <protection hidden="1"/>
    </xf>
    <xf numFmtId="0" fontId="28" fillId="0" borderId="0" xfId="0" applyFont="1" applyFill="1" applyBorder="1" applyAlignment="1" applyProtection="1">
      <alignment horizontal="center" vertical="center"/>
      <protection hidden="1"/>
    </xf>
    <xf numFmtId="0" fontId="28" fillId="0" borderId="12" xfId="0" applyFont="1" applyFill="1" applyBorder="1" applyAlignment="1" applyProtection="1">
      <alignment horizontal="center" vertical="center"/>
      <protection hidden="1"/>
    </xf>
    <xf numFmtId="0" fontId="4" fillId="6" borderId="17" xfId="0" applyFont="1" applyFill="1" applyBorder="1" applyAlignment="1" applyProtection="1">
      <alignment horizontal="center"/>
      <protection hidden="1"/>
    </xf>
    <xf numFmtId="0" fontId="4" fillId="6" borderId="18" xfId="0" applyFont="1" applyFill="1" applyBorder="1" applyAlignment="1" applyProtection="1">
      <alignment horizontal="center"/>
      <protection hidden="1"/>
    </xf>
    <xf numFmtId="0" fontId="4" fillId="0" borderId="5" xfId="0" applyFont="1" applyFill="1" applyBorder="1" applyAlignment="1" applyProtection="1">
      <alignment horizontal="center"/>
      <protection hidden="1"/>
    </xf>
    <xf numFmtId="0" fontId="4" fillId="0" borderId="6" xfId="0" applyFont="1" applyFill="1" applyBorder="1" applyAlignment="1" applyProtection="1">
      <alignment horizontal="center"/>
      <protection hidden="1"/>
    </xf>
    <xf numFmtId="0" fontId="4" fillId="0" borderId="7" xfId="0" applyFont="1" applyFill="1" applyBorder="1" applyAlignment="1" applyProtection="1">
      <alignment horizontal="center"/>
      <protection hidden="1"/>
    </xf>
    <xf numFmtId="0" fontId="4" fillId="0" borderId="9" xfId="0" applyFont="1" applyFill="1" applyBorder="1" applyAlignment="1" applyProtection="1">
      <alignment horizontal="center" vertical="center"/>
      <protection hidden="1"/>
    </xf>
    <xf numFmtId="0" fontId="4" fillId="0" borderId="11" xfId="0" applyFont="1" applyFill="1" applyBorder="1" applyAlignment="1" applyProtection="1">
      <alignment horizontal="center" vertical="center"/>
      <protection hidden="1"/>
    </xf>
    <xf numFmtId="0" fontId="4" fillId="0" borderId="12" xfId="0" applyFont="1" applyFill="1" applyBorder="1" applyAlignment="1" applyProtection="1">
      <alignment horizontal="center" vertical="center"/>
      <protection hidden="1"/>
    </xf>
    <xf numFmtId="0" fontId="4" fillId="0" borderId="15" xfId="0" applyFont="1" applyFill="1" applyBorder="1" applyAlignment="1" applyProtection="1">
      <alignment horizontal="center" vertical="center"/>
      <protection hidden="1"/>
    </xf>
    <xf numFmtId="0" fontId="4" fillId="0" borderId="9" xfId="0" applyFont="1" applyFill="1" applyBorder="1" applyAlignment="1" applyProtection="1">
      <protection hidden="1"/>
    </xf>
    <xf numFmtId="0" fontId="4" fillId="0" borderId="11" xfId="0" applyFont="1" applyFill="1" applyBorder="1" applyAlignment="1" applyProtection="1">
      <protection hidden="1"/>
    </xf>
    <xf numFmtId="0" fontId="4" fillId="0" borderId="8" xfId="0" applyFont="1" applyFill="1" applyBorder="1" applyAlignment="1" applyProtection="1">
      <protection hidden="1"/>
    </xf>
    <xf numFmtId="0" fontId="4" fillId="0" borderId="12" xfId="0" applyFont="1" applyFill="1" applyBorder="1" applyAlignment="1" applyProtection="1">
      <protection hidden="1"/>
    </xf>
    <xf numFmtId="0" fontId="4" fillId="0" borderId="13" xfId="0" applyFont="1" applyFill="1" applyBorder="1" applyAlignment="1" applyProtection="1">
      <protection hidden="1"/>
    </xf>
    <xf numFmtId="0" fontId="4" fillId="0" borderId="15" xfId="0" applyFont="1" applyFill="1" applyBorder="1" applyAlignment="1" applyProtection="1">
      <protection hidden="1"/>
    </xf>
    <xf numFmtId="0" fontId="5" fillId="2" borderId="2" xfId="1" applyNumberFormat="1" applyFont="1" applyFill="1" applyBorder="1" applyAlignment="1" applyProtection="1">
      <alignment horizontal="center" vertical="center"/>
      <protection hidden="1"/>
    </xf>
    <xf numFmtId="0" fontId="5" fillId="2" borderId="3" xfId="1" applyNumberFormat="1" applyFont="1" applyFill="1" applyBorder="1" applyAlignment="1" applyProtection="1">
      <alignment horizontal="center" vertical="center"/>
      <protection hidden="1"/>
    </xf>
  </cellXfs>
  <cellStyles count="6">
    <cellStyle name="Comma" xfId="1" builtinId="3"/>
    <cellStyle name="Comma_service_accounting" xfId="2" xr:uid="{00000000-0005-0000-0000-000001000000}"/>
    <cellStyle name="Hyperlink" xfId="3" builtinId="8"/>
    <cellStyle name="Normal" xfId="0" builtinId="0" customBuiltin="1"/>
    <cellStyle name="Normal 2" xfId="5" xr:uid="{1368620A-AB2A-4E53-92AD-29C4BDF3BBD7}"/>
    <cellStyle name="Percent" xfId="4" builtinId="5"/>
  </cellStyles>
  <dxfs count="85">
    <dxf>
      <font>
        <b val="0"/>
        <i val="0"/>
        <strike val="0"/>
        <condense val="0"/>
        <extend val="0"/>
        <outline val="0"/>
        <shadow val="0"/>
        <u val="none"/>
        <vertAlign val="baseline"/>
        <sz val="10"/>
        <color auto="1"/>
        <name val="Century Gothic"/>
        <family val="2"/>
        <scheme val="minor"/>
      </font>
      <alignment horizontal="center"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71" formatCode="yyyy/mm/dd"/>
      <alignment horizontal="left"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71" formatCode="yyyy/mm/dd"/>
      <alignment horizontal="left"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71" formatCode="yyyy/mm/dd"/>
      <alignment horizontal="left"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protection locked="1" hidden="1"/>
    </dxf>
    <dxf>
      <border outline="0">
        <top style="thin">
          <color indexed="64"/>
        </top>
      </border>
    </dxf>
    <dxf>
      <font>
        <b val="0"/>
        <i val="0"/>
        <strike val="0"/>
        <condense val="0"/>
        <extend val="0"/>
        <outline val="0"/>
        <shadow val="0"/>
        <u val="none"/>
        <vertAlign val="baseline"/>
        <sz val="10"/>
        <color auto="1"/>
        <name val="Century Gothic"/>
        <family val="2"/>
        <scheme val="minor"/>
      </font>
      <numFmt numFmtId="0" formatCode="General"/>
      <alignment horizontal="left" vertical="bottom" textRotation="0" wrapText="0" relativeIndent="0" justifyLastLine="0" shrinkToFit="0" readingOrder="0"/>
      <protection locked="1" hidden="1"/>
    </dxf>
    <dxf>
      <border outline="0">
        <bottom style="thin">
          <color indexed="64"/>
        </bottom>
      </border>
    </dxf>
    <dxf>
      <font>
        <b/>
        <i val="0"/>
        <strike val="0"/>
        <condense val="0"/>
        <extend val="0"/>
        <outline val="0"/>
        <shadow val="0"/>
        <u val="none"/>
        <vertAlign val="baseline"/>
        <sz val="10"/>
        <color theme="1"/>
        <name val="Century Gothic"/>
        <family val="2"/>
        <scheme val="minor"/>
      </font>
      <numFmt numFmtId="0" formatCode="General"/>
      <fill>
        <patternFill patternType="solid">
          <fgColor indexed="64"/>
          <bgColor indexed="43"/>
        </patternFill>
      </fill>
      <alignment horizontal="left" vertical="center" textRotation="0" wrapText="1" relativeIndent="0" justifyLastLine="0" shrinkToFit="0" readingOrder="0"/>
      <border diagonalUp="0" diagonalDown="0">
        <left style="thin">
          <color indexed="64"/>
        </left>
        <right style="thin">
          <color indexed="64"/>
        </right>
        <top/>
        <bottom/>
      </border>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protection locked="1" hidden="1"/>
    </dxf>
    <dxf>
      <font>
        <b val="0"/>
        <i val="0"/>
        <strike val="0"/>
        <condense val="0"/>
        <extend val="0"/>
        <outline val="0"/>
        <shadow val="0"/>
        <u val="none"/>
        <vertAlign val="baseline"/>
        <sz val="10"/>
        <color auto="1"/>
        <name val="Century Gothic"/>
        <family val="2"/>
        <scheme val="minor"/>
      </font>
      <protection locked="1" hidden="1"/>
    </dxf>
    <dxf>
      <border outline="0">
        <top style="thin">
          <color indexed="64"/>
        </top>
      </border>
    </dxf>
    <dxf>
      <font>
        <b val="0"/>
        <i val="0"/>
        <strike val="0"/>
        <condense val="0"/>
        <extend val="0"/>
        <outline val="0"/>
        <shadow val="0"/>
        <u val="none"/>
        <vertAlign val="baseline"/>
        <sz val="10"/>
        <color auto="1"/>
        <name val="Century Gothic"/>
        <family val="2"/>
        <scheme val="minor"/>
      </font>
      <protection locked="1" hidden="1"/>
    </dxf>
    <dxf>
      <border outline="0">
        <bottom style="thin">
          <color indexed="64"/>
        </bottom>
      </border>
    </dxf>
    <dxf>
      <font>
        <b/>
        <i val="0"/>
        <strike val="0"/>
        <condense val="0"/>
        <extend val="0"/>
        <outline val="0"/>
        <shadow val="0"/>
        <u val="none"/>
        <vertAlign val="baseline"/>
        <sz val="10"/>
        <color theme="1"/>
        <name val="Century Gothic"/>
        <family val="2"/>
        <scheme val="minor"/>
      </font>
      <fill>
        <patternFill patternType="solid">
          <fgColor indexed="64"/>
          <bgColor indexed="41"/>
        </patternFill>
      </fill>
      <alignment horizontal="center" vertical="bottom" textRotation="0" wrapText="1" relativeIndent="0" justifyLastLine="0" shrinkToFit="0" readingOrder="0"/>
      <border diagonalUp="0" diagonalDown="0">
        <left style="thin">
          <color indexed="64"/>
        </left>
        <right style="thin">
          <color indexed="64"/>
        </right>
        <top/>
        <bottom/>
      </border>
      <protection locked="1" hidden="1"/>
    </dxf>
    <dxf>
      <font>
        <b/>
        <i val="0"/>
        <color theme="0"/>
      </font>
      <fill>
        <patternFill>
          <bgColor rgb="FFFF6600"/>
        </patternFill>
      </fill>
    </dxf>
    <dxf>
      <font>
        <b/>
        <i val="0"/>
        <color theme="0"/>
      </font>
      <fill>
        <patternFill>
          <bgColor rgb="FFFF6600"/>
        </patternFill>
      </fill>
    </dxf>
    <dxf>
      <font>
        <b val="0"/>
        <i val="0"/>
        <strike val="0"/>
        <condense val="0"/>
        <extend val="0"/>
        <outline val="0"/>
        <shadow val="0"/>
        <u val="none"/>
        <vertAlign val="baseline"/>
        <sz val="10"/>
        <color auto="1"/>
        <name val="Century Gothic"/>
        <family val="2"/>
        <scheme val="minor"/>
      </font>
      <numFmt numFmtId="171" formatCode="yyyy/mm/dd"/>
      <fill>
        <patternFill patternType="none">
          <fgColor indexed="64"/>
          <bgColor auto="1"/>
        </patternFill>
      </fill>
      <alignment horizontal="center" textRotation="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numFmt numFmtId="165" formatCode="0.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left"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alignment horizontal="center" textRotation="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alignment horizontal="left"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numFmt numFmtId="171" formatCode="yyyy/mm/dd"/>
      <alignment horizontal="left"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71" formatCode="yyyy/mm/dd"/>
      <alignment horizontal="left" vertical="bottom" textRotation="0" wrapText="0" relativeIndent="0" justifyLastLine="0" shrinkToFit="0" readingOrder="0"/>
      <protection locked="1" hidden="1"/>
    </dxf>
    <dxf>
      <border outline="0">
        <top style="thin">
          <color indexed="64"/>
        </top>
      </border>
    </dxf>
    <dxf>
      <font>
        <b val="0"/>
        <i val="0"/>
        <strike val="0"/>
        <condense val="0"/>
        <extend val="0"/>
        <outline val="0"/>
        <shadow val="0"/>
        <u val="none"/>
        <vertAlign val="baseline"/>
        <sz val="10"/>
        <color auto="1"/>
        <name val="Century Gothic"/>
        <family val="2"/>
        <scheme val="minor"/>
      </font>
      <numFmt numFmtId="0" formatCode="General"/>
      <fill>
        <patternFill>
          <fgColor indexed="64"/>
        </patternFill>
      </fill>
      <alignment textRotation="0" relativeIndent="0" justifyLastLine="0" shrinkToFit="0" readingOrder="0"/>
      <border diagonalUp="0" diagonalDown="0">
        <right style="thin">
          <color indexed="64"/>
        </right>
        <top/>
        <bottom/>
      </border>
      <protection locked="1" hidden="1"/>
    </dxf>
    <dxf>
      <border outline="0">
        <bottom style="thin">
          <color indexed="64"/>
        </bottom>
      </border>
    </dxf>
    <dxf>
      <font>
        <b/>
        <i val="0"/>
        <strike val="0"/>
        <condense val="0"/>
        <extend val="0"/>
        <outline val="0"/>
        <shadow val="0"/>
        <u val="none"/>
        <vertAlign val="baseline"/>
        <sz val="10"/>
        <color theme="1"/>
        <name val="Century Gothic"/>
        <family val="2"/>
        <scheme val="minor"/>
      </font>
      <numFmt numFmtId="0" formatCode="General"/>
      <fill>
        <patternFill patternType="solid">
          <fgColor indexed="64"/>
          <bgColor indexed="41"/>
        </patternFill>
      </fill>
      <alignment horizontal="center" vertical="bottom" textRotation="0" wrapText="1" relativeIndent="0" justifyLastLine="0" shrinkToFit="0" readingOrder="0"/>
      <border diagonalUp="0" diagonalDown="0">
        <left style="thin">
          <color indexed="64"/>
        </left>
        <right style="thin">
          <color indexed="64"/>
        </right>
        <top/>
        <bottom/>
      </border>
      <protection locked="1" hidden="1"/>
    </dxf>
    <dxf>
      <font>
        <b/>
        <i val="0"/>
        <color theme="0"/>
      </font>
      <fill>
        <patternFill>
          <bgColor rgb="FFFF6600"/>
        </patternFill>
      </fill>
    </dxf>
    <dxf>
      <font>
        <b/>
        <i val="0"/>
        <color theme="0"/>
      </font>
      <fill>
        <patternFill>
          <bgColor rgb="FFFF6600"/>
        </patternFill>
      </fill>
    </dxf>
    <dxf>
      <font>
        <b/>
        <i val="0"/>
        <color theme="0"/>
      </font>
      <fill>
        <patternFill>
          <bgColor rgb="FFFF6600"/>
        </patternFill>
      </fill>
    </dxf>
    <dxf>
      <font>
        <b val="0"/>
        <i val="0"/>
        <strike val="0"/>
        <condense val="0"/>
        <extend val="0"/>
        <outline val="0"/>
        <shadow val="0"/>
        <u val="none"/>
        <vertAlign val="baseline"/>
        <sz val="10"/>
        <color auto="1"/>
        <name val="Century Gothic"/>
        <family val="2"/>
        <scheme val="minor"/>
      </font>
      <fill>
        <patternFill patternType="none">
          <fgColor indexed="64"/>
          <bgColor auto="1"/>
        </patternFill>
      </fill>
      <alignment textRotation="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fill>
        <patternFill patternType="none">
          <fgColor indexed="64"/>
          <bgColor auto="1"/>
        </patternFill>
      </fill>
      <alignment textRotation="0" relativeIndent="0" justifyLastLine="0" shrinkToFit="0" readingOrder="0"/>
      <border diagonalUp="0" diagonalDown="0" outline="0">
        <right style="thin">
          <color indexed="64"/>
        </right>
        <top/>
        <bottom/>
      </border>
      <protection locked="1" hidden="1"/>
    </dxf>
    <dxf>
      <font>
        <b val="0"/>
        <i val="0"/>
        <strike val="0"/>
        <condense val="0"/>
        <extend val="0"/>
        <outline val="0"/>
        <shadow val="0"/>
        <u val="none"/>
        <vertAlign val="baseline"/>
        <sz val="10"/>
        <color auto="1"/>
        <name val="Century Gothic"/>
        <family val="2"/>
        <scheme val="minor"/>
      </font>
      <fill>
        <patternFill patternType="none">
          <fgColor indexed="64"/>
          <bgColor auto="1"/>
        </patternFill>
      </fill>
      <alignment textRotation="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fill>
        <patternFill patternType="none">
          <fgColor indexed="64"/>
          <bgColor auto="1"/>
        </patternFill>
      </fill>
      <alignment textRotation="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fill>
        <patternFill patternType="none">
          <fgColor indexed="64"/>
          <bgColor auto="1"/>
        </patternFill>
      </fill>
      <alignment textRotation="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fill>
        <patternFill patternType="none">
          <fgColor indexed="64"/>
          <bgColor indexed="65"/>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fill>
        <patternFill patternType="none">
          <fgColor indexed="64"/>
          <bgColor indexed="65"/>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fill>
        <patternFill patternType="none">
          <fgColor indexed="64"/>
          <bgColor auto="1"/>
        </patternFill>
      </fill>
      <alignment textRotation="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fill>
        <patternFill>
          <fgColor indexed="64"/>
        </patternFill>
      </fill>
      <alignment textRotation="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border outline="0">
        <top style="thin">
          <color indexed="64"/>
        </top>
      </border>
    </dxf>
    <dxf>
      <font>
        <b val="0"/>
        <i val="0"/>
        <strike val="0"/>
        <condense val="0"/>
        <extend val="0"/>
        <outline val="0"/>
        <shadow val="0"/>
        <u val="none"/>
        <vertAlign val="baseline"/>
        <sz val="10"/>
        <color auto="1"/>
        <name val="Century Gothic"/>
        <family val="2"/>
        <scheme val="minor"/>
      </font>
      <numFmt numFmtId="0" formatCode="General"/>
      <fill>
        <patternFill>
          <fgColor indexed="64"/>
        </patternFill>
      </fill>
      <alignment textRotation="0" relativeIndent="0" justifyLastLine="0" shrinkToFit="0" readingOrder="0"/>
      <border diagonalUp="0" diagonalDown="0">
        <right style="thin">
          <color indexed="64"/>
        </right>
        <top/>
        <bottom/>
      </border>
      <protection locked="1" hidden="1"/>
    </dxf>
    <dxf>
      <border outline="0">
        <bottom style="thin">
          <color indexed="64"/>
        </bottom>
      </border>
    </dxf>
    <dxf>
      <font>
        <b/>
        <i val="0"/>
        <strike val="0"/>
        <condense val="0"/>
        <extend val="0"/>
        <outline val="0"/>
        <shadow val="0"/>
        <u val="none"/>
        <vertAlign val="baseline"/>
        <sz val="10"/>
        <color theme="1"/>
        <name val="Century Gothic"/>
        <family val="2"/>
        <scheme val="minor"/>
      </font>
      <numFmt numFmtId="0" formatCode="General"/>
      <fill>
        <patternFill patternType="solid">
          <fgColor indexed="64"/>
          <bgColor indexed="41"/>
        </patternFill>
      </fill>
      <alignment horizontal="center" vertical="bottom" textRotation="0" wrapText="1" relativeIndent="0" justifyLastLine="0" shrinkToFit="0" readingOrder="0"/>
      <border diagonalUp="0" diagonalDown="0">
        <left style="thin">
          <color indexed="64"/>
        </left>
        <right style="thin">
          <color indexed="64"/>
        </right>
        <top/>
        <bottom/>
      </border>
      <protection locked="1" hidden="1"/>
    </dxf>
    <dxf>
      <font>
        <b/>
        <i val="0"/>
        <color theme="0"/>
      </font>
      <fill>
        <patternFill>
          <bgColor rgb="FFFF6600"/>
        </patternFill>
      </fill>
    </dxf>
  </dxfs>
  <tableStyles count="0" defaultTableStyle="TableStyleMedium9" defaultPivotStyle="PivotStyleLight16"/>
  <colors>
    <mruColors>
      <color rgb="FFCCFFFF"/>
      <color rgb="FFFFFF99"/>
      <color rgb="FFFFFFCC"/>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Dashboard!$A$60</c:f>
          <c:strCache>
            <c:ptCount val="1"/>
            <c:pt idx="0">
              <c:v>Quantity On Hand</c:v>
            </c:pt>
          </c:strCache>
        </c:strRef>
      </c:tx>
      <c:overlay val="0"/>
      <c:spPr>
        <a:noFill/>
        <a:ln>
          <a:noFill/>
        </a:ln>
        <a:effectLst/>
      </c:spPr>
      <c:txPr>
        <a:bodyPr rot="0" spcFirstLastPara="1" vertOverflow="ellipsis" vert="horz" wrap="square" anchor="b" anchorCtr="1"/>
        <a:lstStyle/>
        <a:p>
          <a:pPr>
            <a:defRPr sz="1400" b="0"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8389770723104054"/>
          <c:y val="0.20737830687830688"/>
          <c:w val="0.65123412698412708"/>
          <c:h val="0.65123412698412708"/>
        </c:manualLayout>
      </c:layout>
      <c:doughnutChart>
        <c:varyColors val="1"/>
        <c:ser>
          <c:idx val="1"/>
          <c:order val="0"/>
          <c:tx>
            <c:strRef>
              <c:f>Dashboard!$A$60</c:f>
              <c:strCache>
                <c:ptCount val="1"/>
                <c:pt idx="0">
                  <c:v>Quantity On Hand</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58BC-48F4-A7C9-F4D87C1675BD}"/>
              </c:ext>
            </c:extLst>
          </c:dPt>
          <c:dPt>
            <c:idx val="1"/>
            <c:bubble3D val="0"/>
            <c:spPr>
              <a:solidFill>
                <a:schemeClr val="bg1">
                  <a:lumMod val="95000"/>
                </a:schemeClr>
              </a:solidFill>
              <a:ln w="0">
                <a:noFill/>
              </a:ln>
              <a:effectLst/>
            </c:spPr>
            <c:extLst>
              <c:ext xmlns:c16="http://schemas.microsoft.com/office/drawing/2014/chart" uri="{C3380CC4-5D6E-409C-BE32-E72D297353CC}">
                <c16:uniqueId val="{00000003-58BC-48F4-A7C9-F4D87C1675BD}"/>
              </c:ext>
            </c:extLst>
          </c:dPt>
          <c:dPt>
            <c:idx val="2"/>
            <c:bubble3D val="0"/>
            <c:spPr>
              <a:noFill/>
              <a:ln w="19050">
                <a:solidFill>
                  <a:schemeClr val="lt1"/>
                </a:solidFill>
              </a:ln>
              <a:effectLst/>
            </c:spPr>
            <c:extLst>
              <c:ext xmlns:c16="http://schemas.microsoft.com/office/drawing/2014/chart" uri="{C3380CC4-5D6E-409C-BE32-E72D297353CC}">
                <c16:uniqueId val="{00000005-58BC-48F4-A7C9-F4D87C1675BD}"/>
              </c:ext>
            </c:extLst>
          </c:dPt>
          <c:val>
            <c:numRef>
              <c:f>Dashboard!$D$60:$F$60</c:f>
              <c:numCache>
                <c:formatCode>#,##0</c:formatCode>
                <c:ptCount val="3"/>
                <c:pt idx="0">
                  <c:v>130</c:v>
                </c:pt>
                <c:pt idx="1">
                  <c:v>0</c:v>
                </c:pt>
                <c:pt idx="2">
                  <c:v>30</c:v>
                </c:pt>
              </c:numCache>
            </c:numRef>
          </c:val>
          <c:extLst>
            <c:ext xmlns:c16="http://schemas.microsoft.com/office/drawing/2014/chart" uri="{C3380CC4-5D6E-409C-BE32-E72D297353CC}">
              <c16:uniqueId val="{00000006-58BC-48F4-A7C9-F4D87C1675BD}"/>
            </c:ext>
          </c:extLst>
        </c:ser>
        <c:dLbls>
          <c:showLegendKey val="0"/>
          <c:showVal val="0"/>
          <c:showCatName val="0"/>
          <c:showSerName val="0"/>
          <c:showPercent val="0"/>
          <c:showBubbleSize val="0"/>
          <c:showLeaderLines val="1"/>
        </c:dLbls>
        <c:firstSliceAng val="213"/>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Dashboard!$A$64</c:f>
          <c:strCache>
            <c:ptCount val="1"/>
            <c:pt idx="0">
              <c:v>Valuation</c:v>
            </c:pt>
          </c:strCache>
        </c:strRef>
      </c:tx>
      <c:overlay val="0"/>
      <c:spPr>
        <a:noFill/>
        <a:ln>
          <a:noFill/>
        </a:ln>
        <a:effectLst/>
      </c:spPr>
      <c:txPr>
        <a:bodyPr rot="0" spcFirstLastPara="1" vertOverflow="ellipsis" vert="horz" wrap="square" anchor="b" anchorCtr="1"/>
        <a:lstStyle/>
        <a:p>
          <a:pPr>
            <a:defRPr sz="1400" b="0"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8389770723104054"/>
          <c:y val="0.20737830687830688"/>
          <c:w val="0.65123412698412708"/>
          <c:h val="0.65123412698412708"/>
        </c:manualLayout>
      </c:layout>
      <c:doughnutChart>
        <c:varyColors val="1"/>
        <c:ser>
          <c:idx val="1"/>
          <c:order val="0"/>
          <c:tx>
            <c:strRef>
              <c:f>Dashboard!$A$64</c:f>
              <c:strCache>
                <c:ptCount val="1"/>
                <c:pt idx="0">
                  <c:v>Valuation</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0683-4F99-99BB-167595AD0D77}"/>
              </c:ext>
            </c:extLst>
          </c:dPt>
          <c:dPt>
            <c:idx val="1"/>
            <c:bubble3D val="0"/>
            <c:spPr>
              <a:solidFill>
                <a:schemeClr val="bg1">
                  <a:lumMod val="95000"/>
                </a:schemeClr>
              </a:solidFill>
              <a:ln w="0">
                <a:noFill/>
              </a:ln>
              <a:effectLst/>
            </c:spPr>
            <c:extLst>
              <c:ext xmlns:c16="http://schemas.microsoft.com/office/drawing/2014/chart" uri="{C3380CC4-5D6E-409C-BE32-E72D297353CC}">
                <c16:uniqueId val="{00000003-0683-4F99-99BB-167595AD0D77}"/>
              </c:ext>
            </c:extLst>
          </c:dPt>
          <c:dPt>
            <c:idx val="2"/>
            <c:bubble3D val="0"/>
            <c:spPr>
              <a:noFill/>
              <a:ln w="19050">
                <a:solidFill>
                  <a:schemeClr val="lt1"/>
                </a:solidFill>
              </a:ln>
              <a:effectLst/>
            </c:spPr>
            <c:extLst>
              <c:ext xmlns:c16="http://schemas.microsoft.com/office/drawing/2014/chart" uri="{C3380CC4-5D6E-409C-BE32-E72D297353CC}">
                <c16:uniqueId val="{00000005-0683-4F99-99BB-167595AD0D77}"/>
              </c:ext>
            </c:extLst>
          </c:dPt>
          <c:val>
            <c:numRef>
              <c:f>Dashboard!$D$64:$F$64</c:f>
              <c:numCache>
                <c:formatCode>#,##0</c:formatCode>
                <c:ptCount val="3"/>
                <c:pt idx="0">
                  <c:v>130</c:v>
                </c:pt>
                <c:pt idx="1">
                  <c:v>0</c:v>
                </c:pt>
                <c:pt idx="2">
                  <c:v>30</c:v>
                </c:pt>
              </c:numCache>
            </c:numRef>
          </c:val>
          <c:extLst>
            <c:ext xmlns:c16="http://schemas.microsoft.com/office/drawing/2014/chart" uri="{C3380CC4-5D6E-409C-BE32-E72D297353CC}">
              <c16:uniqueId val="{00000006-0683-4F99-99BB-167595AD0D77}"/>
            </c:ext>
          </c:extLst>
        </c:ser>
        <c:dLbls>
          <c:showLegendKey val="0"/>
          <c:showVal val="0"/>
          <c:showCatName val="0"/>
          <c:showSerName val="0"/>
          <c:showPercent val="0"/>
          <c:showBubbleSize val="0"/>
          <c:showLeaderLines val="1"/>
        </c:dLbls>
        <c:firstSliceAng val="213"/>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Dashboard!$A$62</c:f>
          <c:strCache>
            <c:ptCount val="1"/>
            <c:pt idx="0">
              <c:v>Average Cost</c:v>
            </c:pt>
          </c:strCache>
        </c:strRef>
      </c:tx>
      <c:overlay val="0"/>
      <c:spPr>
        <a:noFill/>
        <a:ln>
          <a:noFill/>
        </a:ln>
        <a:effectLst/>
      </c:spPr>
      <c:txPr>
        <a:bodyPr rot="0" spcFirstLastPara="1" vertOverflow="ellipsis" vert="horz" wrap="square" anchor="b" anchorCtr="1"/>
        <a:lstStyle/>
        <a:p>
          <a:pPr>
            <a:defRPr sz="1400" b="0"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8389770723104054"/>
          <c:y val="0.20737830687830688"/>
          <c:w val="0.65123412698412708"/>
          <c:h val="0.65123412698412708"/>
        </c:manualLayout>
      </c:layout>
      <c:doughnutChart>
        <c:varyColors val="1"/>
        <c:ser>
          <c:idx val="1"/>
          <c:order val="0"/>
          <c:tx>
            <c:strRef>
              <c:f>Dashboard!$A$62</c:f>
              <c:strCache>
                <c:ptCount val="1"/>
                <c:pt idx="0">
                  <c:v>Average Cost</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4772-4A48-92E2-08A7DFC04F3E}"/>
              </c:ext>
            </c:extLst>
          </c:dPt>
          <c:dPt>
            <c:idx val="1"/>
            <c:bubble3D val="0"/>
            <c:spPr>
              <a:solidFill>
                <a:schemeClr val="bg1">
                  <a:lumMod val="95000"/>
                </a:schemeClr>
              </a:solidFill>
              <a:ln w="0">
                <a:noFill/>
              </a:ln>
              <a:effectLst/>
            </c:spPr>
            <c:extLst>
              <c:ext xmlns:c16="http://schemas.microsoft.com/office/drawing/2014/chart" uri="{C3380CC4-5D6E-409C-BE32-E72D297353CC}">
                <c16:uniqueId val="{00000003-4772-4A48-92E2-08A7DFC04F3E}"/>
              </c:ext>
            </c:extLst>
          </c:dPt>
          <c:dPt>
            <c:idx val="2"/>
            <c:bubble3D val="0"/>
            <c:spPr>
              <a:noFill/>
              <a:ln w="19050">
                <a:solidFill>
                  <a:schemeClr val="lt1"/>
                </a:solidFill>
              </a:ln>
              <a:effectLst/>
            </c:spPr>
            <c:extLst>
              <c:ext xmlns:c16="http://schemas.microsoft.com/office/drawing/2014/chart" uri="{C3380CC4-5D6E-409C-BE32-E72D297353CC}">
                <c16:uniqueId val="{00000005-4772-4A48-92E2-08A7DFC04F3E}"/>
              </c:ext>
            </c:extLst>
          </c:dPt>
          <c:val>
            <c:numRef>
              <c:f>Dashboard!$D$62:$F$62</c:f>
              <c:numCache>
                <c:formatCode>#,##0</c:formatCode>
                <c:ptCount val="3"/>
                <c:pt idx="0">
                  <c:v>130</c:v>
                </c:pt>
                <c:pt idx="1">
                  <c:v>0</c:v>
                </c:pt>
                <c:pt idx="2">
                  <c:v>30</c:v>
                </c:pt>
              </c:numCache>
            </c:numRef>
          </c:val>
          <c:extLst>
            <c:ext xmlns:c16="http://schemas.microsoft.com/office/drawing/2014/chart" uri="{C3380CC4-5D6E-409C-BE32-E72D297353CC}">
              <c16:uniqueId val="{00000006-4772-4A48-92E2-08A7DFC04F3E}"/>
            </c:ext>
          </c:extLst>
        </c:ser>
        <c:dLbls>
          <c:showLegendKey val="0"/>
          <c:showVal val="0"/>
          <c:showCatName val="0"/>
          <c:showSerName val="0"/>
          <c:showPercent val="0"/>
          <c:showBubbleSize val="0"/>
          <c:showLeaderLines val="1"/>
        </c:dLbls>
        <c:firstSliceAng val="213"/>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Dashboard!$D$72</c:f>
          <c:strCache>
            <c:ptCount val="1"/>
            <c:pt idx="0">
              <c:v>90-Day Balance Report</c:v>
            </c:pt>
          </c:strCache>
        </c:strRef>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dk1">
                  <a:lumMod val="50000"/>
                  <a:lumOff val="50000"/>
                </a:schemeClr>
              </a:solidFill>
              <a:latin typeface="+mn-lt"/>
              <a:ea typeface="+mn-ea"/>
              <a:cs typeface="+mn-cs"/>
            </a:defRPr>
          </a:pPr>
          <a:endParaRPr lang="en-US"/>
        </a:p>
      </c:txPr>
    </c:title>
    <c:autoTitleDeleted val="0"/>
    <c:plotArea>
      <c:layout/>
      <c:lineChart>
        <c:grouping val="standard"/>
        <c:varyColors val="0"/>
        <c:ser>
          <c:idx val="0"/>
          <c:order val="0"/>
          <c:tx>
            <c:strRef>
              <c:f>Dashboard!$C$73</c:f>
              <c:strCache>
                <c:ptCount val="1"/>
                <c:pt idx="0">
                  <c:v>Value</c:v>
                </c:pt>
              </c:strCache>
            </c:strRef>
          </c:tx>
          <c:spPr>
            <a:ln w="22225" cap="rnd" cmpd="sng" algn="ctr">
              <a:solidFill>
                <a:schemeClr val="accent1"/>
              </a:solidFill>
              <a:round/>
            </a:ln>
            <a:effectLst/>
          </c:spPr>
          <c:marker>
            <c:symbol val="none"/>
          </c:marker>
          <c:cat>
            <c:numRef>
              <c:f>Dashboard!$B$74:$B$163</c:f>
              <c:numCache>
                <c:formatCode>m/d/yyyy</c:formatCode>
                <c:ptCount val="90"/>
                <c:pt idx="0">
                  <c:v>44350</c:v>
                </c:pt>
                <c:pt idx="1">
                  <c:v>44351</c:v>
                </c:pt>
                <c:pt idx="2">
                  <c:v>44352</c:v>
                </c:pt>
                <c:pt idx="3">
                  <c:v>44353</c:v>
                </c:pt>
                <c:pt idx="4">
                  <c:v>44354</c:v>
                </c:pt>
                <c:pt idx="5">
                  <c:v>44355</c:v>
                </c:pt>
                <c:pt idx="6">
                  <c:v>44356</c:v>
                </c:pt>
                <c:pt idx="7">
                  <c:v>44357</c:v>
                </c:pt>
                <c:pt idx="8">
                  <c:v>44358</c:v>
                </c:pt>
                <c:pt idx="9">
                  <c:v>44359</c:v>
                </c:pt>
                <c:pt idx="10">
                  <c:v>44360</c:v>
                </c:pt>
                <c:pt idx="11">
                  <c:v>44361</c:v>
                </c:pt>
                <c:pt idx="12">
                  <c:v>44362</c:v>
                </c:pt>
                <c:pt idx="13">
                  <c:v>44363</c:v>
                </c:pt>
                <c:pt idx="14">
                  <c:v>44364</c:v>
                </c:pt>
                <c:pt idx="15">
                  <c:v>44365</c:v>
                </c:pt>
                <c:pt idx="16">
                  <c:v>44366</c:v>
                </c:pt>
                <c:pt idx="17">
                  <c:v>44367</c:v>
                </c:pt>
                <c:pt idx="18">
                  <c:v>44368</c:v>
                </c:pt>
                <c:pt idx="19">
                  <c:v>44369</c:v>
                </c:pt>
                <c:pt idx="20">
                  <c:v>44370</c:v>
                </c:pt>
                <c:pt idx="21">
                  <c:v>44371</c:v>
                </c:pt>
                <c:pt idx="22">
                  <c:v>44372</c:v>
                </c:pt>
                <c:pt idx="23">
                  <c:v>44373</c:v>
                </c:pt>
                <c:pt idx="24">
                  <c:v>44374</c:v>
                </c:pt>
                <c:pt idx="25">
                  <c:v>44375</c:v>
                </c:pt>
                <c:pt idx="26">
                  <c:v>44376</c:v>
                </c:pt>
                <c:pt idx="27">
                  <c:v>44377</c:v>
                </c:pt>
                <c:pt idx="28">
                  <c:v>44378</c:v>
                </c:pt>
                <c:pt idx="29">
                  <c:v>44379</c:v>
                </c:pt>
                <c:pt idx="30">
                  <c:v>44380</c:v>
                </c:pt>
                <c:pt idx="31">
                  <c:v>44381</c:v>
                </c:pt>
                <c:pt idx="32">
                  <c:v>44382</c:v>
                </c:pt>
                <c:pt idx="33">
                  <c:v>44383</c:v>
                </c:pt>
                <c:pt idx="34">
                  <c:v>44384</c:v>
                </c:pt>
                <c:pt idx="35">
                  <c:v>44385</c:v>
                </c:pt>
                <c:pt idx="36">
                  <c:v>44386</c:v>
                </c:pt>
                <c:pt idx="37">
                  <c:v>44387</c:v>
                </c:pt>
                <c:pt idx="38">
                  <c:v>44388</c:v>
                </c:pt>
                <c:pt idx="39">
                  <c:v>44389</c:v>
                </c:pt>
                <c:pt idx="40">
                  <c:v>44390</c:v>
                </c:pt>
                <c:pt idx="41">
                  <c:v>44391</c:v>
                </c:pt>
                <c:pt idx="42">
                  <c:v>44392</c:v>
                </c:pt>
                <c:pt idx="43">
                  <c:v>44393</c:v>
                </c:pt>
                <c:pt idx="44">
                  <c:v>44394</c:v>
                </c:pt>
                <c:pt idx="45">
                  <c:v>44395</c:v>
                </c:pt>
                <c:pt idx="46">
                  <c:v>44396</c:v>
                </c:pt>
                <c:pt idx="47">
                  <c:v>44397</c:v>
                </c:pt>
                <c:pt idx="48">
                  <c:v>44398</c:v>
                </c:pt>
                <c:pt idx="49">
                  <c:v>44399</c:v>
                </c:pt>
                <c:pt idx="50">
                  <c:v>44400</c:v>
                </c:pt>
                <c:pt idx="51">
                  <c:v>44401</c:v>
                </c:pt>
                <c:pt idx="52">
                  <c:v>44402</c:v>
                </c:pt>
                <c:pt idx="53">
                  <c:v>44403</c:v>
                </c:pt>
                <c:pt idx="54">
                  <c:v>44404</c:v>
                </c:pt>
                <c:pt idx="55">
                  <c:v>44405</c:v>
                </c:pt>
                <c:pt idx="56">
                  <c:v>44406</c:v>
                </c:pt>
                <c:pt idx="57">
                  <c:v>44407</c:v>
                </c:pt>
                <c:pt idx="58">
                  <c:v>44408</c:v>
                </c:pt>
                <c:pt idx="59">
                  <c:v>44409</c:v>
                </c:pt>
                <c:pt idx="60">
                  <c:v>44410</c:v>
                </c:pt>
                <c:pt idx="61">
                  <c:v>44411</c:v>
                </c:pt>
                <c:pt idx="62">
                  <c:v>44412</c:v>
                </c:pt>
                <c:pt idx="63">
                  <c:v>44413</c:v>
                </c:pt>
                <c:pt idx="64">
                  <c:v>44414</c:v>
                </c:pt>
                <c:pt idx="65">
                  <c:v>44415</c:v>
                </c:pt>
                <c:pt idx="66">
                  <c:v>44416</c:v>
                </c:pt>
                <c:pt idx="67">
                  <c:v>44417</c:v>
                </c:pt>
                <c:pt idx="68">
                  <c:v>44418</c:v>
                </c:pt>
                <c:pt idx="69">
                  <c:v>44419</c:v>
                </c:pt>
                <c:pt idx="70">
                  <c:v>44420</c:v>
                </c:pt>
                <c:pt idx="71">
                  <c:v>44421</c:v>
                </c:pt>
                <c:pt idx="72">
                  <c:v>44422</c:v>
                </c:pt>
                <c:pt idx="73">
                  <c:v>44423</c:v>
                </c:pt>
                <c:pt idx="74">
                  <c:v>44424</c:v>
                </c:pt>
                <c:pt idx="75">
                  <c:v>44425</c:v>
                </c:pt>
                <c:pt idx="76">
                  <c:v>44426</c:v>
                </c:pt>
                <c:pt idx="77">
                  <c:v>44427</c:v>
                </c:pt>
                <c:pt idx="78">
                  <c:v>44428</c:v>
                </c:pt>
                <c:pt idx="79">
                  <c:v>44429</c:v>
                </c:pt>
                <c:pt idx="80">
                  <c:v>44430</c:v>
                </c:pt>
                <c:pt idx="81">
                  <c:v>44431</c:v>
                </c:pt>
                <c:pt idx="82">
                  <c:v>44432</c:v>
                </c:pt>
                <c:pt idx="83">
                  <c:v>44433</c:v>
                </c:pt>
                <c:pt idx="84">
                  <c:v>44434</c:v>
                </c:pt>
                <c:pt idx="85">
                  <c:v>44435</c:v>
                </c:pt>
                <c:pt idx="86">
                  <c:v>44436</c:v>
                </c:pt>
                <c:pt idx="87">
                  <c:v>44437</c:v>
                </c:pt>
                <c:pt idx="88">
                  <c:v>44438</c:v>
                </c:pt>
                <c:pt idx="89">
                  <c:v>44439</c:v>
                </c:pt>
              </c:numCache>
            </c:numRef>
          </c:cat>
          <c:val>
            <c:numRef>
              <c:f>Dashboard!$C$74:$C$163</c:f>
              <c:numCache>
                <c:formatCode>_ * #,##0.00_ ;_ * \-#,##0.00_ ;_ * "-"??_ ;_ @_ </c:formatCode>
                <c:ptCount val="90"/>
                <c:pt idx="0">
                  <c:v>18190</c:v>
                </c:pt>
                <c:pt idx="1">
                  <c:v>18190</c:v>
                </c:pt>
                <c:pt idx="2">
                  <c:v>18190</c:v>
                </c:pt>
                <c:pt idx="3">
                  <c:v>18190</c:v>
                </c:pt>
                <c:pt idx="4">
                  <c:v>18190</c:v>
                </c:pt>
                <c:pt idx="5">
                  <c:v>18190</c:v>
                </c:pt>
                <c:pt idx="6">
                  <c:v>18190</c:v>
                </c:pt>
                <c:pt idx="7">
                  <c:v>18190</c:v>
                </c:pt>
                <c:pt idx="8">
                  <c:v>18190</c:v>
                </c:pt>
                <c:pt idx="9">
                  <c:v>18190</c:v>
                </c:pt>
                <c:pt idx="10">
                  <c:v>18190</c:v>
                </c:pt>
                <c:pt idx="11">
                  <c:v>18190</c:v>
                </c:pt>
                <c:pt idx="12">
                  <c:v>18190</c:v>
                </c:pt>
                <c:pt idx="13">
                  <c:v>18190</c:v>
                </c:pt>
                <c:pt idx="14">
                  <c:v>18190</c:v>
                </c:pt>
                <c:pt idx="15">
                  <c:v>18190</c:v>
                </c:pt>
                <c:pt idx="16">
                  <c:v>18190</c:v>
                </c:pt>
                <c:pt idx="17">
                  <c:v>18190</c:v>
                </c:pt>
                <c:pt idx="18">
                  <c:v>18190</c:v>
                </c:pt>
                <c:pt idx="19">
                  <c:v>18190</c:v>
                </c:pt>
                <c:pt idx="20">
                  <c:v>18190</c:v>
                </c:pt>
                <c:pt idx="21">
                  <c:v>18190</c:v>
                </c:pt>
                <c:pt idx="22">
                  <c:v>18190</c:v>
                </c:pt>
                <c:pt idx="23">
                  <c:v>18190</c:v>
                </c:pt>
                <c:pt idx="24">
                  <c:v>18190</c:v>
                </c:pt>
                <c:pt idx="25">
                  <c:v>18190</c:v>
                </c:pt>
                <c:pt idx="26">
                  <c:v>18190</c:v>
                </c:pt>
                <c:pt idx="27">
                  <c:v>18190</c:v>
                </c:pt>
                <c:pt idx="28">
                  <c:v>18190</c:v>
                </c:pt>
                <c:pt idx="29">
                  <c:v>18190</c:v>
                </c:pt>
                <c:pt idx="30">
                  <c:v>18190</c:v>
                </c:pt>
                <c:pt idx="31">
                  <c:v>18190</c:v>
                </c:pt>
                <c:pt idx="32">
                  <c:v>18190</c:v>
                </c:pt>
                <c:pt idx="33">
                  <c:v>18190</c:v>
                </c:pt>
                <c:pt idx="34">
                  <c:v>43439</c:v>
                </c:pt>
                <c:pt idx="35">
                  <c:v>43439</c:v>
                </c:pt>
                <c:pt idx="36">
                  <c:v>27739.237693078856</c:v>
                </c:pt>
                <c:pt idx="37">
                  <c:v>27739.237693078856</c:v>
                </c:pt>
                <c:pt idx="38">
                  <c:v>27739.237693078856</c:v>
                </c:pt>
                <c:pt idx="39">
                  <c:v>27739.237693078856</c:v>
                </c:pt>
                <c:pt idx="40">
                  <c:v>27739.237693078856</c:v>
                </c:pt>
                <c:pt idx="41">
                  <c:v>55534.23769307886</c:v>
                </c:pt>
                <c:pt idx="42">
                  <c:v>55534.23769307886</c:v>
                </c:pt>
                <c:pt idx="43">
                  <c:v>36048.983216569788</c:v>
                </c:pt>
                <c:pt idx="44">
                  <c:v>36048.983216569788</c:v>
                </c:pt>
                <c:pt idx="45">
                  <c:v>36048.983216569788</c:v>
                </c:pt>
                <c:pt idx="46">
                  <c:v>36048.983216569788</c:v>
                </c:pt>
                <c:pt idx="47">
                  <c:v>36048.983216569788</c:v>
                </c:pt>
                <c:pt idx="48">
                  <c:v>62384.983216569788</c:v>
                </c:pt>
                <c:pt idx="49">
                  <c:v>62384.983216569788</c:v>
                </c:pt>
                <c:pt idx="50">
                  <c:v>40251.835088728723</c:v>
                </c:pt>
                <c:pt idx="51">
                  <c:v>40251.835088728723</c:v>
                </c:pt>
                <c:pt idx="52">
                  <c:v>40251.835088728723</c:v>
                </c:pt>
                <c:pt idx="53">
                  <c:v>40251.835088728723</c:v>
                </c:pt>
                <c:pt idx="54">
                  <c:v>40251.835088728723</c:v>
                </c:pt>
                <c:pt idx="55">
                  <c:v>60764.635088728726</c:v>
                </c:pt>
                <c:pt idx="56">
                  <c:v>60764.635088728726</c:v>
                </c:pt>
                <c:pt idx="57">
                  <c:v>27017.959320765345</c:v>
                </c:pt>
                <c:pt idx="58">
                  <c:v>24459.585876587247</c:v>
                </c:pt>
                <c:pt idx="59">
                  <c:v>24459.585876587247</c:v>
                </c:pt>
                <c:pt idx="60">
                  <c:v>24459.585876587247</c:v>
                </c:pt>
                <c:pt idx="61">
                  <c:v>24459.585876587247</c:v>
                </c:pt>
                <c:pt idx="62">
                  <c:v>49898.585876587247</c:v>
                </c:pt>
                <c:pt idx="63">
                  <c:v>49898.585876587247</c:v>
                </c:pt>
                <c:pt idx="64">
                  <c:v>34690.915793915934</c:v>
                </c:pt>
                <c:pt idx="65">
                  <c:v>34690.915793915934</c:v>
                </c:pt>
                <c:pt idx="66">
                  <c:v>34690.915793915934</c:v>
                </c:pt>
                <c:pt idx="67">
                  <c:v>34690.915793915934</c:v>
                </c:pt>
                <c:pt idx="68">
                  <c:v>34690.915793915934</c:v>
                </c:pt>
                <c:pt idx="69">
                  <c:v>74754.915793915934</c:v>
                </c:pt>
                <c:pt idx="70">
                  <c:v>74754.915793915934</c:v>
                </c:pt>
                <c:pt idx="71">
                  <c:v>52274.28029549701</c:v>
                </c:pt>
                <c:pt idx="72">
                  <c:v>52274.28029549701</c:v>
                </c:pt>
                <c:pt idx="73">
                  <c:v>52274.28029549701</c:v>
                </c:pt>
                <c:pt idx="74">
                  <c:v>52274.28029549701</c:v>
                </c:pt>
                <c:pt idx="75">
                  <c:v>52274.28029549701</c:v>
                </c:pt>
                <c:pt idx="76">
                  <c:v>78610.28029549701</c:v>
                </c:pt>
                <c:pt idx="77">
                  <c:v>78610.28029549701</c:v>
                </c:pt>
                <c:pt idx="78">
                  <c:v>54158.756165329483</c:v>
                </c:pt>
                <c:pt idx="79">
                  <c:v>54158.756165329483</c:v>
                </c:pt>
                <c:pt idx="80">
                  <c:v>54158.756165329483</c:v>
                </c:pt>
                <c:pt idx="81">
                  <c:v>54158.756165329483</c:v>
                </c:pt>
                <c:pt idx="82">
                  <c:v>54158.756165329483</c:v>
                </c:pt>
                <c:pt idx="83">
                  <c:v>74671.556165329486</c:v>
                </c:pt>
                <c:pt idx="84">
                  <c:v>74671.556165329486</c:v>
                </c:pt>
                <c:pt idx="85">
                  <c:v>39896.420766021343</c:v>
                </c:pt>
                <c:pt idx="86">
                  <c:v>39896.420766021343</c:v>
                </c:pt>
                <c:pt idx="87">
                  <c:v>39896.420766021343</c:v>
                </c:pt>
                <c:pt idx="88">
                  <c:v>39896.420766021343</c:v>
                </c:pt>
                <c:pt idx="89">
                  <c:v>31558.063491967645</c:v>
                </c:pt>
              </c:numCache>
            </c:numRef>
          </c:val>
          <c:smooth val="0"/>
          <c:extLst>
            <c:ext xmlns:c16="http://schemas.microsoft.com/office/drawing/2014/chart" uri="{C3380CC4-5D6E-409C-BE32-E72D297353CC}">
              <c16:uniqueId val="{00000000-09A3-4288-8D88-F5FB6A9ACE47}"/>
            </c:ext>
          </c:extLst>
        </c:ser>
        <c:dLbls>
          <c:showLegendKey val="0"/>
          <c:showVal val="0"/>
          <c:showCatName val="0"/>
          <c:showSerName val="0"/>
          <c:showPercent val="0"/>
          <c:showBubbleSize val="0"/>
        </c:dLbls>
        <c:smooth val="0"/>
        <c:axId val="1499483392"/>
        <c:axId val="933574736"/>
      </c:lineChart>
      <c:dateAx>
        <c:axId val="1499483392"/>
        <c:scaling>
          <c:orientation val="minMax"/>
        </c:scaling>
        <c:delete val="0"/>
        <c:axPos val="b"/>
        <c:numFmt formatCode="m/d/yyyy" sourceLinked="1"/>
        <c:majorTickMark val="out"/>
        <c:minorTickMark val="none"/>
        <c:tickLblPos val="low"/>
        <c:spPr>
          <a:noFill/>
          <a:ln w="9525" cap="flat" cmpd="sng" algn="ctr">
            <a:solidFill>
              <a:schemeClr val="dk1">
                <a:lumMod val="15000"/>
                <a:lumOff val="85000"/>
              </a:schemeClr>
            </a:solidFill>
            <a:round/>
          </a:ln>
          <a:effectLst/>
        </c:spPr>
        <c:txPr>
          <a:bodyPr rot="-5400000" spcFirstLastPara="1" vertOverflow="ellipsis" wrap="square" anchor="ctr" anchorCtr="1"/>
          <a:lstStyle/>
          <a:p>
            <a:pPr>
              <a:defRPr sz="900" b="0" i="0" u="none" strike="noStrike" kern="1200" spc="20" baseline="0">
                <a:solidFill>
                  <a:schemeClr val="dk1">
                    <a:lumMod val="65000"/>
                    <a:lumOff val="35000"/>
                  </a:schemeClr>
                </a:solidFill>
                <a:latin typeface="+mn-lt"/>
                <a:ea typeface="+mn-ea"/>
                <a:cs typeface="+mn-cs"/>
              </a:defRPr>
            </a:pPr>
            <a:endParaRPr lang="en-US"/>
          </a:p>
        </c:txPr>
        <c:crossAx val="933574736"/>
        <c:crosses val="autoZero"/>
        <c:auto val="1"/>
        <c:lblOffset val="100"/>
        <c:baseTimeUnit val="days"/>
      </c:dateAx>
      <c:valAx>
        <c:axId val="933574736"/>
        <c:scaling>
          <c:orientation val="minMax"/>
        </c:scaling>
        <c:delete val="0"/>
        <c:axPos val="l"/>
        <c:numFmt formatCode="_ * #,##0.00_ ;_ * \-#,##0.00_ ;_ * &quot;-&quot;??_ ;_ @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dk1">
                    <a:lumMod val="65000"/>
                    <a:lumOff val="35000"/>
                  </a:schemeClr>
                </a:solidFill>
                <a:latin typeface="+mn-lt"/>
                <a:ea typeface="+mn-ea"/>
                <a:cs typeface="+mn-cs"/>
              </a:defRPr>
            </a:pPr>
            <a:endParaRPr lang="en-US"/>
          </a:p>
        </c:txPr>
        <c:crossAx val="1499483392"/>
        <c:crosses val="autoZero"/>
        <c:crossBetween val="between"/>
      </c:valAx>
      <c:spPr>
        <a:gradFill>
          <a:gsLst>
            <a:gs pos="100000">
              <a:schemeClr val="lt1">
                <a:lumMod val="95000"/>
              </a:schemeClr>
            </a:gs>
            <a:gs pos="0">
              <a:schemeClr val="lt1"/>
            </a:gs>
          </a:gsLst>
          <a:lin ang="5400000" scaled="0"/>
        </a:gra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Dashboard!$D$179</c:f>
          <c:strCache>
            <c:ptCount val="1"/>
            <c:pt idx="0">
              <c:v>12-Month Balance Report</c:v>
            </c:pt>
          </c:strCache>
        </c:strRef>
      </c:tx>
      <c:overlay val="0"/>
      <c:spPr>
        <a:noFill/>
        <a:ln>
          <a:noFill/>
        </a:ln>
        <a:effectLst/>
      </c:spPr>
      <c:txPr>
        <a:bodyPr rot="0" spcFirstLastPara="1" vertOverflow="ellipsis" vert="horz" wrap="square" anchor="ctr" anchorCtr="1"/>
        <a:lstStyle/>
        <a:p>
          <a:pPr>
            <a:defRPr sz="1200" b="0" i="0" u="none" strike="noStrike" kern="1200" cap="none" spc="20" baseline="0">
              <a:solidFill>
                <a:schemeClr val="dk1">
                  <a:lumMod val="50000"/>
                  <a:lumOff val="50000"/>
                </a:schemeClr>
              </a:solidFill>
              <a:latin typeface="+mn-lt"/>
              <a:ea typeface="+mn-ea"/>
              <a:cs typeface="+mn-cs"/>
            </a:defRPr>
          </a:pPr>
          <a:endParaRPr lang="en-US"/>
        </a:p>
      </c:txPr>
    </c:title>
    <c:autoTitleDeleted val="0"/>
    <c:plotArea>
      <c:layout/>
      <c:barChart>
        <c:barDir val="col"/>
        <c:grouping val="clustered"/>
        <c:varyColors val="0"/>
        <c:ser>
          <c:idx val="0"/>
          <c:order val="0"/>
          <c:tx>
            <c:strRef>
              <c:f>Dashboard!$C$180</c:f>
              <c:strCache>
                <c:ptCount val="1"/>
                <c:pt idx="0">
                  <c:v>Value</c:v>
                </c:pt>
              </c:strCache>
            </c:strRef>
          </c:tx>
          <c:spPr>
            <a:gradFill rotWithShape="1">
              <a:gsLst>
                <a:gs pos="0">
                  <a:schemeClr val="accent1">
                    <a:tint val="80000"/>
                    <a:lumMod val="105000"/>
                  </a:schemeClr>
                </a:gs>
                <a:gs pos="100000">
                  <a:schemeClr val="accent1">
                    <a:tint val="90000"/>
                  </a:schemeClr>
                </a:gs>
              </a:gsLst>
              <a:lin ang="5400000" scaled="0"/>
            </a:gradFill>
            <a:ln w="9525" cap="flat" cmpd="sng" algn="ctr">
              <a:solidFill>
                <a:schemeClr val="accent1">
                  <a:shade val="95000"/>
                </a:schemeClr>
              </a:solidFill>
              <a:round/>
            </a:ln>
            <a:effectLst/>
          </c:spPr>
          <c:invertIfNegative val="0"/>
          <c:cat>
            <c:numRef>
              <c:f>Dashboard!$B$181:$B$192</c:f>
              <c:numCache>
                <c:formatCode>mmm/yyyy</c:formatCode>
                <c:ptCount val="12"/>
                <c:pt idx="0">
                  <c:v>44104</c:v>
                </c:pt>
                <c:pt idx="1">
                  <c:v>44135</c:v>
                </c:pt>
                <c:pt idx="2">
                  <c:v>44165</c:v>
                </c:pt>
                <c:pt idx="3">
                  <c:v>44196</c:v>
                </c:pt>
                <c:pt idx="4">
                  <c:v>44227</c:v>
                </c:pt>
                <c:pt idx="5">
                  <c:v>44255</c:v>
                </c:pt>
                <c:pt idx="6">
                  <c:v>44286</c:v>
                </c:pt>
                <c:pt idx="7">
                  <c:v>44316</c:v>
                </c:pt>
                <c:pt idx="8">
                  <c:v>44347</c:v>
                </c:pt>
                <c:pt idx="9">
                  <c:v>44377</c:v>
                </c:pt>
                <c:pt idx="10">
                  <c:v>44408</c:v>
                </c:pt>
                <c:pt idx="11">
                  <c:v>44439</c:v>
                </c:pt>
              </c:numCache>
            </c:numRef>
          </c:cat>
          <c:val>
            <c:numRef>
              <c:f>Dashboard!$C$181:$C$192</c:f>
              <c:numCache>
                <c:formatCode>_ * #,##0.00_ ;_ * \-#,##0.00_ ;_ * "-"??_ ;_ @_ </c:formatCode>
                <c:ptCount val="12"/>
                <c:pt idx="0">
                  <c:v>18190</c:v>
                </c:pt>
                <c:pt idx="1">
                  <c:v>18190</c:v>
                </c:pt>
                <c:pt idx="2">
                  <c:v>18190</c:v>
                </c:pt>
                <c:pt idx="3">
                  <c:v>18190</c:v>
                </c:pt>
                <c:pt idx="4">
                  <c:v>18190</c:v>
                </c:pt>
                <c:pt idx="5">
                  <c:v>18190</c:v>
                </c:pt>
                <c:pt idx="6">
                  <c:v>18190</c:v>
                </c:pt>
                <c:pt idx="7">
                  <c:v>18190</c:v>
                </c:pt>
                <c:pt idx="8">
                  <c:v>18190</c:v>
                </c:pt>
                <c:pt idx="9">
                  <c:v>18190</c:v>
                </c:pt>
                <c:pt idx="10">
                  <c:v>24459.585876587247</c:v>
                </c:pt>
                <c:pt idx="11">
                  <c:v>31558.063491967645</c:v>
                </c:pt>
              </c:numCache>
            </c:numRef>
          </c:val>
          <c:extLst>
            <c:ext xmlns:c16="http://schemas.microsoft.com/office/drawing/2014/chart" uri="{C3380CC4-5D6E-409C-BE32-E72D297353CC}">
              <c16:uniqueId val="{00000000-2849-4200-BAF1-BC1DBE360704}"/>
            </c:ext>
          </c:extLst>
        </c:ser>
        <c:dLbls>
          <c:showLegendKey val="0"/>
          <c:showVal val="0"/>
          <c:showCatName val="0"/>
          <c:showSerName val="0"/>
          <c:showPercent val="0"/>
          <c:showBubbleSize val="0"/>
        </c:dLbls>
        <c:gapWidth val="80"/>
        <c:axId val="1499483392"/>
        <c:axId val="933574736"/>
      </c:barChart>
      <c:dateAx>
        <c:axId val="1499483392"/>
        <c:scaling>
          <c:orientation val="minMax"/>
        </c:scaling>
        <c:delete val="0"/>
        <c:axPos val="b"/>
        <c:numFmt formatCode="mmm/yyyy" sourceLinked="1"/>
        <c:majorTickMark val="out"/>
        <c:minorTickMark val="none"/>
        <c:tickLblPos val="low"/>
        <c:spPr>
          <a:noFill/>
          <a:ln w="9525" cap="flat" cmpd="sng" algn="ctr">
            <a:solidFill>
              <a:schemeClr val="dk1">
                <a:lumMod val="15000"/>
                <a:lumOff val="85000"/>
              </a:schemeClr>
            </a:solidFill>
            <a:round/>
          </a:ln>
          <a:effectLst/>
        </c:spPr>
        <c:txPr>
          <a:bodyPr rot="-5400000" spcFirstLastPara="1" vertOverflow="ellipsis" wrap="square" anchor="ctr" anchorCtr="1"/>
          <a:lstStyle/>
          <a:p>
            <a:pPr>
              <a:defRPr sz="900" b="0" i="0" u="none" strike="noStrike" kern="1200" spc="20" baseline="0">
                <a:solidFill>
                  <a:schemeClr val="dk1">
                    <a:lumMod val="65000"/>
                    <a:lumOff val="35000"/>
                  </a:schemeClr>
                </a:solidFill>
                <a:latin typeface="+mn-lt"/>
                <a:ea typeface="+mn-ea"/>
                <a:cs typeface="+mn-cs"/>
              </a:defRPr>
            </a:pPr>
            <a:endParaRPr lang="en-US"/>
          </a:p>
        </c:txPr>
        <c:crossAx val="933574736"/>
        <c:crosses val="autoZero"/>
        <c:auto val="1"/>
        <c:lblOffset val="100"/>
        <c:baseTimeUnit val="months"/>
      </c:dateAx>
      <c:valAx>
        <c:axId val="933574736"/>
        <c:scaling>
          <c:orientation val="minMax"/>
        </c:scaling>
        <c:delete val="0"/>
        <c:axPos val="l"/>
        <c:numFmt formatCode="_ * #,##0.00_ ;_ * \-#,##0.00_ ;_ * &quot;-&quot;??_ ;_ @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dk1">
                    <a:lumMod val="65000"/>
                    <a:lumOff val="35000"/>
                  </a:schemeClr>
                </a:solidFill>
                <a:latin typeface="+mn-lt"/>
                <a:ea typeface="+mn-ea"/>
                <a:cs typeface="+mn-cs"/>
              </a:defRPr>
            </a:pPr>
            <a:endParaRPr lang="en-US"/>
          </a:p>
        </c:txPr>
        <c:crossAx val="1499483392"/>
        <c:crosses val="autoZero"/>
        <c:crossBetween val="between"/>
      </c:valAx>
      <c:spPr>
        <a:gradFill>
          <a:gsLst>
            <a:gs pos="100000">
              <a:schemeClr val="lt1">
                <a:lumMod val="95000"/>
              </a:schemeClr>
            </a:gs>
            <a:gs pos="0">
              <a:schemeClr val="lt1"/>
            </a:gs>
          </a:gsLst>
          <a:lin ang="5400000" scaled="0"/>
        </a:gra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Dashboard!$D$164</c:f>
          <c:strCache>
            <c:ptCount val="1"/>
            <c:pt idx="0">
              <c:v>13-Week Balance Report</c:v>
            </c:pt>
          </c:strCache>
        </c:strRef>
      </c:tx>
      <c:overlay val="0"/>
      <c:spPr>
        <a:noFill/>
        <a:ln>
          <a:noFill/>
        </a:ln>
        <a:effectLst/>
      </c:spPr>
      <c:txPr>
        <a:bodyPr rot="0" spcFirstLastPara="1" vertOverflow="ellipsis" vert="horz" wrap="square" anchor="ctr" anchorCtr="1"/>
        <a:lstStyle/>
        <a:p>
          <a:pPr>
            <a:defRPr sz="1200" b="0" i="0" u="none" strike="noStrike" kern="1200" cap="none" spc="20" baseline="0">
              <a:solidFill>
                <a:schemeClr val="dk1">
                  <a:lumMod val="50000"/>
                  <a:lumOff val="50000"/>
                </a:schemeClr>
              </a:solidFill>
              <a:latin typeface="+mn-lt"/>
              <a:ea typeface="+mn-ea"/>
              <a:cs typeface="+mn-cs"/>
            </a:defRPr>
          </a:pPr>
          <a:endParaRPr lang="en-US"/>
        </a:p>
      </c:txPr>
    </c:title>
    <c:autoTitleDeleted val="0"/>
    <c:plotArea>
      <c:layout/>
      <c:barChart>
        <c:barDir val="col"/>
        <c:grouping val="clustered"/>
        <c:varyColors val="0"/>
        <c:ser>
          <c:idx val="0"/>
          <c:order val="0"/>
          <c:tx>
            <c:strRef>
              <c:f>Dashboard!$C$165</c:f>
              <c:strCache>
                <c:ptCount val="1"/>
                <c:pt idx="0">
                  <c:v>Value</c:v>
                </c:pt>
              </c:strCache>
            </c:strRef>
          </c:tx>
          <c:spPr>
            <a:gradFill rotWithShape="1">
              <a:gsLst>
                <a:gs pos="0">
                  <a:schemeClr val="accent1">
                    <a:tint val="80000"/>
                    <a:lumMod val="105000"/>
                  </a:schemeClr>
                </a:gs>
                <a:gs pos="100000">
                  <a:schemeClr val="accent1">
                    <a:tint val="90000"/>
                  </a:schemeClr>
                </a:gs>
              </a:gsLst>
              <a:lin ang="5400000" scaled="0"/>
            </a:gradFill>
            <a:ln w="9525" cap="flat" cmpd="sng" algn="ctr">
              <a:solidFill>
                <a:schemeClr val="accent1">
                  <a:shade val="95000"/>
                </a:schemeClr>
              </a:solidFill>
              <a:round/>
            </a:ln>
            <a:effectLst/>
          </c:spPr>
          <c:invertIfNegative val="0"/>
          <c:cat>
            <c:numRef>
              <c:f>Dashboard!$B$166:$B$178</c:f>
              <c:numCache>
                <c:formatCode>m/d/yyyy</c:formatCode>
                <c:ptCount val="13"/>
                <c:pt idx="0">
                  <c:v>44360</c:v>
                </c:pt>
                <c:pt idx="1">
                  <c:v>44367</c:v>
                </c:pt>
                <c:pt idx="2">
                  <c:v>44374</c:v>
                </c:pt>
                <c:pt idx="3">
                  <c:v>44381</c:v>
                </c:pt>
                <c:pt idx="4">
                  <c:v>44388</c:v>
                </c:pt>
                <c:pt idx="5">
                  <c:v>44395</c:v>
                </c:pt>
                <c:pt idx="6">
                  <c:v>44402</c:v>
                </c:pt>
                <c:pt idx="7">
                  <c:v>44409</c:v>
                </c:pt>
                <c:pt idx="8">
                  <c:v>44416</c:v>
                </c:pt>
                <c:pt idx="9">
                  <c:v>44423</c:v>
                </c:pt>
                <c:pt idx="10">
                  <c:v>44430</c:v>
                </c:pt>
                <c:pt idx="11">
                  <c:v>44437</c:v>
                </c:pt>
                <c:pt idx="12">
                  <c:v>44444</c:v>
                </c:pt>
              </c:numCache>
            </c:numRef>
          </c:cat>
          <c:val>
            <c:numRef>
              <c:f>Dashboard!$C$166:$C$178</c:f>
              <c:numCache>
                <c:formatCode>_ * #,##0.00_ ;_ * \-#,##0.00_ ;_ * "-"??_ ;_ @_ </c:formatCode>
                <c:ptCount val="13"/>
                <c:pt idx="0">
                  <c:v>18190</c:v>
                </c:pt>
                <c:pt idx="1">
                  <c:v>18190</c:v>
                </c:pt>
                <c:pt idx="2">
                  <c:v>18190</c:v>
                </c:pt>
                <c:pt idx="3">
                  <c:v>18190</c:v>
                </c:pt>
                <c:pt idx="4">
                  <c:v>27739.237693078856</c:v>
                </c:pt>
                <c:pt idx="5">
                  <c:v>36048.983216569788</c:v>
                </c:pt>
                <c:pt idx="6">
                  <c:v>40251.835088728723</c:v>
                </c:pt>
                <c:pt idx="7">
                  <c:v>24459.585876587247</c:v>
                </c:pt>
                <c:pt idx="8">
                  <c:v>34690.915793915934</c:v>
                </c:pt>
                <c:pt idx="9">
                  <c:v>52274.28029549701</c:v>
                </c:pt>
                <c:pt idx="10">
                  <c:v>54158.756165329483</c:v>
                </c:pt>
                <c:pt idx="11">
                  <c:v>39896.420766021343</c:v>
                </c:pt>
                <c:pt idx="12">
                  <c:v>31558.063491967645</c:v>
                </c:pt>
              </c:numCache>
            </c:numRef>
          </c:val>
          <c:extLst>
            <c:ext xmlns:c16="http://schemas.microsoft.com/office/drawing/2014/chart" uri="{C3380CC4-5D6E-409C-BE32-E72D297353CC}">
              <c16:uniqueId val="{00000000-86D8-4365-8217-74357A3FE25D}"/>
            </c:ext>
          </c:extLst>
        </c:ser>
        <c:dLbls>
          <c:showLegendKey val="0"/>
          <c:showVal val="0"/>
          <c:showCatName val="0"/>
          <c:showSerName val="0"/>
          <c:showPercent val="0"/>
          <c:showBubbleSize val="0"/>
        </c:dLbls>
        <c:gapWidth val="80"/>
        <c:axId val="1499483392"/>
        <c:axId val="933574736"/>
      </c:barChart>
      <c:catAx>
        <c:axId val="1499483392"/>
        <c:scaling>
          <c:orientation val="minMax"/>
        </c:scaling>
        <c:delete val="0"/>
        <c:axPos val="b"/>
        <c:numFmt formatCode="m/d/yyyy" sourceLinked="1"/>
        <c:majorTickMark val="out"/>
        <c:minorTickMark val="none"/>
        <c:tickLblPos val="low"/>
        <c:spPr>
          <a:noFill/>
          <a:ln w="9525" cap="flat" cmpd="sng" algn="ctr">
            <a:solidFill>
              <a:schemeClr val="dk1">
                <a:lumMod val="15000"/>
                <a:lumOff val="85000"/>
              </a:schemeClr>
            </a:solidFill>
            <a:round/>
          </a:ln>
          <a:effectLst/>
        </c:spPr>
        <c:txPr>
          <a:bodyPr rot="-5400000" spcFirstLastPara="1" vertOverflow="ellipsis" wrap="square" anchor="ctr" anchorCtr="1"/>
          <a:lstStyle/>
          <a:p>
            <a:pPr>
              <a:defRPr sz="900" b="0" i="0" u="none" strike="noStrike" kern="1200" spc="20" baseline="0">
                <a:solidFill>
                  <a:schemeClr val="dk1">
                    <a:lumMod val="65000"/>
                    <a:lumOff val="35000"/>
                  </a:schemeClr>
                </a:solidFill>
                <a:latin typeface="+mn-lt"/>
                <a:ea typeface="+mn-ea"/>
                <a:cs typeface="+mn-cs"/>
              </a:defRPr>
            </a:pPr>
            <a:endParaRPr lang="en-US"/>
          </a:p>
        </c:txPr>
        <c:crossAx val="933574736"/>
        <c:crosses val="autoZero"/>
        <c:auto val="0"/>
        <c:lblAlgn val="ctr"/>
        <c:lblOffset val="100"/>
        <c:noMultiLvlLbl val="0"/>
      </c:catAx>
      <c:valAx>
        <c:axId val="933574736"/>
        <c:scaling>
          <c:orientation val="minMax"/>
        </c:scaling>
        <c:delete val="0"/>
        <c:axPos val="l"/>
        <c:numFmt formatCode="_ * #,##0.00_ ;_ * \-#,##0.00_ ;_ * &quot;-&quot;??_ ;_ @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dk1">
                    <a:lumMod val="65000"/>
                    <a:lumOff val="35000"/>
                  </a:schemeClr>
                </a:solidFill>
                <a:latin typeface="+mn-lt"/>
                <a:ea typeface="+mn-ea"/>
                <a:cs typeface="+mn-cs"/>
              </a:defRPr>
            </a:pPr>
            <a:endParaRPr lang="en-US"/>
          </a:p>
        </c:txPr>
        <c:crossAx val="1499483392"/>
        <c:crosses val="autoZero"/>
        <c:crossBetween val="between"/>
      </c:valAx>
      <c:spPr>
        <a:gradFill>
          <a:gsLst>
            <a:gs pos="100000">
              <a:schemeClr val="lt1">
                <a:lumMod val="95000"/>
              </a:schemeClr>
            </a:gs>
            <a:gs pos="0">
              <a:schemeClr val="lt1"/>
            </a:gs>
          </a:gsLst>
          <a:lin ang="5400000" scaled="0"/>
        </a:gra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dk1">
                    <a:lumMod val="50000"/>
                    <a:lumOff val="50000"/>
                  </a:schemeClr>
                </a:solidFill>
                <a:latin typeface="+mn-lt"/>
                <a:ea typeface="+mn-ea"/>
                <a:cs typeface="+mn-cs"/>
              </a:defRPr>
            </a:pPr>
            <a:r>
              <a:rPr lang="en-US" sz="1400" b="0"/>
              <a:t>12-Month Sales Report</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dk1">
                  <a:lumMod val="50000"/>
                  <a:lumOff val="50000"/>
                </a:schemeClr>
              </a:solidFill>
              <a:latin typeface="+mn-lt"/>
              <a:ea typeface="+mn-ea"/>
              <a:cs typeface="+mn-cs"/>
            </a:defRPr>
          </a:pPr>
          <a:endParaRPr lang="en-US"/>
        </a:p>
      </c:txPr>
    </c:title>
    <c:autoTitleDeleted val="0"/>
    <c:plotArea>
      <c:layout/>
      <c:barChart>
        <c:barDir val="col"/>
        <c:grouping val="clustered"/>
        <c:varyColors val="0"/>
        <c:ser>
          <c:idx val="0"/>
          <c:order val="0"/>
          <c:tx>
            <c:strRef>
              <c:f>Profitability!$H$16</c:f>
              <c:strCache>
                <c:ptCount val="1"/>
                <c:pt idx="0">
                  <c:v> Sales </c:v>
                </c:pt>
              </c:strCache>
            </c:strRef>
          </c:tx>
          <c:spPr>
            <a:gradFill rotWithShape="1">
              <a:gsLst>
                <a:gs pos="0">
                  <a:schemeClr val="accent6">
                    <a:tint val="80000"/>
                    <a:lumMod val="105000"/>
                  </a:schemeClr>
                </a:gs>
                <a:gs pos="100000">
                  <a:schemeClr val="accent6">
                    <a:tint val="90000"/>
                  </a:schemeClr>
                </a:gs>
              </a:gsLst>
              <a:lin ang="5400000" scaled="0"/>
            </a:gradFill>
            <a:ln w="9525" cap="flat" cmpd="sng" algn="ctr">
              <a:solidFill>
                <a:schemeClr val="accent6">
                  <a:shade val="95000"/>
                </a:schemeClr>
              </a:solidFill>
              <a:round/>
            </a:ln>
            <a:effectLst/>
          </c:spPr>
          <c:invertIfNegative val="0"/>
          <c:cat>
            <c:numRef>
              <c:f>Profitability!$G$17:$G$28</c:f>
              <c:numCache>
                <c:formatCode>mmm/yyyy</c:formatCode>
                <c:ptCount val="12"/>
                <c:pt idx="0">
                  <c:v>44439</c:v>
                </c:pt>
                <c:pt idx="1">
                  <c:v>44408</c:v>
                </c:pt>
                <c:pt idx="2">
                  <c:v>44377</c:v>
                </c:pt>
                <c:pt idx="3">
                  <c:v>44347</c:v>
                </c:pt>
                <c:pt idx="4">
                  <c:v>44316</c:v>
                </c:pt>
                <c:pt idx="5">
                  <c:v>44286</c:v>
                </c:pt>
                <c:pt idx="6">
                  <c:v>44255</c:v>
                </c:pt>
                <c:pt idx="7">
                  <c:v>44227</c:v>
                </c:pt>
                <c:pt idx="8">
                  <c:v>44196</c:v>
                </c:pt>
                <c:pt idx="9">
                  <c:v>44165</c:v>
                </c:pt>
                <c:pt idx="10">
                  <c:v>44135</c:v>
                </c:pt>
                <c:pt idx="11">
                  <c:v>44104</c:v>
                </c:pt>
              </c:numCache>
            </c:numRef>
          </c:cat>
          <c:val>
            <c:numRef>
              <c:f>Profitability!$H$17:$H$28</c:f>
              <c:numCache>
                <c:formatCode>_ * #,##0.00_ ;_ * \-#,##0.00_ ;_ * "-"??_ ;_ @_ </c:formatCode>
                <c:ptCount val="12"/>
                <c:pt idx="0">
                  <c:v>164544</c:v>
                </c:pt>
                <c:pt idx="1">
                  <c:v>128213</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A3DE-491F-B246-7C0023A831D5}"/>
            </c:ext>
          </c:extLst>
        </c:ser>
        <c:dLbls>
          <c:showLegendKey val="0"/>
          <c:showVal val="0"/>
          <c:showCatName val="0"/>
          <c:showSerName val="0"/>
          <c:showPercent val="0"/>
          <c:showBubbleSize val="0"/>
        </c:dLbls>
        <c:gapWidth val="80"/>
        <c:axId val="1499483392"/>
        <c:axId val="933574736"/>
      </c:barChart>
      <c:lineChart>
        <c:grouping val="standard"/>
        <c:varyColors val="0"/>
        <c:ser>
          <c:idx val="1"/>
          <c:order val="1"/>
          <c:tx>
            <c:strRef>
              <c:f>Profitability!$K$16</c:f>
              <c:strCache>
                <c:ptCount val="1"/>
                <c:pt idx="0">
                  <c:v>Gross Profit %</c:v>
                </c:pt>
              </c:strCache>
            </c:strRef>
          </c:tx>
          <c:spPr>
            <a:ln w="22225" cap="rnd" cmpd="sng" algn="ctr">
              <a:solidFill>
                <a:schemeClr val="accent1"/>
              </a:solidFill>
              <a:round/>
            </a:ln>
            <a:effectLst/>
          </c:spPr>
          <c:marker>
            <c:symbol val="none"/>
          </c:marker>
          <c:val>
            <c:numRef>
              <c:f>Profitability!$K$17:$K$28</c:f>
              <c:numCache>
                <c:formatCode>0.0%</c:formatCode>
                <c:ptCount val="12"/>
                <c:pt idx="0">
                  <c:v>0.36033327022182748</c:v>
                </c:pt>
                <c:pt idx="1">
                  <c:v>0.26978376511420255</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A3DE-491F-B246-7C0023A831D5}"/>
            </c:ext>
          </c:extLst>
        </c:ser>
        <c:dLbls>
          <c:showLegendKey val="0"/>
          <c:showVal val="0"/>
          <c:showCatName val="0"/>
          <c:showSerName val="0"/>
          <c:showPercent val="0"/>
          <c:showBubbleSize val="0"/>
        </c:dLbls>
        <c:marker val="1"/>
        <c:smooth val="0"/>
        <c:axId val="1790241903"/>
        <c:axId val="1274812383"/>
      </c:lineChart>
      <c:dateAx>
        <c:axId val="1499483392"/>
        <c:scaling>
          <c:orientation val="minMax"/>
        </c:scaling>
        <c:delete val="0"/>
        <c:axPos val="b"/>
        <c:numFmt formatCode="mmm/yyyy" sourceLinked="1"/>
        <c:majorTickMark val="out"/>
        <c:minorTickMark val="none"/>
        <c:tickLblPos val="low"/>
        <c:spPr>
          <a:noFill/>
          <a:ln w="9525" cap="flat" cmpd="sng" algn="ctr">
            <a:solidFill>
              <a:schemeClr val="dk1">
                <a:lumMod val="15000"/>
                <a:lumOff val="85000"/>
              </a:schemeClr>
            </a:solidFill>
            <a:round/>
          </a:ln>
          <a:effectLst/>
        </c:spPr>
        <c:txPr>
          <a:bodyPr rot="-5400000" spcFirstLastPara="1" vertOverflow="ellipsis" wrap="square" anchor="ctr" anchorCtr="1"/>
          <a:lstStyle/>
          <a:p>
            <a:pPr>
              <a:defRPr sz="900" b="0" i="0" u="none" strike="noStrike" kern="1200" spc="20" baseline="0">
                <a:solidFill>
                  <a:schemeClr val="dk1">
                    <a:lumMod val="65000"/>
                    <a:lumOff val="35000"/>
                  </a:schemeClr>
                </a:solidFill>
                <a:latin typeface="+mn-lt"/>
                <a:ea typeface="+mn-ea"/>
                <a:cs typeface="+mn-cs"/>
              </a:defRPr>
            </a:pPr>
            <a:endParaRPr lang="en-US"/>
          </a:p>
        </c:txPr>
        <c:crossAx val="933574736"/>
        <c:crosses val="autoZero"/>
        <c:auto val="1"/>
        <c:lblOffset val="100"/>
        <c:baseTimeUnit val="months"/>
      </c:dateAx>
      <c:valAx>
        <c:axId val="933574736"/>
        <c:scaling>
          <c:orientation val="minMax"/>
        </c:scaling>
        <c:delete val="0"/>
        <c:axPos val="l"/>
        <c:numFmt formatCode="_ * #,##0.00_ ;_ * \-#,##0.00_ ;_ * &quot;-&quot;??_ ;_ @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dk1">
                    <a:lumMod val="65000"/>
                    <a:lumOff val="35000"/>
                  </a:schemeClr>
                </a:solidFill>
                <a:latin typeface="+mn-lt"/>
                <a:ea typeface="+mn-ea"/>
                <a:cs typeface="+mn-cs"/>
              </a:defRPr>
            </a:pPr>
            <a:endParaRPr lang="en-US"/>
          </a:p>
        </c:txPr>
        <c:crossAx val="1499483392"/>
        <c:crosses val="autoZero"/>
        <c:crossBetween val="between"/>
      </c:valAx>
      <c:valAx>
        <c:axId val="1274812383"/>
        <c:scaling>
          <c:orientation val="minMax"/>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dk1">
                    <a:lumMod val="65000"/>
                    <a:lumOff val="35000"/>
                  </a:schemeClr>
                </a:solidFill>
                <a:latin typeface="+mn-lt"/>
                <a:ea typeface="+mn-ea"/>
                <a:cs typeface="+mn-cs"/>
              </a:defRPr>
            </a:pPr>
            <a:endParaRPr lang="en-US"/>
          </a:p>
        </c:txPr>
        <c:crossAx val="1790241903"/>
        <c:crosses val="max"/>
        <c:crossBetween val="between"/>
      </c:valAx>
      <c:catAx>
        <c:axId val="1790241903"/>
        <c:scaling>
          <c:orientation val="minMax"/>
        </c:scaling>
        <c:delete val="1"/>
        <c:axPos val="b"/>
        <c:majorTickMark val="out"/>
        <c:minorTickMark val="none"/>
        <c:tickLblPos val="nextTo"/>
        <c:crossAx val="1274812383"/>
        <c:crosses val="autoZero"/>
        <c:auto val="1"/>
        <c:lblAlgn val="ctr"/>
        <c:lblOffset val="100"/>
        <c:noMultiLvlLbl val="0"/>
      </c:catAx>
      <c:spPr>
        <a:gradFill>
          <a:gsLst>
            <a:gs pos="100000">
              <a:schemeClr val="lt1">
                <a:lumMod val="95000"/>
              </a:schemeClr>
            </a:gs>
            <a:gs pos="0">
              <a:schemeClr val="lt1"/>
            </a:gs>
          </a:gsLst>
          <a:lin ang="5400000" scaled="0"/>
        </a:gra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30">
  <cs:axisTitle>
    <cs:lnRef idx="0"/>
    <cs:fillRef idx="0"/>
    <cs:effectRef idx="0"/>
    <cs:fontRef idx="minor">
      <a:schemeClr val="dk1">
        <a:lumMod val="65000"/>
        <a:lumOff val="35000"/>
      </a:schemeClr>
    </cs:fontRef>
    <cs:defRPr sz="900" kern="1200" cap="all"/>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b="0" kern="1200" spc="20" baseline="0"/>
  </cs:categoryAxis>
  <cs:chartArea mods="allowNoLineOverride">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0"/>
    <cs:effectRef idx="0"/>
    <cs:fontRef idx="minor">
      <a:schemeClr val="dk1"/>
    </cs:fontRef>
    <cs:spPr>
      <a:ln w="22225" cap="rnd" cmpd="sng" algn="ctr">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cap="flat" cmpd="sng" algn="ctr">
        <a:solidFill>
          <a:schemeClr val="phClr"/>
        </a:solidFill>
        <a:round/>
      </a:ln>
    </cs:spPr>
  </cs:dataPointMarker>
  <cs:dataPointMarkerLayout symbol="circle" size="4"/>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dk1">
            <a:lumMod val="65000"/>
            <a:lumOff val="35000"/>
          </a:schemeClr>
        </a:solidFill>
      </a:ln>
    </cs:spPr>
  </cs:downBar>
  <cs:dropLine>
    <cs:lnRef idx="0"/>
    <cs:fillRef idx="0"/>
    <cs:effectRef idx="0"/>
    <cs:fontRef idx="minor">
      <a:schemeClr val="dk1"/>
    </cs:fontRef>
    <cs:spPr>
      <a:ln w="9525" cap="flat" cmpd="sng" algn="ctr">
        <a:solidFill>
          <a:schemeClr val="dk1">
            <a:lumMod val="35000"/>
            <a:lumOff val="65000"/>
            <a:alpha val="33000"/>
          </a:schemeClr>
        </a:solidFill>
        <a:round/>
      </a:ln>
    </cs:spPr>
  </cs:dropLine>
  <cs:errorBar>
    <cs:lnRef idx="0"/>
    <cs:fillRef idx="0"/>
    <cs:effectRef idx="0"/>
    <cs:fontRef idx="minor">
      <a:schemeClr val="dk1"/>
    </cs:fontRef>
    <cs:spPr>
      <a:ln w="9525">
        <a:solidFill>
          <a:schemeClr val="dk1">
            <a:lumMod val="65000"/>
            <a:lumOff val="35000"/>
          </a:schemeClr>
        </a:solidFill>
      </a:ln>
    </cs:spPr>
  </cs:errorBar>
  <cs:floor>
    <cs:lnRef idx="0"/>
    <cs:fillRef idx="0"/>
    <cs:effectRef idx="0"/>
    <cs:fontRef idx="minor">
      <a:schemeClr val="dk1"/>
    </cs:fontRef>
  </cs:floor>
  <cs:gridlineMajor>
    <cs:lnRef idx="0"/>
    <cs:fillRef idx="0"/>
    <cs:effectRef idx="0"/>
    <cs:fontRef idx="minor">
      <a:schemeClr val="dk1"/>
    </cs:fontRef>
    <cs:spPr>
      <a:ln>
        <a:solidFill>
          <a:schemeClr val="dk1">
            <a:lumMod val="15000"/>
            <a:lumOff val="85000"/>
          </a:schemeClr>
        </a:solidFill>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35000"/>
            <a:lumOff val="65000"/>
          </a:schemeClr>
        </a:solidFill>
      </a:ln>
    </cs:spPr>
  </cs:hiLoLine>
  <cs:leaderLine>
    <cs:lnRef idx="0"/>
    <cs:fillRef idx="0"/>
    <cs:effectRef idx="0"/>
    <cs:fontRef idx="minor">
      <a:schemeClr val="dk1"/>
    </cs:fontRef>
    <cs:spPr>
      <a:ln w="9525">
        <a:solidFill>
          <a:schemeClr val="dk1">
            <a:lumMod val="35000"/>
            <a:lumOff val="65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gradFill>
        <a:gsLst>
          <a:gs pos="100000">
            <a:schemeClr val="lt1">
              <a:lumMod val="95000"/>
            </a:schemeClr>
          </a:gs>
          <a:gs pos="0">
            <a:schemeClr val="lt1"/>
          </a:gs>
        </a:gsLst>
        <a:lin ang="5400000" scaled="0"/>
      </a:gradFill>
    </cs:spPr>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35000"/>
            <a:lumOff val="65000"/>
          </a:schemeClr>
        </a:solidFill>
        <a:prstDash val="dash"/>
      </a:ln>
    </cs:spPr>
  </cs:seriesLine>
  <cs:title>
    <cs:lnRef idx="0"/>
    <cs:fillRef idx="0"/>
    <cs:effectRef idx="0"/>
    <cs:fontRef idx="minor">
      <a:schemeClr val="dk1">
        <a:lumMod val="50000"/>
        <a:lumOff val="50000"/>
      </a:schemeClr>
    </cs:fontRef>
    <cs:defRPr sz="1400" kern="1200" cap="none" spc="2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65000"/>
        <a:lumOff val="35000"/>
      </a:schemeClr>
    </cs:fontRef>
    <cs:defRPr sz="900" kern="1200" spc="20" baseline="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30">
  <cs:axisTitle>
    <cs:lnRef idx="0"/>
    <cs:fillRef idx="0"/>
    <cs:effectRef idx="0"/>
    <cs:fontRef idx="minor">
      <a:schemeClr val="dk1">
        <a:lumMod val="65000"/>
        <a:lumOff val="35000"/>
      </a:schemeClr>
    </cs:fontRef>
    <cs:defRPr sz="900" kern="1200" cap="all"/>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b="0" kern="1200" spc="20" baseline="0"/>
  </cs:categoryAxis>
  <cs:chartArea mods="allowNoLineOverride">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0"/>
    <cs:effectRef idx="0"/>
    <cs:fontRef idx="minor">
      <a:schemeClr val="dk1"/>
    </cs:fontRef>
    <cs:spPr>
      <a:ln w="22225" cap="rnd" cmpd="sng" algn="ctr">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cap="flat" cmpd="sng" algn="ctr">
        <a:solidFill>
          <a:schemeClr val="phClr"/>
        </a:solidFill>
        <a:round/>
      </a:ln>
    </cs:spPr>
  </cs:dataPointMarker>
  <cs:dataPointMarkerLayout symbol="circle" size="4"/>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dk1">
            <a:lumMod val="65000"/>
            <a:lumOff val="35000"/>
          </a:schemeClr>
        </a:solidFill>
      </a:ln>
    </cs:spPr>
  </cs:downBar>
  <cs:dropLine>
    <cs:lnRef idx="0"/>
    <cs:fillRef idx="0"/>
    <cs:effectRef idx="0"/>
    <cs:fontRef idx="minor">
      <a:schemeClr val="dk1"/>
    </cs:fontRef>
    <cs:spPr>
      <a:ln w="9525" cap="flat" cmpd="sng" algn="ctr">
        <a:solidFill>
          <a:schemeClr val="dk1">
            <a:lumMod val="35000"/>
            <a:lumOff val="65000"/>
            <a:alpha val="33000"/>
          </a:schemeClr>
        </a:solidFill>
        <a:round/>
      </a:ln>
    </cs:spPr>
  </cs:dropLine>
  <cs:errorBar>
    <cs:lnRef idx="0"/>
    <cs:fillRef idx="0"/>
    <cs:effectRef idx="0"/>
    <cs:fontRef idx="minor">
      <a:schemeClr val="dk1"/>
    </cs:fontRef>
    <cs:spPr>
      <a:ln w="9525">
        <a:solidFill>
          <a:schemeClr val="dk1">
            <a:lumMod val="65000"/>
            <a:lumOff val="35000"/>
          </a:schemeClr>
        </a:solidFill>
      </a:ln>
    </cs:spPr>
  </cs:errorBar>
  <cs:floor>
    <cs:lnRef idx="0"/>
    <cs:fillRef idx="0"/>
    <cs:effectRef idx="0"/>
    <cs:fontRef idx="minor">
      <a:schemeClr val="dk1"/>
    </cs:fontRef>
  </cs:floor>
  <cs:gridlineMajor>
    <cs:lnRef idx="0"/>
    <cs:fillRef idx="0"/>
    <cs:effectRef idx="0"/>
    <cs:fontRef idx="minor">
      <a:schemeClr val="dk1"/>
    </cs:fontRef>
    <cs:spPr>
      <a:ln>
        <a:solidFill>
          <a:schemeClr val="dk1">
            <a:lumMod val="15000"/>
            <a:lumOff val="85000"/>
          </a:schemeClr>
        </a:solidFill>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35000"/>
            <a:lumOff val="65000"/>
          </a:schemeClr>
        </a:solidFill>
      </a:ln>
    </cs:spPr>
  </cs:hiLoLine>
  <cs:leaderLine>
    <cs:lnRef idx="0"/>
    <cs:fillRef idx="0"/>
    <cs:effectRef idx="0"/>
    <cs:fontRef idx="minor">
      <a:schemeClr val="dk1"/>
    </cs:fontRef>
    <cs:spPr>
      <a:ln w="9525">
        <a:solidFill>
          <a:schemeClr val="dk1">
            <a:lumMod val="35000"/>
            <a:lumOff val="65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gradFill>
        <a:gsLst>
          <a:gs pos="100000">
            <a:schemeClr val="lt1">
              <a:lumMod val="95000"/>
            </a:schemeClr>
          </a:gs>
          <a:gs pos="0">
            <a:schemeClr val="lt1"/>
          </a:gs>
        </a:gsLst>
        <a:lin ang="5400000" scaled="0"/>
      </a:gradFill>
    </cs:spPr>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35000"/>
            <a:lumOff val="65000"/>
          </a:schemeClr>
        </a:solidFill>
        <a:prstDash val="dash"/>
      </a:ln>
    </cs:spPr>
  </cs:seriesLine>
  <cs:title>
    <cs:lnRef idx="0"/>
    <cs:fillRef idx="0"/>
    <cs:effectRef idx="0"/>
    <cs:fontRef idx="minor">
      <a:schemeClr val="dk1">
        <a:lumMod val="50000"/>
        <a:lumOff val="50000"/>
      </a:schemeClr>
    </cs:fontRef>
    <cs:defRPr sz="1400" kern="1200" cap="none" spc="2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65000"/>
        <a:lumOff val="35000"/>
      </a:schemeClr>
    </cs:fontRef>
    <cs:defRPr sz="900" kern="1200" spc="20" baseline="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230">
  <cs:axisTitle>
    <cs:lnRef idx="0"/>
    <cs:fillRef idx="0"/>
    <cs:effectRef idx="0"/>
    <cs:fontRef idx="minor">
      <a:schemeClr val="dk1">
        <a:lumMod val="65000"/>
        <a:lumOff val="35000"/>
      </a:schemeClr>
    </cs:fontRef>
    <cs:defRPr sz="900" kern="1200" cap="all"/>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b="0" kern="1200" spc="20" baseline="0"/>
  </cs:categoryAxis>
  <cs:chartArea mods="allowNoLineOverride">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0"/>
    <cs:effectRef idx="0"/>
    <cs:fontRef idx="minor">
      <a:schemeClr val="dk1"/>
    </cs:fontRef>
    <cs:spPr>
      <a:ln w="22225" cap="rnd" cmpd="sng" algn="ctr">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cap="flat" cmpd="sng" algn="ctr">
        <a:solidFill>
          <a:schemeClr val="phClr"/>
        </a:solidFill>
        <a:round/>
      </a:ln>
    </cs:spPr>
  </cs:dataPointMarker>
  <cs:dataPointMarkerLayout symbol="circle" size="4"/>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dk1">
            <a:lumMod val="65000"/>
            <a:lumOff val="35000"/>
          </a:schemeClr>
        </a:solidFill>
      </a:ln>
    </cs:spPr>
  </cs:downBar>
  <cs:dropLine>
    <cs:lnRef idx="0"/>
    <cs:fillRef idx="0"/>
    <cs:effectRef idx="0"/>
    <cs:fontRef idx="minor">
      <a:schemeClr val="dk1"/>
    </cs:fontRef>
    <cs:spPr>
      <a:ln w="9525" cap="flat" cmpd="sng" algn="ctr">
        <a:solidFill>
          <a:schemeClr val="dk1">
            <a:lumMod val="35000"/>
            <a:lumOff val="65000"/>
            <a:alpha val="33000"/>
          </a:schemeClr>
        </a:solidFill>
        <a:round/>
      </a:ln>
    </cs:spPr>
  </cs:dropLine>
  <cs:errorBar>
    <cs:lnRef idx="0"/>
    <cs:fillRef idx="0"/>
    <cs:effectRef idx="0"/>
    <cs:fontRef idx="minor">
      <a:schemeClr val="dk1"/>
    </cs:fontRef>
    <cs:spPr>
      <a:ln w="9525">
        <a:solidFill>
          <a:schemeClr val="dk1">
            <a:lumMod val="65000"/>
            <a:lumOff val="35000"/>
          </a:schemeClr>
        </a:solidFill>
      </a:ln>
    </cs:spPr>
  </cs:errorBar>
  <cs:floor>
    <cs:lnRef idx="0"/>
    <cs:fillRef idx="0"/>
    <cs:effectRef idx="0"/>
    <cs:fontRef idx="minor">
      <a:schemeClr val="dk1"/>
    </cs:fontRef>
  </cs:floor>
  <cs:gridlineMajor>
    <cs:lnRef idx="0"/>
    <cs:fillRef idx="0"/>
    <cs:effectRef idx="0"/>
    <cs:fontRef idx="minor">
      <a:schemeClr val="dk1"/>
    </cs:fontRef>
    <cs:spPr>
      <a:ln>
        <a:solidFill>
          <a:schemeClr val="dk1">
            <a:lumMod val="15000"/>
            <a:lumOff val="85000"/>
          </a:schemeClr>
        </a:solidFill>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35000"/>
            <a:lumOff val="65000"/>
          </a:schemeClr>
        </a:solidFill>
      </a:ln>
    </cs:spPr>
  </cs:hiLoLine>
  <cs:leaderLine>
    <cs:lnRef idx="0"/>
    <cs:fillRef idx="0"/>
    <cs:effectRef idx="0"/>
    <cs:fontRef idx="minor">
      <a:schemeClr val="dk1"/>
    </cs:fontRef>
    <cs:spPr>
      <a:ln w="9525">
        <a:solidFill>
          <a:schemeClr val="dk1">
            <a:lumMod val="35000"/>
            <a:lumOff val="65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gradFill>
        <a:gsLst>
          <a:gs pos="100000">
            <a:schemeClr val="lt1">
              <a:lumMod val="95000"/>
            </a:schemeClr>
          </a:gs>
          <a:gs pos="0">
            <a:schemeClr val="lt1"/>
          </a:gs>
        </a:gsLst>
        <a:lin ang="5400000" scaled="0"/>
      </a:gradFill>
    </cs:spPr>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35000"/>
            <a:lumOff val="65000"/>
          </a:schemeClr>
        </a:solidFill>
        <a:prstDash val="dash"/>
      </a:ln>
    </cs:spPr>
  </cs:seriesLine>
  <cs:title>
    <cs:lnRef idx="0"/>
    <cs:fillRef idx="0"/>
    <cs:effectRef idx="0"/>
    <cs:fontRef idx="minor">
      <a:schemeClr val="dk1">
        <a:lumMod val="50000"/>
        <a:lumOff val="50000"/>
      </a:schemeClr>
    </cs:fontRef>
    <cs:defRPr sz="1400" kern="1200" cap="none" spc="2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65000"/>
        <a:lumOff val="35000"/>
      </a:schemeClr>
    </cs:fontRef>
    <cs:defRPr sz="900" kern="1200" spc="20" baseline="0"/>
  </cs:valueAxis>
  <cs:wall>
    <cs:lnRef idx="0"/>
    <cs:fillRef idx="0"/>
    <cs:effectRef idx="0"/>
    <cs:fontRef idx="minor">
      <a:schemeClr val="dk1"/>
    </cs:fontRef>
  </cs:wall>
</cs:chartStyle>
</file>

<file path=xl/charts/style7.xml><?xml version="1.0" encoding="utf-8"?>
<cs:chartStyle xmlns:cs="http://schemas.microsoft.com/office/drawing/2012/chartStyle" xmlns:a="http://schemas.openxmlformats.org/drawingml/2006/main" id="230">
  <cs:axisTitle>
    <cs:lnRef idx="0"/>
    <cs:fillRef idx="0"/>
    <cs:effectRef idx="0"/>
    <cs:fontRef idx="minor">
      <a:schemeClr val="dk1">
        <a:lumMod val="65000"/>
        <a:lumOff val="35000"/>
      </a:schemeClr>
    </cs:fontRef>
    <cs:defRPr sz="900" kern="1200" cap="all"/>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b="0" kern="1200" spc="20" baseline="0"/>
  </cs:categoryAxis>
  <cs:chartArea mods="allowNoLineOverride">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0"/>
    <cs:effectRef idx="0"/>
    <cs:fontRef idx="minor">
      <a:schemeClr val="dk1"/>
    </cs:fontRef>
    <cs:spPr>
      <a:ln w="22225" cap="rnd" cmpd="sng" algn="ctr">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cap="flat" cmpd="sng" algn="ctr">
        <a:solidFill>
          <a:schemeClr val="phClr"/>
        </a:solidFill>
        <a:round/>
      </a:ln>
    </cs:spPr>
  </cs:dataPointMarker>
  <cs:dataPointMarkerLayout symbol="circle" size="4"/>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dk1">
            <a:lumMod val="65000"/>
            <a:lumOff val="35000"/>
          </a:schemeClr>
        </a:solidFill>
      </a:ln>
    </cs:spPr>
  </cs:downBar>
  <cs:dropLine>
    <cs:lnRef idx="0"/>
    <cs:fillRef idx="0"/>
    <cs:effectRef idx="0"/>
    <cs:fontRef idx="minor">
      <a:schemeClr val="dk1"/>
    </cs:fontRef>
    <cs:spPr>
      <a:ln w="9525" cap="flat" cmpd="sng" algn="ctr">
        <a:solidFill>
          <a:schemeClr val="dk1">
            <a:lumMod val="35000"/>
            <a:lumOff val="65000"/>
            <a:alpha val="33000"/>
          </a:schemeClr>
        </a:solidFill>
        <a:round/>
      </a:ln>
    </cs:spPr>
  </cs:dropLine>
  <cs:errorBar>
    <cs:lnRef idx="0"/>
    <cs:fillRef idx="0"/>
    <cs:effectRef idx="0"/>
    <cs:fontRef idx="minor">
      <a:schemeClr val="dk1"/>
    </cs:fontRef>
    <cs:spPr>
      <a:ln w="9525">
        <a:solidFill>
          <a:schemeClr val="dk1">
            <a:lumMod val="65000"/>
            <a:lumOff val="35000"/>
          </a:schemeClr>
        </a:solidFill>
      </a:ln>
    </cs:spPr>
  </cs:errorBar>
  <cs:floor>
    <cs:lnRef idx="0"/>
    <cs:fillRef idx="0"/>
    <cs:effectRef idx="0"/>
    <cs:fontRef idx="minor">
      <a:schemeClr val="dk1"/>
    </cs:fontRef>
  </cs:floor>
  <cs:gridlineMajor>
    <cs:lnRef idx="0"/>
    <cs:fillRef idx="0"/>
    <cs:effectRef idx="0"/>
    <cs:fontRef idx="minor">
      <a:schemeClr val="dk1"/>
    </cs:fontRef>
    <cs:spPr>
      <a:ln>
        <a:solidFill>
          <a:schemeClr val="dk1">
            <a:lumMod val="15000"/>
            <a:lumOff val="85000"/>
          </a:schemeClr>
        </a:solidFill>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35000"/>
            <a:lumOff val="65000"/>
          </a:schemeClr>
        </a:solidFill>
      </a:ln>
    </cs:spPr>
  </cs:hiLoLine>
  <cs:leaderLine>
    <cs:lnRef idx="0"/>
    <cs:fillRef idx="0"/>
    <cs:effectRef idx="0"/>
    <cs:fontRef idx="minor">
      <a:schemeClr val="dk1"/>
    </cs:fontRef>
    <cs:spPr>
      <a:ln w="9525">
        <a:solidFill>
          <a:schemeClr val="dk1">
            <a:lumMod val="35000"/>
            <a:lumOff val="65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gradFill>
        <a:gsLst>
          <a:gs pos="100000">
            <a:schemeClr val="lt1">
              <a:lumMod val="95000"/>
            </a:schemeClr>
          </a:gs>
          <a:gs pos="0">
            <a:schemeClr val="lt1"/>
          </a:gs>
        </a:gsLst>
        <a:lin ang="5400000" scaled="0"/>
      </a:gradFill>
    </cs:spPr>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35000"/>
            <a:lumOff val="65000"/>
          </a:schemeClr>
        </a:solidFill>
        <a:prstDash val="dash"/>
      </a:ln>
    </cs:spPr>
  </cs:seriesLine>
  <cs:title>
    <cs:lnRef idx="0"/>
    <cs:fillRef idx="0"/>
    <cs:effectRef idx="0"/>
    <cs:fontRef idx="minor">
      <a:schemeClr val="dk1">
        <a:lumMod val="50000"/>
        <a:lumOff val="50000"/>
      </a:schemeClr>
    </cs:fontRef>
    <cs:defRPr sz="1400" kern="1200" cap="none" spc="2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65000"/>
        <a:lumOff val="35000"/>
      </a:schemeClr>
    </cs:fontRef>
    <cs:defRPr sz="900" kern="1200" spc="20" baseline="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hyperlink" Target="https://www.excel-skills.com/macro.php?tempno=8"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www.excel-skills.com/excel-inventory-template.php" TargetMode="External"/></Relationships>
</file>

<file path=xl/drawings/_rels/drawing7.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0</xdr:col>
      <xdr:colOff>22860</xdr:colOff>
      <xdr:row>0</xdr:row>
      <xdr:rowOff>22860</xdr:rowOff>
    </xdr:from>
    <xdr:to>
      <xdr:col>8</xdr:col>
      <xdr:colOff>679500</xdr:colOff>
      <xdr:row>21</xdr:row>
      <xdr:rowOff>14010</xdr:rowOff>
    </xdr:to>
    <xdr:grpSp>
      <xdr:nvGrpSpPr>
        <xdr:cNvPr id="4" name="Group 3">
          <a:extLst>
            <a:ext uri="{FF2B5EF4-FFF2-40B4-BE49-F238E27FC236}">
              <a16:creationId xmlns:a16="http://schemas.microsoft.com/office/drawing/2014/main" id="{B047B035-A918-4821-B92F-7B294B9CDE40}"/>
            </a:ext>
          </a:extLst>
        </xdr:cNvPr>
        <xdr:cNvGrpSpPr/>
      </xdr:nvGrpSpPr>
      <xdr:grpSpPr>
        <a:xfrm>
          <a:off x="22860" y="22860"/>
          <a:ext cx="9038640" cy="4391700"/>
          <a:chOff x="17134" y="17145"/>
          <a:chExt cx="9252000" cy="3671610"/>
        </a:xfrm>
      </xdr:grpSpPr>
      <xdr:sp macro="" textlink="" fLocksText="0">
        <xdr:nvSpPr>
          <xdr:cNvPr id="5" name="Rectangle 1">
            <a:extLst>
              <a:ext uri="{FF2B5EF4-FFF2-40B4-BE49-F238E27FC236}">
                <a16:creationId xmlns:a16="http://schemas.microsoft.com/office/drawing/2014/main" id="{571DF610-8DD0-4DA3-BFC5-DB40F999350E}"/>
              </a:ext>
            </a:extLst>
          </xdr:cNvPr>
          <xdr:cNvSpPr>
            <a:spLocks noChangeArrowheads="1"/>
          </xdr:cNvSpPr>
        </xdr:nvSpPr>
        <xdr:spPr bwMode="auto">
          <a:xfrm>
            <a:off x="17134" y="17145"/>
            <a:ext cx="9252000" cy="367161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horzOverflow="clip" wrap="square" lIns="180000" tIns="180000" rIns="180000" bIns="180000" anchor="t" anchorCtr="0" upright="1">
            <a:noAutofit/>
          </a:bodyPr>
          <a:lstStyle/>
          <a:p>
            <a:pPr algn="l" rtl="0">
              <a:lnSpc>
                <a:spcPct val="100000"/>
              </a:lnSpc>
              <a:spcAft>
                <a:spcPts val="0"/>
              </a:spcAft>
              <a:defRPr sz="1000"/>
            </a:pPr>
            <a:r>
              <a:rPr lang="en-US" sz="1200" b="1" i="0" u="none" strike="noStrike" baseline="0">
                <a:solidFill>
                  <a:schemeClr val="bg1"/>
                </a:solidFill>
                <a:latin typeface="+mn-lt"/>
                <a:cs typeface="Arial" panose="020B0604020202020204" pitchFamily="34" charset="0"/>
              </a:rPr>
              <a:t>EXCEL-SKILLS.COM</a:t>
            </a:r>
          </a:p>
          <a:p>
            <a:pPr algn="l" rtl="0">
              <a:lnSpc>
                <a:spcPct val="100000"/>
              </a:lnSpc>
              <a:defRPr sz="1000"/>
            </a:pPr>
            <a:r>
              <a:rPr lang="en-US" sz="2400" b="1" i="0" u="none" strike="noStrike" baseline="0">
                <a:solidFill>
                  <a:srgbClr val="FFFFFF"/>
                </a:solidFill>
                <a:latin typeface="Berlin Sans FB Demi" panose="020E0802020502020306" pitchFamily="34" charset="0"/>
                <a:cs typeface="Arial"/>
              </a:rPr>
              <a:t>How to activate our trial version</a:t>
            </a:r>
          </a:p>
          <a:p>
            <a:pPr algn="just" rtl="0">
              <a:lnSpc>
                <a:spcPts val="1500"/>
              </a:lnSpc>
              <a:spcBef>
                <a:spcPts val="300"/>
              </a:spcBef>
              <a:spcAft>
                <a:spcPts val="300"/>
              </a:spcAft>
              <a:defRPr sz="1000"/>
            </a:pPr>
            <a:r>
              <a:rPr lang="en-US" sz="1100" b="0" i="0" u="none" strike="noStrike" baseline="0">
                <a:solidFill>
                  <a:srgbClr val="FFFFFF"/>
                </a:solidFill>
                <a:latin typeface="+mn-lt"/>
                <a:cs typeface="Arial" panose="020B0604020202020204" pitchFamily="34" charset="0"/>
              </a:rPr>
              <a:t>Enable our 100% secure trial version macro to display the full version of the template. You should see a security warning message indicating that macros have been disabled - the trail version can be activated by enabling the macro content. Once you enable the macro, all the sheets included in the full version will be visible and you will be able to test the template features.</a:t>
            </a:r>
          </a:p>
          <a:p>
            <a:pPr marL="0" algn="just" rtl="0">
              <a:lnSpc>
                <a:spcPct val="100000"/>
              </a:lnSpc>
              <a:spcBef>
                <a:spcPts val="300"/>
              </a:spcBef>
              <a:spcAft>
                <a:spcPts val="300"/>
              </a:spcAft>
              <a:defRPr sz="1000"/>
            </a:pPr>
            <a:r>
              <a:rPr lang="en-US" sz="1200" b="1" i="0" u="none" strike="noStrike" baseline="0">
                <a:solidFill>
                  <a:srgbClr val="FFFFFF"/>
                </a:solidFill>
                <a:latin typeface="+mn-lt"/>
                <a:cs typeface="Arial" panose="020B0604020202020204" pitchFamily="34" charset="0"/>
              </a:rPr>
              <a:t>Trial version restrictions</a:t>
            </a:r>
          </a:p>
          <a:p>
            <a:pPr marL="0" algn="just" rtl="0">
              <a:lnSpc>
                <a:spcPts val="1500"/>
              </a:lnSpc>
              <a:spcBef>
                <a:spcPts val="0"/>
              </a:spcBef>
              <a:spcAft>
                <a:spcPts val="300"/>
              </a:spcAft>
              <a:defRPr sz="1000"/>
            </a:pPr>
            <a:r>
              <a:rPr lang="en-US" sz="1100" b="0" i="0" u="none" strike="noStrike" baseline="0">
                <a:solidFill>
                  <a:srgbClr val="FFFFFF"/>
                </a:solidFill>
                <a:latin typeface="+mn-lt"/>
                <a:cs typeface="Arial" panose="020B0604020202020204" pitchFamily="34" charset="0"/>
              </a:rPr>
              <a:t>The trial version includes all the functionality of the full version but you cannot save the template or print any of the worksheets. You will also not be able to move or copy any of the worksheets. The aim of the trial version is to illustrate the functionality which is included in the full version and the trial can therefore only be used to try out the template functionality for one session at a time. We only use macros for the trial versions of our templates - none of the full versions of our templates contain any macros!</a:t>
            </a:r>
          </a:p>
        </xdr:txBody>
      </xdr:sp>
      <xdr:sp macro="" textlink="" fLocksText="0">
        <xdr:nvSpPr>
          <xdr:cNvPr id="6" name="TextBox 5">
            <a:hlinkClick xmlns:r="http://schemas.openxmlformats.org/officeDocument/2006/relationships" r:id="rId1"/>
            <a:extLst>
              <a:ext uri="{FF2B5EF4-FFF2-40B4-BE49-F238E27FC236}">
                <a16:creationId xmlns:a16="http://schemas.microsoft.com/office/drawing/2014/main" id="{91234673-3ADD-423D-9E1A-D2A7A4F91A6A}"/>
              </a:ext>
            </a:extLst>
          </xdr:cNvPr>
          <xdr:cNvSpPr txBox="1"/>
        </xdr:nvSpPr>
        <xdr:spPr>
          <a:xfrm>
            <a:off x="2011680" y="2901317"/>
            <a:ext cx="4680000" cy="485145"/>
          </a:xfrm>
          <a:prstGeom prst="rect">
            <a:avLst/>
          </a:prstGeom>
          <a:solidFill>
            <a:srgbClr val="FE4A49"/>
          </a:solidFill>
          <a:ln w="50800" cap="rnd" cmpd="sng">
            <a:solidFill>
              <a:srgbClr val="FE4A49"/>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400" b="1" u="none">
                <a:solidFill>
                  <a:schemeClr val="bg1"/>
                </a:solidFill>
                <a:latin typeface="+mn-lt"/>
              </a:rPr>
              <a:t>Go</a:t>
            </a:r>
            <a:r>
              <a:rPr lang="en-ZA" sz="1400" b="1" u="none" baseline="0">
                <a:solidFill>
                  <a:schemeClr val="bg1"/>
                </a:solidFill>
                <a:latin typeface="+mn-lt"/>
              </a:rPr>
              <a:t> to step-by-step macro instructions</a:t>
            </a:r>
            <a:endParaRPr lang="en-ZA" sz="1400" b="1" u="none">
              <a:solidFill>
                <a:schemeClr val="bg1"/>
              </a:solidFill>
              <a:latin typeface="+mn-lt"/>
            </a:endParaRPr>
          </a:p>
        </xdr:txBody>
      </xdr:sp>
      <xdr:sp macro="" textlink="" fLocksText="0">
        <xdr:nvSpPr>
          <xdr:cNvPr id="7" name="TextBox 6">
            <a:extLst>
              <a:ext uri="{FF2B5EF4-FFF2-40B4-BE49-F238E27FC236}">
                <a16:creationId xmlns:a16="http://schemas.microsoft.com/office/drawing/2014/main" id="{290AAA38-2B59-4DD5-9B94-ADBADE8A96E3}"/>
              </a:ext>
            </a:extLst>
          </xdr:cNvPr>
          <xdr:cNvSpPr txBox="1"/>
        </xdr:nvSpPr>
        <xdr:spPr>
          <a:xfrm>
            <a:off x="2004060" y="3413760"/>
            <a:ext cx="4680000" cy="2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000" i="1">
                <a:solidFill>
                  <a:schemeClr val="bg1">
                    <a:lumMod val="75000"/>
                  </a:schemeClr>
                </a:solidFill>
              </a:rPr>
              <a:t>enable editing to activate the link</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22860</xdr:colOff>
      <xdr:row>0</xdr:row>
      <xdr:rowOff>22860</xdr:rowOff>
    </xdr:from>
    <xdr:to>
      <xdr:col>8</xdr:col>
      <xdr:colOff>679500</xdr:colOff>
      <xdr:row>21</xdr:row>
      <xdr:rowOff>14010</xdr:rowOff>
    </xdr:to>
    <xdr:grpSp>
      <xdr:nvGrpSpPr>
        <xdr:cNvPr id="4" name="Group 3">
          <a:extLst>
            <a:ext uri="{FF2B5EF4-FFF2-40B4-BE49-F238E27FC236}">
              <a16:creationId xmlns:a16="http://schemas.microsoft.com/office/drawing/2014/main" id="{10C92057-CB71-4149-BF34-28505DDB5AEE}"/>
            </a:ext>
          </a:extLst>
        </xdr:cNvPr>
        <xdr:cNvGrpSpPr/>
      </xdr:nvGrpSpPr>
      <xdr:grpSpPr>
        <a:xfrm>
          <a:off x="22860" y="22860"/>
          <a:ext cx="9038640" cy="4391700"/>
          <a:chOff x="17134" y="17145"/>
          <a:chExt cx="9252000" cy="3671610"/>
        </a:xfrm>
      </xdr:grpSpPr>
      <xdr:sp macro="" textlink="" fLocksText="0">
        <xdr:nvSpPr>
          <xdr:cNvPr id="5" name="Rectangle 1">
            <a:extLst>
              <a:ext uri="{FF2B5EF4-FFF2-40B4-BE49-F238E27FC236}">
                <a16:creationId xmlns:a16="http://schemas.microsoft.com/office/drawing/2014/main" id="{A5C84F92-4883-441C-BC40-2D5A67EE4ABB}"/>
              </a:ext>
            </a:extLst>
          </xdr:cNvPr>
          <xdr:cNvSpPr>
            <a:spLocks noChangeArrowheads="1"/>
          </xdr:cNvSpPr>
        </xdr:nvSpPr>
        <xdr:spPr bwMode="auto">
          <a:xfrm>
            <a:off x="17134" y="17145"/>
            <a:ext cx="9252000" cy="367161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horzOverflow="clip" wrap="square" lIns="180000" tIns="180000" rIns="180000" bIns="180000" anchor="t" anchorCtr="0" upright="1">
            <a:noAutofit/>
          </a:bodyPr>
          <a:lstStyle/>
          <a:p>
            <a:pPr algn="l" rtl="0">
              <a:lnSpc>
                <a:spcPct val="100000"/>
              </a:lnSpc>
              <a:spcAft>
                <a:spcPts val="0"/>
              </a:spcAft>
              <a:defRPr sz="1000"/>
            </a:pPr>
            <a:r>
              <a:rPr lang="en-US" sz="1200" b="1" i="0" u="none" strike="noStrike" baseline="0">
                <a:solidFill>
                  <a:schemeClr val="bg1"/>
                </a:solidFill>
                <a:latin typeface="+mn-lt"/>
                <a:cs typeface="Arial" panose="020B0604020202020204" pitchFamily="34" charset="0"/>
              </a:rPr>
              <a:t>EXCEL-SKILLS.COM</a:t>
            </a:r>
          </a:p>
          <a:p>
            <a:pPr algn="l" rtl="0">
              <a:lnSpc>
                <a:spcPct val="100000"/>
              </a:lnSpc>
              <a:defRPr sz="1000"/>
            </a:pPr>
            <a:r>
              <a:rPr lang="en-US" sz="2400" b="1" i="0" u="none" strike="noStrike" baseline="0">
                <a:solidFill>
                  <a:srgbClr val="FFFFFF"/>
                </a:solidFill>
                <a:latin typeface="Berlin Sans FB Demi" panose="020E0802020502020306" pitchFamily="34" charset="0"/>
                <a:cs typeface="Arial"/>
              </a:rPr>
              <a:t>INVENTORY CONTROL - USAGE BASED TEMPLATE</a:t>
            </a:r>
          </a:p>
          <a:p>
            <a:pPr algn="just" rtl="0">
              <a:lnSpc>
                <a:spcPts val="1500"/>
              </a:lnSpc>
              <a:spcBef>
                <a:spcPts val="300"/>
              </a:spcBef>
              <a:spcAft>
                <a:spcPts val="300"/>
              </a:spcAft>
              <a:defRPr sz="1000"/>
            </a:pPr>
            <a:r>
              <a:rPr lang="en-US" sz="1100" b="0" i="0" u="none" strike="noStrike" baseline="0">
                <a:solidFill>
                  <a:srgbClr val="FFFFFF"/>
                </a:solidFill>
                <a:latin typeface="+mn-lt"/>
                <a:cs typeface="Arial" panose="020B0604020202020204" pitchFamily="34" charset="0"/>
              </a:rPr>
              <a:t>This template enables users to analyze the profitability of a business by comparing sales to inventory usage. The functionality included in this template enables users to control inventory by creating stock codes for all individual inventory items; recording inventory purchases, usage and adjustments; performing physical stock counts and analyzing stock take variances; calculating stock valuations and measuring sales, cost of sales &amp; gross profits based on any user defined date range. All inventory valuations are performed on an average cost basis.</a:t>
            </a:r>
          </a:p>
          <a:p>
            <a:pPr marL="1800000" algn="just" rtl="0">
              <a:lnSpc>
                <a:spcPct val="100000"/>
              </a:lnSpc>
              <a:spcBef>
                <a:spcPts val="1200"/>
              </a:spcBef>
              <a:spcAft>
                <a:spcPts val="300"/>
              </a:spcAft>
              <a:defRPr sz="1000"/>
            </a:pPr>
            <a:r>
              <a:rPr lang="en-US" sz="1200" b="1" i="0" u="none" strike="noStrike" baseline="0">
                <a:solidFill>
                  <a:srgbClr val="FFFFFF"/>
                </a:solidFill>
                <a:latin typeface="+mn-lt"/>
                <a:cs typeface="Arial" panose="020B0604020202020204" pitchFamily="34" charset="0"/>
              </a:rPr>
              <a:t>Get the full version of the template to unlock all the functionality!</a:t>
            </a:r>
          </a:p>
          <a:p>
            <a:pPr marL="1800000" algn="just" rtl="0">
              <a:lnSpc>
                <a:spcPts val="1500"/>
              </a:lnSpc>
              <a:spcBef>
                <a:spcPts val="0"/>
              </a:spcBef>
              <a:spcAft>
                <a:spcPts val="300"/>
              </a:spcAft>
              <a:defRPr sz="1000"/>
            </a:pPr>
            <a:r>
              <a:rPr lang="en-US" sz="1100" b="0" i="0" u="none" strike="noStrike" baseline="0">
                <a:solidFill>
                  <a:srgbClr val="FFFFFF"/>
                </a:solidFill>
                <a:latin typeface="+mn-lt"/>
                <a:cs typeface="Arial" panose="020B0604020202020204" pitchFamily="34" charset="0"/>
              </a:rPr>
              <a:t>This is a trial version of the template created to enable you to try out the template functionality. You will not be able to save or print any of your changes. Get the full version for a fully unprotected version of the template where you have full access to all the template functionality.</a:t>
            </a:r>
          </a:p>
        </xdr:txBody>
      </xdr:sp>
      <xdr:sp macro="" textlink="" fLocksText="0">
        <xdr:nvSpPr>
          <xdr:cNvPr id="6" name="TextBox 5">
            <a:hlinkClick xmlns:r="http://schemas.openxmlformats.org/officeDocument/2006/relationships" r:id="rId1"/>
            <a:extLst>
              <a:ext uri="{FF2B5EF4-FFF2-40B4-BE49-F238E27FC236}">
                <a16:creationId xmlns:a16="http://schemas.microsoft.com/office/drawing/2014/main" id="{94DD8B7F-E6AA-4CD0-87AE-5F6A64D3BEC3}"/>
              </a:ext>
            </a:extLst>
          </xdr:cNvPr>
          <xdr:cNvSpPr txBox="1"/>
        </xdr:nvSpPr>
        <xdr:spPr>
          <a:xfrm>
            <a:off x="2011680" y="2901317"/>
            <a:ext cx="4680000" cy="485145"/>
          </a:xfrm>
          <a:prstGeom prst="rect">
            <a:avLst/>
          </a:prstGeom>
          <a:solidFill>
            <a:srgbClr val="FE4A49"/>
          </a:solidFill>
          <a:ln w="50800" cap="rnd" cmpd="sng">
            <a:solidFill>
              <a:srgbClr val="FE4A49"/>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400" b="1" u="none">
                <a:solidFill>
                  <a:schemeClr val="bg1"/>
                </a:solidFill>
                <a:latin typeface="+mn-lt"/>
              </a:rPr>
              <a:t>Get</a:t>
            </a:r>
            <a:r>
              <a:rPr lang="en-ZA" sz="1400" b="1" u="none" baseline="0">
                <a:solidFill>
                  <a:schemeClr val="bg1"/>
                </a:solidFill>
                <a:latin typeface="+mn-lt"/>
              </a:rPr>
              <a:t> the full version of this template!</a:t>
            </a:r>
            <a:endParaRPr lang="en-ZA" sz="1400" b="1" u="none">
              <a:solidFill>
                <a:schemeClr val="bg1"/>
              </a:solidFill>
              <a:latin typeface="+mn-lt"/>
            </a:endParaRPr>
          </a:p>
        </xdr:txBody>
      </xdr:sp>
      <xdr:sp macro="" textlink="" fLocksText="0">
        <xdr:nvSpPr>
          <xdr:cNvPr id="7" name="TextBox 6">
            <a:extLst>
              <a:ext uri="{FF2B5EF4-FFF2-40B4-BE49-F238E27FC236}">
                <a16:creationId xmlns:a16="http://schemas.microsoft.com/office/drawing/2014/main" id="{E4B35B27-4A0E-447E-84A8-4781F26991F2}"/>
              </a:ext>
            </a:extLst>
          </xdr:cNvPr>
          <xdr:cNvSpPr txBox="1"/>
        </xdr:nvSpPr>
        <xdr:spPr>
          <a:xfrm>
            <a:off x="2004060" y="3413760"/>
            <a:ext cx="4680000" cy="2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000" i="1">
                <a:solidFill>
                  <a:schemeClr val="bg1">
                    <a:lumMod val="75000"/>
                  </a:schemeClr>
                </a:solidFill>
              </a:rPr>
              <a:t>enable editing to activate the link</a:t>
            </a:r>
          </a:p>
        </xdr:txBody>
      </xdr:sp>
      <xdr:pic>
        <xdr:nvPicPr>
          <xdr:cNvPr id="8" name="Picture 7">
            <a:extLst>
              <a:ext uri="{FF2B5EF4-FFF2-40B4-BE49-F238E27FC236}">
                <a16:creationId xmlns:a16="http://schemas.microsoft.com/office/drawing/2014/main" id="{D9CF6872-EFF5-4544-BE2A-C64D6893B12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36220" y="1912620"/>
            <a:ext cx="1524000" cy="1524000"/>
          </a:xfrm>
          <a:prstGeom prst="rect">
            <a:avLst/>
          </a:prstGeom>
        </xdr:spPr>
      </xdr:pic>
    </xdr:grpSp>
    <xdr:clientData fPrintsWithSheet="0"/>
  </xdr:twoCellAnchor>
</xdr:wsDr>
</file>

<file path=xl/drawings/drawing3.xml><?xml version="1.0" encoding="utf-8"?>
<xdr:wsDr xmlns:xdr="http://schemas.openxmlformats.org/drawingml/2006/spreadsheetDrawing" xmlns:a="http://schemas.openxmlformats.org/drawingml/2006/main">
  <xdr:oneCellAnchor>
    <xdr:from>
      <xdr:col>1</xdr:col>
      <xdr:colOff>175260</xdr:colOff>
      <xdr:row>4</xdr:row>
      <xdr:rowOff>225720</xdr:rowOff>
    </xdr:from>
    <xdr:ext cx="2758440" cy="1114490"/>
    <xdr:sp macro="" textlink="">
      <xdr:nvSpPr>
        <xdr:cNvPr id="10" name="Rectangle 17">
          <a:extLst>
            <a:ext uri="{FF2B5EF4-FFF2-40B4-BE49-F238E27FC236}">
              <a16:creationId xmlns:a16="http://schemas.microsoft.com/office/drawing/2014/main" id="{DDEB8DE5-9549-4630-B3E9-7B7D40D47814}"/>
            </a:ext>
          </a:extLst>
        </xdr:cNvPr>
        <xdr:cNvSpPr>
          <a:spLocks noChangeArrowheads="1"/>
        </xdr:cNvSpPr>
      </xdr:nvSpPr>
      <xdr:spPr bwMode="auto">
        <a:xfrm>
          <a:off x="7703820" y="964860"/>
          <a:ext cx="2758440" cy="111449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800" b="1" i="0" u="none" strike="noStrike" baseline="0">
              <a:solidFill>
                <a:schemeClr val="accent1">
                  <a:lumMod val="20000"/>
                  <a:lumOff val="80000"/>
                </a:schemeClr>
              </a:solidFill>
              <a:latin typeface="+mn-lt"/>
              <a:cs typeface="Arial"/>
            </a:rPr>
            <a:t>On this sheet:</a:t>
          </a:r>
        </a:p>
        <a:p>
          <a:pPr algn="ctr" rtl="0">
            <a:lnSpc>
              <a:spcPts val="1500"/>
            </a:lnSpc>
            <a:defRPr sz="1000"/>
          </a:pPr>
          <a:r>
            <a:rPr lang="en-US" sz="1050" b="1" i="0" u="none" strike="noStrike" baseline="0">
              <a:solidFill>
                <a:schemeClr val="bg1"/>
              </a:solidFill>
              <a:latin typeface="+mn-lt"/>
              <a:cs typeface="Arial"/>
            </a:rPr>
            <a:t>This sheet includes detailed instructions on setting up and using this template.</a:t>
          </a:r>
        </a:p>
      </xdr:txBody>
    </xdr:sp>
    <xdr:clientData fLocksWithSheet="0" fPrintsWithSheet="0"/>
  </xdr:oneCellAnchor>
</xdr:wsDr>
</file>

<file path=xl/drawings/drawing4.xml><?xml version="1.0" encoding="utf-8"?>
<xdr:wsDr xmlns:xdr="http://schemas.openxmlformats.org/drawingml/2006/spreadsheetDrawing" xmlns:a="http://schemas.openxmlformats.org/drawingml/2006/main">
  <xdr:oneCellAnchor>
    <xdr:from>
      <xdr:col>2</xdr:col>
      <xdr:colOff>303016</xdr:colOff>
      <xdr:row>13</xdr:row>
      <xdr:rowOff>128034</xdr:rowOff>
    </xdr:from>
    <xdr:ext cx="7349068" cy="1692982"/>
    <xdr:sp macro="" textlink="">
      <xdr:nvSpPr>
        <xdr:cNvPr id="3" name="Rectangle 17">
          <a:extLst>
            <a:ext uri="{FF2B5EF4-FFF2-40B4-BE49-F238E27FC236}">
              <a16:creationId xmlns:a16="http://schemas.microsoft.com/office/drawing/2014/main" id="{8504E6D1-7BBD-4AFE-BED4-DE3D8E71BC8A}"/>
            </a:ext>
          </a:extLst>
        </xdr:cNvPr>
        <xdr:cNvSpPr>
          <a:spLocks noChangeArrowheads="1"/>
        </xdr:cNvSpPr>
      </xdr:nvSpPr>
      <xdr:spPr bwMode="auto">
        <a:xfrm>
          <a:off x="2340363" y="2855192"/>
          <a:ext cx="7349068" cy="169298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Create a unique stock code for each inventory item. Opening quantities and costs can also be recorded. The columns with light blue column headings contain formulas which are automatically copied for all new stock codes added to the table. These columns contain calculations of the quantity on hand, average cost, inventory valuation and inventory movements for each individual stock code. All the calculations on this sheet are based on a user defined date range specified by simply entering the appropriate “From” and “To” dates in cell H2 and H3.</a:t>
          </a:r>
        </a:p>
      </xdr:txBody>
    </xdr:sp>
    <xdr:clientData fLocksWithSheet="0" fPrintsWithSheet="0"/>
  </xdr:oneCellAnchor>
</xdr:wsDr>
</file>

<file path=xl/drawings/drawing5.xml><?xml version="1.0" encoding="utf-8"?>
<xdr:wsDr xmlns:xdr="http://schemas.openxmlformats.org/drawingml/2006/spreadsheetDrawing" xmlns:a="http://schemas.openxmlformats.org/drawingml/2006/main">
  <xdr:oneCellAnchor>
    <xdr:from>
      <xdr:col>0</xdr:col>
      <xdr:colOff>762000</xdr:colOff>
      <xdr:row>14</xdr:row>
      <xdr:rowOff>40178</xdr:rowOff>
    </xdr:from>
    <xdr:ext cx="7419474" cy="1885342"/>
    <xdr:sp macro="" textlink="">
      <xdr:nvSpPr>
        <xdr:cNvPr id="3" name="Rectangle 17">
          <a:extLst>
            <a:ext uri="{FF2B5EF4-FFF2-40B4-BE49-F238E27FC236}">
              <a16:creationId xmlns:a16="http://schemas.microsoft.com/office/drawing/2014/main" id="{E52A3554-92D9-4754-9027-ACA0B3889646}"/>
            </a:ext>
          </a:extLst>
        </xdr:cNvPr>
        <xdr:cNvSpPr>
          <a:spLocks noChangeArrowheads="1"/>
        </xdr:cNvSpPr>
      </xdr:nvSpPr>
      <xdr:spPr bwMode="auto">
        <a:xfrm>
          <a:off x="762000" y="2967862"/>
          <a:ext cx="7419474" cy="188534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Record all inventory movement transactions by entering the appropriate details in the columns with  yellow column headings. The columns with light blue column headings contain formulas which are automatically copied for all new transactions added to the table. These columns include calculations of the quantity on hand, average cost and price variance per individual transaction. The purchase price variance can be defined as the difference between the purchase price and the previous average cost per unit. All usage and adjustment type transactions are valued at the ruling average costs for the particular stock item.</a:t>
          </a:r>
        </a:p>
      </xdr:txBody>
    </xdr:sp>
    <xdr:clientData fLocksWithSheet="0" fPrintsWithSheet="0"/>
  </xdr:oneCellAnchor>
</xdr:wsDr>
</file>

<file path=xl/drawings/drawing6.xml><?xml version="1.0" encoding="utf-8"?>
<xdr:wsDr xmlns:xdr="http://schemas.openxmlformats.org/drawingml/2006/spreadsheetDrawing" xmlns:a="http://schemas.openxmlformats.org/drawingml/2006/main">
  <xdr:oneCellAnchor>
    <xdr:from>
      <xdr:col>0</xdr:col>
      <xdr:colOff>577518</xdr:colOff>
      <xdr:row>12</xdr:row>
      <xdr:rowOff>144453</xdr:rowOff>
    </xdr:from>
    <xdr:ext cx="8390020" cy="1885342"/>
    <xdr:sp macro="" textlink="">
      <xdr:nvSpPr>
        <xdr:cNvPr id="3" name="Rectangle 17">
          <a:extLst>
            <a:ext uri="{FF2B5EF4-FFF2-40B4-BE49-F238E27FC236}">
              <a16:creationId xmlns:a16="http://schemas.microsoft.com/office/drawing/2014/main" id="{12B256C0-481E-48AA-83B1-579A3C42F935}"/>
            </a:ext>
          </a:extLst>
        </xdr:cNvPr>
        <xdr:cNvSpPr>
          <a:spLocks noChangeArrowheads="1"/>
        </xdr:cNvSpPr>
      </xdr:nvSpPr>
      <xdr:spPr bwMode="auto">
        <a:xfrm>
          <a:off x="577518" y="2671085"/>
          <a:ext cx="8390020" cy="188534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sheet can be used to perform a physical stock count of inventory items. Simply enter the appropriate count date in cell K1, copy the appropriate stock codes into column A and enter the appropriate stock count quantities in column E. The theoretical stock quantity on hand, average cost, theoretical stock valuation, stock count valuation, quantity variance and stock variance amounts are automatically calculated. Note that all calculations are based on the stock count date specified in cell K1. After finalizing the physical stock count, the quantity variances can be copied to the “Movements” sheet and recorded as stock adjustment transactions in order to adjust the theoretical stock on hand to the quantities counted.</a:t>
          </a:r>
        </a:p>
      </xdr:txBody>
    </xdr:sp>
    <xdr:clientData fLocksWithSheet="0" fPrintsWithSheet="0"/>
  </xdr:oneCellAnchor>
</xdr:wsDr>
</file>

<file path=xl/drawings/drawing7.xml><?xml version="1.0" encoding="utf-8"?>
<xdr:wsDr xmlns:xdr="http://schemas.openxmlformats.org/drawingml/2006/spreadsheetDrawing" xmlns:a="http://schemas.openxmlformats.org/drawingml/2006/main">
  <xdr:twoCellAnchor>
    <xdr:from>
      <xdr:col>1</xdr:col>
      <xdr:colOff>32085</xdr:colOff>
      <xdr:row>5</xdr:row>
      <xdr:rowOff>40105</xdr:rowOff>
    </xdr:from>
    <xdr:to>
      <xdr:col>1</xdr:col>
      <xdr:colOff>2336085</xdr:colOff>
      <xdr:row>12</xdr:row>
      <xdr:rowOff>213624</xdr:rowOff>
    </xdr:to>
    <xdr:graphicFrame macro="">
      <xdr:nvGraphicFramePr>
        <xdr:cNvPr id="3" name="Chart 1">
          <a:extLst>
            <a:ext uri="{FF2B5EF4-FFF2-40B4-BE49-F238E27FC236}">
              <a16:creationId xmlns:a16="http://schemas.microsoft.com/office/drawing/2014/main" id="{BA0DED75-942B-4EBE-9133-AA7291BA3D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497305</xdr:colOff>
      <xdr:row>8</xdr:row>
      <xdr:rowOff>81421</xdr:rowOff>
    </xdr:from>
    <xdr:to>
      <xdr:col>1</xdr:col>
      <xdr:colOff>1876926</xdr:colOff>
      <xdr:row>9</xdr:row>
      <xdr:rowOff>293787</xdr:rowOff>
    </xdr:to>
    <xdr:sp macro="" textlink="$C$60">
      <xdr:nvSpPr>
        <xdr:cNvPr id="4" name="TextBox 3">
          <a:extLst>
            <a:ext uri="{FF2B5EF4-FFF2-40B4-BE49-F238E27FC236}">
              <a16:creationId xmlns:a16="http://schemas.microsoft.com/office/drawing/2014/main" id="{92B61783-CFB5-409B-9361-52B9505C85B1}"/>
            </a:ext>
          </a:extLst>
        </xdr:cNvPr>
        <xdr:cNvSpPr txBox="1"/>
      </xdr:nvSpPr>
      <xdr:spPr>
        <a:xfrm>
          <a:off x="890337" y="2519821"/>
          <a:ext cx="1379621" cy="517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fld id="{B57BCA3E-E968-43E1-832B-1EE49F34543D}" type="TxLink">
            <a:rPr lang="en-US" sz="1400" b="0" i="0" u="none" strike="noStrike">
              <a:solidFill>
                <a:srgbClr val="000000"/>
              </a:solidFill>
              <a:latin typeface="Century Gothic"/>
              <a:cs typeface="Arial"/>
            </a:rPr>
            <a:pPr algn="ctr"/>
            <a:t> 716.2 </a:t>
          </a:fld>
          <a:endParaRPr lang="en-ZA" sz="11500" b="0">
            <a:latin typeface="+mn-lt"/>
          </a:endParaRPr>
        </a:p>
      </xdr:txBody>
    </xdr:sp>
    <xdr:clientData/>
  </xdr:twoCellAnchor>
  <xdr:twoCellAnchor>
    <xdr:from>
      <xdr:col>4</xdr:col>
      <xdr:colOff>48126</xdr:colOff>
      <xdr:row>5</xdr:row>
      <xdr:rowOff>48126</xdr:rowOff>
    </xdr:from>
    <xdr:to>
      <xdr:col>5</xdr:col>
      <xdr:colOff>1132926</xdr:colOff>
      <xdr:row>12</xdr:row>
      <xdr:rowOff>221645</xdr:rowOff>
    </xdr:to>
    <xdr:graphicFrame macro="">
      <xdr:nvGraphicFramePr>
        <xdr:cNvPr id="7" name="Chart 3">
          <a:extLst>
            <a:ext uri="{FF2B5EF4-FFF2-40B4-BE49-F238E27FC236}">
              <a16:creationId xmlns:a16="http://schemas.microsoft.com/office/drawing/2014/main" id="{CAFB2A22-E18D-4558-8EEE-C71EB437F8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497304</xdr:colOff>
      <xdr:row>8</xdr:row>
      <xdr:rowOff>101474</xdr:rowOff>
    </xdr:from>
    <xdr:to>
      <xdr:col>5</xdr:col>
      <xdr:colOff>657725</xdr:colOff>
      <xdr:row>10</xdr:row>
      <xdr:rowOff>9040</xdr:rowOff>
    </xdr:to>
    <xdr:sp macro="" textlink="$C$64">
      <xdr:nvSpPr>
        <xdr:cNvPr id="8" name="TextBox 7">
          <a:extLst>
            <a:ext uri="{FF2B5EF4-FFF2-40B4-BE49-F238E27FC236}">
              <a16:creationId xmlns:a16="http://schemas.microsoft.com/office/drawing/2014/main" id="{AF81115D-F421-45BE-8C74-F1CF41560AB7}"/>
            </a:ext>
          </a:extLst>
        </xdr:cNvPr>
        <xdr:cNvSpPr txBox="1"/>
      </xdr:nvSpPr>
      <xdr:spPr>
        <a:xfrm>
          <a:off x="5710988" y="2539874"/>
          <a:ext cx="1379621" cy="517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fld id="{53772E85-C3AF-4868-B016-7B7641162B84}" type="TxLink">
            <a:rPr lang="en-US" sz="1400" b="0" i="0" u="none" strike="noStrike">
              <a:solidFill>
                <a:srgbClr val="000000"/>
              </a:solidFill>
              <a:latin typeface="Century Gothic"/>
              <a:cs typeface="Arial"/>
            </a:rPr>
            <a:pPr algn="ctr"/>
            <a:t> 31,558 </a:t>
          </a:fld>
          <a:endParaRPr lang="en-ZA" sz="19900" b="0">
            <a:latin typeface="+mn-lt"/>
          </a:endParaRPr>
        </a:p>
      </xdr:txBody>
    </xdr:sp>
    <xdr:clientData/>
  </xdr:twoCellAnchor>
  <xdr:twoCellAnchor>
    <xdr:from>
      <xdr:col>2</xdr:col>
      <xdr:colOff>48126</xdr:colOff>
      <xdr:row>5</xdr:row>
      <xdr:rowOff>44115</xdr:rowOff>
    </xdr:from>
    <xdr:to>
      <xdr:col>3</xdr:col>
      <xdr:colOff>1132926</xdr:colOff>
      <xdr:row>12</xdr:row>
      <xdr:rowOff>217634</xdr:rowOff>
    </xdr:to>
    <xdr:graphicFrame macro="">
      <xdr:nvGraphicFramePr>
        <xdr:cNvPr id="9" name="Chart 2">
          <a:extLst>
            <a:ext uri="{FF2B5EF4-FFF2-40B4-BE49-F238E27FC236}">
              <a16:creationId xmlns:a16="http://schemas.microsoft.com/office/drawing/2014/main" id="{6786302F-ADDB-4DC3-9970-EFCFADBF28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505325</xdr:colOff>
      <xdr:row>8</xdr:row>
      <xdr:rowOff>61369</xdr:rowOff>
    </xdr:from>
    <xdr:to>
      <xdr:col>3</xdr:col>
      <xdr:colOff>665746</xdr:colOff>
      <xdr:row>9</xdr:row>
      <xdr:rowOff>273735</xdr:rowOff>
    </xdr:to>
    <xdr:sp macro="" textlink="$C$62">
      <xdr:nvSpPr>
        <xdr:cNvPr id="10" name="TextBox 9">
          <a:extLst>
            <a:ext uri="{FF2B5EF4-FFF2-40B4-BE49-F238E27FC236}">
              <a16:creationId xmlns:a16="http://schemas.microsoft.com/office/drawing/2014/main" id="{D32E783D-B91D-47C2-9E7A-347E73464A85}"/>
            </a:ext>
          </a:extLst>
        </xdr:cNvPr>
        <xdr:cNvSpPr txBox="1"/>
      </xdr:nvSpPr>
      <xdr:spPr>
        <a:xfrm>
          <a:off x="3280609" y="2499769"/>
          <a:ext cx="1379621" cy="517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fld id="{28A62494-18E9-4DAC-A3A5-DD226952F8EA}" type="TxLink">
            <a:rPr lang="en-US" sz="1400" b="0" i="0" u="none" strike="noStrike">
              <a:solidFill>
                <a:srgbClr val="000000"/>
              </a:solidFill>
              <a:latin typeface="Century Gothic"/>
              <a:cs typeface="Arial"/>
            </a:rPr>
            <a:pPr algn="ctr"/>
            <a:t> 44.06 </a:t>
          </a:fld>
          <a:endParaRPr lang="en-ZA" sz="19900" b="0">
            <a:latin typeface="+mn-lt"/>
          </a:endParaRPr>
        </a:p>
      </xdr:txBody>
    </xdr:sp>
    <xdr:clientData/>
  </xdr:twoCellAnchor>
  <xdr:twoCellAnchor>
    <xdr:from>
      <xdr:col>1</xdr:col>
      <xdr:colOff>128335</xdr:colOff>
      <xdr:row>15</xdr:row>
      <xdr:rowOff>104273</xdr:rowOff>
    </xdr:from>
    <xdr:to>
      <xdr:col>9</xdr:col>
      <xdr:colOff>1074821</xdr:colOff>
      <xdr:row>24</xdr:row>
      <xdr:rowOff>172894</xdr:rowOff>
    </xdr:to>
    <xdr:graphicFrame macro="">
      <xdr:nvGraphicFramePr>
        <xdr:cNvPr id="11" name="Chart 4">
          <a:extLst>
            <a:ext uri="{FF2B5EF4-FFF2-40B4-BE49-F238E27FC236}">
              <a16:creationId xmlns:a16="http://schemas.microsoft.com/office/drawing/2014/main" id="{D2ECE52A-5369-4A68-B7A1-E997404F3E5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40107</xdr:colOff>
      <xdr:row>25</xdr:row>
      <xdr:rowOff>32085</xdr:rowOff>
    </xdr:from>
    <xdr:to>
      <xdr:col>9</xdr:col>
      <xdr:colOff>1058780</xdr:colOff>
      <xdr:row>33</xdr:row>
      <xdr:rowOff>208547</xdr:rowOff>
    </xdr:to>
    <xdr:graphicFrame macro="">
      <xdr:nvGraphicFramePr>
        <xdr:cNvPr id="12" name="Chart 6">
          <a:extLst>
            <a:ext uri="{FF2B5EF4-FFF2-40B4-BE49-F238E27FC236}">
              <a16:creationId xmlns:a16="http://schemas.microsoft.com/office/drawing/2014/main" id="{9B1E41B7-6080-4EE4-97D4-ABD2BE5AA1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32084</xdr:colOff>
      <xdr:row>25</xdr:row>
      <xdr:rowOff>24063</xdr:rowOff>
    </xdr:from>
    <xdr:to>
      <xdr:col>4</xdr:col>
      <xdr:colOff>1106905</xdr:colOff>
      <xdr:row>33</xdr:row>
      <xdr:rowOff>200525</xdr:rowOff>
    </xdr:to>
    <xdr:graphicFrame macro="">
      <xdr:nvGraphicFramePr>
        <xdr:cNvPr id="14" name="Chart 5">
          <a:extLst>
            <a:ext uri="{FF2B5EF4-FFF2-40B4-BE49-F238E27FC236}">
              <a16:creationId xmlns:a16="http://schemas.microsoft.com/office/drawing/2014/main" id="{A3A5E3F1-4B6D-4DAF-9282-04BE0FF034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oneCellAnchor>
    <xdr:from>
      <xdr:col>1</xdr:col>
      <xdr:colOff>1724525</xdr:colOff>
      <xdr:row>11</xdr:row>
      <xdr:rowOff>136358</xdr:rowOff>
    </xdr:from>
    <xdr:ext cx="8390020" cy="1885342"/>
    <xdr:sp macro="" textlink="">
      <xdr:nvSpPr>
        <xdr:cNvPr id="13" name="Rectangle 17">
          <a:extLst>
            <a:ext uri="{FF2B5EF4-FFF2-40B4-BE49-F238E27FC236}">
              <a16:creationId xmlns:a16="http://schemas.microsoft.com/office/drawing/2014/main" id="{EB14146F-7844-4340-8D52-94916CF08099}"/>
            </a:ext>
          </a:extLst>
        </xdr:cNvPr>
        <xdr:cNvSpPr>
          <a:spLocks noChangeArrowheads="1"/>
        </xdr:cNvSpPr>
      </xdr:nvSpPr>
      <xdr:spPr bwMode="auto">
        <a:xfrm>
          <a:off x="2117557" y="3489158"/>
          <a:ext cx="8390020" cy="188534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The inventory dashboard is automatically updated based on the stock code and dates selected in the filter section of the dashboard. You can select an individual stock code or clear the contents of the list box to view calculations for all stock items. The dashboard also includes a unique interactive report where you can select the basis of balances or movements, select amounts, costs or quantities and view all transaction types or any of purchases, usage and adjustments individually. The dashboard also contains stats of the top products by transaction type as well as purchase price variance stats. Aside from the filter and report selections, no user input is required on this sheet and all workings are included below the dashboard.</a:t>
          </a:r>
        </a:p>
      </xdr:txBody>
    </xdr:sp>
    <xdr:clientData fLocksWithSheet="0" fPrintsWithSheet="0"/>
  </xdr:oneCellAnchor>
  <xdr:oneCellAnchor>
    <xdr:from>
      <xdr:col>3</xdr:col>
      <xdr:colOff>336885</xdr:colOff>
      <xdr:row>23</xdr:row>
      <xdr:rowOff>144379</xdr:rowOff>
    </xdr:from>
    <xdr:ext cx="4074695" cy="1115901"/>
    <xdr:sp macro="" textlink="">
      <xdr:nvSpPr>
        <xdr:cNvPr id="15" name="Rectangle 17">
          <a:extLst>
            <a:ext uri="{FF2B5EF4-FFF2-40B4-BE49-F238E27FC236}">
              <a16:creationId xmlns:a16="http://schemas.microsoft.com/office/drawing/2014/main" id="{1123D666-B11D-4D1A-9E07-A14C764D7B70}"/>
            </a:ext>
          </a:extLst>
        </xdr:cNvPr>
        <xdr:cNvSpPr>
          <a:spLocks noChangeArrowheads="1"/>
        </xdr:cNvSpPr>
      </xdr:nvSpPr>
      <xdr:spPr bwMode="auto">
        <a:xfrm>
          <a:off x="4331369" y="7154779"/>
          <a:ext cx="4074695" cy="1115901"/>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Note:</a:t>
          </a:r>
        </a:p>
        <a:p>
          <a:pPr algn="just" rtl="0">
            <a:lnSpc>
              <a:spcPts val="1500"/>
            </a:lnSpc>
            <a:defRPr sz="1000"/>
          </a:pPr>
          <a:r>
            <a:rPr lang="en-US" sz="1100" b="1" i="0" u="none" strike="noStrike" baseline="0">
              <a:solidFill>
                <a:schemeClr val="bg1"/>
              </a:solidFill>
              <a:latin typeface="+mn-lt"/>
              <a:cs typeface="Arial"/>
            </a:rPr>
            <a:t>We have only included sample date for two months to keep the size of the sample and trial versions relatively small to download.</a:t>
          </a:r>
        </a:p>
      </xdr:txBody>
    </xdr:sp>
    <xdr:clientData fLocksWithSheet="0" fPrintsWithSheet="0"/>
  </xdr:oneCellAnchor>
</xdr:wsDr>
</file>

<file path=xl/drawings/drawing8.xml><?xml version="1.0" encoding="utf-8"?>
<xdr:wsDr xmlns:xdr="http://schemas.openxmlformats.org/drawingml/2006/spreadsheetDrawing" xmlns:a="http://schemas.openxmlformats.org/drawingml/2006/main">
  <xdr:oneCellAnchor>
    <xdr:from>
      <xdr:col>5</xdr:col>
      <xdr:colOff>168442</xdr:colOff>
      <xdr:row>5</xdr:row>
      <xdr:rowOff>80282</xdr:rowOff>
    </xdr:from>
    <xdr:ext cx="6529137" cy="1885342"/>
    <xdr:sp macro="" textlink="">
      <xdr:nvSpPr>
        <xdr:cNvPr id="3" name="Rectangle 17">
          <a:extLst>
            <a:ext uri="{FF2B5EF4-FFF2-40B4-BE49-F238E27FC236}">
              <a16:creationId xmlns:a16="http://schemas.microsoft.com/office/drawing/2014/main" id="{E580BE93-AD69-4332-950A-1B476B7B75DC}"/>
            </a:ext>
          </a:extLst>
        </xdr:cNvPr>
        <xdr:cNvSpPr>
          <a:spLocks noChangeArrowheads="1"/>
        </xdr:cNvSpPr>
      </xdr:nvSpPr>
      <xdr:spPr bwMode="auto">
        <a:xfrm>
          <a:off x="5542547" y="1203229"/>
          <a:ext cx="6529137" cy="188534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Record daily sales totals if you want to measure stock usage against sales in order to analyse profitability. Cost of sales for the purpose of this analysis is defined as the total of stock usage and stock adjustments. The profitability features of this template is therefore not appropriate for businesses which carry a significant amount of finished product stock as sales and usage would not always be comparable. If you only want to use the template to control inventory quantities on hand and analyse inventory movements, you can delete the Sales and Profitability sheets.</a:t>
          </a:r>
        </a:p>
      </xdr:txBody>
    </xdr:sp>
    <xdr:clientData fLocksWithSheet="0" fPrintsWithSheet="0"/>
  </xdr:oneCellAnchor>
</xdr:wsDr>
</file>

<file path=xl/drawings/drawing9.xml><?xml version="1.0" encoding="utf-8"?>
<xdr:wsDr xmlns:xdr="http://schemas.openxmlformats.org/drawingml/2006/spreadsheetDrawing" xmlns:a="http://schemas.openxmlformats.org/drawingml/2006/main">
  <xdr:oneCellAnchor>
    <xdr:from>
      <xdr:col>2</xdr:col>
      <xdr:colOff>256673</xdr:colOff>
      <xdr:row>16</xdr:row>
      <xdr:rowOff>48127</xdr:rowOff>
    </xdr:from>
    <xdr:ext cx="7018421" cy="1692982"/>
    <xdr:sp macro="" textlink="">
      <xdr:nvSpPr>
        <xdr:cNvPr id="3" name="Rectangle 17">
          <a:extLst>
            <a:ext uri="{FF2B5EF4-FFF2-40B4-BE49-F238E27FC236}">
              <a16:creationId xmlns:a16="http://schemas.microsoft.com/office/drawing/2014/main" id="{698693E1-E3F6-4790-AF6B-C4B0ADF2CA98}"/>
            </a:ext>
          </a:extLst>
        </xdr:cNvPr>
        <xdr:cNvSpPr>
          <a:spLocks noChangeArrowheads="1"/>
        </xdr:cNvSpPr>
      </xdr:nvSpPr>
      <xdr:spPr bwMode="auto">
        <a:xfrm>
          <a:off x="2542673" y="3352801"/>
          <a:ext cx="7018421" cy="169298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The profitability report is based on the amounts entered on the Sales and Movements sheets. Cost of sales is defined as the sum of all stock usage and adjustment transactions. The report includes calculations for a user defined date range, a month-to-date period, a year-to-date period, a daily date range and a 12-month period. All of these calculations are based on the “From” and “To” dates specified in cell E2 and E3. All the calculations on this sheet are automated and no user input aside from the report dates is required.</a:t>
          </a:r>
        </a:p>
      </xdr:txBody>
    </xdr:sp>
    <xdr:clientData fLocksWithSheet="0" fPrintsWithSheet="0"/>
  </xdr:oneCellAnchor>
  <xdr:twoCellAnchor>
    <xdr:from>
      <xdr:col>6</xdr:col>
      <xdr:colOff>24062</xdr:colOff>
      <xdr:row>0</xdr:row>
      <xdr:rowOff>0</xdr:rowOff>
    </xdr:from>
    <xdr:to>
      <xdr:col>10</xdr:col>
      <xdr:colOff>1331495</xdr:colOff>
      <xdr:row>14</xdr:row>
      <xdr:rowOff>112295</xdr:rowOff>
    </xdr:to>
    <xdr:graphicFrame macro="">
      <xdr:nvGraphicFramePr>
        <xdr:cNvPr id="4" name="Chart 3">
          <a:extLst>
            <a:ext uri="{FF2B5EF4-FFF2-40B4-BE49-F238E27FC236}">
              <a16:creationId xmlns:a16="http://schemas.microsoft.com/office/drawing/2014/main" id="{B41BDF5A-1EEC-4020-A427-CE55F16BF0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6</xdr:col>
      <xdr:colOff>994610</xdr:colOff>
      <xdr:row>2</xdr:row>
      <xdr:rowOff>176246</xdr:rowOff>
    </xdr:from>
    <xdr:ext cx="4074695" cy="1115901"/>
    <xdr:sp macro="" textlink="">
      <xdr:nvSpPr>
        <xdr:cNvPr id="5" name="Rectangle 17">
          <a:extLst>
            <a:ext uri="{FF2B5EF4-FFF2-40B4-BE49-F238E27FC236}">
              <a16:creationId xmlns:a16="http://schemas.microsoft.com/office/drawing/2014/main" id="{86ACFC1D-0527-4498-AE92-A3915A7D733B}"/>
            </a:ext>
          </a:extLst>
        </xdr:cNvPr>
        <xdr:cNvSpPr>
          <a:spLocks noChangeArrowheads="1"/>
        </xdr:cNvSpPr>
      </xdr:nvSpPr>
      <xdr:spPr bwMode="auto">
        <a:xfrm>
          <a:off x="7170821" y="577299"/>
          <a:ext cx="4074695" cy="1115901"/>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Note:</a:t>
          </a:r>
        </a:p>
        <a:p>
          <a:pPr algn="just" rtl="0">
            <a:lnSpc>
              <a:spcPts val="1500"/>
            </a:lnSpc>
            <a:defRPr sz="1000"/>
          </a:pPr>
          <a:r>
            <a:rPr lang="en-US" sz="1100" b="1" i="0" u="none" strike="noStrike" baseline="0">
              <a:solidFill>
                <a:schemeClr val="bg1"/>
              </a:solidFill>
              <a:latin typeface="+mn-lt"/>
              <a:cs typeface="Arial"/>
            </a:rPr>
            <a:t>We have only included sample date for two months to keep the size of the sample and trial versions relatively small to download.</a:t>
          </a:r>
        </a:p>
      </xdr:txBody>
    </xdr:sp>
    <xdr:clientData fLocksWithSheet="0" fPrintsWithSheet="0"/>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tockCode" displayName="StockCode" ref="A5:AA13" totalsRowShown="0" headerRowDxfId="83" dataDxfId="81" headerRowBorderDxfId="82" tableBorderDxfId="80">
  <autoFilter ref="A5:AA13" xr:uid="{00000000-0009-0000-0100-000001000000}"/>
  <tableColumns count="27">
    <tableColumn id="1" xr3:uid="{00000000-0010-0000-0000-000001000000}" name="Stock Code" dataDxfId="79"/>
    <tableColumn id="2" xr3:uid="{00000000-0010-0000-0000-000002000000}" name="Stock Description" dataDxfId="78"/>
    <tableColumn id="3" xr3:uid="{00000000-0010-0000-0000-000003000000}" name="UOM" dataDxfId="77"/>
    <tableColumn id="4" xr3:uid="{00000000-0010-0000-0000-000004000000}" name="Opening Quantity" dataDxfId="76" dataCellStyle="Comma"/>
    <tableColumn id="5" xr3:uid="{00000000-0010-0000-0000-000005000000}" name="Opening Cost" dataDxfId="75" dataCellStyle="Comma"/>
    <tableColumn id="17" xr3:uid="{00000000-0010-0000-0000-000011000000}" name="Error Code" dataDxfId="74" dataCellStyle="Comma">
      <calculatedColumnFormula>IF(AND(ISBLANK(A6)=FALSE,COUNTIF(StockCodeOnly,A6)&gt;1)=TRUE,"E1","-")</calculatedColumnFormula>
    </tableColumn>
    <tableColumn id="18" xr3:uid="{70FE33D8-4DA4-4EAF-BD56-F0AFF649D0A5}" name="Opening Value" dataDxfId="73" dataCellStyle="Comma">
      <calculatedColumnFormula>D6*E6</calculatedColumnFormula>
    </tableColumn>
    <tableColumn id="6" xr3:uid="{00000000-0010-0000-0000-000006000000}" name="Quantity on Hand" dataDxfId="72">
      <calculatedColumnFormula>SUMIFS(MoveQty,MoveCode,$A6,MoveDate,"&lt;"&amp;$I$3+1)+D6</calculatedColumnFormula>
    </tableColumn>
    <tableColumn id="7" xr3:uid="{00000000-0010-0000-0000-000007000000}" name="Average Cost" dataDxfId="71">
      <calculatedColumnFormula>IF(H6=0,0,J6/H6)</calculatedColumnFormula>
    </tableColumn>
    <tableColumn id="8" xr3:uid="{00000000-0010-0000-0000-000008000000}" name="Inventory Valuation" dataDxfId="70">
      <calculatedColumnFormula>SUMIFS(MoveAmount,MoveCode,$A6,MoveDate,"&lt;"&amp;$I$3+1)+(D6*E6)</calculatedColumnFormula>
    </tableColumn>
    <tableColumn id="9" xr3:uid="{00000000-0010-0000-0000-000009000000}" name="Opening Quantity2" dataDxfId="69">
      <calculatedColumnFormula>D6+SUMIFS(MoveQty,MoveCode,$A6,MoveDate,"&lt;"&amp;$I$2)</calculatedColumnFormula>
    </tableColumn>
    <tableColumn id="10" xr3:uid="{00000000-0010-0000-0000-00000A000000}" name="Purchases Quantity" dataDxfId="68">
      <calculatedColumnFormula>SUMIFS(MoveQty,MoveCode,$A6,MoveDate,"&gt;="&amp;$I$2,MoveDate,"&lt;"&amp;$I$3+1,MoveType,"Purchase")</calculatedColumnFormula>
    </tableColumn>
    <tableColumn id="11" xr3:uid="{00000000-0010-0000-0000-00000B000000}" name="Usages Quantity" dataDxfId="67">
      <calculatedColumnFormula>SUMIFS(MoveQty,MoveCode,$A6,MoveDate,"&gt;="&amp;$I$2,MoveDate,"&lt;"&amp;$I$3+1,MoveType,"Usage")</calculatedColumnFormula>
    </tableColumn>
    <tableColumn id="15" xr3:uid="{00000000-0010-0000-0000-00000F000000}" name="Adjustments Quantity" dataDxfId="66">
      <calculatedColumnFormula>SUMIFS(MoveQty,MoveCode,$A6,MoveDate,"&gt;="&amp;$I$2,MoveDate,"&lt;"&amp;$I$3+1,MoveType,"Adjustment")</calculatedColumnFormula>
    </tableColumn>
    <tableColumn id="12" xr3:uid="{00000000-0010-0000-0000-00000C000000}" name="Opening Value2" dataDxfId="65">
      <calculatedColumnFormula>(D6*E6)+SUMIFS(MoveAmount,MoveCode,$A6,MoveDate,"&lt;"&amp;$I$2)</calculatedColumnFormula>
    </tableColumn>
    <tableColumn id="13" xr3:uid="{00000000-0010-0000-0000-00000D000000}" name="Purchases Value" dataDxfId="64">
      <calculatedColumnFormula>SUMIFS(MoveAmount,MoveCode,$A6,MoveDate,"&gt;="&amp;$I$2,MoveDate,"&lt;"&amp;$I$3+1,MoveType,"Purchase")</calculatedColumnFormula>
    </tableColumn>
    <tableColumn id="14" xr3:uid="{00000000-0010-0000-0000-00000E000000}" name="Usages Value" dataDxfId="63">
      <calculatedColumnFormula>SUMIFS(MoveAmount,MoveCode,$A6,MoveDate,"&gt;="&amp;$I$2,MoveDate,"&lt;"&amp;$I$3+1,MoveType,"Usage")</calculatedColumnFormula>
    </tableColumn>
    <tableColumn id="16" xr3:uid="{00000000-0010-0000-0000-000010000000}" name="Adjustments Value" dataDxfId="62">
      <calculatedColumnFormula>SUMIFS(MoveAmount,MoveCode,$A6,MoveDate,"&gt;="&amp;$I$2,MoveDate,"&lt;"&amp;$I$3+1,MoveType,"Adjustment")</calculatedColumnFormula>
    </tableColumn>
    <tableColumn id="24" xr3:uid="{137FB399-DCA2-4107-BFC2-6D4FC1F0F691}" name="Dash Purch Qty" dataDxfId="61">
      <calculatedColumnFormula array="1">SUMIFS(MoveQty,MoveCode,$A6,MoveDate,"&gt;="&amp;$S$2,MoveDate,"&lt;"&amp;$S$3+1,MoveType,"Purchase")</calculatedColumnFormula>
    </tableColumn>
    <tableColumn id="19" xr3:uid="{831FD89B-749F-413E-9B45-C16C39FB9D21}" name="Dash Usage Qty" dataDxfId="60" dataCellStyle="Comma">
      <calculatedColumnFormula array="1">-SUMIFS(MoveQty,MoveCode,$A6,MoveDate,"&gt;="&amp;$S$2,MoveDate,"&lt;"&amp;$S$3+1,MoveType,"Usage")</calculatedColumnFormula>
    </tableColumn>
    <tableColumn id="21" xr3:uid="{71F5C9E0-A12A-47F9-ADFB-E414DBC90F2B}" name="Dash Adjust Qty" dataDxfId="59" dataCellStyle="Comma">
      <calculatedColumnFormula array="1">SUMIFS(MoveQty,MoveCode,$A6,MoveDate,"&gt;="&amp;$S$2,MoveDate,"&lt;"&amp;$S$3+1,MoveType,"Adjustment")</calculatedColumnFormula>
    </tableColumn>
    <tableColumn id="25" xr3:uid="{79CC8336-FE92-46B7-BE48-2FBB799E156A}" name="Dash Purch Value" dataDxfId="58" dataCellStyle="Comma">
      <calculatedColumnFormula array="1">SUMIFS(MoveAmount,MoveCode,$A6,MoveDate,"&gt;="&amp;$S$2,MoveDate,"&lt;"&amp;$S$3+1,MoveType,"Purchase")</calculatedColumnFormula>
    </tableColumn>
    <tableColumn id="20" xr3:uid="{5F6B8786-E60E-4BAD-81D0-C2A2CE3DE182}" name="Dash Usage Value" dataDxfId="57" dataCellStyle="Comma">
      <calculatedColumnFormula array="1">-SUMIFS(MoveAmount,MoveCode,$A6,MoveDate,"&gt;="&amp;$S$2,MoveDate,"&lt;"&amp;$S$3+1,MoveType,"Usage")</calculatedColumnFormula>
    </tableColumn>
    <tableColumn id="22" xr3:uid="{93FA02DA-931D-4582-A5C3-529191E8868A}" name="Dash Adjust Value" dataDxfId="56" dataCellStyle="Comma">
      <calculatedColumnFormula array="1">SUMIFS(MoveAmount,MoveCode,$A6,MoveDate,"&gt;="&amp;$S$2,MoveDate,"&lt;"&amp;$S$3+1,MoveType,"Adjustment")</calculatedColumnFormula>
    </tableColumn>
    <tableColumn id="23" xr3:uid="{659897BB-D949-4914-8778-C36775F85E73}" name="Dash Adjust AB Value" dataDxfId="55" dataCellStyle="Comma">
      <calculatedColumnFormula>ABS(X6)</calculatedColumnFormula>
    </tableColumn>
    <tableColumn id="26" xr3:uid="{2A30187A-57B0-47B0-A9B1-8C4211C2E606}" name="Dash Price Value" dataDxfId="54" dataCellStyle="Comma">
      <calculatedColumnFormula array="1">SUMIFS(MovePrice,MoveCode,$A6,MoveDate,"&gt;="&amp;$S$2,MoveDate,"&lt;"&amp;$S$3+1,MoveType,"Purchase")</calculatedColumnFormula>
    </tableColumn>
    <tableColumn id="27" xr3:uid="{CD5B0DCA-11AD-47B8-8454-42C7AC3D462B}" name="Dash ABS Price" dataDxfId="53" dataCellStyle="Comma">
      <calculatedColumnFormula>ABS(Z6)</calculatedColumnFormula>
    </tableColumn>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InvMovement" displayName="InvMovement" ref="A4:T148" totalsRowShown="0" headerRowDxfId="49" dataDxfId="47" headerRowBorderDxfId="48" tableBorderDxfId="46" headerRowCellStyle="Comma" dataCellStyle="Comma">
  <autoFilter ref="A4:T148" xr:uid="{00000000-0009-0000-0100-000002000000}"/>
  <sortState xmlns:xlrd2="http://schemas.microsoft.com/office/spreadsheetml/2017/richdata2" ref="A5:R148">
    <sortCondition ref="A5:A148"/>
  </sortState>
  <tableColumns count="20">
    <tableColumn id="1" xr3:uid="{00000000-0010-0000-0100-000001000000}" name="Transaction Date" dataDxfId="45"/>
    <tableColumn id="15" xr3:uid="{00000000-0010-0000-0100-00000F000000}" name="Transaction Type" dataDxfId="44"/>
    <tableColumn id="2" xr3:uid="{00000000-0010-0000-0100-000002000000}" name="Supplier Name" dataDxfId="43"/>
    <tableColumn id="3" xr3:uid="{00000000-0010-0000-0100-000003000000}" name="Document Number" dataDxfId="42"/>
    <tableColumn id="4" xr3:uid="{00000000-0010-0000-0100-000004000000}" name="Stock Code" dataDxfId="41"/>
    <tableColumn id="6" xr3:uid="{00000000-0010-0000-0100-000006000000}" name="Transaction Quantity" dataDxfId="40" dataCellStyle="Comma"/>
    <tableColumn id="7" xr3:uid="{00000000-0010-0000-0100-000007000000}" name="Invoice Amount" dataDxfId="39" dataCellStyle="Comma"/>
    <tableColumn id="17" xr3:uid="{00000000-0010-0000-0100-000011000000}" name="Error Code" dataDxfId="38" dataCellStyle="Comma_service_accounting">
      <calculatedColumnFormula>IF(AND(ISBLANK(E5)=FALSE,ISNA(VLOOKUP(E5,StockCodeOnly,1,0))=TRUE),"E2",IF(AND(ISBLANK(B5)=FALSE,B5&lt;&gt;"Purchase",B5&lt;&gt;"Usage",B5&lt;&gt;"Adjustment"),"E3",IF(AND(B5="Usage",F5&gt;0),"E4",IF(OR(K5&lt;0,L5&lt;0),"E5","-"))))</calculatedColumnFormula>
    </tableColumn>
    <tableColumn id="8" xr3:uid="{00000000-0010-0000-0100-000008000000}" name="Stock Description" dataDxfId="37">
      <calculatedColumnFormula>IF(ISNA(VLOOKUP($E5,StockCode[],COLUMN(StockCodes!$B$3),0))=TRUE,"Invalid Stock Code",VLOOKUP($E5,StockCode[],COLUMN(StockCodes!$B$3),0))</calculatedColumnFormula>
    </tableColumn>
    <tableColumn id="5" xr3:uid="{00000000-0010-0000-0100-000005000000}" name="UOM" dataDxfId="36">
      <calculatedColumnFormula>IF(ISNA(VLOOKUP($E5,StockCode[],COLUMN(StockCodes!$C$3),0))=TRUE,"-",VLOOKUP($E5,StockCode[],COLUMN(StockCodes!$C$3),0))</calculatedColumnFormula>
    </tableColumn>
    <tableColumn id="10" xr3:uid="{00000000-0010-0000-0100-00000A000000}" name="Quantity on Hand: Prev" dataDxfId="35" dataCellStyle="Comma">
      <calculatedColumnFormula>SUMIFS(StockOpenQty,StockCodeOnly,$E5)+SUMIFS(MoveQty,MoveDate,"&lt;"&amp;$T5,MoveCode,$E5)</calculatedColumnFormula>
    </tableColumn>
    <tableColumn id="18" xr3:uid="{00000000-0010-0000-0100-000012000000}" name="Quantity on Hand: New" dataDxfId="34" dataCellStyle="Comma">
      <calculatedColumnFormula>K5+F5</calculatedColumnFormula>
    </tableColumn>
    <tableColumn id="11" xr3:uid="{00000000-0010-0000-0100-00000B000000}" name="Average Cost: Prev" dataDxfId="33" dataCellStyle="Comma">
      <calculatedColumnFormula array="1">IF($K5=0,0,((SUMIFS(StockOpenQty,StockCodeOnly,$E5)*SUMIFS(StockOpenCost,StockCodeOnly,$E5))+SUMIFS(MoveAmount,MoveDate,"&lt;"&amp;$T5,MoveCode,$E5))/$K5)</calculatedColumnFormula>
    </tableColumn>
    <tableColumn id="12" xr3:uid="{00000000-0010-0000-0100-00000C000000}" name="Average Cost: New" dataDxfId="32" dataCellStyle="Comma">
      <calculatedColumnFormula>IF(B5&lt;&gt;"Purchase",M5,IF(L5=0,0,((K5*M5)+G5)/(F5+K5)))</calculatedColumnFormula>
    </tableColumn>
    <tableColumn id="21" xr3:uid="{00000000-0010-0000-0100-000015000000}" name="Transaction Value" dataDxfId="31" dataCellStyle="Comma">
      <calculatedColumnFormula>IF(B5="Purchase",G5,N5*F5)</calculatedColumnFormula>
    </tableColumn>
    <tableColumn id="9" xr3:uid="{00000000-0010-0000-0100-000009000000}" name="Purchase Price per Unit" dataDxfId="30" dataCellStyle="Comma">
      <calculatedColumnFormula>IF(B5&lt;&gt;"Purchase",0,IF(F5=0,0,G5/F5))</calculatedColumnFormula>
    </tableColumn>
    <tableColumn id="13" xr3:uid="{00000000-0010-0000-0100-00000D000000}" name="Unit Price Variance" dataDxfId="29" dataCellStyle="Comma">
      <calculatedColumnFormula>IF(B5&lt;&gt;"Purchase",0,IF(K5=0,0,M5-P5))</calculatedColumnFormula>
    </tableColumn>
    <tableColumn id="14" xr3:uid="{00000000-0010-0000-0100-00000E000000}" name="Price Variance %" dataDxfId="28" dataCellStyle="Percent">
      <calculatedColumnFormula>IF(B5&lt;&gt;"Purchase",0,IF(M5=0,0,Q5/M5))</calculatedColumnFormula>
    </tableColumn>
    <tableColumn id="19" xr3:uid="{6BD14359-8B6B-4472-82F9-F735E6D725C4}" name="Total Price Variance" dataDxfId="27" dataCellStyle="Comma">
      <calculatedColumnFormula>Q5*F5</calculatedColumnFormula>
    </tableColumn>
    <tableColumn id="16" xr3:uid="{00000000-0010-0000-0100-000010000000}" name="Movement Date" dataDxfId="26" dataCellStyle="Comma">
      <calculatedColumnFormula>IF(ISBLANK($A5)=TRUE,TODAY()+((ROW($A5)-(86400*ROUNDDOWN(ROW($A5)/86400,0)))/86400),$A5+((ROW($A5)-(86400*ROUNDDOWN(ROW($A5)/86400,0)))/86400))</calculatedColumnFormula>
    </tableColumn>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SCount" displayName="SCount" ref="A4:K12" totalsRowShown="0" headerRowDxfId="23" dataDxfId="21" headerRowBorderDxfId="22" tableBorderDxfId="20">
  <autoFilter ref="A4:K12" xr:uid="{00000000-0009-0000-0100-000004000000}"/>
  <tableColumns count="11">
    <tableColumn id="1" xr3:uid="{00000000-0010-0000-0200-000001000000}" name="Stock Code" dataDxfId="19"/>
    <tableColumn id="2" xr3:uid="{00000000-0010-0000-0200-000002000000}" name="Description" dataDxfId="18">
      <calculatedColumnFormula>IF(ISNA(VLOOKUP($A5,StockCode[],COLUMN(StockCodes!$B$5),0))=TRUE,"Invalid Stock Code",VLOOKUP($A5,StockCode[],COLUMN(StockCodes!$B$5),0))</calculatedColumnFormula>
    </tableColumn>
    <tableColumn id="3" xr3:uid="{00000000-0010-0000-0200-000003000000}" name="UOM" dataDxfId="17">
      <calculatedColumnFormula>IF(ISNA(VLOOKUP($A5,StockCode[],COLUMN(StockCodes!$C$5),0))=TRUE,"-",VLOOKUP($A5,StockCode[],COLUMN(StockCodes!$C$5),0))</calculatedColumnFormula>
    </tableColumn>
    <tableColumn id="11" xr3:uid="{00000000-0010-0000-0200-00000B000000}" name="Error Code" dataDxfId="16">
      <calculatedColumnFormula>IF(AND(ISBLANK(A5)=FALSE,COUNTIF(CountCode,A5)&gt;1)=TRUE,"E1",IF(AND(ISBLANK(A5)=FALSE,ISNA(VLOOKUP(A5,StockCodeOnly,1,0))=TRUE),"E2","-"))</calculatedColumnFormula>
    </tableColumn>
    <tableColumn id="4" xr3:uid="{00000000-0010-0000-0200-000004000000}" name="Quantity Counted" dataDxfId="15" dataCellStyle="Comma"/>
    <tableColumn id="5" xr3:uid="{00000000-0010-0000-0200-000005000000}" name="Count Value" dataDxfId="14" dataCellStyle="Comma">
      <calculatedColumnFormula>E5*H5</calculatedColumnFormula>
    </tableColumn>
    <tableColumn id="6" xr3:uid="{00000000-0010-0000-0200-000006000000}" name="Theoretical Stock Qty" dataDxfId="13">
      <calculatedColumnFormula>SUMIFS(StockCode[Opening Quantity],StockCode[Stock Code],$A5)+SUMIFS(MoveQty,MoveDate,"&lt;"&amp;$K$1+1,MoveCode,$A5)</calculatedColumnFormula>
    </tableColumn>
    <tableColumn id="7" xr3:uid="{00000000-0010-0000-0200-000007000000}" name="Average Cost" dataDxfId="12">
      <calculatedColumnFormula>IF($G5=0,0,I5/G5)</calculatedColumnFormula>
    </tableColumn>
    <tableColumn id="8" xr3:uid="{00000000-0010-0000-0200-000008000000}" name="Theoretical Stock Value" dataDxfId="11" dataCellStyle="Comma">
      <calculatedColumnFormula>(SUMIFS(StockOpenQty,StockCodeOnly,$A5)*SUMIFS(StockOpenCost,StockCodeOnly,$A5))+SUMIFS(MoveAmount,MoveDate,"&lt;"&amp;$K$1+1,MoveCode,$A5)</calculatedColumnFormula>
    </tableColumn>
    <tableColumn id="9" xr3:uid="{00000000-0010-0000-0200-000009000000}" name="Quantity Variance" dataDxfId="10">
      <calculatedColumnFormula>E5-G5</calculatedColumnFormula>
    </tableColumn>
    <tableColumn id="10" xr3:uid="{00000000-0010-0000-0200-00000A000000}" name="Variance Value" dataDxfId="9">
      <calculatedColumnFormula>J5*H5</calculatedColumnFormula>
    </tableColumn>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Sale" displayName="Sale" ref="A4:E48" totalsRowShown="0" headerRowDxfId="8" dataDxfId="6" headerRowBorderDxfId="7" tableBorderDxfId="5">
  <autoFilter ref="A4:E48" xr:uid="{00000000-0009-0000-0100-000005000000}"/>
  <tableColumns count="5">
    <tableColumn id="1" xr3:uid="{00000000-0010-0000-0300-000001000000}" name="Invoice Number" dataDxfId="4"/>
    <tableColumn id="2" xr3:uid="{00000000-0010-0000-0300-000002000000}" name="Invoice Date" dataDxfId="3"/>
    <tableColumn id="3" xr3:uid="{00000000-0010-0000-0300-000003000000}" name="Customer" dataDxfId="2"/>
    <tableColumn id="4" xr3:uid="{00000000-0010-0000-0300-000004000000}" name="Description" dataDxfId="1"/>
    <tableColumn id="5" xr3:uid="{00000000-0010-0000-0300-000005000000}" name="Exclusive Sales Amount" dataDxfId="0" dataCellStyle="Comma"/>
  </tableColumns>
  <tableStyleInfo name="TableStyleLight9" showFirstColumn="0" showLastColumn="0" showRowStripes="1" showColumnStripes="0"/>
</table>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Quotable">
  <a:themeElements>
    <a:clrScheme name="Quotable">
      <a:dk1>
        <a:sysClr val="windowText" lastClr="000000"/>
      </a:dk1>
      <a:lt1>
        <a:sysClr val="window" lastClr="FFFFFF"/>
      </a:lt1>
      <a:dk2>
        <a:srgbClr val="212121"/>
      </a:dk2>
      <a:lt2>
        <a:srgbClr val="636363"/>
      </a:lt2>
      <a:accent1>
        <a:srgbClr val="00C6BB"/>
      </a:accent1>
      <a:accent2>
        <a:srgbClr val="6FEBA0"/>
      </a:accent2>
      <a:accent3>
        <a:srgbClr val="B6DF5E"/>
      </a:accent3>
      <a:accent4>
        <a:srgbClr val="EFB251"/>
      </a:accent4>
      <a:accent5>
        <a:srgbClr val="EF755F"/>
      </a:accent5>
      <a:accent6>
        <a:srgbClr val="ED515C"/>
      </a:accent6>
      <a:hlink>
        <a:srgbClr val="8F8F8F"/>
      </a:hlink>
      <a:folHlink>
        <a:srgbClr val="A5A5A5"/>
      </a:folHlink>
    </a:clrScheme>
    <a:fontScheme name="Quotable">
      <a:majorFont>
        <a:latin typeface="Century Gothic" panose="020B0502020202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entury Gothic" panose="020B0502020202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Verdana"/>
        <a:font script="Uigh" typeface="Microsoft Uighur"/>
        <a:font script="Geor" typeface="Sylfaen"/>
      </a:minorFont>
    </a:fontScheme>
    <a:fmtScheme name="Quotable">
      <a:fillStyleLst>
        <a:solidFill>
          <a:schemeClr val="phClr"/>
        </a:solidFill>
        <a:gradFill rotWithShape="1">
          <a:gsLst>
            <a:gs pos="0">
              <a:schemeClr val="phClr">
                <a:tint val="80000"/>
                <a:lumMod val="105000"/>
              </a:schemeClr>
            </a:gs>
            <a:gs pos="100000">
              <a:schemeClr val="phClr">
                <a:tint val="90000"/>
              </a:schemeClr>
            </a:gs>
          </a:gsLst>
          <a:lin ang="5400000" scaled="0"/>
        </a:gradFill>
        <a:blipFill rotWithShape="1">
          <a:blip xmlns:r="http://schemas.openxmlformats.org/officeDocument/2006/relationships" r:embed="rId1">
            <a:duotone>
              <a:schemeClr val="phClr">
                <a:tint val="98000"/>
                <a:lumMod val="102000"/>
              </a:schemeClr>
              <a:schemeClr val="phClr">
                <a:shade val="98000"/>
                <a:lumMod val="98000"/>
              </a:schemeClr>
            </a:duotone>
          </a:blip>
          <a:tile tx="0" ty="0" sx="100000" sy="100000" flip="none" algn="tl"/>
        </a:blipFill>
      </a:fillStyleLst>
      <a:lnStyleLst>
        <a:ln w="9525" cap="rnd" cmpd="sng" algn="ctr">
          <a:solidFill>
            <a:schemeClr val="phClr"/>
          </a:solidFill>
          <a:prstDash val="solid"/>
        </a:ln>
        <a:ln w="15875" cap="rnd" cmpd="sng" algn="ctr">
          <a:solidFill>
            <a:schemeClr val="phClr"/>
          </a:solidFill>
          <a:prstDash val="solid"/>
        </a:ln>
        <a:ln w="25400" cap="rnd" cmpd="sng" algn="ctr">
          <a:solidFill>
            <a:schemeClr val="phClr"/>
          </a:solidFill>
          <a:prstDash val="solid"/>
        </a:ln>
      </a:lnStyleLst>
      <a:effectStyleLst>
        <a:effectStyle>
          <a:effectLst/>
        </a:effectStyle>
        <a:effectStyle>
          <a:effectLst/>
        </a:effectStyle>
        <a:effectStyle>
          <a:effectLst>
            <a:innerShdw blurRad="63500" dist="25400" dir="13500000">
              <a:srgbClr val="000000">
                <a:alpha val="75000"/>
              </a:srgbClr>
            </a:innerShdw>
          </a:effectLst>
        </a:effectStyle>
      </a:effectStyleLst>
      <a:bgFillStyleLst>
        <a:solidFill>
          <a:schemeClr val="phClr"/>
        </a:solidFill>
        <a:gradFill rotWithShape="1">
          <a:gsLst>
            <a:gs pos="0">
              <a:schemeClr val="phClr">
                <a:tint val="100000"/>
              </a:schemeClr>
            </a:gs>
            <a:gs pos="100000">
              <a:schemeClr val="phClr">
                <a:tint val="84000"/>
                <a:shade val="84000"/>
                <a:lumMod val="90000"/>
              </a:schemeClr>
            </a:gs>
          </a:gsLst>
          <a:lin ang="5400000" scaled="0"/>
        </a:gradFill>
        <a:gradFill rotWithShape="1">
          <a:gsLst>
            <a:gs pos="0">
              <a:schemeClr val="phClr">
                <a:tint val="84000"/>
                <a:shade val="90000"/>
                <a:satMod val="120000"/>
                <a:lumMod val="90000"/>
              </a:schemeClr>
            </a:gs>
            <a:gs pos="100000">
              <a:schemeClr val="phClr"/>
            </a:gs>
          </a:gsLst>
          <a:lin ang="5400000" scaled="0"/>
        </a:gradFill>
      </a:bgFillStyleLst>
    </a:fmtScheme>
  </a:themeElements>
  <a:objectDefaults/>
  <a:extraClrSchemeLst/>
  <a:extLst>
    <a:ext uri="{05A4C25C-085E-4340-85A3-A5531E510DB2}">
      <thm15:themeFamily xmlns:thm15="http://schemas.microsoft.com/office/thememl/2012/main" name="Quotable" id="{39EC5628-30ED-4578-ACD8-9820EDB8E15A}" vid="{6F3559E9-1A4C-49D8-94D4-F41003531C49}"/>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2.bin"/><Relationship Id="rId1" Type="http://schemas.openxmlformats.org/officeDocument/2006/relationships/hyperlink" Target="https://www.excel-skills.com/" TargetMode="External"/></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
  <sheetViews>
    <sheetView tabSelected="1" workbookViewId="0">
      <selection activeCell="B2" sqref="B2"/>
    </sheetView>
  </sheetViews>
  <sheetFormatPr defaultColWidth="8.85546875" defaultRowHeight="16.5" x14ac:dyDescent="0.3"/>
  <cols>
    <col min="1" max="14" width="15.7109375" style="1" customWidth="1"/>
    <col min="15" max="16384" width="8.85546875" style="1"/>
  </cols>
  <sheetData/>
  <pageMargins left="0.7" right="0.7" top="0.75" bottom="0.75" header="0.3" footer="0.3"/>
  <pageSetup paperSize="9"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
  <sheetViews>
    <sheetView workbookViewId="0">
      <selection activeCell="B2" sqref="B2"/>
    </sheetView>
  </sheetViews>
  <sheetFormatPr defaultColWidth="8.85546875" defaultRowHeight="16.5" x14ac:dyDescent="0.3"/>
  <cols>
    <col min="1" max="14" width="15.7109375" style="1" customWidth="1"/>
    <col min="15" max="16384" width="8.85546875" style="1"/>
  </cols>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A242"/>
  <sheetViews>
    <sheetView zoomScaleNormal="100" workbookViewId="0">
      <pane ySplit="3" topLeftCell="A4" activePane="bottomLeft" state="frozen"/>
      <selection pane="bottomLeft"/>
    </sheetView>
  </sheetViews>
  <sheetFormatPr defaultColWidth="9.140625" defaultRowHeight="12.95" customHeight="1" x14ac:dyDescent="0.2"/>
  <cols>
    <col min="1" max="1" width="109.7109375" style="101" customWidth="1"/>
    <col min="2" max="2" width="50.7109375" style="101" customWidth="1"/>
    <col min="3" max="19" width="20.7109375" style="101" customWidth="1"/>
    <col min="20" max="16384" width="9.140625" style="101"/>
  </cols>
  <sheetData>
    <row r="1" spans="1:1" ht="15.75" x14ac:dyDescent="0.25">
      <c r="A1" s="100" t="s">
        <v>46</v>
      </c>
    </row>
    <row r="2" spans="1:1" ht="15" customHeight="1" x14ac:dyDescent="0.2">
      <c r="A2" s="102" t="s">
        <v>45</v>
      </c>
    </row>
    <row r="3" spans="1:1" ht="15" customHeight="1" x14ac:dyDescent="0.2">
      <c r="A3" s="111" t="s">
        <v>5</v>
      </c>
    </row>
    <row r="4" spans="1:1" ht="12.95" customHeight="1" x14ac:dyDescent="0.2">
      <c r="A4" s="103"/>
    </row>
    <row r="5" spans="1:1" ht="76.5" x14ac:dyDescent="0.2">
      <c r="A5" s="101" t="s">
        <v>234</v>
      </c>
    </row>
    <row r="7" spans="1:1" ht="12.95" customHeight="1" x14ac:dyDescent="0.2">
      <c r="A7" s="101" t="s">
        <v>2</v>
      </c>
    </row>
    <row r="8" spans="1:1" ht="25.5" x14ac:dyDescent="0.2">
      <c r="A8" s="104" t="s">
        <v>235</v>
      </c>
    </row>
    <row r="9" spans="1:1" ht="12.95" customHeight="1" x14ac:dyDescent="0.2">
      <c r="A9" s="104" t="s">
        <v>147</v>
      </c>
    </row>
    <row r="10" spans="1:1" ht="51" x14ac:dyDescent="0.2">
      <c r="A10" s="104" t="s">
        <v>148</v>
      </c>
    </row>
    <row r="11" spans="1:1" ht="76.5" x14ac:dyDescent="0.2">
      <c r="A11" s="101" t="s">
        <v>236</v>
      </c>
    </row>
    <row r="12" spans="1:1" ht="51" x14ac:dyDescent="0.2">
      <c r="A12" s="104" t="s">
        <v>237</v>
      </c>
    </row>
    <row r="13" spans="1:1" ht="63.75" x14ac:dyDescent="0.2">
      <c r="A13" s="104" t="s">
        <v>238</v>
      </c>
    </row>
    <row r="14" spans="1:1" ht="12.75" x14ac:dyDescent="0.2">
      <c r="A14" s="104"/>
    </row>
    <row r="15" spans="1:1" ht="38.25" x14ac:dyDescent="0.2">
      <c r="A15" s="106" t="s">
        <v>239</v>
      </c>
    </row>
    <row r="16" spans="1:1" ht="12.75" x14ac:dyDescent="0.2">
      <c r="A16" s="104"/>
    </row>
    <row r="17" spans="1:1" ht="12.75" x14ac:dyDescent="0.2">
      <c r="A17" s="104" t="s">
        <v>83</v>
      </c>
    </row>
    <row r="19" spans="1:1" ht="12.75" x14ac:dyDescent="0.2">
      <c r="A19" s="105" t="s">
        <v>84</v>
      </c>
    </row>
    <row r="21" spans="1:1" ht="51" x14ac:dyDescent="0.2">
      <c r="A21" s="101" t="s">
        <v>240</v>
      </c>
    </row>
    <row r="23" spans="1:1" ht="38.25" x14ac:dyDescent="0.2">
      <c r="A23" s="101" t="s">
        <v>241</v>
      </c>
    </row>
    <row r="25" spans="1:1" ht="38.25" x14ac:dyDescent="0.2">
      <c r="A25" s="106" t="s">
        <v>3</v>
      </c>
    </row>
    <row r="26" spans="1:1" ht="12.75" x14ac:dyDescent="0.2"/>
    <row r="27" spans="1:1" ht="63.75" x14ac:dyDescent="0.2">
      <c r="A27" s="101" t="s">
        <v>242</v>
      </c>
    </row>
    <row r="28" spans="1:1" ht="12.75" x14ac:dyDescent="0.2"/>
    <row r="29" spans="1:1" ht="25.5" x14ac:dyDescent="0.2">
      <c r="A29" s="101" t="s">
        <v>243</v>
      </c>
    </row>
    <row r="31" spans="1:1" ht="12.95" customHeight="1" x14ac:dyDescent="0.2">
      <c r="A31" s="101" t="s">
        <v>4</v>
      </c>
    </row>
    <row r="32" spans="1:1" ht="25.5" x14ac:dyDescent="0.2">
      <c r="A32" s="104" t="s">
        <v>244</v>
      </c>
    </row>
    <row r="33" spans="1:1" ht="25.5" x14ac:dyDescent="0.2">
      <c r="A33" s="104" t="s">
        <v>149</v>
      </c>
    </row>
    <row r="34" spans="1:1" ht="76.5" x14ac:dyDescent="0.2">
      <c r="A34" s="104" t="s">
        <v>245</v>
      </c>
    </row>
    <row r="35" spans="1:1" ht="38.25" x14ac:dyDescent="0.2">
      <c r="A35" s="104" t="s">
        <v>246</v>
      </c>
    </row>
    <row r="36" spans="1:1" ht="25.5" x14ac:dyDescent="0.2">
      <c r="A36" s="104" t="s">
        <v>247</v>
      </c>
    </row>
    <row r="38" spans="1:1" ht="38.25" x14ac:dyDescent="0.2">
      <c r="A38" s="106" t="s">
        <v>248</v>
      </c>
    </row>
    <row r="40" spans="1:1" ht="12.95" customHeight="1" x14ac:dyDescent="0.2">
      <c r="A40" s="105" t="s">
        <v>94</v>
      </c>
    </row>
    <row r="42" spans="1:1" ht="51" x14ac:dyDescent="0.2">
      <c r="A42" s="101" t="s">
        <v>249</v>
      </c>
    </row>
    <row r="43" spans="1:1" ht="12.75" x14ac:dyDescent="0.2"/>
    <row r="44" spans="1:1" ht="63.75" x14ac:dyDescent="0.2">
      <c r="A44" s="101" t="s">
        <v>250</v>
      </c>
    </row>
    <row r="46" spans="1:1" ht="51" x14ac:dyDescent="0.2">
      <c r="A46" s="101" t="s">
        <v>125</v>
      </c>
    </row>
    <row r="48" spans="1:1" ht="76.5" x14ac:dyDescent="0.2">
      <c r="A48" s="101" t="s">
        <v>251</v>
      </c>
    </row>
    <row r="49" spans="1:1" ht="12.75" x14ac:dyDescent="0.2"/>
    <row r="50" spans="1:1" ht="38.25" x14ac:dyDescent="0.2">
      <c r="A50" s="101" t="s">
        <v>126</v>
      </c>
    </row>
    <row r="51" spans="1:1" ht="12.75" x14ac:dyDescent="0.2"/>
    <row r="52" spans="1:1" ht="38.25" x14ac:dyDescent="0.2">
      <c r="A52" s="106" t="s">
        <v>252</v>
      </c>
    </row>
    <row r="54" spans="1:1" ht="38.25" x14ac:dyDescent="0.2">
      <c r="A54" s="106" t="s">
        <v>253</v>
      </c>
    </row>
    <row r="55" spans="1:1" ht="12.75" x14ac:dyDescent="0.2">
      <c r="A55" s="106"/>
    </row>
    <row r="56" spans="1:1" ht="51" x14ac:dyDescent="0.2">
      <c r="A56" s="106" t="s">
        <v>254</v>
      </c>
    </row>
    <row r="57" spans="1:1" ht="12.75" x14ac:dyDescent="0.2">
      <c r="A57" s="106"/>
    </row>
    <row r="58" spans="1:1" ht="12.75" x14ac:dyDescent="0.2">
      <c r="A58" s="106" t="s">
        <v>255</v>
      </c>
    </row>
    <row r="59" spans="1:1" ht="12.75" x14ac:dyDescent="0.2">
      <c r="A59" s="106"/>
    </row>
    <row r="60" spans="1:1" ht="38.25" x14ac:dyDescent="0.2">
      <c r="A60" s="101" t="s">
        <v>304</v>
      </c>
    </row>
    <row r="61" spans="1:1" ht="12.75" x14ac:dyDescent="0.2">
      <c r="A61" s="106"/>
    </row>
    <row r="62" spans="1:1" ht="12.75" x14ac:dyDescent="0.2">
      <c r="A62" s="106" t="s">
        <v>256</v>
      </c>
    </row>
    <row r="63" spans="1:1" ht="12.75" x14ac:dyDescent="0.2">
      <c r="A63" s="106"/>
    </row>
    <row r="64" spans="1:1" ht="51" x14ac:dyDescent="0.2">
      <c r="A64" s="101" t="s">
        <v>257</v>
      </c>
    </row>
    <row r="66" spans="1:1" ht="12.75" x14ac:dyDescent="0.2">
      <c r="A66" s="104" t="s">
        <v>95</v>
      </c>
    </row>
    <row r="68" spans="1:1" ht="38.25" x14ac:dyDescent="0.2">
      <c r="A68" s="101" t="s">
        <v>258</v>
      </c>
    </row>
    <row r="70" spans="1:1" ht="12.95" customHeight="1" x14ac:dyDescent="0.2">
      <c r="A70" s="101" t="s">
        <v>1</v>
      </c>
    </row>
    <row r="71" spans="1:1" ht="63.75" x14ac:dyDescent="0.2">
      <c r="A71" s="104" t="s">
        <v>259</v>
      </c>
    </row>
    <row r="72" spans="1:1" ht="12.75" x14ac:dyDescent="0.2">
      <c r="A72" s="104" t="s">
        <v>150</v>
      </c>
    </row>
    <row r="73" spans="1:1" ht="12.75" x14ac:dyDescent="0.2">
      <c r="A73" s="104" t="s">
        <v>151</v>
      </c>
    </row>
    <row r="74" spans="1:1" ht="25.5" x14ac:dyDescent="0.2">
      <c r="A74" s="104" t="s">
        <v>152</v>
      </c>
    </row>
    <row r="75" spans="1:1" ht="38.25" x14ac:dyDescent="0.2">
      <c r="A75" s="104" t="s">
        <v>153</v>
      </c>
    </row>
    <row r="76" spans="1:1" ht="25.5" x14ac:dyDescent="0.2">
      <c r="A76" s="104" t="s">
        <v>260</v>
      </c>
    </row>
    <row r="77" spans="1:1" ht="51" x14ac:dyDescent="0.2">
      <c r="A77" s="104" t="s">
        <v>261</v>
      </c>
    </row>
    <row r="79" spans="1:1" ht="25.5" x14ac:dyDescent="0.2">
      <c r="A79" s="106" t="s">
        <v>127</v>
      </c>
    </row>
    <row r="81" spans="1:1" ht="63.75" x14ac:dyDescent="0.2">
      <c r="A81" s="106" t="s">
        <v>262</v>
      </c>
    </row>
    <row r="83" spans="1:1" ht="51" x14ac:dyDescent="0.2">
      <c r="A83" s="101" t="s">
        <v>263</v>
      </c>
    </row>
    <row r="85" spans="1:1" ht="38.25" x14ac:dyDescent="0.2">
      <c r="A85" s="101" t="s">
        <v>264</v>
      </c>
    </row>
    <row r="87" spans="1:1" ht="76.5" x14ac:dyDescent="0.2">
      <c r="A87" s="106" t="s">
        <v>265</v>
      </c>
    </row>
    <row r="89" spans="1:1" ht="63.75" x14ac:dyDescent="0.2">
      <c r="A89" s="101" t="s">
        <v>128</v>
      </c>
    </row>
    <row r="91" spans="1:1" ht="25.5" x14ac:dyDescent="0.2">
      <c r="A91" s="101" t="s">
        <v>129</v>
      </c>
    </row>
    <row r="93" spans="1:1" ht="51" x14ac:dyDescent="0.2">
      <c r="A93" s="101" t="s">
        <v>266</v>
      </c>
    </row>
    <row r="95" spans="1:1" ht="25.5" x14ac:dyDescent="0.2">
      <c r="A95" s="106" t="s">
        <v>130</v>
      </c>
    </row>
    <row r="96" spans="1:1" ht="12.75" x14ac:dyDescent="0.2">
      <c r="A96" s="106"/>
    </row>
    <row r="97" spans="1:1" ht="51" x14ac:dyDescent="0.2">
      <c r="A97" s="101" t="s">
        <v>267</v>
      </c>
    </row>
    <row r="98" spans="1:1" ht="12.75" x14ac:dyDescent="0.2"/>
    <row r="99" spans="1:1" ht="51" x14ac:dyDescent="0.2">
      <c r="A99" s="101" t="s">
        <v>268</v>
      </c>
    </row>
    <row r="101" spans="1:1" ht="12.75" x14ac:dyDescent="0.2">
      <c r="A101" s="104" t="s">
        <v>131</v>
      </c>
    </row>
    <row r="103" spans="1:1" ht="51" x14ac:dyDescent="0.2">
      <c r="A103" s="101" t="s">
        <v>269</v>
      </c>
    </row>
    <row r="105" spans="1:1" ht="38.25" x14ac:dyDescent="0.2">
      <c r="A105" s="101" t="s">
        <v>270</v>
      </c>
    </row>
    <row r="107" spans="1:1" ht="25.5" x14ac:dyDescent="0.2">
      <c r="A107" s="106" t="s">
        <v>92</v>
      </c>
    </row>
    <row r="109" spans="1:1" ht="63.75" x14ac:dyDescent="0.2">
      <c r="A109" s="106" t="s">
        <v>132</v>
      </c>
    </row>
    <row r="111" spans="1:1" ht="76.5" x14ac:dyDescent="0.2">
      <c r="A111" s="106" t="s">
        <v>271</v>
      </c>
    </row>
    <row r="113" spans="1:1" ht="76.5" x14ac:dyDescent="0.2">
      <c r="A113" s="101" t="s">
        <v>133</v>
      </c>
    </row>
    <row r="114" spans="1:1" ht="12.75" x14ac:dyDescent="0.2"/>
    <row r="115" spans="1:1" ht="38.25" x14ac:dyDescent="0.2">
      <c r="A115" s="106" t="s">
        <v>272</v>
      </c>
    </row>
    <row r="117" spans="1:1" ht="12.75" x14ac:dyDescent="0.2">
      <c r="A117" s="104" t="s">
        <v>49</v>
      </c>
    </row>
    <row r="119" spans="1:1" ht="63.75" x14ac:dyDescent="0.2">
      <c r="A119" s="101" t="s">
        <v>273</v>
      </c>
    </row>
    <row r="121" spans="1:1" ht="51" x14ac:dyDescent="0.2">
      <c r="A121" s="101" t="s">
        <v>274</v>
      </c>
    </row>
    <row r="123" spans="1:1" ht="63.75" x14ac:dyDescent="0.2">
      <c r="A123" s="101" t="s">
        <v>275</v>
      </c>
    </row>
    <row r="125" spans="1:1" ht="38.25" x14ac:dyDescent="0.2">
      <c r="A125" s="101" t="s">
        <v>93</v>
      </c>
    </row>
    <row r="127" spans="1:1" ht="38.25" x14ac:dyDescent="0.2">
      <c r="A127" s="101" t="s">
        <v>86</v>
      </c>
    </row>
    <row r="129" spans="1:1" ht="38.25" x14ac:dyDescent="0.2">
      <c r="A129" s="101" t="s">
        <v>134</v>
      </c>
    </row>
    <row r="130" spans="1:1" ht="12.75" x14ac:dyDescent="0.2">
      <c r="A130" s="104" t="s">
        <v>154</v>
      </c>
    </row>
    <row r="131" spans="1:1" ht="12.75" x14ac:dyDescent="0.2">
      <c r="A131" s="104" t="s">
        <v>155</v>
      </c>
    </row>
    <row r="132" spans="1:1" ht="25.5" x14ac:dyDescent="0.2">
      <c r="A132" s="104" t="s">
        <v>156</v>
      </c>
    </row>
    <row r="133" spans="1:1" ht="25.5" x14ac:dyDescent="0.2">
      <c r="A133" s="104" t="s">
        <v>157</v>
      </c>
    </row>
    <row r="134" spans="1:1" ht="51" x14ac:dyDescent="0.2">
      <c r="A134" s="104" t="s">
        <v>158</v>
      </c>
    </row>
    <row r="135" spans="1:1" ht="12.75" x14ac:dyDescent="0.2">
      <c r="A135" s="104" t="s">
        <v>159</v>
      </c>
    </row>
    <row r="136" spans="1:1" ht="12.75" x14ac:dyDescent="0.2"/>
    <row r="137" spans="1:1" ht="38.25" x14ac:dyDescent="0.2">
      <c r="A137" s="106" t="s">
        <v>276</v>
      </c>
    </row>
    <row r="139" spans="1:1" ht="38.25" x14ac:dyDescent="0.2">
      <c r="A139" s="106" t="s">
        <v>277</v>
      </c>
    </row>
    <row r="141" spans="1:1" ht="76.5" x14ac:dyDescent="0.2">
      <c r="A141" s="106" t="s">
        <v>278</v>
      </c>
    </row>
    <row r="143" spans="1:1" ht="12.75" x14ac:dyDescent="0.2">
      <c r="A143" s="104" t="s">
        <v>0</v>
      </c>
    </row>
    <row r="145" spans="1:1" ht="76.5" x14ac:dyDescent="0.2">
      <c r="A145" s="101" t="s">
        <v>160</v>
      </c>
    </row>
    <row r="147" spans="1:1" ht="12.95" customHeight="1" x14ac:dyDescent="0.2">
      <c r="A147" s="105" t="s">
        <v>50</v>
      </c>
    </row>
    <row r="149" spans="1:1" ht="51" x14ac:dyDescent="0.2">
      <c r="A149" s="101" t="s">
        <v>279</v>
      </c>
    </row>
    <row r="150" spans="1:1" ht="12.75" x14ac:dyDescent="0.2"/>
    <row r="151" spans="1:1" ht="51" x14ac:dyDescent="0.2">
      <c r="A151" s="101" t="s">
        <v>280</v>
      </c>
    </row>
    <row r="152" spans="1:1" ht="12.75" x14ac:dyDescent="0.2"/>
    <row r="153" spans="1:1" ht="38.25" x14ac:dyDescent="0.2">
      <c r="A153" s="106" t="s">
        <v>135</v>
      </c>
    </row>
    <row r="155" spans="1:1" ht="12.75" x14ac:dyDescent="0.2">
      <c r="A155" s="104" t="s">
        <v>74</v>
      </c>
    </row>
    <row r="157" spans="1:1" ht="63.75" x14ac:dyDescent="0.2">
      <c r="A157" s="101" t="s">
        <v>281</v>
      </c>
    </row>
    <row r="159" spans="1:1" ht="38.25" x14ac:dyDescent="0.2">
      <c r="A159" s="106" t="s">
        <v>282</v>
      </c>
    </row>
    <row r="161" spans="1:1" ht="51" x14ac:dyDescent="0.2">
      <c r="A161" s="101" t="s">
        <v>145</v>
      </c>
    </row>
    <row r="162" spans="1:1" ht="12.75" x14ac:dyDescent="0.2"/>
    <row r="163" spans="1:1" ht="51" x14ac:dyDescent="0.2">
      <c r="A163" s="101" t="s">
        <v>283</v>
      </c>
    </row>
    <row r="165" spans="1:1" ht="63.75" x14ac:dyDescent="0.2">
      <c r="A165" s="101" t="s">
        <v>284</v>
      </c>
    </row>
    <row r="167" spans="1:1" ht="51" x14ac:dyDescent="0.2">
      <c r="A167" s="106" t="s">
        <v>136</v>
      </c>
    </row>
    <row r="169" spans="1:1" ht="38.25" x14ac:dyDescent="0.2">
      <c r="A169" s="101" t="s">
        <v>89</v>
      </c>
    </row>
    <row r="171" spans="1:1" ht="25.5" x14ac:dyDescent="0.2">
      <c r="A171" s="101" t="s">
        <v>285</v>
      </c>
    </row>
    <row r="173" spans="1:1" ht="51" x14ac:dyDescent="0.2">
      <c r="A173" s="106" t="s">
        <v>137</v>
      </c>
    </row>
    <row r="175" spans="1:1" ht="38.25" x14ac:dyDescent="0.2">
      <c r="A175" s="106" t="s">
        <v>286</v>
      </c>
    </row>
    <row r="177" spans="1:1" ht="12.95" customHeight="1" x14ac:dyDescent="0.2">
      <c r="A177" s="104" t="s">
        <v>287</v>
      </c>
    </row>
    <row r="179" spans="1:1" ht="38.25" x14ac:dyDescent="0.2">
      <c r="A179" s="101" t="s">
        <v>288</v>
      </c>
    </row>
    <row r="181" spans="1:1" ht="38.25" x14ac:dyDescent="0.2">
      <c r="A181" s="101" t="s">
        <v>305</v>
      </c>
    </row>
    <row r="183" spans="1:1" ht="38.25" x14ac:dyDescent="0.2">
      <c r="A183" s="101" t="s">
        <v>289</v>
      </c>
    </row>
    <row r="185" spans="1:1" ht="38.25" x14ac:dyDescent="0.2">
      <c r="A185" s="101" t="s">
        <v>290</v>
      </c>
    </row>
    <row r="187" spans="1:1" ht="38.25" x14ac:dyDescent="0.2">
      <c r="A187" s="101" t="s">
        <v>291</v>
      </c>
    </row>
    <row r="189" spans="1:1" ht="25.5" x14ac:dyDescent="0.2">
      <c r="A189" s="106" t="s">
        <v>292</v>
      </c>
    </row>
    <row r="191" spans="1:1" ht="38.25" x14ac:dyDescent="0.2">
      <c r="A191" s="106" t="s">
        <v>293</v>
      </c>
    </row>
    <row r="193" spans="1:1" ht="25.5" x14ac:dyDescent="0.2">
      <c r="A193" s="101" t="s">
        <v>294</v>
      </c>
    </row>
    <row r="195" spans="1:1" ht="25.5" x14ac:dyDescent="0.2">
      <c r="A195" s="101" t="s">
        <v>295</v>
      </c>
    </row>
    <row r="197" spans="1:1" ht="12.75" x14ac:dyDescent="0.2">
      <c r="A197" s="104" t="s">
        <v>77</v>
      </c>
    </row>
    <row r="199" spans="1:1" ht="51" x14ac:dyDescent="0.2">
      <c r="A199" s="101" t="s">
        <v>144</v>
      </c>
    </row>
    <row r="200" spans="1:1" ht="12.75" x14ac:dyDescent="0.2"/>
    <row r="201" spans="1:1" ht="25.5" x14ac:dyDescent="0.2">
      <c r="A201" s="106" t="s">
        <v>90</v>
      </c>
    </row>
    <row r="202" spans="1:1" ht="12.75" x14ac:dyDescent="0.2">
      <c r="A202" s="106"/>
    </row>
    <row r="203" spans="1:1" ht="63.75" x14ac:dyDescent="0.2">
      <c r="A203" s="106" t="s">
        <v>296</v>
      </c>
    </row>
    <row r="204" spans="1:1" ht="12.75" x14ac:dyDescent="0.2">
      <c r="A204" s="106"/>
    </row>
    <row r="205" spans="1:1" ht="12.75" x14ac:dyDescent="0.2">
      <c r="A205" s="104" t="s">
        <v>87</v>
      </c>
    </row>
    <row r="207" spans="1:1" ht="51" x14ac:dyDescent="0.2">
      <c r="A207" s="101" t="s">
        <v>297</v>
      </c>
    </row>
    <row r="209" spans="1:1" ht="38.25" x14ac:dyDescent="0.2">
      <c r="A209" s="101" t="s">
        <v>298</v>
      </c>
    </row>
    <row r="210" spans="1:1" ht="12.75" x14ac:dyDescent="0.2"/>
    <row r="211" spans="1:1" ht="25.5" x14ac:dyDescent="0.2">
      <c r="A211" s="106" t="s">
        <v>161</v>
      </c>
    </row>
    <row r="213" spans="1:1" ht="12.75" x14ac:dyDescent="0.2">
      <c r="A213" s="107" t="s">
        <v>91</v>
      </c>
    </row>
    <row r="214" spans="1:1" ht="12.75" x14ac:dyDescent="0.2">
      <c r="A214" s="108"/>
    </row>
    <row r="215" spans="1:1" ht="25.5" x14ac:dyDescent="0.2">
      <c r="A215" s="108" t="s">
        <v>299</v>
      </c>
    </row>
    <row r="216" spans="1:1" ht="12.75" x14ac:dyDescent="0.2">
      <c r="A216" s="109" t="s">
        <v>138</v>
      </c>
    </row>
    <row r="217" spans="1:1" ht="25.5" x14ac:dyDescent="0.2">
      <c r="A217" s="109" t="s">
        <v>141</v>
      </c>
    </row>
    <row r="218" spans="1:1" ht="25.5" x14ac:dyDescent="0.2">
      <c r="A218" s="109" t="s">
        <v>139</v>
      </c>
    </row>
    <row r="219" spans="1:1" ht="25.5" x14ac:dyDescent="0.2">
      <c r="A219" s="109" t="s">
        <v>306</v>
      </c>
    </row>
    <row r="220" spans="1:1" ht="25.5" x14ac:dyDescent="0.2">
      <c r="A220" s="109" t="s">
        <v>300</v>
      </c>
    </row>
    <row r="221" spans="1:1" ht="12.75" x14ac:dyDescent="0.2">
      <c r="A221" s="109" t="s">
        <v>301</v>
      </c>
    </row>
    <row r="222" spans="1:1" ht="25.5" x14ac:dyDescent="0.2">
      <c r="A222" s="109" t="s">
        <v>140</v>
      </c>
    </row>
    <row r="224" spans="1:1" ht="12.75" x14ac:dyDescent="0.2">
      <c r="A224" s="104" t="s">
        <v>115</v>
      </c>
    </row>
    <row r="225" spans="1:1" ht="12.95" customHeight="1" x14ac:dyDescent="0.2">
      <c r="A225" s="106"/>
    </row>
    <row r="226" spans="1:1" ht="25.5" x14ac:dyDescent="0.2">
      <c r="A226" s="101" t="s">
        <v>116</v>
      </c>
    </row>
    <row r="227" spans="1:1" ht="12.95" customHeight="1" x14ac:dyDescent="0.2">
      <c r="A227" s="106"/>
    </row>
    <row r="228" spans="1:1" ht="25.5" x14ac:dyDescent="0.2">
      <c r="A228" s="106" t="s">
        <v>117</v>
      </c>
    </row>
    <row r="229" spans="1:1" ht="51" x14ac:dyDescent="0.2">
      <c r="A229" s="106" t="s">
        <v>302</v>
      </c>
    </row>
    <row r="230" spans="1:1" ht="38.25" x14ac:dyDescent="0.2">
      <c r="A230" s="106" t="s">
        <v>303</v>
      </c>
    </row>
    <row r="231" spans="1:1" ht="12.75" x14ac:dyDescent="0.2">
      <c r="A231" s="106" t="s">
        <v>230</v>
      </c>
    </row>
    <row r="232" spans="1:1" ht="76.5" x14ac:dyDescent="0.2">
      <c r="A232" s="106" t="s">
        <v>142</v>
      </c>
    </row>
    <row r="233" spans="1:1" ht="12.95" customHeight="1" x14ac:dyDescent="0.2">
      <c r="A233" s="106"/>
    </row>
    <row r="234" spans="1:1" ht="25.5" x14ac:dyDescent="0.2">
      <c r="A234" s="106" t="s">
        <v>143</v>
      </c>
    </row>
    <row r="236" spans="1:1" ht="12.75" x14ac:dyDescent="0.2">
      <c r="A236" s="107" t="s">
        <v>6</v>
      </c>
    </row>
    <row r="238" spans="1:1" ht="63.75" x14ac:dyDescent="0.2">
      <c r="A238" s="101" t="s">
        <v>88</v>
      </c>
    </row>
    <row r="240" spans="1:1" s="110" customFormat="1" ht="12.75" x14ac:dyDescent="0.2">
      <c r="A240" s="104" t="s">
        <v>97</v>
      </c>
    </row>
    <row r="241" spans="1:1" s="110" customFormat="1" ht="12.75" x14ac:dyDescent="0.2">
      <c r="A241" s="104"/>
    </row>
    <row r="242" spans="1:1" s="110" customFormat="1" ht="76.5" x14ac:dyDescent="0.2">
      <c r="A242" s="101" t="s">
        <v>98</v>
      </c>
    </row>
  </sheetData>
  <sheetProtection selectLockedCells="1"/>
  <phoneticPr fontId="2" type="noConversion"/>
  <hyperlinks>
    <hyperlink ref="A3" r:id="rId1" xr:uid="{00000000-0004-0000-0300-000000000000}"/>
  </hyperlinks>
  <pageMargins left="0.55118110236220474" right="0.55118110236220474" top="0.59055118110236227" bottom="0.59055118110236227" header="0.31496062992125984" footer="0.31496062992125984"/>
  <pageSetup paperSize="9" scale="84" fitToHeight="0" orientation="portrait" r:id="rId2"/>
  <headerFooter alignWithMargins="0">
    <oddFooter>&amp;C&amp;9Page &amp;P of &amp;N</oddFoot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A13"/>
  <sheetViews>
    <sheetView zoomScale="95" zoomScaleNormal="95" workbookViewId="0">
      <selection activeCell="H3" sqref="H3"/>
    </sheetView>
  </sheetViews>
  <sheetFormatPr defaultColWidth="9.140625" defaultRowHeight="16.149999999999999" customHeight="1" x14ac:dyDescent="0.25"/>
  <cols>
    <col min="1" max="1" width="10.7109375" style="3" customWidth="1"/>
    <col min="2" max="2" width="19.140625" style="3" customWidth="1"/>
    <col min="3" max="3" width="10.7109375" style="39" customWidth="1"/>
    <col min="4" max="5" width="12.7109375" style="38" customWidth="1"/>
    <col min="6" max="6" width="8.7109375" style="38" customWidth="1"/>
    <col min="7" max="7" width="12.7109375" style="38" customWidth="1"/>
    <col min="8" max="11" width="12.7109375" style="39" customWidth="1"/>
    <col min="12" max="19" width="12.7109375" style="3" customWidth="1"/>
    <col min="20" max="24" width="12.7109375" style="112" customWidth="1"/>
    <col min="25" max="25" width="12.7109375" style="79" customWidth="1"/>
    <col min="26" max="26" width="12.7109375" style="112" customWidth="1"/>
    <col min="27" max="27" width="12.7109375" style="119" customWidth="1"/>
    <col min="28" max="16384" width="9.140625" style="3"/>
  </cols>
  <sheetData>
    <row r="1" spans="1:27" ht="16.149999999999999" customHeight="1" x14ac:dyDescent="0.25">
      <c r="A1" s="97" t="s">
        <v>83</v>
      </c>
      <c r="I1" s="87" t="str">
        <f>IF(AND(ISBLANK(H3)=FALSE,H3&lt;H2),"Error! The From date cannot be after the To date!","")</f>
        <v/>
      </c>
    </row>
    <row r="2" spans="1:27" ht="16.149999999999999" customHeight="1" x14ac:dyDescent="0.25">
      <c r="A2" s="7" t="s">
        <v>72</v>
      </c>
      <c r="G2" s="7" t="s">
        <v>70</v>
      </c>
      <c r="H2" s="8"/>
      <c r="I2" s="88">
        <f ca="1">IF(ISBLANK(H2)=TRUE,IF(MIN(MoveDate)=0,DATE(YEAR($I$3),MONTH($I$3),1),DATE(YEAR(MIN(MoveDate)),MONTH(MIN(MoveDate)),1)),H2)</f>
        <v>44378</v>
      </c>
      <c r="S2" s="123">
        <f ca="1">Dashboard!C55</f>
        <v>44378</v>
      </c>
    </row>
    <row r="3" spans="1:27" ht="16.149999999999999" customHeight="1" x14ac:dyDescent="0.25">
      <c r="A3" s="10" t="s">
        <v>44</v>
      </c>
      <c r="G3" s="7" t="s">
        <v>71</v>
      </c>
      <c r="H3" s="8">
        <v>44439</v>
      </c>
      <c r="I3" s="88">
        <f ca="1">IF(ISBLANK(H3)=TRUE,DATE(YEAR(TODAY()),MONTH(TODAY())+1,0),H3)</f>
        <v>44439</v>
      </c>
      <c r="S3" s="123">
        <f ca="1">Dashboard!D55</f>
        <v>44439</v>
      </c>
    </row>
    <row r="4" spans="1:27" s="89" customFormat="1" ht="16.149999999999999" customHeight="1" x14ac:dyDescent="0.25">
      <c r="C4" s="39"/>
      <c r="D4" s="38"/>
      <c r="E4" s="38"/>
      <c r="F4" s="38"/>
      <c r="G4" s="90">
        <f>SUBTOTAL(109,StockCode[[#Data],[Opening Value]])</f>
        <v>18190</v>
      </c>
      <c r="H4" s="39"/>
      <c r="I4" s="39"/>
      <c r="J4" s="90">
        <f ca="1">SUBTOTAL(109,StockCode[[#Data],[Inventory Valuation]])</f>
        <v>31558.063491967641</v>
      </c>
      <c r="K4" s="90"/>
      <c r="O4" s="90">
        <f ca="1">SUBTOTAL(109,StockCode[[#Data],[Opening Value2]])</f>
        <v>18190</v>
      </c>
      <c r="P4" s="90">
        <f ca="1">SUBTOTAL(109,StockCode[[#Data],[Purchases Value]])</f>
        <v>212244.6</v>
      </c>
      <c r="Q4" s="90">
        <f ca="1">SUBTOTAL(109,StockCode[[#Data],[Usages Value]])</f>
        <v>-187979.80578980056</v>
      </c>
      <c r="R4" s="90">
        <f ca="1">SUBTOTAL(109,StockCode[[#Data],[Adjustments Value]])</f>
        <v>-10896.7307182318</v>
      </c>
      <c r="S4" s="90"/>
      <c r="T4" s="113"/>
      <c r="U4" s="113"/>
      <c r="V4" s="113"/>
      <c r="W4" s="113"/>
      <c r="X4" s="113"/>
      <c r="Y4" s="116"/>
      <c r="Z4" s="113"/>
      <c r="AA4" s="120"/>
    </row>
    <row r="5" spans="1:27" s="77" customFormat="1" ht="25.5" x14ac:dyDescent="0.2">
      <c r="A5" s="70" t="s">
        <v>51</v>
      </c>
      <c r="B5" s="70" t="s">
        <v>85</v>
      </c>
      <c r="C5" s="91" t="s">
        <v>54</v>
      </c>
      <c r="D5" s="71" t="s">
        <v>9</v>
      </c>
      <c r="E5" s="71" t="s">
        <v>10</v>
      </c>
      <c r="F5" s="92" t="s">
        <v>114</v>
      </c>
      <c r="G5" s="92" t="s">
        <v>11</v>
      </c>
      <c r="H5" s="93" t="s">
        <v>65</v>
      </c>
      <c r="I5" s="93" t="s">
        <v>56</v>
      </c>
      <c r="J5" s="93" t="s">
        <v>66</v>
      </c>
      <c r="K5" s="93" t="s">
        <v>96</v>
      </c>
      <c r="L5" s="93" t="s">
        <v>73</v>
      </c>
      <c r="M5" s="93" t="s">
        <v>123</v>
      </c>
      <c r="N5" s="93" t="s">
        <v>124</v>
      </c>
      <c r="O5" s="93" t="s">
        <v>203</v>
      </c>
      <c r="P5" s="93" t="s">
        <v>120</v>
      </c>
      <c r="Q5" s="93" t="s">
        <v>121</v>
      </c>
      <c r="R5" s="93" t="s">
        <v>122</v>
      </c>
      <c r="S5" s="93" t="s">
        <v>220</v>
      </c>
      <c r="T5" s="92" t="s">
        <v>209</v>
      </c>
      <c r="U5" s="92" t="s">
        <v>211</v>
      </c>
      <c r="V5" s="115" t="s">
        <v>221</v>
      </c>
      <c r="W5" s="115" t="s">
        <v>210</v>
      </c>
      <c r="X5" s="115" t="s">
        <v>212</v>
      </c>
      <c r="Y5" s="121" t="s">
        <v>216</v>
      </c>
      <c r="Z5" s="118" t="s">
        <v>223</v>
      </c>
      <c r="AA5" s="122" t="s">
        <v>227</v>
      </c>
    </row>
    <row r="6" spans="1:27" ht="16.149999999999999" customHeight="1" x14ac:dyDescent="0.25">
      <c r="A6" s="3" t="s">
        <v>19</v>
      </c>
      <c r="B6" s="3" t="s">
        <v>20</v>
      </c>
      <c r="C6" s="39" t="s">
        <v>21</v>
      </c>
      <c r="D6" s="38">
        <v>2</v>
      </c>
      <c r="E6" s="38">
        <v>20</v>
      </c>
      <c r="F6" s="38" t="str">
        <f t="shared" ref="F6:F13" si="0">IF(AND(ISBLANK(A6)=FALSE,COUNTIF(StockCodeOnly,A6)&gt;1)=TRUE,"E1","-")</f>
        <v>-</v>
      </c>
      <c r="G6" s="38">
        <f t="shared" ref="G6:G13" si="1">D6*E6</f>
        <v>40</v>
      </c>
      <c r="H6" s="17">
        <f t="shared" ref="H6:H13" ca="1" si="2">SUMIFS(MoveQty,MoveCode,$A6,MoveDate,"&lt;"&amp;$I$3+1)+D6</f>
        <v>8.5</v>
      </c>
      <c r="I6" s="17">
        <f t="shared" ref="I6:I13" ca="1" si="3">IF(H6=0,0,J6/H6)</f>
        <v>20.54496057604862</v>
      </c>
      <c r="J6" s="17">
        <f t="shared" ref="J6:J13" ca="1" si="4">SUMIFS(MoveAmount,MoveCode,$A6,MoveDate,"&lt;"&amp;$I$3+1)+(D6*E6)</f>
        <v>174.63216489641326</v>
      </c>
      <c r="K6" s="17">
        <f t="shared" ref="K6:K13" ca="1" si="5">D6+SUMIFS(MoveQty,MoveCode,$A6,MoveDate,"&lt;"&amp;$I$2)</f>
        <v>2</v>
      </c>
      <c r="L6" s="17">
        <f t="shared" ref="L6:L13" ca="1" si="6">SUMIFS(MoveQty,MoveCode,$A6,MoveDate,"&gt;="&amp;$I$2,MoveDate,"&lt;"&amp;$I$3+1,MoveType,"Purchase")</f>
        <v>34</v>
      </c>
      <c r="M6" s="17">
        <f t="shared" ref="M6:M13" ca="1" si="7">SUMIFS(MoveQty,MoveCode,$A6,MoveDate,"&gt;="&amp;$I$2,MoveDate,"&lt;"&amp;$I$3+1,MoveType,"Usage")</f>
        <v>-26.22</v>
      </c>
      <c r="N6" s="17">
        <f t="shared" ref="N6:N13" ca="1" si="8">SUMIFS(MoveQty,MoveCode,$A6,MoveDate,"&gt;="&amp;$I$2,MoveDate,"&lt;"&amp;$I$3+1,MoveType,"Adjustment")</f>
        <v>-1.2800000000000007</v>
      </c>
      <c r="O6" s="17">
        <f t="shared" ref="O6:O13" ca="1" si="9">(D6*E6)+SUMIFS(MoveAmount,MoveCode,$A6,MoveDate,"&lt;"&amp;$I$2)</f>
        <v>40</v>
      </c>
      <c r="P6" s="17">
        <f t="shared" ref="P6:P13" ca="1" si="10">SUMIFS(MoveAmount,MoveCode,$A6,MoveDate,"&gt;="&amp;$I$2,MoveDate,"&lt;"&amp;$I$3+1,MoveType,"Purchase")</f>
        <v>700</v>
      </c>
      <c r="Q6" s="17">
        <f t="shared" ref="Q6:Q13" ca="1" si="11">SUMIFS(MoveAmount,MoveCode,$A6,MoveDate,"&gt;="&amp;$I$2,MoveDate,"&lt;"&amp;$I$3+1,MoveType,"Usage")</f>
        <v>-539.11090111046724</v>
      </c>
      <c r="R6" s="17">
        <f t="shared" ref="R6:R13" ca="1" si="12">SUMIFS(MoveAmount,MoveCode,$A6,MoveDate,"&gt;="&amp;$I$2,MoveDate,"&lt;"&amp;$I$3+1,MoveType,"Adjustment")</f>
        <v>-26.25693399311951</v>
      </c>
      <c r="S6" s="114" cm="1">
        <f t="array" aca="1" ref="S6" ca="1">SUMIFS(MoveQty,MoveCode,$A6,MoveDate,"&gt;="&amp;$S$2,MoveDate,"&lt;"&amp;$S$3+1,MoveType,"Purchase")</f>
        <v>34</v>
      </c>
      <c r="T6" s="114" cm="1">
        <f t="array" aca="1" ref="T6" ca="1">-SUMIFS(MoveQty,MoveCode,$A6,MoveDate,"&gt;="&amp;$S$2,MoveDate,"&lt;"&amp;$S$3+1,MoveType,"Usage")</f>
        <v>26.22</v>
      </c>
      <c r="U6" s="114" cm="1">
        <f t="array" aca="1" ref="U6" ca="1">SUMIFS(MoveQty,MoveCode,$A6,MoveDate,"&gt;="&amp;$S$2,MoveDate,"&lt;"&amp;$S$3+1,MoveType,"Adjustment")</f>
        <v>-1.2800000000000007</v>
      </c>
      <c r="V6" s="114" cm="1">
        <f t="array" aca="1" ref="V6" ca="1">SUMIFS(MoveAmount,MoveCode,$A6,MoveDate,"&gt;="&amp;$S$2,MoveDate,"&lt;"&amp;$S$3+1,MoveType,"Purchase")</f>
        <v>700</v>
      </c>
      <c r="W6" s="114" cm="1">
        <f t="array" aca="1" ref="W6" ca="1">-SUMIFS(MoveAmount,MoveCode,$A6,MoveDate,"&gt;="&amp;$S$2,MoveDate,"&lt;"&amp;$S$3+1,MoveType,"Usage")</f>
        <v>539.11090111046724</v>
      </c>
      <c r="X6" s="114" cm="1">
        <f t="array" aca="1" ref="X6" ca="1">SUMIFS(MoveAmount,MoveCode,$A6,MoveDate,"&gt;="&amp;$S$2,MoveDate,"&lt;"&amp;$S$3+1,MoveType,"Adjustment")</f>
        <v>-26.25693399311951</v>
      </c>
      <c r="Y6" s="114">
        <f t="shared" ref="Y6:Y13" ca="1" si="13">ABS(X6)</f>
        <v>26.25693399311951</v>
      </c>
      <c r="Z6" s="114" cm="1">
        <f t="array" aca="1" ref="Z6" ca="1">SUMIFS(MovePrice,MoveCode,$A6,MoveDate,"&gt;="&amp;$S$2,MoveDate,"&lt;"&amp;$S$3+1,MoveType,"Purchase")</f>
        <v>-0.71510340683592943</v>
      </c>
      <c r="AA6" s="114">
        <f t="shared" ref="AA6:AA13" ca="1" si="14">ABS(Z6)</f>
        <v>0.71510340683592943</v>
      </c>
    </row>
    <row r="7" spans="1:27" ht="16.149999999999999" customHeight="1" x14ac:dyDescent="0.25">
      <c r="A7" s="3" t="s">
        <v>22</v>
      </c>
      <c r="B7" s="3" t="s">
        <v>53</v>
      </c>
      <c r="C7" s="39">
        <v>1000</v>
      </c>
      <c r="D7" s="38">
        <v>1</v>
      </c>
      <c r="E7" s="38">
        <v>350</v>
      </c>
      <c r="F7" s="38" t="str">
        <f t="shared" si="0"/>
        <v>-</v>
      </c>
      <c r="G7" s="38">
        <f t="shared" si="1"/>
        <v>350</v>
      </c>
      <c r="H7" s="17">
        <f t="shared" ca="1" si="2"/>
        <v>0</v>
      </c>
      <c r="I7" s="17">
        <f t="shared" ca="1" si="3"/>
        <v>0</v>
      </c>
      <c r="J7" s="17">
        <f t="shared" ca="1" si="4"/>
        <v>0</v>
      </c>
      <c r="K7" s="17">
        <f t="shared" ca="1" si="5"/>
        <v>1</v>
      </c>
      <c r="L7" s="17">
        <f t="shared" ca="1" si="6"/>
        <v>14</v>
      </c>
      <c r="M7" s="17">
        <f t="shared" ca="1" si="7"/>
        <v>-14.06</v>
      </c>
      <c r="N7" s="17">
        <f t="shared" ca="1" si="8"/>
        <v>-0.94</v>
      </c>
      <c r="O7" s="17">
        <f t="shared" ca="1" si="9"/>
        <v>350</v>
      </c>
      <c r="P7" s="17">
        <f t="shared" ca="1" si="10"/>
        <v>6470</v>
      </c>
      <c r="Q7" s="17">
        <f t="shared" ca="1" si="11"/>
        <v>-6397.1288185322246</v>
      </c>
      <c r="R7" s="17">
        <f t="shared" ca="1" si="12"/>
        <v>-422.87118146777533</v>
      </c>
      <c r="S7" s="17" cm="1">
        <f t="array" aca="1" ref="S7" ca="1">SUMIFS(MoveQty,MoveCode,$A7,MoveDate,"&gt;="&amp;$S$2,MoveDate,"&lt;"&amp;$S$3+1,MoveType,"Purchase")</f>
        <v>14</v>
      </c>
      <c r="T7" s="114" cm="1">
        <f t="array" aca="1" ref="T7" ca="1">-SUMIFS(MoveQty,MoveCode,$A7,MoveDate,"&gt;="&amp;$S$2,MoveDate,"&lt;"&amp;$S$3+1,MoveType,"Usage")</f>
        <v>14.06</v>
      </c>
      <c r="U7" s="114" cm="1">
        <f t="array" aca="1" ref="U7" ca="1">SUMIFS(MoveQty,MoveCode,$A7,MoveDate,"&gt;="&amp;$S$2,MoveDate,"&lt;"&amp;$S$3+1,MoveType,"Adjustment")</f>
        <v>-0.94</v>
      </c>
      <c r="V7" s="114" cm="1">
        <f t="array" aca="1" ref="V7" ca="1">SUMIFS(MoveAmount,MoveCode,$A7,MoveDate,"&gt;="&amp;$S$2,MoveDate,"&lt;"&amp;$S$3+1,MoveType,"Purchase")</f>
        <v>6470</v>
      </c>
      <c r="W7" s="114" cm="1">
        <f t="array" aca="1" ref="W7" ca="1">-SUMIFS(MoveAmount,MoveCode,$A7,MoveDate,"&gt;="&amp;$S$2,MoveDate,"&lt;"&amp;$S$3+1,MoveType,"Usage")</f>
        <v>6397.1288185322246</v>
      </c>
      <c r="X7" s="114" cm="1">
        <f t="array" aca="1" ref="X7" ca="1">SUMIFS(MoveAmount,MoveCode,$A7,MoveDate,"&gt;="&amp;$S$2,MoveDate,"&lt;"&amp;$S$3+1,MoveType,"Adjustment")</f>
        <v>-422.87118146777533</v>
      </c>
      <c r="Y7" s="114">
        <f t="shared" ca="1" si="13"/>
        <v>422.87118146777533</v>
      </c>
      <c r="Z7" s="114" cm="1">
        <f t="array" aca="1" ref="Z7" ca="1">SUMIFS(MovePrice,MoveCode,$A7,MoveDate,"&gt;="&amp;$S$2,MoveDate,"&lt;"&amp;$S$3+1,MoveType,"Purchase")</f>
        <v>-506.07857025502551</v>
      </c>
      <c r="AA7" s="114">
        <f t="shared" ca="1" si="14"/>
        <v>506.07857025502551</v>
      </c>
    </row>
    <row r="8" spans="1:27" s="94" customFormat="1" ht="16.149999999999999" customHeight="1" x14ac:dyDescent="0.25">
      <c r="A8" s="94" t="s">
        <v>23</v>
      </c>
      <c r="B8" s="94" t="s">
        <v>24</v>
      </c>
      <c r="C8" s="95" t="s">
        <v>18</v>
      </c>
      <c r="D8" s="96">
        <v>600</v>
      </c>
      <c r="E8" s="96">
        <v>1.2</v>
      </c>
      <c r="F8" s="96" t="str">
        <f t="shared" si="0"/>
        <v>-</v>
      </c>
      <c r="G8" s="96">
        <f t="shared" si="1"/>
        <v>720</v>
      </c>
      <c r="H8" s="17">
        <f t="shared" ca="1" si="2"/>
        <v>17.999999999999886</v>
      </c>
      <c r="I8" s="17">
        <f t="shared" ca="1" si="3"/>
        <v>1.0247813316781973</v>
      </c>
      <c r="J8" s="17">
        <f t="shared" ca="1" si="4"/>
        <v>18.446063970207433</v>
      </c>
      <c r="K8" s="17">
        <f t="shared" ca="1" si="5"/>
        <v>600</v>
      </c>
      <c r="L8" s="17">
        <f t="shared" ca="1" si="6"/>
        <v>4400</v>
      </c>
      <c r="M8" s="17">
        <f t="shared" ca="1" si="7"/>
        <v>-4972.6400000000003</v>
      </c>
      <c r="N8" s="17">
        <f t="shared" ca="1" si="8"/>
        <v>-9.3600000000000065</v>
      </c>
      <c r="O8" s="17">
        <f t="shared" ca="1" si="9"/>
        <v>720</v>
      </c>
      <c r="P8" s="17">
        <f t="shared" ca="1" si="10"/>
        <v>4560</v>
      </c>
      <c r="Q8" s="17">
        <f t="shared" ca="1" si="11"/>
        <v>-5251.7059873920171</v>
      </c>
      <c r="R8" s="17">
        <f t="shared" ca="1" si="12"/>
        <v>-9.8479486377748504</v>
      </c>
      <c r="S8" s="17" cm="1">
        <f t="array" aca="1" ref="S8" ca="1">SUMIFS(MoveQty,MoveCode,$A8,MoveDate,"&gt;="&amp;$S$2,MoveDate,"&lt;"&amp;$S$3+1,MoveType,"Purchase")</f>
        <v>4400</v>
      </c>
      <c r="T8" s="114" cm="1">
        <f t="array" aca="1" ref="T8" ca="1">-SUMIFS(MoveQty,MoveCode,$A8,MoveDate,"&gt;="&amp;$S$2,MoveDate,"&lt;"&amp;$S$3+1,MoveType,"Usage")</f>
        <v>4972.6400000000003</v>
      </c>
      <c r="U8" s="114" cm="1">
        <f t="array" aca="1" ref="U8" ca="1">SUMIFS(MoveQty,MoveCode,$A8,MoveDate,"&gt;="&amp;$S$2,MoveDate,"&lt;"&amp;$S$3+1,MoveType,"Adjustment")</f>
        <v>-9.3600000000000065</v>
      </c>
      <c r="V8" s="114" cm="1">
        <f t="array" aca="1" ref="V8" ca="1">SUMIFS(MoveAmount,MoveCode,$A8,MoveDate,"&gt;="&amp;$S$2,MoveDate,"&lt;"&amp;$S$3+1,MoveType,"Purchase")</f>
        <v>4560</v>
      </c>
      <c r="W8" s="114" cm="1">
        <f t="array" aca="1" ref="W8" ca="1">-SUMIFS(MoveAmount,MoveCode,$A8,MoveDate,"&gt;="&amp;$S$2,MoveDate,"&lt;"&amp;$S$3+1,MoveType,"Usage")</f>
        <v>5251.7059873920171</v>
      </c>
      <c r="X8" s="114" cm="1">
        <f t="array" aca="1" ref="X8" ca="1">SUMIFS(MoveAmount,MoveCode,$A8,MoveDate,"&gt;="&amp;$S$2,MoveDate,"&lt;"&amp;$S$3+1,MoveType,"Adjustment")</f>
        <v>-9.8479486377748504</v>
      </c>
      <c r="Y8" s="114">
        <f t="shared" ca="1" si="13"/>
        <v>9.8479486377748504</v>
      </c>
      <c r="Z8" s="114" cm="1">
        <f t="array" aca="1" ref="Z8" ca="1">SUMIFS(MovePrice,MoveCode,$A8,MoveDate,"&gt;="&amp;$S$2,MoveDate,"&lt;"&amp;$S$3+1,MoveType,"Purchase")</f>
        <v>191.92091908510588</v>
      </c>
      <c r="AA8" s="114">
        <f t="shared" ca="1" si="14"/>
        <v>191.92091908510588</v>
      </c>
    </row>
    <row r="9" spans="1:27" ht="16.149999999999999" customHeight="1" x14ac:dyDescent="0.25">
      <c r="A9" s="3" t="s">
        <v>25</v>
      </c>
      <c r="B9" s="3" t="s">
        <v>26</v>
      </c>
      <c r="C9" s="39" t="s">
        <v>27</v>
      </c>
      <c r="D9" s="38">
        <v>300</v>
      </c>
      <c r="E9" s="38">
        <v>50</v>
      </c>
      <c r="F9" s="38" t="str">
        <f t="shared" si="0"/>
        <v>-</v>
      </c>
      <c r="G9" s="38">
        <f t="shared" si="1"/>
        <v>15000</v>
      </c>
      <c r="H9" s="17">
        <f t="shared" ca="1" si="2"/>
        <v>600</v>
      </c>
      <c r="I9" s="17">
        <f t="shared" ca="1" si="3"/>
        <v>50.450891015539931</v>
      </c>
      <c r="J9" s="17">
        <f t="shared" ca="1" si="4"/>
        <v>30270.534609323957</v>
      </c>
      <c r="K9" s="17">
        <f t="shared" ca="1" si="5"/>
        <v>300</v>
      </c>
      <c r="L9" s="17">
        <f t="shared" ca="1" si="6"/>
        <v>3760</v>
      </c>
      <c r="M9" s="17">
        <f t="shared" ca="1" si="7"/>
        <v>-3240</v>
      </c>
      <c r="N9" s="17">
        <f t="shared" ca="1" si="8"/>
        <v>-220</v>
      </c>
      <c r="O9" s="17">
        <f t="shared" ca="1" si="9"/>
        <v>15000</v>
      </c>
      <c r="P9" s="17">
        <f t="shared" ca="1" si="10"/>
        <v>185840</v>
      </c>
      <c r="Q9" s="17">
        <f t="shared" ca="1" si="11"/>
        <v>-159696.72557233815</v>
      </c>
      <c r="R9" s="17">
        <f t="shared" ca="1" si="12"/>
        <v>-10872.739818337881</v>
      </c>
      <c r="S9" s="17" cm="1">
        <f t="array" aca="1" ref="S9" ca="1">SUMIFS(MoveQty,MoveCode,$A9,MoveDate,"&gt;="&amp;$S$2,MoveDate,"&lt;"&amp;$S$3+1,MoveType,"Purchase")</f>
        <v>3760</v>
      </c>
      <c r="T9" s="114" cm="1">
        <f t="array" aca="1" ref="T9" ca="1">-SUMIFS(MoveQty,MoveCode,$A9,MoveDate,"&gt;="&amp;$S$2,MoveDate,"&lt;"&amp;$S$3+1,MoveType,"Usage")</f>
        <v>3240</v>
      </c>
      <c r="U9" s="114" cm="1">
        <f t="array" aca="1" ref="U9" ca="1">SUMIFS(MoveQty,MoveCode,$A9,MoveDate,"&gt;="&amp;$S$2,MoveDate,"&lt;"&amp;$S$3+1,MoveType,"Adjustment")</f>
        <v>-220</v>
      </c>
      <c r="V9" s="114" cm="1">
        <f t="array" aca="1" ref="V9" ca="1">SUMIFS(MoveAmount,MoveCode,$A9,MoveDate,"&gt;="&amp;$S$2,MoveDate,"&lt;"&amp;$S$3+1,MoveType,"Purchase")</f>
        <v>185840</v>
      </c>
      <c r="W9" s="114" cm="1">
        <f t="array" aca="1" ref="W9" ca="1">-SUMIFS(MoveAmount,MoveCode,$A9,MoveDate,"&gt;="&amp;$S$2,MoveDate,"&lt;"&amp;$S$3+1,MoveType,"Usage")</f>
        <v>159696.72557233815</v>
      </c>
      <c r="X9" s="114" cm="1">
        <f t="array" aca="1" ref="X9" ca="1">SUMIFS(MoveAmount,MoveCode,$A9,MoveDate,"&gt;="&amp;$S$2,MoveDate,"&lt;"&amp;$S$3+1,MoveType,"Adjustment")</f>
        <v>-10872.739818337881</v>
      </c>
      <c r="Y9" s="114">
        <f t="shared" ca="1" si="13"/>
        <v>10872.739818337881</v>
      </c>
      <c r="Z9" s="114" cm="1">
        <f t="array" aca="1" ref="Z9" ca="1">SUMIFS(MovePrice,MoveCode,$A9,MoveDate,"&gt;="&amp;$S$2,MoveDate,"&lt;"&amp;$S$3+1,MoveType,"Purchase")</f>
        <v>1239.3677980620982</v>
      </c>
      <c r="AA9" s="114">
        <f t="shared" ca="1" si="14"/>
        <v>1239.3677980620982</v>
      </c>
    </row>
    <row r="10" spans="1:27" ht="16.149999999999999" customHeight="1" x14ac:dyDescent="0.25">
      <c r="A10" s="3" t="s">
        <v>28</v>
      </c>
      <c r="B10" s="3" t="s">
        <v>29</v>
      </c>
      <c r="C10" s="39" t="s">
        <v>30</v>
      </c>
      <c r="D10" s="38">
        <v>50</v>
      </c>
      <c r="E10" s="38">
        <v>36</v>
      </c>
      <c r="F10" s="38" t="str">
        <f t="shared" si="0"/>
        <v>-</v>
      </c>
      <c r="G10" s="38">
        <f t="shared" si="1"/>
        <v>1800</v>
      </c>
      <c r="H10" s="17">
        <f t="shared" ca="1" si="2"/>
        <v>10</v>
      </c>
      <c r="I10" s="17">
        <f t="shared" ca="1" si="3"/>
        <v>41.736348781687958</v>
      </c>
      <c r="J10" s="17">
        <f t="shared" ca="1" si="4"/>
        <v>417.36348781687957</v>
      </c>
      <c r="K10" s="17">
        <f t="shared" ca="1" si="5"/>
        <v>50</v>
      </c>
      <c r="L10" s="17">
        <f t="shared" ca="1" si="6"/>
        <v>314</v>
      </c>
      <c r="M10" s="17">
        <f t="shared" ca="1" si="7"/>
        <v>-350.72</v>
      </c>
      <c r="N10" s="17">
        <f t="shared" ca="1" si="8"/>
        <v>-3.2800000000000007</v>
      </c>
      <c r="O10" s="17">
        <f t="shared" ca="1" si="9"/>
        <v>1800</v>
      </c>
      <c r="P10" s="17">
        <f t="shared" ca="1" si="10"/>
        <v>13080</v>
      </c>
      <c r="Q10" s="17">
        <f t="shared" ca="1" si="11"/>
        <v>-14327.241695807948</v>
      </c>
      <c r="R10" s="17">
        <f t="shared" ca="1" si="12"/>
        <v>-135.39481637517406</v>
      </c>
      <c r="S10" s="17" cm="1">
        <f t="array" aca="1" ref="S10" ca="1">SUMIFS(MoveQty,MoveCode,$A10,MoveDate,"&gt;="&amp;$S$2,MoveDate,"&lt;"&amp;$S$3+1,MoveType,"Purchase")</f>
        <v>314</v>
      </c>
      <c r="T10" s="114" cm="1">
        <f t="array" aca="1" ref="T10" ca="1">-SUMIFS(MoveQty,MoveCode,$A10,MoveDate,"&gt;="&amp;$S$2,MoveDate,"&lt;"&amp;$S$3+1,MoveType,"Usage")</f>
        <v>350.72</v>
      </c>
      <c r="U10" s="114" cm="1">
        <f t="array" aca="1" ref="U10" ca="1">SUMIFS(MoveQty,MoveCode,$A10,MoveDate,"&gt;="&amp;$S$2,MoveDate,"&lt;"&amp;$S$3+1,MoveType,"Adjustment")</f>
        <v>-3.2800000000000007</v>
      </c>
      <c r="V10" s="114" cm="1">
        <f t="array" aca="1" ref="V10" ca="1">SUMIFS(MoveAmount,MoveCode,$A10,MoveDate,"&gt;="&amp;$S$2,MoveDate,"&lt;"&amp;$S$3+1,MoveType,"Purchase")</f>
        <v>13080</v>
      </c>
      <c r="W10" s="114" cm="1">
        <f t="array" aca="1" ref="W10" ca="1">-SUMIFS(MoveAmount,MoveCode,$A10,MoveDate,"&gt;="&amp;$S$2,MoveDate,"&lt;"&amp;$S$3+1,MoveType,"Usage")</f>
        <v>14327.241695807948</v>
      </c>
      <c r="X10" s="114" cm="1">
        <f t="array" aca="1" ref="X10" ca="1">SUMIFS(MoveAmount,MoveCode,$A10,MoveDate,"&gt;="&amp;$S$2,MoveDate,"&lt;"&amp;$S$3+1,MoveType,"Adjustment")</f>
        <v>-135.39481637517406</v>
      </c>
      <c r="Y10" s="114">
        <f t="shared" ca="1" si="13"/>
        <v>135.39481637517406</v>
      </c>
      <c r="Z10" s="114" cm="1">
        <f t="array" aca="1" ref="Z10" ca="1">SUMIFS(MovePrice,MoveCode,$A10,MoveDate,"&gt;="&amp;$S$2,MoveDate,"&lt;"&amp;$S$3+1,MoveType,"Purchase")</f>
        <v>-479.73982629394027</v>
      </c>
      <c r="AA10" s="114">
        <f t="shared" ca="1" si="14"/>
        <v>479.73982629394027</v>
      </c>
    </row>
    <row r="11" spans="1:27" ht="16.149999999999999" customHeight="1" x14ac:dyDescent="0.25">
      <c r="A11" s="3" t="s">
        <v>31</v>
      </c>
      <c r="B11" s="3" t="s">
        <v>32</v>
      </c>
      <c r="C11" s="39" t="s">
        <v>27</v>
      </c>
      <c r="D11" s="38">
        <v>10</v>
      </c>
      <c r="E11" s="38">
        <v>5</v>
      </c>
      <c r="F11" s="38" t="str">
        <f t="shared" si="0"/>
        <v>-</v>
      </c>
      <c r="G11" s="38">
        <f t="shared" si="1"/>
        <v>50</v>
      </c>
      <c r="H11" s="17">
        <f t="shared" ca="1" si="2"/>
        <v>1.0000000000000018</v>
      </c>
      <c r="I11" s="17">
        <f t="shared" ca="1" si="3"/>
        <v>5.0792173841536918</v>
      </c>
      <c r="J11" s="17">
        <f t="shared" ca="1" si="4"/>
        <v>5.0792173841537007</v>
      </c>
      <c r="K11" s="17">
        <f t="shared" ca="1" si="5"/>
        <v>10</v>
      </c>
      <c r="L11" s="17">
        <f t="shared" ca="1" si="6"/>
        <v>64</v>
      </c>
      <c r="M11" s="17">
        <f t="shared" ca="1" si="7"/>
        <v>-72.12</v>
      </c>
      <c r="N11" s="17">
        <f t="shared" ca="1" si="8"/>
        <v>-0.88</v>
      </c>
      <c r="O11" s="17">
        <f t="shared" ca="1" si="9"/>
        <v>50</v>
      </c>
      <c r="P11" s="17">
        <f t="shared" ca="1" si="10"/>
        <v>336</v>
      </c>
      <c r="Q11" s="17">
        <f t="shared" ca="1" si="11"/>
        <v>-376.42596802917603</v>
      </c>
      <c r="R11" s="17">
        <f t="shared" ca="1" si="12"/>
        <v>-4.4948145866702554</v>
      </c>
      <c r="S11" s="17" cm="1">
        <f t="array" aca="1" ref="S11" ca="1">SUMIFS(MoveQty,MoveCode,$A11,MoveDate,"&gt;="&amp;$S$2,MoveDate,"&lt;"&amp;$S$3+1,MoveType,"Purchase")</f>
        <v>64</v>
      </c>
      <c r="T11" s="114" cm="1">
        <f t="array" aca="1" ref="T11" ca="1">-SUMIFS(MoveQty,MoveCode,$A11,MoveDate,"&gt;="&amp;$S$2,MoveDate,"&lt;"&amp;$S$3+1,MoveType,"Usage")</f>
        <v>72.12</v>
      </c>
      <c r="U11" s="114" cm="1">
        <f t="array" aca="1" ref="U11" ca="1">SUMIFS(MoveQty,MoveCode,$A11,MoveDate,"&gt;="&amp;$S$2,MoveDate,"&lt;"&amp;$S$3+1,MoveType,"Adjustment")</f>
        <v>-0.88</v>
      </c>
      <c r="V11" s="114" cm="1">
        <f t="array" aca="1" ref="V11" ca="1">SUMIFS(MoveAmount,MoveCode,$A11,MoveDate,"&gt;="&amp;$S$2,MoveDate,"&lt;"&amp;$S$3+1,MoveType,"Purchase")</f>
        <v>336</v>
      </c>
      <c r="W11" s="114" cm="1">
        <f t="array" aca="1" ref="W11" ca="1">-SUMIFS(MoveAmount,MoveCode,$A11,MoveDate,"&gt;="&amp;$S$2,MoveDate,"&lt;"&amp;$S$3+1,MoveType,"Usage")</f>
        <v>376.42596802917603</v>
      </c>
      <c r="X11" s="114" cm="1">
        <f t="array" aca="1" ref="X11" ca="1">SUMIFS(MoveAmount,MoveCode,$A11,MoveDate,"&gt;="&amp;$S$2,MoveDate,"&lt;"&amp;$S$3+1,MoveType,"Adjustment")</f>
        <v>-4.4948145866702554</v>
      </c>
      <c r="Y11" s="114">
        <f t="shared" ca="1" si="13"/>
        <v>4.4948145866702554</v>
      </c>
      <c r="Z11" s="114" cm="1">
        <f t="array" aca="1" ref="Z11" ca="1">SUMIFS(MovePrice,MoveCode,$A11,MoveDate,"&gt;="&amp;$S$2,MoveDate,"&lt;"&amp;$S$3+1,MoveType,"Purchase")</f>
        <v>-5.242902385796981</v>
      </c>
      <c r="AA11" s="114">
        <f t="shared" ca="1" si="14"/>
        <v>5.242902385796981</v>
      </c>
    </row>
    <row r="12" spans="1:27" ht="16.149999999999999" customHeight="1" x14ac:dyDescent="0.25">
      <c r="A12" s="3" t="s">
        <v>33</v>
      </c>
      <c r="B12" s="3" t="s">
        <v>34</v>
      </c>
      <c r="C12" s="39" t="s">
        <v>27</v>
      </c>
      <c r="D12" s="38">
        <v>10</v>
      </c>
      <c r="E12" s="38">
        <v>8</v>
      </c>
      <c r="F12" s="38" t="str">
        <f t="shared" si="0"/>
        <v>-</v>
      </c>
      <c r="G12" s="38">
        <f t="shared" si="1"/>
        <v>80</v>
      </c>
      <c r="H12" s="17">
        <f t="shared" ca="1" si="2"/>
        <v>77.739999999999995</v>
      </c>
      <c r="I12" s="17">
        <f t="shared" ca="1" si="3"/>
        <v>8.345286455016522</v>
      </c>
      <c r="J12" s="17">
        <f t="shared" ca="1" si="4"/>
        <v>648.76256901298439</v>
      </c>
      <c r="K12" s="17">
        <f t="shared" ca="1" si="5"/>
        <v>10</v>
      </c>
      <c r="L12" s="17">
        <f t="shared" ca="1" si="6"/>
        <v>26</v>
      </c>
      <c r="M12" s="17">
        <f t="shared" ca="1" si="7"/>
        <v>-33.519999999999996</v>
      </c>
      <c r="N12" s="17">
        <f t="shared" ca="1" si="8"/>
        <v>75.260000000000005</v>
      </c>
      <c r="O12" s="17">
        <f t="shared" ca="1" si="9"/>
        <v>80</v>
      </c>
      <c r="P12" s="17">
        <f t="shared" ca="1" si="10"/>
        <v>252.60000000000002</v>
      </c>
      <c r="Q12" s="17">
        <f t="shared" ca="1" si="11"/>
        <v>-272.66931078463671</v>
      </c>
      <c r="R12" s="17">
        <f t="shared" ca="1" si="12"/>
        <v>588.83187979762113</v>
      </c>
      <c r="S12" s="17" cm="1">
        <f t="array" aca="1" ref="S12" ca="1">SUMIFS(MoveQty,MoveCode,$A12,MoveDate,"&gt;="&amp;$S$2,MoveDate,"&lt;"&amp;$S$3+1,MoveType,"Purchase")</f>
        <v>26</v>
      </c>
      <c r="T12" s="114" cm="1">
        <f t="array" aca="1" ref="T12" ca="1">-SUMIFS(MoveQty,MoveCode,$A12,MoveDate,"&gt;="&amp;$S$2,MoveDate,"&lt;"&amp;$S$3+1,MoveType,"Usage")</f>
        <v>33.519999999999996</v>
      </c>
      <c r="U12" s="114" cm="1">
        <f t="array" aca="1" ref="U12" ca="1">SUMIFS(MoveQty,MoveCode,$A12,MoveDate,"&gt;="&amp;$S$2,MoveDate,"&lt;"&amp;$S$3+1,MoveType,"Adjustment")</f>
        <v>75.260000000000005</v>
      </c>
      <c r="V12" s="114" cm="1">
        <f t="array" aca="1" ref="V12" ca="1">SUMIFS(MoveAmount,MoveCode,$A12,MoveDate,"&gt;="&amp;$S$2,MoveDate,"&lt;"&amp;$S$3+1,MoveType,"Purchase")</f>
        <v>252.60000000000002</v>
      </c>
      <c r="W12" s="114" cm="1">
        <f t="array" aca="1" ref="W12" ca="1">-SUMIFS(MoveAmount,MoveCode,$A12,MoveDate,"&gt;="&amp;$S$2,MoveDate,"&lt;"&amp;$S$3+1,MoveType,"Usage")</f>
        <v>272.66931078463671</v>
      </c>
      <c r="X12" s="114" cm="1">
        <f t="array" aca="1" ref="X12" ca="1">SUMIFS(MoveAmount,MoveCode,$A12,MoveDate,"&gt;="&amp;$S$2,MoveDate,"&lt;"&amp;$S$3+1,MoveType,"Adjustment")</f>
        <v>588.83187979762113</v>
      </c>
      <c r="Y12" s="114">
        <f t="shared" ca="1" si="13"/>
        <v>588.83187979762113</v>
      </c>
      <c r="Z12" s="114" cm="1">
        <f t="array" aca="1" ref="Z12" ca="1">SUMIFS(MovePrice,MoveCode,$A12,MoveDate,"&gt;="&amp;$S$2,MoveDate,"&lt;"&amp;$S$3+1,MoveType,"Purchase")</f>
        <v>-44.813021967953631</v>
      </c>
      <c r="AA12" s="114">
        <f t="shared" ca="1" si="14"/>
        <v>44.813021967953631</v>
      </c>
    </row>
    <row r="13" spans="1:27" ht="16.149999999999999" customHeight="1" x14ac:dyDescent="0.25">
      <c r="A13" s="3" t="s">
        <v>35</v>
      </c>
      <c r="B13" s="3" t="s">
        <v>36</v>
      </c>
      <c r="C13" s="39" t="s">
        <v>27</v>
      </c>
      <c r="D13" s="38">
        <v>15</v>
      </c>
      <c r="E13" s="38">
        <v>10</v>
      </c>
      <c r="F13" s="38" t="str">
        <f t="shared" si="0"/>
        <v>-</v>
      </c>
      <c r="G13" s="38">
        <f t="shared" si="1"/>
        <v>150</v>
      </c>
      <c r="H13" s="17">
        <f t="shared" ca="1" si="2"/>
        <v>0.99999999999999822</v>
      </c>
      <c r="I13" s="17">
        <f t="shared" ca="1" si="3"/>
        <v>23.24537956304809</v>
      </c>
      <c r="J13" s="17">
        <f t="shared" ca="1" si="4"/>
        <v>23.245379563048047</v>
      </c>
      <c r="K13" s="17">
        <f t="shared" ca="1" si="5"/>
        <v>15</v>
      </c>
      <c r="L13" s="17">
        <f t="shared" ca="1" si="6"/>
        <v>74</v>
      </c>
      <c r="M13" s="17">
        <f t="shared" ca="1" si="7"/>
        <v>-87.06</v>
      </c>
      <c r="N13" s="17">
        <f t="shared" ca="1" si="8"/>
        <v>-0.94</v>
      </c>
      <c r="O13" s="17">
        <f t="shared" ca="1" si="9"/>
        <v>150</v>
      </c>
      <c r="P13" s="17">
        <f t="shared" ca="1" si="10"/>
        <v>1006</v>
      </c>
      <c r="Q13" s="17">
        <f t="shared" ca="1" si="11"/>
        <v>-1118.7975358059257</v>
      </c>
      <c r="R13" s="17">
        <f t="shared" ca="1" si="12"/>
        <v>-13.957084631026166</v>
      </c>
      <c r="S13" s="17" cm="1">
        <f t="array" aca="1" ref="S13" ca="1">SUMIFS(MoveQty,MoveCode,$A13,MoveDate,"&gt;="&amp;$S$2,MoveDate,"&lt;"&amp;$S$3+1,MoveType,"Purchase")</f>
        <v>74</v>
      </c>
      <c r="T13" s="114" cm="1">
        <f t="array" aca="1" ref="T13" ca="1">-SUMIFS(MoveQty,MoveCode,$A13,MoveDate,"&gt;="&amp;$S$2,MoveDate,"&lt;"&amp;$S$3+1,MoveType,"Usage")</f>
        <v>87.06</v>
      </c>
      <c r="U13" s="114" cm="1">
        <f t="array" aca="1" ref="U13" ca="1">SUMIFS(MoveQty,MoveCode,$A13,MoveDate,"&gt;="&amp;$S$2,MoveDate,"&lt;"&amp;$S$3+1,MoveType,"Adjustment")</f>
        <v>-0.94</v>
      </c>
      <c r="V13" s="114" cm="1">
        <f t="array" aca="1" ref="V13" ca="1">SUMIFS(MoveAmount,MoveCode,$A13,MoveDate,"&gt;="&amp;$S$2,MoveDate,"&lt;"&amp;$S$3+1,MoveType,"Purchase")</f>
        <v>1006</v>
      </c>
      <c r="W13" s="114" cm="1">
        <f t="array" aca="1" ref="W13" ca="1">-SUMIFS(MoveAmount,MoveCode,$A13,MoveDate,"&gt;="&amp;$S$2,MoveDate,"&lt;"&amp;$S$3+1,MoveType,"Usage")</f>
        <v>1118.7975358059257</v>
      </c>
      <c r="X13" s="114" cm="1">
        <f t="array" aca="1" ref="X13" ca="1">SUMIFS(MoveAmount,MoveCode,$A13,MoveDate,"&gt;="&amp;$S$2,MoveDate,"&lt;"&amp;$S$3+1,MoveType,"Adjustment")</f>
        <v>-13.957084631026166</v>
      </c>
      <c r="Y13" s="114">
        <f t="shared" ca="1" si="13"/>
        <v>13.957084631026166</v>
      </c>
      <c r="Z13" s="114" cm="1">
        <f t="array" aca="1" ref="Z13" ca="1">SUMIFS(MovePrice,MoveCode,$A13,MoveDate,"&gt;="&amp;$S$2,MoveDate,"&lt;"&amp;$S$3+1,MoveType,"Purchase")</f>
        <v>-409.80759601286627</v>
      </c>
      <c r="AA13" s="114">
        <f t="shared" ca="1" si="14"/>
        <v>409.80759601286627</v>
      </c>
    </row>
  </sheetData>
  <phoneticPr fontId="2" type="noConversion"/>
  <conditionalFormatting sqref="A5">
    <cfRule type="expression" dxfId="84" priority="1">
      <formula>COUNTIF(StockError,"E1")&gt;0</formula>
    </cfRule>
  </conditionalFormatting>
  <dataValidations count="1">
    <dataValidation type="date" operator="greaterThan" allowBlank="1" showInputMessage="1" showErrorMessage="1" errorTitle="Invalid Date" error="Enter a valid date in accordance with the regional date settings that are specified in your System Control Panel." sqref="H2:H3" xr:uid="{00000000-0002-0000-0400-000000000000}">
      <formula1>40179</formula1>
    </dataValidation>
  </dataValidations>
  <pageMargins left="0.55118110236220474" right="0.55118110236220474" top="0.59055118110236227" bottom="0.59055118110236227" header="0.31496062992125984" footer="0.31496062992125984"/>
  <pageSetup paperSize="9" scale="60" fitToHeight="0" orientation="landscape" r:id="rId1"/>
  <headerFooter alignWithMargins="0">
    <oddFooter>&amp;C&amp;9Page &amp;P of &amp;N</oddFooter>
  </headerFooter>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T1042"/>
  <sheetViews>
    <sheetView zoomScale="95" zoomScaleNormal="95" workbookViewId="0">
      <pane ySplit="4" topLeftCell="A5" activePane="bottomLeft" state="frozen"/>
      <selection pane="bottomLeft" activeCell="A4" sqref="A4"/>
    </sheetView>
  </sheetViews>
  <sheetFormatPr defaultColWidth="9.140625" defaultRowHeight="16.149999999999999" customHeight="1" x14ac:dyDescent="0.25"/>
  <cols>
    <col min="1" max="2" width="12.7109375" style="37" customWidth="1"/>
    <col min="3" max="3" width="20.7109375" style="3" customWidth="1"/>
    <col min="4" max="4" width="10.7109375" style="78" customWidth="1"/>
    <col min="5" max="5" width="10.7109375" style="3" customWidth="1"/>
    <col min="6" max="6" width="12.7109375" style="38" customWidth="1"/>
    <col min="7" max="7" width="12.7109375" style="79" customWidth="1"/>
    <col min="8" max="8" width="8.7109375" style="80" customWidth="1"/>
    <col min="9" max="9" width="20.7109375" style="86" customWidth="1"/>
    <col min="10" max="10" width="12.7109375" style="80" customWidth="1"/>
    <col min="11" max="15" width="13.7109375" style="38" customWidth="1"/>
    <col min="16" max="17" width="13.7109375" style="79" customWidth="1"/>
    <col min="18" max="18" width="13.7109375" style="19" customWidth="1"/>
    <col min="19" max="19" width="13.7109375" style="79" customWidth="1"/>
    <col min="20" max="20" width="13.7109375" style="85" customWidth="1"/>
    <col min="21" max="27" width="12.7109375" style="3" customWidth="1"/>
    <col min="28" max="16384" width="9.140625" style="3"/>
  </cols>
  <sheetData>
    <row r="1" spans="1:20" s="27" customFormat="1" ht="16.149999999999999" customHeight="1" x14ac:dyDescent="0.25">
      <c r="A1" s="98" t="s">
        <v>119</v>
      </c>
      <c r="B1" s="24"/>
      <c r="D1" s="25"/>
      <c r="F1" s="26"/>
      <c r="G1" s="53"/>
      <c r="H1" s="54"/>
      <c r="I1" s="55"/>
      <c r="J1" s="54"/>
      <c r="K1" s="56"/>
      <c r="L1" s="56"/>
      <c r="M1" s="56"/>
      <c r="N1" s="56"/>
      <c r="O1" s="56"/>
      <c r="P1" s="53"/>
      <c r="Q1" s="56"/>
      <c r="R1" s="57"/>
      <c r="S1" s="79"/>
      <c r="T1" s="58"/>
    </row>
    <row r="2" spans="1:20" s="29" customFormat="1" ht="16.149999999999999" customHeight="1" x14ac:dyDescent="0.25">
      <c r="A2" s="28" t="s">
        <v>118</v>
      </c>
      <c r="B2" s="28"/>
      <c r="D2" s="28"/>
      <c r="F2" s="30"/>
      <c r="G2" s="59"/>
      <c r="H2" s="60"/>
      <c r="I2" s="61"/>
      <c r="J2" s="62"/>
      <c r="K2" s="30"/>
      <c r="L2" s="30"/>
      <c r="M2" s="30"/>
      <c r="N2" s="30"/>
      <c r="O2" s="30"/>
      <c r="P2" s="63"/>
      <c r="Q2" s="59"/>
      <c r="R2" s="64"/>
      <c r="S2" s="117"/>
      <c r="T2" s="60"/>
    </row>
    <row r="3" spans="1:20" s="29" customFormat="1" ht="16.149999999999999" customHeight="1" x14ac:dyDescent="0.25">
      <c r="A3" s="31" t="s">
        <v>44</v>
      </c>
      <c r="B3" s="31"/>
      <c r="C3" s="27"/>
      <c r="D3" s="28"/>
      <c r="F3" s="30"/>
      <c r="G3" s="65">
        <f>SUBTOTAL(109,InvMovement[[#Data],[Invoice Amount]])</f>
        <v>212244.59999999998</v>
      </c>
      <c r="H3" s="62"/>
      <c r="I3" s="66"/>
      <c r="J3" s="67"/>
      <c r="K3" s="56"/>
      <c r="L3" s="56"/>
      <c r="M3" s="68"/>
      <c r="N3" s="68"/>
      <c r="O3" s="65">
        <f ca="1">SUBTOTAL(109,InvMovement[[#Data],[Transaction Value]])</f>
        <v>13368.063491967647</v>
      </c>
      <c r="P3" s="63"/>
      <c r="Q3" s="65">
        <f ca="1">SUBTOTAL(109,InvMovement[[#Data],[Unit Price Variance]])</f>
        <v>-228.22167782027199</v>
      </c>
      <c r="R3" s="64"/>
      <c r="S3" s="117"/>
      <c r="T3" s="60"/>
    </row>
    <row r="4" spans="1:20" s="77" customFormat="1" ht="25.5" x14ac:dyDescent="0.2">
      <c r="A4" s="208" t="s">
        <v>106</v>
      </c>
      <c r="B4" s="69" t="s">
        <v>107</v>
      </c>
      <c r="C4" s="69" t="s">
        <v>113</v>
      </c>
      <c r="D4" s="69" t="s">
        <v>100</v>
      </c>
      <c r="E4" s="70" t="s">
        <v>51</v>
      </c>
      <c r="F4" s="71" t="s">
        <v>99</v>
      </c>
      <c r="G4" s="71" t="s">
        <v>105</v>
      </c>
      <c r="H4" s="72" t="s">
        <v>114</v>
      </c>
      <c r="I4" s="73" t="s">
        <v>85</v>
      </c>
      <c r="J4" s="74" t="s">
        <v>54</v>
      </c>
      <c r="K4" s="75" t="s">
        <v>109</v>
      </c>
      <c r="L4" s="75" t="s">
        <v>110</v>
      </c>
      <c r="M4" s="75" t="s">
        <v>111</v>
      </c>
      <c r="N4" s="75" t="s">
        <v>68</v>
      </c>
      <c r="O4" s="75" t="s">
        <v>112</v>
      </c>
      <c r="P4" s="75" t="s">
        <v>69</v>
      </c>
      <c r="Q4" s="75" t="s">
        <v>224</v>
      </c>
      <c r="R4" s="76" t="s">
        <v>57</v>
      </c>
      <c r="S4" s="50" t="s">
        <v>225</v>
      </c>
      <c r="T4" s="75" t="s">
        <v>108</v>
      </c>
    </row>
    <row r="5" spans="1:20" ht="16.149999999999999" customHeight="1" x14ac:dyDescent="0.25">
      <c r="A5" s="37">
        <v>44384</v>
      </c>
      <c r="B5" s="37" t="s">
        <v>101</v>
      </c>
      <c r="C5" s="3" t="s">
        <v>38</v>
      </c>
      <c r="D5" s="78" t="s">
        <v>64</v>
      </c>
      <c r="E5" s="3" t="s">
        <v>19</v>
      </c>
      <c r="F5" s="38">
        <v>5</v>
      </c>
      <c r="G5" s="79">
        <v>105</v>
      </c>
      <c r="H5" s="80" t="str">
        <f t="shared" ref="H5:H36" ca="1" si="0">IF(AND(ISBLANK(E5)=FALSE,ISNA(VLOOKUP(E5,StockCodeOnly,1,0))=TRUE),"E2",IF(AND(ISBLANK(B5)=FALSE,B5&lt;&gt;"Purchase",B5&lt;&gt;"Usage",B5&lt;&gt;"Adjustment"),"E3",IF(AND(B5="Usage",F5&gt;0),"E4",IF(OR(K5&lt;0,L5&lt;0),"E5","-"))))</f>
        <v>-</v>
      </c>
      <c r="I5" s="78" t="str">
        <f>IF(ISNA(VLOOKUP($E5,StockCode[],COLUMN(StockCodes!$B$3),0))=TRUE,"Invalid Stock Code",VLOOKUP($E5,StockCode[],COLUMN(StockCodes!$B$3),0))</f>
        <v>Plastic Wrap</v>
      </c>
      <c r="J5" s="39" t="str">
        <f>IF(ISNA(VLOOKUP($E5,StockCode[],COLUMN(StockCodes!$C$3),0))=TRUE,"-",VLOOKUP($E5,StockCode[],COLUMN(StockCodes!$C$3),0))</f>
        <v>Rolls</v>
      </c>
      <c r="K5" s="79">
        <f t="shared" ref="K5:K36" ca="1" si="1">SUMIFS(StockOpenQty,StockCodeOnly,$E5)+SUMIFS(MoveQty,MoveDate,"&lt;"&amp;$T5,MoveCode,$E5)</f>
        <v>2</v>
      </c>
      <c r="L5" s="79">
        <f t="shared" ref="L5:L36" ca="1" si="2">K5+F5</f>
        <v>7</v>
      </c>
      <c r="M5" s="79" cm="1">
        <f t="array" aca="1" ref="M5" ca="1">IF($K5=0,0,((SUMIFS(StockOpenQty,StockCodeOnly,$E5)*SUMIFS(StockOpenCost,StockCodeOnly,$E5))+SUMIFS(MoveAmount,MoveDate,"&lt;"&amp;$T5,MoveCode,$E5))/$K5)</f>
        <v>20</v>
      </c>
      <c r="N5" s="79">
        <f t="shared" ref="N5:N36" ca="1" si="3">IF(B5&lt;&gt;"Purchase",M5,IF(L5=0,0,((K5*M5)+G5)/(F5+K5)))</f>
        <v>20.714285714285715</v>
      </c>
      <c r="O5" s="79">
        <f t="shared" ref="O5:O36" si="4">IF(B5="Purchase",G5,N5*F5)</f>
        <v>105</v>
      </c>
      <c r="P5" s="38">
        <f t="shared" ref="P5:P36" si="5">IF(B5&lt;&gt;"Purchase",0,IF(F5=0,0,G5/F5))</f>
        <v>21</v>
      </c>
      <c r="Q5" s="79">
        <f t="shared" ref="Q5:Q36" ca="1" si="6">IF(B5&lt;&gt;"Purchase",0,IF(K5=0,0,M5-P5))</f>
        <v>-1</v>
      </c>
      <c r="R5" s="19">
        <f t="shared" ref="R5:R36" ca="1" si="7">IF(B5&lt;&gt;"Purchase",0,IF(M5=0,0,Q5/M5))</f>
        <v>-0.05</v>
      </c>
      <c r="S5" s="79">
        <f t="shared" ref="S5:S36" ca="1" si="8">Q5*F5</f>
        <v>-5</v>
      </c>
      <c r="T5" s="81">
        <f t="shared" ref="T5:T36" ca="1" si="9">IF(ISBLANK($A5)=TRUE,TODAY()+((ROW($A5)-(86400*ROUNDDOWN(ROW($A5)/86400,0)))/86400),$A5+((ROW($A5)-(86400*ROUNDDOWN(ROW($A5)/86400,0)))/86400))</f>
        <v>44384.000057870369</v>
      </c>
    </row>
    <row r="6" spans="1:20" ht="16.149999999999999" customHeight="1" x14ac:dyDescent="0.25">
      <c r="A6" s="37">
        <v>44384</v>
      </c>
      <c r="B6" s="37" t="s">
        <v>101</v>
      </c>
      <c r="C6" s="3" t="s">
        <v>43</v>
      </c>
      <c r="D6" s="78">
        <v>76868</v>
      </c>
      <c r="E6" s="3" t="s">
        <v>22</v>
      </c>
      <c r="F6" s="38">
        <v>2</v>
      </c>
      <c r="G6" s="79">
        <v>750</v>
      </c>
      <c r="H6" s="80" t="str">
        <f t="shared" ca="1" si="0"/>
        <v>-</v>
      </c>
      <c r="I6" s="78" t="str">
        <f>IF(ISNA(VLOOKUP($E6,StockCode[],COLUMN(StockCodes!$B$3),0))=TRUE,"Invalid Stock Code",VLOOKUP($E6,StockCode[],COLUMN(StockCodes!$B$3),0))</f>
        <v>Labels</v>
      </c>
      <c r="J6" s="39">
        <f>IF(ISNA(VLOOKUP($E6,StockCode[],COLUMN(StockCodes!$C$3),0))=TRUE,"-",VLOOKUP($E6,StockCode[],COLUMN(StockCodes!$C$3),0))</f>
        <v>1000</v>
      </c>
      <c r="K6" s="79">
        <f t="shared" ca="1" si="1"/>
        <v>1</v>
      </c>
      <c r="L6" s="79">
        <f t="shared" ca="1" si="2"/>
        <v>3</v>
      </c>
      <c r="M6" s="79" cm="1">
        <f t="array" aca="1" ref="M6" ca="1">IF($K6=0,0,((SUMIFS(StockOpenQty,StockCodeOnly,$E6)*SUMIFS(StockOpenCost,StockCodeOnly,$E6))+SUMIFS(MoveAmount,MoveDate,"&lt;"&amp;$T6,MoveCode,$E6))/$K6)</f>
        <v>350</v>
      </c>
      <c r="N6" s="79">
        <f t="shared" ca="1" si="3"/>
        <v>366.66666666666669</v>
      </c>
      <c r="O6" s="79">
        <f t="shared" si="4"/>
        <v>750</v>
      </c>
      <c r="P6" s="38">
        <f t="shared" si="5"/>
        <v>375</v>
      </c>
      <c r="Q6" s="79">
        <f t="shared" ca="1" si="6"/>
        <v>-25</v>
      </c>
      <c r="R6" s="19">
        <f t="shared" ca="1" si="7"/>
        <v>-7.1428571428571425E-2</v>
      </c>
      <c r="S6" s="79">
        <f t="shared" ca="1" si="8"/>
        <v>-50</v>
      </c>
      <c r="T6" s="81">
        <f t="shared" ca="1" si="9"/>
        <v>44384.000069444446</v>
      </c>
    </row>
    <row r="7" spans="1:20" ht="16.149999999999999" customHeight="1" x14ac:dyDescent="0.25">
      <c r="A7" s="37">
        <v>44384</v>
      </c>
      <c r="B7" s="37" t="s">
        <v>101</v>
      </c>
      <c r="C7" s="3" t="s">
        <v>39</v>
      </c>
      <c r="D7" s="78" t="s">
        <v>47</v>
      </c>
      <c r="E7" s="3" t="s">
        <v>23</v>
      </c>
      <c r="F7" s="38">
        <v>700</v>
      </c>
      <c r="G7" s="79">
        <v>700</v>
      </c>
      <c r="H7" s="80" t="str">
        <f t="shared" ca="1" si="0"/>
        <v>-</v>
      </c>
      <c r="I7" s="78" t="str">
        <f>IF(ISNA(VLOOKUP($E7,StockCode[],COLUMN(StockCodes!$B$3),0))=TRUE,"Invalid Stock Code",VLOOKUP($E7,StockCode[],COLUMN(StockCodes!$B$3),0))</f>
        <v>Boxes</v>
      </c>
      <c r="J7" s="39" t="str">
        <f>IF(ISNA(VLOOKUP($E7,StockCode[],COLUMN(StockCodes!$C$3),0))=TRUE,"-",VLOOKUP($E7,StockCode[],COLUMN(StockCodes!$C$3),0))</f>
        <v>Units</v>
      </c>
      <c r="K7" s="79">
        <f t="shared" ca="1" si="1"/>
        <v>600</v>
      </c>
      <c r="L7" s="79">
        <f t="shared" ca="1" si="2"/>
        <v>1300</v>
      </c>
      <c r="M7" s="79" cm="1">
        <f t="array" aca="1" ref="M7" ca="1">IF($K7=0,0,((SUMIFS(StockOpenQty,StockCodeOnly,$E7)*SUMIFS(StockOpenCost,StockCodeOnly,$E7))+SUMIFS(MoveAmount,MoveDate,"&lt;"&amp;$T7,MoveCode,$E7))/$K7)</f>
        <v>1.2</v>
      </c>
      <c r="N7" s="79">
        <f t="shared" ca="1" si="3"/>
        <v>1.0923076923076922</v>
      </c>
      <c r="O7" s="79">
        <f t="shared" si="4"/>
        <v>700</v>
      </c>
      <c r="P7" s="38">
        <f t="shared" si="5"/>
        <v>1</v>
      </c>
      <c r="Q7" s="79">
        <f t="shared" ca="1" si="6"/>
        <v>0.19999999999999996</v>
      </c>
      <c r="R7" s="19">
        <f t="shared" ca="1" si="7"/>
        <v>0.16666666666666663</v>
      </c>
      <c r="S7" s="79">
        <f t="shared" ca="1" si="8"/>
        <v>139.99999999999997</v>
      </c>
      <c r="T7" s="81">
        <f t="shared" ca="1" si="9"/>
        <v>44384.000081018516</v>
      </c>
    </row>
    <row r="8" spans="1:20" ht="16.149999999999999" customHeight="1" x14ac:dyDescent="0.25">
      <c r="A8" s="37">
        <v>44384</v>
      </c>
      <c r="B8" s="37" t="s">
        <v>101</v>
      </c>
      <c r="C8" s="3" t="s">
        <v>42</v>
      </c>
      <c r="D8" s="78">
        <v>5765765</v>
      </c>
      <c r="E8" s="3" t="s">
        <v>25</v>
      </c>
      <c r="F8" s="38">
        <v>400</v>
      </c>
      <c r="G8" s="79">
        <v>21760</v>
      </c>
      <c r="H8" s="80" t="str">
        <f t="shared" ca="1" si="0"/>
        <v>-</v>
      </c>
      <c r="I8" s="78" t="str">
        <f>IF(ISNA(VLOOKUP($E8,StockCode[],COLUMN(StockCodes!$B$3),0))=TRUE,"Invalid Stock Code",VLOOKUP($E8,StockCode[],COLUMN(StockCodes!$B$3),0))</f>
        <v>Meat</v>
      </c>
      <c r="J8" s="39" t="str">
        <f>IF(ISNA(VLOOKUP($E8,StockCode[],COLUMN(StockCodes!$C$3),0))=TRUE,"-",VLOOKUP($E8,StockCode[],COLUMN(StockCodes!$C$3),0))</f>
        <v>Kg</v>
      </c>
      <c r="K8" s="79">
        <f t="shared" ca="1" si="1"/>
        <v>300</v>
      </c>
      <c r="L8" s="79">
        <f t="shared" ca="1" si="2"/>
        <v>700</v>
      </c>
      <c r="M8" s="79" cm="1">
        <f t="array" aca="1" ref="M8" ca="1">IF($K8=0,0,((SUMIFS(StockOpenQty,StockCodeOnly,$E8)*SUMIFS(StockOpenCost,StockCodeOnly,$E8))+SUMIFS(MoveAmount,MoveDate,"&lt;"&amp;$T8,MoveCode,$E8))/$K8)</f>
        <v>50</v>
      </c>
      <c r="N8" s="79">
        <f t="shared" ca="1" si="3"/>
        <v>52.514285714285712</v>
      </c>
      <c r="O8" s="79">
        <f t="shared" si="4"/>
        <v>21760</v>
      </c>
      <c r="P8" s="38">
        <f t="shared" si="5"/>
        <v>54.4</v>
      </c>
      <c r="Q8" s="79">
        <f t="shared" ca="1" si="6"/>
        <v>-4.3999999999999986</v>
      </c>
      <c r="R8" s="19">
        <f t="shared" ca="1" si="7"/>
        <v>-8.7999999999999967E-2</v>
      </c>
      <c r="S8" s="79">
        <f t="shared" ca="1" si="8"/>
        <v>-1759.9999999999995</v>
      </c>
      <c r="T8" s="81">
        <f t="shared" ca="1" si="9"/>
        <v>44384.000092592592</v>
      </c>
    </row>
    <row r="9" spans="1:20" ht="16.149999999999999" customHeight="1" x14ac:dyDescent="0.25">
      <c r="A9" s="37">
        <v>44384</v>
      </c>
      <c r="B9" s="37" t="s">
        <v>101</v>
      </c>
      <c r="C9" s="3" t="s">
        <v>40</v>
      </c>
      <c r="D9" s="78">
        <v>67887</v>
      </c>
      <c r="E9" s="3" t="s">
        <v>28</v>
      </c>
      <c r="F9" s="38">
        <v>45</v>
      </c>
      <c r="G9" s="79">
        <v>1800</v>
      </c>
      <c r="H9" s="80" t="str">
        <f t="shared" ca="1" si="0"/>
        <v>-</v>
      </c>
      <c r="I9" s="78" t="str">
        <f>IF(ISNA(VLOOKUP($E9,StockCode[],COLUMN(StockCodes!$B$3),0))=TRUE,"Invalid Stock Code",VLOOKUP($E9,StockCode[],COLUMN(StockCodes!$B$3),0))</f>
        <v>Bread Rolls</v>
      </c>
      <c r="J9" s="39" t="str">
        <f>IF(ISNA(VLOOKUP($E9,StockCode[],COLUMN(StockCodes!$C$3),0))=TRUE,"-",VLOOKUP($E9,StockCode[],COLUMN(StockCodes!$C$3),0))</f>
        <v>Dozen</v>
      </c>
      <c r="K9" s="79">
        <f t="shared" ca="1" si="1"/>
        <v>50</v>
      </c>
      <c r="L9" s="79">
        <f t="shared" ca="1" si="2"/>
        <v>95</v>
      </c>
      <c r="M9" s="79" cm="1">
        <f t="array" aca="1" ref="M9" ca="1">IF($K9=0,0,((SUMIFS(StockOpenQty,StockCodeOnly,$E9)*SUMIFS(StockOpenCost,StockCodeOnly,$E9))+SUMIFS(MoveAmount,MoveDate,"&lt;"&amp;$T9,MoveCode,$E9))/$K9)</f>
        <v>36</v>
      </c>
      <c r="N9" s="79">
        <f t="shared" ca="1" si="3"/>
        <v>37.89473684210526</v>
      </c>
      <c r="O9" s="79">
        <f t="shared" si="4"/>
        <v>1800</v>
      </c>
      <c r="P9" s="38">
        <f t="shared" si="5"/>
        <v>40</v>
      </c>
      <c r="Q9" s="79">
        <f t="shared" ca="1" si="6"/>
        <v>-4</v>
      </c>
      <c r="R9" s="19">
        <f t="shared" ca="1" si="7"/>
        <v>-0.1111111111111111</v>
      </c>
      <c r="S9" s="79">
        <f t="shared" ca="1" si="8"/>
        <v>-180</v>
      </c>
      <c r="T9" s="81">
        <f t="shared" ca="1" si="9"/>
        <v>44384.000104166669</v>
      </c>
    </row>
    <row r="10" spans="1:20" ht="16.149999999999999" customHeight="1" x14ac:dyDescent="0.25">
      <c r="A10" s="37">
        <v>44384</v>
      </c>
      <c r="B10" s="37" t="s">
        <v>101</v>
      </c>
      <c r="C10" s="3" t="s">
        <v>41</v>
      </c>
      <c r="D10" s="78" t="s">
        <v>64</v>
      </c>
      <c r="E10" s="3" t="s">
        <v>31</v>
      </c>
      <c r="F10" s="38">
        <v>11</v>
      </c>
      <c r="G10" s="79">
        <v>59</v>
      </c>
      <c r="H10" s="80" t="str">
        <f t="shared" ca="1" si="0"/>
        <v>-</v>
      </c>
      <c r="I10" s="78" t="str">
        <f>IF(ISNA(VLOOKUP($E10,StockCode[],COLUMN(StockCodes!$B$3),0))=TRUE,"Invalid Stock Code",VLOOKUP($E10,StockCode[],COLUMN(StockCodes!$B$3),0))</f>
        <v>Lettuce</v>
      </c>
      <c r="J10" s="39" t="str">
        <f>IF(ISNA(VLOOKUP($E10,StockCode[],COLUMN(StockCodes!$C$3),0))=TRUE,"-",VLOOKUP($E10,StockCode[],COLUMN(StockCodes!$C$3),0))</f>
        <v>Kg</v>
      </c>
      <c r="K10" s="79">
        <f t="shared" ca="1" si="1"/>
        <v>10</v>
      </c>
      <c r="L10" s="79">
        <f t="shared" ca="1" si="2"/>
        <v>21</v>
      </c>
      <c r="M10" s="79" cm="1">
        <f t="array" aca="1" ref="M10" ca="1">IF($K10=0,0,((SUMIFS(StockOpenQty,StockCodeOnly,$E10)*SUMIFS(StockOpenCost,StockCodeOnly,$E10))+SUMIFS(MoveAmount,MoveDate,"&lt;"&amp;$T10,MoveCode,$E10))/$K10)</f>
        <v>5</v>
      </c>
      <c r="N10" s="79">
        <f t="shared" ca="1" si="3"/>
        <v>5.1904761904761907</v>
      </c>
      <c r="O10" s="79">
        <f t="shared" si="4"/>
        <v>59</v>
      </c>
      <c r="P10" s="38">
        <f t="shared" si="5"/>
        <v>5.3636363636363633</v>
      </c>
      <c r="Q10" s="79">
        <f t="shared" ca="1" si="6"/>
        <v>-0.36363636363636331</v>
      </c>
      <c r="R10" s="19">
        <f t="shared" ca="1" si="7"/>
        <v>-7.2727272727272668E-2</v>
      </c>
      <c r="S10" s="79">
        <f t="shared" ca="1" si="8"/>
        <v>-3.9999999999999964</v>
      </c>
      <c r="T10" s="81">
        <f t="shared" ca="1" si="9"/>
        <v>44384.000115740739</v>
      </c>
    </row>
    <row r="11" spans="1:20" ht="16.149999999999999" customHeight="1" x14ac:dyDescent="0.25">
      <c r="A11" s="37">
        <v>44384</v>
      </c>
      <c r="B11" s="37" t="s">
        <v>101</v>
      </c>
      <c r="C11" s="3" t="s">
        <v>41</v>
      </c>
      <c r="D11" s="78">
        <v>76868</v>
      </c>
      <c r="E11" s="3" t="s">
        <v>33</v>
      </c>
      <c r="F11" s="38">
        <v>9</v>
      </c>
      <c r="G11" s="79">
        <v>75</v>
      </c>
      <c r="H11" s="80" t="str">
        <f t="shared" ca="1" si="0"/>
        <v>-</v>
      </c>
      <c r="I11" s="78" t="str">
        <f>IF(ISNA(VLOOKUP($E11,StockCode[],COLUMN(StockCodes!$B$3),0))=TRUE,"Invalid Stock Code",VLOOKUP($E11,StockCode[],COLUMN(StockCodes!$B$3),0))</f>
        <v>Gurkins</v>
      </c>
      <c r="J11" s="39" t="str">
        <f>IF(ISNA(VLOOKUP($E11,StockCode[],COLUMN(StockCodes!$C$3),0))=TRUE,"-",VLOOKUP($E11,StockCode[],COLUMN(StockCodes!$C$3),0))</f>
        <v>Kg</v>
      </c>
      <c r="K11" s="79">
        <f t="shared" ca="1" si="1"/>
        <v>10</v>
      </c>
      <c r="L11" s="79">
        <f t="shared" ca="1" si="2"/>
        <v>19</v>
      </c>
      <c r="M11" s="79" cm="1">
        <f t="array" aca="1" ref="M11" ca="1">IF($K11=0,0,((SUMIFS(StockOpenQty,StockCodeOnly,$E11)*SUMIFS(StockOpenCost,StockCodeOnly,$E11))+SUMIFS(MoveAmount,MoveDate,"&lt;"&amp;$T11,MoveCode,$E11))/$K11)</f>
        <v>8</v>
      </c>
      <c r="N11" s="79">
        <f t="shared" ca="1" si="3"/>
        <v>8.1578947368421044</v>
      </c>
      <c r="O11" s="79">
        <f t="shared" si="4"/>
        <v>75</v>
      </c>
      <c r="P11" s="38">
        <f t="shared" si="5"/>
        <v>8.3333333333333339</v>
      </c>
      <c r="Q11" s="79">
        <f t="shared" ca="1" si="6"/>
        <v>-0.33333333333333393</v>
      </c>
      <c r="R11" s="19">
        <f t="shared" ca="1" si="7"/>
        <v>-4.1666666666666741E-2</v>
      </c>
      <c r="S11" s="79">
        <f t="shared" ca="1" si="8"/>
        <v>-3.0000000000000053</v>
      </c>
      <c r="T11" s="81">
        <f t="shared" ca="1" si="9"/>
        <v>44384.000127314815</v>
      </c>
    </row>
    <row r="12" spans="1:20" ht="16.149999999999999" customHeight="1" x14ac:dyDescent="0.25">
      <c r="A12" s="37">
        <v>44384</v>
      </c>
      <c r="B12" s="37" t="s">
        <v>101</v>
      </c>
      <c r="C12" s="3" t="s">
        <v>41</v>
      </c>
      <c r="D12" s="78" t="s">
        <v>47</v>
      </c>
      <c r="E12" s="3" t="s">
        <v>35</v>
      </c>
      <c r="F12" s="38">
        <v>20</v>
      </c>
      <c r="G12" s="79">
        <v>0</v>
      </c>
      <c r="H12" s="80" t="str">
        <f t="shared" ca="1" si="0"/>
        <v>-</v>
      </c>
      <c r="I12" s="78" t="str">
        <f>IF(ISNA(VLOOKUP($E12,StockCode[],COLUMN(StockCodes!$B$3),0))=TRUE,"Invalid Stock Code",VLOOKUP($E12,StockCode[],COLUMN(StockCodes!$B$3),0))</f>
        <v>Onions</v>
      </c>
      <c r="J12" s="39" t="str">
        <f>IF(ISNA(VLOOKUP($E12,StockCode[],COLUMN(StockCodes!$C$3),0))=TRUE,"-",VLOOKUP($E12,StockCode[],COLUMN(StockCodes!$C$3),0))</f>
        <v>Kg</v>
      </c>
      <c r="K12" s="79">
        <f t="shared" ca="1" si="1"/>
        <v>15</v>
      </c>
      <c r="L12" s="79">
        <f t="shared" ca="1" si="2"/>
        <v>35</v>
      </c>
      <c r="M12" s="79" cm="1">
        <f t="array" aca="1" ref="M12" ca="1">IF($K12=0,0,((SUMIFS(StockOpenQty,StockCodeOnly,$E12)*SUMIFS(StockOpenCost,StockCodeOnly,$E12))+SUMIFS(MoveAmount,MoveDate,"&lt;"&amp;$T12,MoveCode,$E12))/$K12)</f>
        <v>10</v>
      </c>
      <c r="N12" s="79">
        <f t="shared" ca="1" si="3"/>
        <v>4.2857142857142856</v>
      </c>
      <c r="O12" s="79">
        <f t="shared" si="4"/>
        <v>0</v>
      </c>
      <c r="P12" s="38">
        <f t="shared" si="5"/>
        <v>0</v>
      </c>
      <c r="Q12" s="79">
        <f t="shared" ca="1" si="6"/>
        <v>10</v>
      </c>
      <c r="R12" s="19">
        <f t="shared" ca="1" si="7"/>
        <v>1</v>
      </c>
      <c r="S12" s="79">
        <f t="shared" ca="1" si="8"/>
        <v>200</v>
      </c>
      <c r="T12" s="81">
        <f t="shared" ca="1" si="9"/>
        <v>44384.000138888892</v>
      </c>
    </row>
    <row r="13" spans="1:20" ht="16.149999999999999" customHeight="1" x14ac:dyDescent="0.25">
      <c r="A13" s="37">
        <v>44386</v>
      </c>
      <c r="B13" s="37" t="s">
        <v>102</v>
      </c>
      <c r="C13" s="3" t="s">
        <v>104</v>
      </c>
      <c r="D13" s="78" t="s">
        <v>104</v>
      </c>
      <c r="E13" s="3" t="s">
        <v>19</v>
      </c>
      <c r="F13" s="38">
        <v>-1.1100000000000001</v>
      </c>
      <c r="G13" s="79">
        <v>0</v>
      </c>
      <c r="H13" s="80" t="str">
        <f t="shared" ca="1" si="0"/>
        <v>-</v>
      </c>
      <c r="I13" s="25" t="str">
        <f>IF(ISNA(VLOOKUP($E13,StockCode[],COLUMN(StockCodes!$B$3),0))=TRUE,"Invalid Stock Code",VLOOKUP($E13,StockCode[],COLUMN(StockCodes!$B$3),0))</f>
        <v>Plastic Wrap</v>
      </c>
      <c r="J13" s="39" t="str">
        <f>IF(ISNA(VLOOKUP($E13,StockCode[],COLUMN(StockCodes!$C$3),0))=TRUE,"-",VLOOKUP($E13,StockCode[],COLUMN(StockCodes!$C$3),0))</f>
        <v>Rolls</v>
      </c>
      <c r="K13" s="82">
        <f t="shared" ca="1" si="1"/>
        <v>7</v>
      </c>
      <c r="L13" s="82">
        <f t="shared" ca="1" si="2"/>
        <v>5.89</v>
      </c>
      <c r="M13" s="79" cm="1">
        <f t="array" aca="1" ref="M13" ca="1">IF($K13=0,0,((SUMIFS(StockOpenQty,StockCodeOnly,$E13)*SUMIFS(StockOpenCost,StockCodeOnly,$E13))+SUMIFS(MoveAmount,MoveDate,"&lt;"&amp;$T13,MoveCode,$E13))/$K13)</f>
        <v>20.714285714285715</v>
      </c>
      <c r="N13" s="82">
        <f t="shared" ca="1" si="3"/>
        <v>20.714285714285715</v>
      </c>
      <c r="O13" s="82">
        <f t="shared" ca="1" si="4"/>
        <v>-22.992857142857147</v>
      </c>
      <c r="P13" s="83">
        <f t="shared" si="5"/>
        <v>0</v>
      </c>
      <c r="Q13" s="79">
        <f t="shared" si="6"/>
        <v>0</v>
      </c>
      <c r="R13" s="19">
        <f t="shared" si="7"/>
        <v>0</v>
      </c>
      <c r="S13" s="79">
        <f t="shared" si="8"/>
        <v>0</v>
      </c>
      <c r="T13" s="81">
        <f t="shared" ca="1" si="9"/>
        <v>44386.000150462962</v>
      </c>
    </row>
    <row r="14" spans="1:20" ht="16.149999999999999" customHeight="1" x14ac:dyDescent="0.25">
      <c r="A14" s="37">
        <v>44386</v>
      </c>
      <c r="B14" s="37" t="s">
        <v>102</v>
      </c>
      <c r="C14" s="3" t="s">
        <v>104</v>
      </c>
      <c r="D14" s="78" t="s">
        <v>104</v>
      </c>
      <c r="E14" s="3" t="s">
        <v>22</v>
      </c>
      <c r="F14" s="38">
        <v>-0.53</v>
      </c>
      <c r="G14" s="79">
        <v>0</v>
      </c>
      <c r="H14" s="80" t="str">
        <f t="shared" ca="1" si="0"/>
        <v>-</v>
      </c>
      <c r="I14" s="25" t="str">
        <f>IF(ISNA(VLOOKUP($E14,StockCode[],COLUMN(StockCodes!$B$3),0))=TRUE,"Invalid Stock Code",VLOOKUP($E14,StockCode[],COLUMN(StockCodes!$B$3),0))</f>
        <v>Labels</v>
      </c>
      <c r="J14" s="39">
        <f>IF(ISNA(VLOOKUP($E14,StockCode[],COLUMN(StockCodes!$C$3),0))=TRUE,"-",VLOOKUP($E14,StockCode[],COLUMN(StockCodes!$C$3),0))</f>
        <v>1000</v>
      </c>
      <c r="K14" s="82">
        <f t="shared" ca="1" si="1"/>
        <v>3</v>
      </c>
      <c r="L14" s="82">
        <f t="shared" ca="1" si="2"/>
        <v>2.4699999999999998</v>
      </c>
      <c r="M14" s="79" cm="1">
        <f t="array" aca="1" ref="M14" ca="1">IF($K14=0,0,((SUMIFS(StockOpenQty,StockCodeOnly,$E14)*SUMIFS(StockOpenCost,StockCodeOnly,$E14))+SUMIFS(MoveAmount,MoveDate,"&lt;"&amp;$T14,MoveCode,$E14))/$K14)</f>
        <v>366.66666666666669</v>
      </c>
      <c r="N14" s="82">
        <f t="shared" ca="1" si="3"/>
        <v>366.66666666666669</v>
      </c>
      <c r="O14" s="82">
        <f t="shared" ca="1" si="4"/>
        <v>-194.33333333333334</v>
      </c>
      <c r="P14" s="83">
        <f t="shared" si="5"/>
        <v>0</v>
      </c>
      <c r="Q14" s="79">
        <f t="shared" si="6"/>
        <v>0</v>
      </c>
      <c r="R14" s="19">
        <f t="shared" si="7"/>
        <v>0</v>
      </c>
      <c r="S14" s="79">
        <f t="shared" si="8"/>
        <v>0</v>
      </c>
      <c r="T14" s="81">
        <f t="shared" ca="1" si="9"/>
        <v>44386.000162037039</v>
      </c>
    </row>
    <row r="15" spans="1:20" ht="16.149999999999999" customHeight="1" x14ac:dyDescent="0.25">
      <c r="A15" s="37">
        <v>44386</v>
      </c>
      <c r="B15" s="37" t="s">
        <v>102</v>
      </c>
      <c r="C15" s="3" t="s">
        <v>104</v>
      </c>
      <c r="D15" s="78" t="s">
        <v>104</v>
      </c>
      <c r="E15" s="3" t="s">
        <v>23</v>
      </c>
      <c r="F15" s="38">
        <v>-526.32000000000005</v>
      </c>
      <c r="G15" s="79">
        <v>0</v>
      </c>
      <c r="H15" s="80" t="str">
        <f t="shared" ca="1" si="0"/>
        <v>-</v>
      </c>
      <c r="I15" s="25" t="str">
        <f>IF(ISNA(VLOOKUP($E15,StockCode[],COLUMN(StockCodes!$B$3),0))=TRUE,"Invalid Stock Code",VLOOKUP($E15,StockCode[],COLUMN(StockCodes!$B$3),0))</f>
        <v>Boxes</v>
      </c>
      <c r="J15" s="39" t="str">
        <f>IF(ISNA(VLOOKUP($E15,StockCode[],COLUMN(StockCodes!$C$3),0))=TRUE,"-",VLOOKUP($E15,StockCode[],COLUMN(StockCodes!$C$3),0))</f>
        <v>Units</v>
      </c>
      <c r="K15" s="82">
        <f t="shared" ca="1" si="1"/>
        <v>1300</v>
      </c>
      <c r="L15" s="82">
        <f t="shared" ca="1" si="2"/>
        <v>773.68</v>
      </c>
      <c r="M15" s="79" cm="1">
        <f t="array" aca="1" ref="M15" ca="1">IF($K15=0,0,((SUMIFS(StockOpenQty,StockCodeOnly,$E15)*SUMIFS(StockOpenCost,StockCodeOnly,$E15))+SUMIFS(MoveAmount,MoveDate,"&lt;"&amp;$T15,MoveCode,$E15))/$K15)</f>
        <v>1.0923076923076922</v>
      </c>
      <c r="N15" s="82">
        <f t="shared" ca="1" si="3"/>
        <v>1.0923076923076922</v>
      </c>
      <c r="O15" s="82">
        <f t="shared" ca="1" si="4"/>
        <v>-574.90338461538465</v>
      </c>
      <c r="P15" s="83">
        <f t="shared" si="5"/>
        <v>0</v>
      </c>
      <c r="Q15" s="79">
        <f t="shared" si="6"/>
        <v>0</v>
      </c>
      <c r="R15" s="19">
        <f t="shared" si="7"/>
        <v>0</v>
      </c>
      <c r="S15" s="79">
        <f t="shared" si="8"/>
        <v>0</v>
      </c>
      <c r="T15" s="81">
        <f t="shared" ca="1" si="9"/>
        <v>44386.000173611108</v>
      </c>
    </row>
    <row r="16" spans="1:20" ht="16.149999999999999" customHeight="1" x14ac:dyDescent="0.25">
      <c r="A16" s="37">
        <v>44386</v>
      </c>
      <c r="B16" s="37" t="s">
        <v>102</v>
      </c>
      <c r="C16" s="3" t="s">
        <v>104</v>
      </c>
      <c r="D16" s="78" t="s">
        <v>104</v>
      </c>
      <c r="E16" s="3" t="s">
        <v>25</v>
      </c>
      <c r="F16" s="38">
        <v>-250</v>
      </c>
      <c r="G16" s="79">
        <v>0</v>
      </c>
      <c r="H16" s="80" t="str">
        <f t="shared" ca="1" si="0"/>
        <v>-</v>
      </c>
      <c r="I16" s="25" t="str">
        <f>IF(ISNA(VLOOKUP($E16,StockCode[],COLUMN(StockCodes!$B$3),0))=TRUE,"Invalid Stock Code",VLOOKUP($E16,StockCode[],COLUMN(StockCodes!$B$3),0))</f>
        <v>Meat</v>
      </c>
      <c r="J16" s="39" t="str">
        <f>IF(ISNA(VLOOKUP($E16,StockCode[],COLUMN(StockCodes!$C$3),0))=TRUE,"-",VLOOKUP($E16,StockCode[],COLUMN(StockCodes!$C$3),0))</f>
        <v>Kg</v>
      </c>
      <c r="K16" s="82">
        <f t="shared" ca="1" si="1"/>
        <v>700</v>
      </c>
      <c r="L16" s="82">
        <f t="shared" ca="1" si="2"/>
        <v>450</v>
      </c>
      <c r="M16" s="79" cm="1">
        <f t="array" aca="1" ref="M16" ca="1">IF($K16=0,0,((SUMIFS(StockOpenQty,StockCodeOnly,$E16)*SUMIFS(StockOpenCost,StockCodeOnly,$E16))+SUMIFS(MoveAmount,MoveDate,"&lt;"&amp;$T16,MoveCode,$E16))/$K16)</f>
        <v>52.514285714285712</v>
      </c>
      <c r="N16" s="82">
        <f t="shared" ca="1" si="3"/>
        <v>52.514285714285712</v>
      </c>
      <c r="O16" s="82">
        <f t="shared" ca="1" si="4"/>
        <v>-13128.571428571428</v>
      </c>
      <c r="P16" s="83">
        <f t="shared" si="5"/>
        <v>0</v>
      </c>
      <c r="Q16" s="79">
        <f t="shared" si="6"/>
        <v>0</v>
      </c>
      <c r="R16" s="19">
        <f t="shared" si="7"/>
        <v>0</v>
      </c>
      <c r="S16" s="79">
        <f t="shared" si="8"/>
        <v>0</v>
      </c>
      <c r="T16" s="81">
        <f t="shared" ca="1" si="9"/>
        <v>44386.000185185185</v>
      </c>
    </row>
    <row r="17" spans="1:20" ht="16.149999999999999" customHeight="1" x14ac:dyDescent="0.25">
      <c r="A17" s="37">
        <v>44386</v>
      </c>
      <c r="B17" s="37" t="s">
        <v>102</v>
      </c>
      <c r="C17" s="3" t="s">
        <v>104</v>
      </c>
      <c r="D17" s="78" t="s">
        <v>104</v>
      </c>
      <c r="E17" s="3" t="s">
        <v>28</v>
      </c>
      <c r="F17" s="38">
        <v>-43.86</v>
      </c>
      <c r="G17" s="79">
        <v>0</v>
      </c>
      <c r="H17" s="80" t="str">
        <f t="shared" ca="1" si="0"/>
        <v>-</v>
      </c>
      <c r="I17" s="25" t="str">
        <f>IF(ISNA(VLOOKUP($E17,StockCode[],COLUMN(StockCodes!$B$3),0))=TRUE,"Invalid Stock Code",VLOOKUP($E17,StockCode[],COLUMN(StockCodes!$B$3),0))</f>
        <v>Bread Rolls</v>
      </c>
      <c r="J17" s="39" t="str">
        <f>IF(ISNA(VLOOKUP($E17,StockCode[],COLUMN(StockCodes!$C$3),0))=TRUE,"-",VLOOKUP($E17,StockCode[],COLUMN(StockCodes!$C$3),0))</f>
        <v>Dozen</v>
      </c>
      <c r="K17" s="82">
        <f t="shared" ca="1" si="1"/>
        <v>95</v>
      </c>
      <c r="L17" s="82">
        <f t="shared" ca="1" si="2"/>
        <v>51.14</v>
      </c>
      <c r="M17" s="79" cm="1">
        <f t="array" aca="1" ref="M17" ca="1">IF($K17=0,0,((SUMIFS(StockOpenQty,StockCodeOnly,$E17)*SUMIFS(StockOpenCost,StockCodeOnly,$E17))+SUMIFS(MoveAmount,MoveDate,"&lt;"&amp;$T17,MoveCode,$E17))/$K17)</f>
        <v>37.89473684210526</v>
      </c>
      <c r="N17" s="82">
        <f t="shared" ca="1" si="3"/>
        <v>37.89473684210526</v>
      </c>
      <c r="O17" s="82">
        <f t="shared" ca="1" si="4"/>
        <v>-1662.0631578947366</v>
      </c>
      <c r="P17" s="83">
        <f t="shared" si="5"/>
        <v>0</v>
      </c>
      <c r="Q17" s="79">
        <f t="shared" si="6"/>
        <v>0</v>
      </c>
      <c r="R17" s="19">
        <f t="shared" si="7"/>
        <v>0</v>
      </c>
      <c r="S17" s="79">
        <f t="shared" si="8"/>
        <v>0</v>
      </c>
      <c r="T17" s="81">
        <f t="shared" ca="1" si="9"/>
        <v>44386.000196759262</v>
      </c>
    </row>
    <row r="18" spans="1:20" ht="16.149999999999999" customHeight="1" x14ac:dyDescent="0.25">
      <c r="A18" s="37">
        <v>44386</v>
      </c>
      <c r="B18" s="37" t="s">
        <v>102</v>
      </c>
      <c r="C18" s="3" t="s">
        <v>104</v>
      </c>
      <c r="D18" s="78" t="s">
        <v>104</v>
      </c>
      <c r="E18" s="3" t="s">
        <v>31</v>
      </c>
      <c r="F18" s="38">
        <v>-5.56</v>
      </c>
      <c r="G18" s="79">
        <v>0</v>
      </c>
      <c r="H18" s="80" t="str">
        <f t="shared" ca="1" si="0"/>
        <v>-</v>
      </c>
      <c r="I18" s="25" t="str">
        <f>IF(ISNA(VLOOKUP($E18,StockCode[],COLUMN(StockCodes!$B$3),0))=TRUE,"Invalid Stock Code",VLOOKUP($E18,StockCode[],COLUMN(StockCodes!$B$3),0))</f>
        <v>Lettuce</v>
      </c>
      <c r="J18" s="39" t="str">
        <f>IF(ISNA(VLOOKUP($E18,StockCode[],COLUMN(StockCodes!$C$3),0))=TRUE,"-",VLOOKUP($E18,StockCode[],COLUMN(StockCodes!$C$3),0))</f>
        <v>Kg</v>
      </c>
      <c r="K18" s="82">
        <f t="shared" ca="1" si="1"/>
        <v>21</v>
      </c>
      <c r="L18" s="82">
        <f t="shared" ca="1" si="2"/>
        <v>15.440000000000001</v>
      </c>
      <c r="M18" s="79" cm="1">
        <f t="array" aca="1" ref="M18" ca="1">IF($K18=0,0,((SUMIFS(StockOpenQty,StockCodeOnly,$E18)*SUMIFS(StockOpenCost,StockCodeOnly,$E18))+SUMIFS(MoveAmount,MoveDate,"&lt;"&amp;$T18,MoveCode,$E18))/$K18)</f>
        <v>5.1904761904761907</v>
      </c>
      <c r="N18" s="82">
        <f t="shared" ca="1" si="3"/>
        <v>5.1904761904761907</v>
      </c>
      <c r="O18" s="82">
        <f t="shared" ca="1" si="4"/>
        <v>-28.859047619047619</v>
      </c>
      <c r="P18" s="83">
        <f t="shared" si="5"/>
        <v>0</v>
      </c>
      <c r="Q18" s="79">
        <f t="shared" si="6"/>
        <v>0</v>
      </c>
      <c r="R18" s="19">
        <f t="shared" si="7"/>
        <v>0</v>
      </c>
      <c r="S18" s="79">
        <f t="shared" si="8"/>
        <v>0</v>
      </c>
      <c r="T18" s="81">
        <f t="shared" ca="1" si="9"/>
        <v>44386.000208333331</v>
      </c>
    </row>
    <row r="19" spans="1:20" ht="16.149999999999999" customHeight="1" x14ac:dyDescent="0.25">
      <c r="A19" s="37">
        <v>44386</v>
      </c>
      <c r="B19" s="37" t="s">
        <v>102</v>
      </c>
      <c r="C19" s="3" t="s">
        <v>104</v>
      </c>
      <c r="D19" s="78" t="s">
        <v>104</v>
      </c>
      <c r="E19" s="3" t="s">
        <v>33</v>
      </c>
      <c r="F19" s="38">
        <v>-5.26</v>
      </c>
      <c r="G19" s="79">
        <v>0</v>
      </c>
      <c r="H19" s="80" t="str">
        <f t="shared" ca="1" si="0"/>
        <v>-</v>
      </c>
      <c r="I19" s="25" t="str">
        <f>IF(ISNA(VLOOKUP($E19,StockCode[],COLUMN(StockCodes!$B$3),0))=TRUE,"Invalid Stock Code",VLOOKUP($E19,StockCode[],COLUMN(StockCodes!$B$3),0))</f>
        <v>Gurkins</v>
      </c>
      <c r="J19" s="39" t="str">
        <f>IF(ISNA(VLOOKUP($E19,StockCode[],COLUMN(StockCodes!$C$3),0))=TRUE,"-",VLOOKUP($E19,StockCode[],COLUMN(StockCodes!$C$3),0))</f>
        <v>Kg</v>
      </c>
      <c r="K19" s="82">
        <f t="shared" ca="1" si="1"/>
        <v>19</v>
      </c>
      <c r="L19" s="82">
        <f t="shared" ca="1" si="2"/>
        <v>13.74</v>
      </c>
      <c r="M19" s="79" cm="1">
        <f t="array" aca="1" ref="M19" ca="1">IF($K19=0,0,((SUMIFS(StockOpenQty,StockCodeOnly,$E19)*SUMIFS(StockOpenCost,StockCodeOnly,$E19))+SUMIFS(MoveAmount,MoveDate,"&lt;"&amp;$T19,MoveCode,$E19))/$K19)</f>
        <v>8.1578947368421044</v>
      </c>
      <c r="N19" s="82">
        <f t="shared" ca="1" si="3"/>
        <v>8.1578947368421044</v>
      </c>
      <c r="O19" s="82">
        <f t="shared" ca="1" si="4"/>
        <v>-42.910526315789468</v>
      </c>
      <c r="P19" s="83">
        <f t="shared" si="5"/>
        <v>0</v>
      </c>
      <c r="Q19" s="79">
        <f t="shared" si="6"/>
        <v>0</v>
      </c>
      <c r="R19" s="19">
        <f t="shared" si="7"/>
        <v>0</v>
      </c>
      <c r="S19" s="79">
        <f t="shared" si="8"/>
        <v>0</v>
      </c>
      <c r="T19" s="81">
        <f t="shared" ca="1" si="9"/>
        <v>44386.000219907408</v>
      </c>
    </row>
    <row r="20" spans="1:20" ht="16.149999999999999" customHeight="1" x14ac:dyDescent="0.25">
      <c r="A20" s="37">
        <v>44386</v>
      </c>
      <c r="B20" s="37" t="s">
        <v>102</v>
      </c>
      <c r="C20" s="3" t="s">
        <v>104</v>
      </c>
      <c r="D20" s="78" t="s">
        <v>104</v>
      </c>
      <c r="E20" s="3" t="s">
        <v>35</v>
      </c>
      <c r="F20" s="38">
        <v>-10.53</v>
      </c>
      <c r="G20" s="79">
        <v>0</v>
      </c>
      <c r="H20" s="80" t="str">
        <f t="shared" ca="1" si="0"/>
        <v>-</v>
      </c>
      <c r="I20" s="25" t="str">
        <f>IF(ISNA(VLOOKUP($E20,StockCode[],COLUMN(StockCodes!$B$3),0))=TRUE,"Invalid Stock Code",VLOOKUP($E20,StockCode[],COLUMN(StockCodes!$B$3),0))</f>
        <v>Onions</v>
      </c>
      <c r="J20" s="39" t="str">
        <f>IF(ISNA(VLOOKUP($E20,StockCode[],COLUMN(StockCodes!$C$3),0))=TRUE,"-",VLOOKUP($E20,StockCode[],COLUMN(StockCodes!$C$3),0))</f>
        <v>Kg</v>
      </c>
      <c r="K20" s="82">
        <f t="shared" ca="1" si="1"/>
        <v>35</v>
      </c>
      <c r="L20" s="82">
        <f t="shared" ca="1" si="2"/>
        <v>24.47</v>
      </c>
      <c r="M20" s="79" cm="1">
        <f t="array" aca="1" ref="M20" ca="1">IF($K20=0,0,((SUMIFS(StockOpenQty,StockCodeOnly,$E20)*SUMIFS(StockOpenCost,StockCodeOnly,$E20))+SUMIFS(MoveAmount,MoveDate,"&lt;"&amp;$T20,MoveCode,$E20))/$K20)</f>
        <v>4.2857142857142856</v>
      </c>
      <c r="N20" s="82">
        <f t="shared" ca="1" si="3"/>
        <v>4.2857142857142856</v>
      </c>
      <c r="O20" s="82">
        <f t="shared" ca="1" si="4"/>
        <v>-45.128571428571426</v>
      </c>
      <c r="P20" s="83">
        <f t="shared" si="5"/>
        <v>0</v>
      </c>
      <c r="Q20" s="79">
        <f t="shared" si="6"/>
        <v>0</v>
      </c>
      <c r="R20" s="19">
        <f t="shared" si="7"/>
        <v>0</v>
      </c>
      <c r="S20" s="79">
        <f t="shared" si="8"/>
        <v>0</v>
      </c>
      <c r="T20" s="81">
        <f t="shared" ca="1" si="9"/>
        <v>44386.000231481485</v>
      </c>
    </row>
    <row r="21" spans="1:20" ht="16.149999999999999" customHeight="1" x14ac:dyDescent="0.25">
      <c r="A21" s="37">
        <v>44391</v>
      </c>
      <c r="B21" s="37" t="s">
        <v>101</v>
      </c>
      <c r="C21" s="3" t="s">
        <v>38</v>
      </c>
      <c r="D21" s="78" t="s">
        <v>64</v>
      </c>
      <c r="E21" s="3" t="s">
        <v>19</v>
      </c>
      <c r="F21" s="38">
        <v>6</v>
      </c>
      <c r="G21" s="79">
        <v>125</v>
      </c>
      <c r="H21" s="80" t="str">
        <f t="shared" ca="1" si="0"/>
        <v>-</v>
      </c>
      <c r="I21" s="78" t="str">
        <f>IF(ISNA(VLOOKUP($E21,StockCode[],COLUMN(StockCodes!$B$3),0))=TRUE,"Invalid Stock Code",VLOOKUP($E21,StockCode[],COLUMN(StockCodes!$B$3),0))</f>
        <v>Plastic Wrap</v>
      </c>
      <c r="J21" s="39" t="str">
        <f>IF(ISNA(VLOOKUP($E21,StockCode[],COLUMN(StockCodes!$C$3),0))=TRUE,"-",VLOOKUP($E21,StockCode[],COLUMN(StockCodes!$C$3),0))</f>
        <v>Rolls</v>
      </c>
      <c r="K21" s="79">
        <f t="shared" ca="1" si="1"/>
        <v>5.89</v>
      </c>
      <c r="L21" s="79">
        <f t="shared" ca="1" si="2"/>
        <v>11.89</v>
      </c>
      <c r="M21" s="79" cm="1">
        <f t="array" aca="1" ref="M21" ca="1">IF($K21=0,0,((SUMIFS(StockOpenQty,StockCodeOnly,$E21)*SUMIFS(StockOpenCost,StockCodeOnly,$E21))+SUMIFS(MoveAmount,MoveDate,"&lt;"&amp;$T21,MoveCode,$E21))/$K21)</f>
        <v>20.714285714285715</v>
      </c>
      <c r="N21" s="79">
        <f t="shared" ca="1" si="3"/>
        <v>20.774360206656254</v>
      </c>
      <c r="O21" s="79">
        <f t="shared" si="4"/>
        <v>125</v>
      </c>
      <c r="P21" s="38">
        <f t="shared" si="5"/>
        <v>20.833333333333332</v>
      </c>
      <c r="Q21" s="79">
        <f t="shared" ca="1" si="6"/>
        <v>-0.11904761904761685</v>
      </c>
      <c r="R21" s="19">
        <f t="shared" ca="1" si="7"/>
        <v>-5.7471264367815024E-3</v>
      </c>
      <c r="S21" s="79">
        <f t="shared" ca="1" si="8"/>
        <v>-0.71428571428570109</v>
      </c>
      <c r="T21" s="81">
        <f t="shared" ca="1" si="9"/>
        <v>44391.000243055554</v>
      </c>
    </row>
    <row r="22" spans="1:20" ht="16.149999999999999" customHeight="1" x14ac:dyDescent="0.25">
      <c r="A22" s="37">
        <v>44391</v>
      </c>
      <c r="B22" s="37" t="s">
        <v>101</v>
      </c>
      <c r="C22" s="3" t="s">
        <v>43</v>
      </c>
      <c r="D22" s="78">
        <v>76868</v>
      </c>
      <c r="E22" s="3" t="s">
        <v>22</v>
      </c>
      <c r="F22" s="38">
        <v>2</v>
      </c>
      <c r="G22" s="79">
        <v>750</v>
      </c>
      <c r="H22" s="80" t="str">
        <f t="shared" ca="1" si="0"/>
        <v>-</v>
      </c>
      <c r="I22" s="78" t="str">
        <f>IF(ISNA(VLOOKUP($E22,StockCode[],COLUMN(StockCodes!$B$3),0))=TRUE,"Invalid Stock Code",VLOOKUP($E22,StockCode[],COLUMN(StockCodes!$B$3),0))</f>
        <v>Labels</v>
      </c>
      <c r="J22" s="39">
        <f>IF(ISNA(VLOOKUP($E22,StockCode[],COLUMN(StockCodes!$C$3),0))=TRUE,"-",VLOOKUP($E22,StockCode[],COLUMN(StockCodes!$C$3),0))</f>
        <v>1000</v>
      </c>
      <c r="K22" s="79">
        <f t="shared" ca="1" si="1"/>
        <v>2.4699999999999998</v>
      </c>
      <c r="L22" s="79">
        <f t="shared" ca="1" si="2"/>
        <v>4.47</v>
      </c>
      <c r="M22" s="79" cm="1">
        <f t="array" aca="1" ref="M22" ca="1">IF($K22=0,0,((SUMIFS(StockOpenQty,StockCodeOnly,$E22)*SUMIFS(StockOpenCost,StockCodeOnly,$E22))+SUMIFS(MoveAmount,MoveDate,"&lt;"&amp;$T22,MoveCode,$E22))/$K22)</f>
        <v>366.66666666666669</v>
      </c>
      <c r="N22" s="79">
        <f t="shared" ca="1" si="3"/>
        <v>370.39522744220727</v>
      </c>
      <c r="O22" s="79">
        <f t="shared" si="4"/>
        <v>750</v>
      </c>
      <c r="P22" s="38">
        <f t="shared" si="5"/>
        <v>375</v>
      </c>
      <c r="Q22" s="79">
        <f t="shared" ca="1" si="6"/>
        <v>-8.3333333333333144</v>
      </c>
      <c r="R22" s="19">
        <f t="shared" ca="1" si="7"/>
        <v>-2.2727272727272676E-2</v>
      </c>
      <c r="S22" s="79">
        <f t="shared" ca="1" si="8"/>
        <v>-16.666666666666629</v>
      </c>
      <c r="T22" s="81">
        <f t="shared" ca="1" si="9"/>
        <v>44391.000254629631</v>
      </c>
    </row>
    <row r="23" spans="1:20" ht="16.149999999999999" customHeight="1" x14ac:dyDescent="0.25">
      <c r="A23" s="37">
        <v>44391</v>
      </c>
      <c r="B23" s="37" t="s">
        <v>101</v>
      </c>
      <c r="C23" s="3" t="s">
        <v>39</v>
      </c>
      <c r="D23" s="78" t="s">
        <v>47</v>
      </c>
      <c r="E23" s="3" t="s">
        <v>23</v>
      </c>
      <c r="F23" s="38">
        <v>600</v>
      </c>
      <c r="G23" s="79">
        <v>595</v>
      </c>
      <c r="H23" s="80" t="str">
        <f t="shared" ca="1" si="0"/>
        <v>-</v>
      </c>
      <c r="I23" s="78" t="str">
        <f>IF(ISNA(VLOOKUP($E23,StockCode[],COLUMN(StockCodes!$B$3),0))=TRUE,"Invalid Stock Code",VLOOKUP($E23,StockCode[],COLUMN(StockCodes!$B$3),0))</f>
        <v>Boxes</v>
      </c>
      <c r="J23" s="39" t="str">
        <f>IF(ISNA(VLOOKUP($E23,StockCode[],COLUMN(StockCodes!$C$3),0))=TRUE,"-",VLOOKUP($E23,StockCode[],COLUMN(StockCodes!$C$3),0))</f>
        <v>Units</v>
      </c>
      <c r="K23" s="79">
        <f t="shared" ca="1" si="1"/>
        <v>773.68</v>
      </c>
      <c r="L23" s="79">
        <f t="shared" ca="1" si="2"/>
        <v>1373.6799999999998</v>
      </c>
      <c r="M23" s="79" cm="1">
        <f t="array" aca="1" ref="M23" ca="1">IF($K23=0,0,((SUMIFS(StockOpenQty,StockCodeOnly,$E23)*SUMIFS(StockOpenCost,StockCodeOnly,$E23))+SUMIFS(MoveAmount,MoveDate,"&lt;"&amp;$T23,MoveCode,$E23))/$K23)</f>
        <v>1.0923076923076924</v>
      </c>
      <c r="N23" s="79">
        <f t="shared" ca="1" si="3"/>
        <v>1.0483494084390947</v>
      </c>
      <c r="O23" s="79">
        <f t="shared" si="4"/>
        <v>595</v>
      </c>
      <c r="P23" s="38">
        <f t="shared" si="5"/>
        <v>0.9916666666666667</v>
      </c>
      <c r="Q23" s="79">
        <f t="shared" ca="1" si="6"/>
        <v>0.10064102564102573</v>
      </c>
      <c r="R23" s="19">
        <f t="shared" ca="1" si="7"/>
        <v>9.2136150234741851E-2</v>
      </c>
      <c r="S23" s="79">
        <f t="shared" ca="1" si="8"/>
        <v>60.384615384615437</v>
      </c>
      <c r="T23" s="81">
        <f t="shared" ca="1" si="9"/>
        <v>44391.0002662037</v>
      </c>
    </row>
    <row r="24" spans="1:20" ht="16.149999999999999" customHeight="1" x14ac:dyDescent="0.25">
      <c r="A24" s="37">
        <v>44391</v>
      </c>
      <c r="B24" s="37" t="s">
        <v>101</v>
      </c>
      <c r="C24" s="3" t="s">
        <v>42</v>
      </c>
      <c r="D24" s="78">
        <v>5765765</v>
      </c>
      <c r="E24" s="3" t="s">
        <v>25</v>
      </c>
      <c r="F24" s="38">
        <v>600</v>
      </c>
      <c r="G24" s="79">
        <v>24320</v>
      </c>
      <c r="H24" s="80" t="str">
        <f t="shared" ca="1" si="0"/>
        <v>-</v>
      </c>
      <c r="I24" s="78" t="str">
        <f>IF(ISNA(VLOOKUP($E24,StockCode[],COLUMN(StockCodes!$B$3),0))=TRUE,"Invalid Stock Code",VLOOKUP($E24,StockCode[],COLUMN(StockCodes!$B$3),0))</f>
        <v>Meat</v>
      </c>
      <c r="J24" s="39" t="str">
        <f>IF(ISNA(VLOOKUP($E24,StockCode[],COLUMN(StockCodes!$C$3),0))=TRUE,"-",VLOOKUP($E24,StockCode[],COLUMN(StockCodes!$C$3),0))</f>
        <v>Kg</v>
      </c>
      <c r="K24" s="79">
        <f t="shared" ca="1" si="1"/>
        <v>450</v>
      </c>
      <c r="L24" s="79">
        <f t="shared" ca="1" si="2"/>
        <v>1050</v>
      </c>
      <c r="M24" s="79" cm="1">
        <f t="array" aca="1" ref="M24" ca="1">IF($K24=0,0,((SUMIFS(StockOpenQty,StockCodeOnly,$E24)*SUMIFS(StockOpenCost,StockCodeOnly,$E24))+SUMIFS(MoveAmount,MoveDate,"&lt;"&amp;$T24,MoveCode,$E24))/$K24)</f>
        <v>52.51428571428572</v>
      </c>
      <c r="N24" s="79">
        <f t="shared" ca="1" si="3"/>
        <v>45.668027210884354</v>
      </c>
      <c r="O24" s="79">
        <f t="shared" si="4"/>
        <v>24320</v>
      </c>
      <c r="P24" s="38">
        <f t="shared" si="5"/>
        <v>40.533333333333331</v>
      </c>
      <c r="Q24" s="79">
        <f t="shared" ca="1" si="6"/>
        <v>11.980952380952388</v>
      </c>
      <c r="R24" s="19">
        <f t="shared" ca="1" si="7"/>
        <v>0.22814653608995297</v>
      </c>
      <c r="S24" s="79">
        <f t="shared" ca="1" si="8"/>
        <v>7188.571428571433</v>
      </c>
      <c r="T24" s="81">
        <f t="shared" ca="1" si="9"/>
        <v>44391.000277777777</v>
      </c>
    </row>
    <row r="25" spans="1:20" ht="16.149999999999999" customHeight="1" x14ac:dyDescent="0.25">
      <c r="A25" s="37">
        <v>44391</v>
      </c>
      <c r="B25" s="37" t="s">
        <v>101</v>
      </c>
      <c r="C25" s="3" t="s">
        <v>40</v>
      </c>
      <c r="D25" s="78">
        <v>67887</v>
      </c>
      <c r="E25" s="3" t="s">
        <v>28</v>
      </c>
      <c r="F25" s="38">
        <v>40</v>
      </c>
      <c r="G25" s="79">
        <v>1800</v>
      </c>
      <c r="H25" s="80" t="str">
        <f t="shared" ca="1" si="0"/>
        <v>-</v>
      </c>
      <c r="I25" s="78" t="str">
        <f>IF(ISNA(VLOOKUP($E25,StockCode[],COLUMN(StockCodes!$B$3),0))=TRUE,"Invalid Stock Code",VLOOKUP($E25,StockCode[],COLUMN(StockCodes!$B$3),0))</f>
        <v>Bread Rolls</v>
      </c>
      <c r="J25" s="39" t="str">
        <f>IF(ISNA(VLOOKUP($E25,StockCode[],COLUMN(StockCodes!$C$3),0))=TRUE,"-",VLOOKUP($E25,StockCode[],COLUMN(StockCodes!$C$3),0))</f>
        <v>Dozen</v>
      </c>
      <c r="K25" s="79">
        <f t="shared" ca="1" si="1"/>
        <v>51.14</v>
      </c>
      <c r="L25" s="79">
        <f t="shared" ca="1" si="2"/>
        <v>91.14</v>
      </c>
      <c r="M25" s="79" cm="1">
        <f t="array" aca="1" ref="M25" ca="1">IF($K25=0,0,((SUMIFS(StockOpenQty,StockCodeOnly,$E25)*SUMIFS(StockOpenCost,StockCodeOnly,$E25))+SUMIFS(MoveAmount,MoveDate,"&lt;"&amp;$T25,MoveCode,$E25))/$K25)</f>
        <v>37.894736842105267</v>
      </c>
      <c r="N25" s="79">
        <f t="shared" ca="1" si="3"/>
        <v>41.013131908111291</v>
      </c>
      <c r="O25" s="79">
        <f t="shared" si="4"/>
        <v>1800</v>
      </c>
      <c r="P25" s="38">
        <f t="shared" si="5"/>
        <v>45</v>
      </c>
      <c r="Q25" s="79">
        <f t="shared" ca="1" si="6"/>
        <v>-7.1052631578947327</v>
      </c>
      <c r="R25" s="19">
        <f t="shared" ca="1" si="7"/>
        <v>-0.18749999999999986</v>
      </c>
      <c r="S25" s="79">
        <f t="shared" ca="1" si="8"/>
        <v>-284.21052631578931</v>
      </c>
      <c r="T25" s="81">
        <f t="shared" ca="1" si="9"/>
        <v>44391.000289351854</v>
      </c>
    </row>
    <row r="26" spans="1:20" ht="16.149999999999999" customHeight="1" x14ac:dyDescent="0.25">
      <c r="A26" s="37">
        <v>44391</v>
      </c>
      <c r="B26" s="37" t="s">
        <v>101</v>
      </c>
      <c r="C26" s="3" t="s">
        <v>41</v>
      </c>
      <c r="D26" s="78" t="s">
        <v>64</v>
      </c>
      <c r="E26" s="3" t="s">
        <v>31</v>
      </c>
      <c r="F26" s="38">
        <v>10</v>
      </c>
      <c r="G26" s="79">
        <v>49</v>
      </c>
      <c r="H26" s="80" t="str">
        <f t="shared" ca="1" si="0"/>
        <v>-</v>
      </c>
      <c r="I26" s="78" t="str">
        <f>IF(ISNA(VLOOKUP($E26,StockCode[],COLUMN(StockCodes!$B$3),0))=TRUE,"Invalid Stock Code",VLOOKUP($E26,StockCode[],COLUMN(StockCodes!$B$3),0))</f>
        <v>Lettuce</v>
      </c>
      <c r="J26" s="39" t="str">
        <f>IF(ISNA(VLOOKUP($E26,StockCode[],COLUMN(StockCodes!$C$3),0))=TRUE,"-",VLOOKUP($E26,StockCode[],COLUMN(StockCodes!$C$3),0))</f>
        <v>Kg</v>
      </c>
      <c r="K26" s="79">
        <f t="shared" ca="1" si="1"/>
        <v>15.440000000000001</v>
      </c>
      <c r="L26" s="79">
        <f t="shared" ca="1" si="2"/>
        <v>25.44</v>
      </c>
      <c r="M26" s="79" cm="1">
        <f t="array" aca="1" ref="M26" ca="1">IF($K26=0,0,((SUMIFS(StockOpenQty,StockCodeOnly,$E26)*SUMIFS(StockOpenCost,StockCodeOnly,$E26))+SUMIFS(MoveAmount,MoveDate,"&lt;"&amp;$T26,MoveCode,$E26))/$K26)</f>
        <v>5.1904761904761907</v>
      </c>
      <c r="N26" s="79">
        <f t="shared" ca="1" si="3"/>
        <v>5.0762952979934113</v>
      </c>
      <c r="O26" s="79">
        <f t="shared" si="4"/>
        <v>49</v>
      </c>
      <c r="P26" s="38">
        <f t="shared" si="5"/>
        <v>4.9000000000000004</v>
      </c>
      <c r="Q26" s="79">
        <f t="shared" ca="1" si="6"/>
        <v>0.29047619047619033</v>
      </c>
      <c r="R26" s="19">
        <f t="shared" ca="1" si="7"/>
        <v>5.5963302752293546E-2</v>
      </c>
      <c r="S26" s="79">
        <f t="shared" ca="1" si="8"/>
        <v>2.9047619047619033</v>
      </c>
      <c r="T26" s="81">
        <f t="shared" ca="1" si="9"/>
        <v>44391.000300925924</v>
      </c>
    </row>
    <row r="27" spans="1:20" ht="16.149999999999999" customHeight="1" x14ac:dyDescent="0.25">
      <c r="A27" s="37">
        <v>44391</v>
      </c>
      <c r="B27" s="37" t="s">
        <v>101</v>
      </c>
      <c r="C27" s="3" t="s">
        <v>41</v>
      </c>
      <c r="D27" s="78">
        <v>76868</v>
      </c>
      <c r="E27" s="3" t="s">
        <v>33</v>
      </c>
      <c r="F27" s="38">
        <v>2</v>
      </c>
      <c r="G27" s="79">
        <v>16</v>
      </c>
      <c r="H27" s="80" t="str">
        <f t="shared" ca="1" si="0"/>
        <v>-</v>
      </c>
      <c r="I27" s="78" t="str">
        <f>IF(ISNA(VLOOKUP($E27,StockCode[],COLUMN(StockCodes!$B$3),0))=TRUE,"Invalid Stock Code",VLOOKUP($E27,StockCode[],COLUMN(StockCodes!$B$3),0))</f>
        <v>Gurkins</v>
      </c>
      <c r="J27" s="39" t="str">
        <f>IF(ISNA(VLOOKUP($E27,StockCode[],COLUMN(StockCodes!$C$3),0))=TRUE,"-",VLOOKUP($E27,StockCode[],COLUMN(StockCodes!$C$3),0))</f>
        <v>Kg</v>
      </c>
      <c r="K27" s="79">
        <f t="shared" ca="1" si="1"/>
        <v>13.74</v>
      </c>
      <c r="L27" s="79">
        <f t="shared" ca="1" si="2"/>
        <v>15.74</v>
      </c>
      <c r="M27" s="79" cm="1">
        <f t="array" aca="1" ref="M27" ca="1">IF($K27=0,0,((SUMIFS(StockOpenQty,StockCodeOnly,$E27)*SUMIFS(StockOpenCost,StockCodeOnly,$E27))+SUMIFS(MoveAmount,MoveDate,"&lt;"&amp;$T27,MoveCode,$E27))/$K27)</f>
        <v>8.1578947368421062</v>
      </c>
      <c r="N27" s="79">
        <f t="shared" ca="1" si="3"/>
        <v>8.1378318732027015</v>
      </c>
      <c r="O27" s="79">
        <f t="shared" si="4"/>
        <v>16</v>
      </c>
      <c r="P27" s="38">
        <f t="shared" si="5"/>
        <v>8</v>
      </c>
      <c r="Q27" s="79">
        <f t="shared" ca="1" si="6"/>
        <v>0.1578947368421062</v>
      </c>
      <c r="R27" s="19">
        <f t="shared" ca="1" si="7"/>
        <v>1.9354838709677531E-2</v>
      </c>
      <c r="S27" s="79">
        <f t="shared" ca="1" si="8"/>
        <v>0.3157894736842124</v>
      </c>
      <c r="T27" s="81">
        <f t="shared" ca="1" si="9"/>
        <v>44391.0003125</v>
      </c>
    </row>
    <row r="28" spans="1:20" ht="16.149999999999999" customHeight="1" x14ac:dyDescent="0.25">
      <c r="A28" s="37">
        <v>44391</v>
      </c>
      <c r="B28" s="37" t="s">
        <v>101</v>
      </c>
      <c r="C28" s="3" t="s">
        <v>41</v>
      </c>
      <c r="D28" s="78" t="s">
        <v>47</v>
      </c>
      <c r="E28" s="3" t="s">
        <v>35</v>
      </c>
      <c r="F28" s="38">
        <v>15</v>
      </c>
      <c r="G28" s="79">
        <v>140</v>
      </c>
      <c r="H28" s="80" t="str">
        <f t="shared" ca="1" si="0"/>
        <v>-</v>
      </c>
      <c r="I28" s="78" t="str">
        <f>IF(ISNA(VLOOKUP($E28,StockCode[],COLUMN(StockCodes!$B$3),0))=TRUE,"Invalid Stock Code",VLOOKUP($E28,StockCode[],COLUMN(StockCodes!$B$3),0))</f>
        <v>Onions</v>
      </c>
      <c r="J28" s="39" t="str">
        <f>IF(ISNA(VLOOKUP($E28,StockCode[],COLUMN(StockCodes!$C$3),0))=TRUE,"-",VLOOKUP($E28,StockCode[],COLUMN(StockCodes!$C$3),0))</f>
        <v>Kg</v>
      </c>
      <c r="K28" s="79">
        <f t="shared" ca="1" si="1"/>
        <v>24.47</v>
      </c>
      <c r="L28" s="79">
        <f t="shared" ca="1" si="2"/>
        <v>39.47</v>
      </c>
      <c r="M28" s="79" cm="1">
        <f t="array" aca="1" ref="M28" ca="1">IF($K28=0,0,((SUMIFS(StockOpenQty,StockCodeOnly,$E28)*SUMIFS(StockOpenCost,StockCodeOnly,$E28))+SUMIFS(MoveAmount,MoveDate,"&lt;"&amp;$T28,MoveCode,$E28))/$K28)</f>
        <v>4.2857142857142856</v>
      </c>
      <c r="N28" s="79">
        <f t="shared" ca="1" si="3"/>
        <v>6.2039885627420466</v>
      </c>
      <c r="O28" s="79">
        <f t="shared" si="4"/>
        <v>140</v>
      </c>
      <c r="P28" s="38">
        <f t="shared" si="5"/>
        <v>9.3333333333333339</v>
      </c>
      <c r="Q28" s="79">
        <f t="shared" ca="1" si="6"/>
        <v>-5.0476190476190483</v>
      </c>
      <c r="R28" s="19">
        <f t="shared" ca="1" si="7"/>
        <v>-1.177777777777778</v>
      </c>
      <c r="S28" s="79">
        <f t="shared" ca="1" si="8"/>
        <v>-75.714285714285722</v>
      </c>
      <c r="T28" s="81">
        <f t="shared" ca="1" si="9"/>
        <v>44391.000324074077</v>
      </c>
    </row>
    <row r="29" spans="1:20" ht="16.149999999999999" customHeight="1" x14ac:dyDescent="0.25">
      <c r="A29" s="37">
        <v>44393</v>
      </c>
      <c r="B29" s="37" t="s">
        <v>102</v>
      </c>
      <c r="C29" s="3" t="s">
        <v>104</v>
      </c>
      <c r="D29" s="78" t="s">
        <v>104</v>
      </c>
      <c r="E29" s="3" t="s">
        <v>19</v>
      </c>
      <c r="F29" s="38">
        <v>-2</v>
      </c>
      <c r="G29" s="79">
        <v>0</v>
      </c>
      <c r="H29" s="80" t="str">
        <f t="shared" ca="1" si="0"/>
        <v>-</v>
      </c>
      <c r="I29" s="25" t="str">
        <f>IF(ISNA(VLOOKUP($E29,StockCode[],COLUMN(StockCodes!$B$3),0))=TRUE,"Invalid Stock Code",VLOOKUP($E29,StockCode[],COLUMN(StockCodes!$B$3),0))</f>
        <v>Plastic Wrap</v>
      </c>
      <c r="J29" s="39" t="str">
        <f>IF(ISNA(VLOOKUP($E29,StockCode[],COLUMN(StockCodes!$C$3),0))=TRUE,"-",VLOOKUP($E29,StockCode[],COLUMN(StockCodes!$C$3),0))</f>
        <v>Rolls</v>
      </c>
      <c r="K29" s="82">
        <f t="shared" ca="1" si="1"/>
        <v>11.89</v>
      </c>
      <c r="L29" s="82">
        <f t="shared" ca="1" si="2"/>
        <v>9.89</v>
      </c>
      <c r="M29" s="79" cm="1">
        <f t="array" aca="1" ref="M29" ca="1">IF($K29=0,0,((SUMIFS(StockOpenQty,StockCodeOnly,$E29)*SUMIFS(StockOpenCost,StockCodeOnly,$E29))+SUMIFS(MoveAmount,MoveDate,"&lt;"&amp;$T29,MoveCode,$E29))/$K29)</f>
        <v>20.774360206656254</v>
      </c>
      <c r="N29" s="82">
        <f t="shared" ca="1" si="3"/>
        <v>20.774360206656254</v>
      </c>
      <c r="O29" s="82">
        <f t="shared" ca="1" si="4"/>
        <v>-41.548720413312509</v>
      </c>
      <c r="P29" s="83">
        <f t="shared" si="5"/>
        <v>0</v>
      </c>
      <c r="Q29" s="79">
        <f t="shared" si="6"/>
        <v>0</v>
      </c>
      <c r="R29" s="19">
        <f t="shared" si="7"/>
        <v>0</v>
      </c>
      <c r="S29" s="79">
        <f t="shared" si="8"/>
        <v>0</v>
      </c>
      <c r="T29" s="81">
        <f t="shared" ca="1" si="9"/>
        <v>44393.000335648147</v>
      </c>
    </row>
    <row r="30" spans="1:20" ht="16.149999999999999" customHeight="1" x14ac:dyDescent="0.25">
      <c r="A30" s="37">
        <v>44393</v>
      </c>
      <c r="B30" s="37" t="s">
        <v>102</v>
      </c>
      <c r="C30" s="3" t="s">
        <v>104</v>
      </c>
      <c r="D30" s="78" t="s">
        <v>104</v>
      </c>
      <c r="E30" s="3" t="s">
        <v>22</v>
      </c>
      <c r="F30" s="38">
        <v>-1</v>
      </c>
      <c r="G30" s="79">
        <v>0</v>
      </c>
      <c r="H30" s="80" t="str">
        <f t="shared" ca="1" si="0"/>
        <v>-</v>
      </c>
      <c r="I30" s="25" t="str">
        <f>IF(ISNA(VLOOKUP($E30,StockCode[],COLUMN(StockCodes!$B$3),0))=TRUE,"Invalid Stock Code",VLOOKUP($E30,StockCode[],COLUMN(StockCodes!$B$3),0))</f>
        <v>Labels</v>
      </c>
      <c r="J30" s="39">
        <f>IF(ISNA(VLOOKUP($E30,StockCode[],COLUMN(StockCodes!$C$3),0))=TRUE,"-",VLOOKUP($E30,StockCode[],COLUMN(StockCodes!$C$3),0))</f>
        <v>1000</v>
      </c>
      <c r="K30" s="82">
        <f t="shared" ca="1" si="1"/>
        <v>4.47</v>
      </c>
      <c r="L30" s="82">
        <f t="shared" ca="1" si="2"/>
        <v>3.4699999999999998</v>
      </c>
      <c r="M30" s="79" cm="1">
        <f t="array" aca="1" ref="M30" ca="1">IF($K30=0,0,((SUMIFS(StockOpenQty,StockCodeOnly,$E30)*SUMIFS(StockOpenCost,StockCodeOnly,$E30))+SUMIFS(MoveAmount,MoveDate,"&lt;"&amp;$T30,MoveCode,$E30))/$K30)</f>
        <v>370.39522744220727</v>
      </c>
      <c r="N30" s="82">
        <f t="shared" ca="1" si="3"/>
        <v>370.39522744220727</v>
      </c>
      <c r="O30" s="82">
        <f t="shared" ca="1" si="4"/>
        <v>-370.39522744220727</v>
      </c>
      <c r="P30" s="83">
        <f t="shared" si="5"/>
        <v>0</v>
      </c>
      <c r="Q30" s="79">
        <f t="shared" si="6"/>
        <v>0</v>
      </c>
      <c r="R30" s="19">
        <f t="shared" si="7"/>
        <v>0</v>
      </c>
      <c r="S30" s="79">
        <f t="shared" si="8"/>
        <v>0</v>
      </c>
      <c r="T30" s="81">
        <f t="shared" ca="1" si="9"/>
        <v>44393.000347222223</v>
      </c>
    </row>
    <row r="31" spans="1:20" ht="16.149999999999999" customHeight="1" x14ac:dyDescent="0.25">
      <c r="A31" s="37">
        <v>44393</v>
      </c>
      <c r="B31" s="37" t="s">
        <v>102</v>
      </c>
      <c r="C31" s="3" t="s">
        <v>104</v>
      </c>
      <c r="D31" s="78" t="s">
        <v>104</v>
      </c>
      <c r="E31" s="3" t="s">
        <v>23</v>
      </c>
      <c r="F31" s="38">
        <v>-635</v>
      </c>
      <c r="G31" s="79">
        <v>0</v>
      </c>
      <c r="H31" s="80" t="str">
        <f t="shared" ca="1" si="0"/>
        <v>-</v>
      </c>
      <c r="I31" s="25" t="str">
        <f>IF(ISNA(VLOOKUP($E31,StockCode[],COLUMN(StockCodes!$B$3),0))=TRUE,"Invalid Stock Code",VLOOKUP($E31,StockCode[],COLUMN(StockCodes!$B$3),0))</f>
        <v>Boxes</v>
      </c>
      <c r="J31" s="39" t="str">
        <f>IF(ISNA(VLOOKUP($E31,StockCode[],COLUMN(StockCodes!$C$3),0))=TRUE,"-",VLOOKUP($E31,StockCode[],COLUMN(StockCodes!$C$3),0))</f>
        <v>Units</v>
      </c>
      <c r="K31" s="82">
        <f t="shared" ca="1" si="1"/>
        <v>1373.6799999999998</v>
      </c>
      <c r="L31" s="82">
        <f t="shared" ca="1" si="2"/>
        <v>738.67999999999984</v>
      </c>
      <c r="M31" s="79" cm="1">
        <f t="array" aca="1" ref="M31" ca="1">IF($K31=0,0,((SUMIFS(StockOpenQty,StockCodeOnly,$E31)*SUMIFS(StockOpenCost,StockCodeOnly,$E31))+SUMIFS(MoveAmount,MoveDate,"&lt;"&amp;$T31,MoveCode,$E31))/$K31)</f>
        <v>1.0483494084390945</v>
      </c>
      <c r="N31" s="82">
        <f t="shared" ca="1" si="3"/>
        <v>1.0483494084390945</v>
      </c>
      <c r="O31" s="82">
        <f t="shared" ca="1" si="4"/>
        <v>-665.70187435882497</v>
      </c>
      <c r="P31" s="83">
        <f t="shared" si="5"/>
        <v>0</v>
      </c>
      <c r="Q31" s="79">
        <f t="shared" si="6"/>
        <v>0</v>
      </c>
      <c r="R31" s="19">
        <f t="shared" si="7"/>
        <v>0</v>
      </c>
      <c r="S31" s="79">
        <f t="shared" si="8"/>
        <v>0</v>
      </c>
      <c r="T31" s="81">
        <f t="shared" ca="1" si="9"/>
        <v>44393.000358796293</v>
      </c>
    </row>
    <row r="32" spans="1:20" ht="16.149999999999999" customHeight="1" x14ac:dyDescent="0.25">
      <c r="A32" s="37">
        <v>44393</v>
      </c>
      <c r="B32" s="37" t="s">
        <v>102</v>
      </c>
      <c r="C32" s="3" t="s">
        <v>104</v>
      </c>
      <c r="D32" s="78" t="s">
        <v>104</v>
      </c>
      <c r="E32" s="3" t="s">
        <v>25</v>
      </c>
      <c r="F32" s="38">
        <v>-350</v>
      </c>
      <c r="G32" s="79">
        <v>0</v>
      </c>
      <c r="H32" s="80" t="str">
        <f t="shared" ca="1" si="0"/>
        <v>-</v>
      </c>
      <c r="I32" s="25" t="str">
        <f>IF(ISNA(VLOOKUP($E32,StockCode[],COLUMN(StockCodes!$B$3),0))=TRUE,"Invalid Stock Code",VLOOKUP($E32,StockCode[],COLUMN(StockCodes!$B$3),0))</f>
        <v>Meat</v>
      </c>
      <c r="J32" s="39" t="str">
        <f>IF(ISNA(VLOOKUP($E32,StockCode[],COLUMN(StockCodes!$C$3),0))=TRUE,"-",VLOOKUP($E32,StockCode[],COLUMN(StockCodes!$C$3),0))</f>
        <v>Kg</v>
      </c>
      <c r="K32" s="82">
        <f t="shared" ca="1" si="1"/>
        <v>1050</v>
      </c>
      <c r="L32" s="82">
        <f t="shared" ca="1" si="2"/>
        <v>700</v>
      </c>
      <c r="M32" s="79" cm="1">
        <f t="array" aca="1" ref="M32" ca="1">IF($K32=0,0,((SUMIFS(StockOpenQty,StockCodeOnly,$E32)*SUMIFS(StockOpenCost,StockCodeOnly,$E32))+SUMIFS(MoveAmount,MoveDate,"&lt;"&amp;$T32,MoveCode,$E32))/$K32)</f>
        <v>45.668027210884354</v>
      </c>
      <c r="N32" s="82">
        <f t="shared" ca="1" si="3"/>
        <v>45.668027210884354</v>
      </c>
      <c r="O32" s="82">
        <f t="shared" ca="1" si="4"/>
        <v>-15983.809523809525</v>
      </c>
      <c r="P32" s="83">
        <f t="shared" si="5"/>
        <v>0</v>
      </c>
      <c r="Q32" s="79">
        <f t="shared" si="6"/>
        <v>0</v>
      </c>
      <c r="R32" s="19">
        <f t="shared" si="7"/>
        <v>0</v>
      </c>
      <c r="S32" s="79">
        <f t="shared" si="8"/>
        <v>0</v>
      </c>
      <c r="T32" s="81">
        <f t="shared" ca="1" si="9"/>
        <v>44393.00037037037</v>
      </c>
    </row>
    <row r="33" spans="1:20" ht="16.149999999999999" customHeight="1" x14ac:dyDescent="0.25">
      <c r="A33" s="37">
        <v>44393</v>
      </c>
      <c r="B33" s="37" t="s">
        <v>102</v>
      </c>
      <c r="C33" s="3" t="s">
        <v>104</v>
      </c>
      <c r="D33" s="78" t="s">
        <v>104</v>
      </c>
      <c r="E33" s="3" t="s">
        <v>28</v>
      </c>
      <c r="F33" s="38">
        <v>-56</v>
      </c>
      <c r="G33" s="79">
        <v>0</v>
      </c>
      <c r="H33" s="80" t="str">
        <f t="shared" ca="1" si="0"/>
        <v>-</v>
      </c>
      <c r="I33" s="25" t="str">
        <f>IF(ISNA(VLOOKUP($E33,StockCode[],COLUMN(StockCodes!$B$3),0))=TRUE,"Invalid Stock Code",VLOOKUP($E33,StockCode[],COLUMN(StockCodes!$B$3),0))</f>
        <v>Bread Rolls</v>
      </c>
      <c r="J33" s="39" t="str">
        <f>IF(ISNA(VLOOKUP($E33,StockCode[],COLUMN(StockCodes!$C$3),0))=TRUE,"-",VLOOKUP($E33,StockCode[],COLUMN(StockCodes!$C$3),0))</f>
        <v>Dozen</v>
      </c>
      <c r="K33" s="82">
        <f t="shared" ca="1" si="1"/>
        <v>91.14</v>
      </c>
      <c r="L33" s="82">
        <f t="shared" ca="1" si="2"/>
        <v>35.14</v>
      </c>
      <c r="M33" s="79" cm="1">
        <f t="array" aca="1" ref="M33" ca="1">IF($K33=0,0,((SUMIFS(StockOpenQty,StockCodeOnly,$E33)*SUMIFS(StockOpenCost,StockCodeOnly,$E33))+SUMIFS(MoveAmount,MoveDate,"&lt;"&amp;$T33,MoveCode,$E33))/$K33)</f>
        <v>41.013131908111291</v>
      </c>
      <c r="N33" s="82">
        <f t="shared" ca="1" si="3"/>
        <v>41.013131908111291</v>
      </c>
      <c r="O33" s="82">
        <f t="shared" ca="1" si="4"/>
        <v>-2296.7353868542323</v>
      </c>
      <c r="P33" s="83">
        <f t="shared" si="5"/>
        <v>0</v>
      </c>
      <c r="Q33" s="79">
        <f t="shared" si="6"/>
        <v>0</v>
      </c>
      <c r="R33" s="19">
        <f t="shared" si="7"/>
        <v>0</v>
      </c>
      <c r="S33" s="79">
        <f t="shared" si="8"/>
        <v>0</v>
      </c>
      <c r="T33" s="81">
        <f t="shared" ca="1" si="9"/>
        <v>44393.000381944446</v>
      </c>
    </row>
    <row r="34" spans="1:20" ht="16.149999999999999" customHeight="1" x14ac:dyDescent="0.25">
      <c r="A34" s="37">
        <v>44393</v>
      </c>
      <c r="B34" s="37" t="s">
        <v>102</v>
      </c>
      <c r="C34" s="3" t="s">
        <v>104</v>
      </c>
      <c r="D34" s="78" t="s">
        <v>104</v>
      </c>
      <c r="E34" s="3" t="s">
        <v>31</v>
      </c>
      <c r="F34" s="38">
        <v>-8</v>
      </c>
      <c r="G34" s="79">
        <v>0</v>
      </c>
      <c r="H34" s="80" t="str">
        <f t="shared" ca="1" si="0"/>
        <v>-</v>
      </c>
      <c r="I34" s="25" t="str">
        <f>IF(ISNA(VLOOKUP($E34,StockCode[],COLUMN(StockCodes!$B$3),0))=TRUE,"Invalid Stock Code",VLOOKUP($E34,StockCode[],COLUMN(StockCodes!$B$3),0))</f>
        <v>Lettuce</v>
      </c>
      <c r="J34" s="39" t="str">
        <f>IF(ISNA(VLOOKUP($E34,StockCode[],COLUMN(StockCodes!$C$3),0))=TRUE,"-",VLOOKUP($E34,StockCode[],COLUMN(StockCodes!$C$3),0))</f>
        <v>Kg</v>
      </c>
      <c r="K34" s="82">
        <f t="shared" ca="1" si="1"/>
        <v>25.44</v>
      </c>
      <c r="L34" s="82">
        <f t="shared" ca="1" si="2"/>
        <v>17.440000000000001</v>
      </c>
      <c r="M34" s="79" cm="1">
        <f t="array" aca="1" ref="M34" ca="1">IF($K34=0,0,((SUMIFS(StockOpenQty,StockCodeOnly,$E34)*SUMIFS(StockOpenCost,StockCodeOnly,$E34))+SUMIFS(MoveAmount,MoveDate,"&lt;"&amp;$T34,MoveCode,$E34))/$K34)</f>
        <v>5.0762952979934113</v>
      </c>
      <c r="N34" s="82">
        <f t="shared" ca="1" si="3"/>
        <v>5.0762952979934113</v>
      </c>
      <c r="O34" s="82">
        <f t="shared" ca="1" si="4"/>
        <v>-40.61036238394729</v>
      </c>
      <c r="P34" s="83">
        <f t="shared" si="5"/>
        <v>0</v>
      </c>
      <c r="Q34" s="79">
        <f t="shared" si="6"/>
        <v>0</v>
      </c>
      <c r="R34" s="19">
        <f t="shared" si="7"/>
        <v>0</v>
      </c>
      <c r="S34" s="79">
        <f t="shared" si="8"/>
        <v>0</v>
      </c>
      <c r="T34" s="81">
        <f t="shared" ca="1" si="9"/>
        <v>44393.000393518516</v>
      </c>
    </row>
    <row r="35" spans="1:20" ht="16.149999999999999" customHeight="1" x14ac:dyDescent="0.25">
      <c r="A35" s="37">
        <v>44393</v>
      </c>
      <c r="B35" s="37" t="s">
        <v>102</v>
      </c>
      <c r="C35" s="3" t="s">
        <v>104</v>
      </c>
      <c r="D35" s="78" t="s">
        <v>104</v>
      </c>
      <c r="E35" s="3" t="s">
        <v>33</v>
      </c>
      <c r="F35" s="38">
        <v>-3</v>
      </c>
      <c r="G35" s="79">
        <v>0</v>
      </c>
      <c r="H35" s="80" t="str">
        <f t="shared" ca="1" si="0"/>
        <v>-</v>
      </c>
      <c r="I35" s="25" t="str">
        <f>IF(ISNA(VLOOKUP($E35,StockCode[],COLUMN(StockCodes!$B$3),0))=TRUE,"Invalid Stock Code",VLOOKUP($E35,StockCode[],COLUMN(StockCodes!$B$3),0))</f>
        <v>Gurkins</v>
      </c>
      <c r="J35" s="39" t="str">
        <f>IF(ISNA(VLOOKUP($E35,StockCode[],COLUMN(StockCodes!$C$3),0))=TRUE,"-",VLOOKUP($E35,StockCode[],COLUMN(StockCodes!$C$3),0))</f>
        <v>Kg</v>
      </c>
      <c r="K35" s="82">
        <f t="shared" ca="1" si="1"/>
        <v>15.74</v>
      </c>
      <c r="L35" s="82">
        <f t="shared" ca="1" si="2"/>
        <v>12.74</v>
      </c>
      <c r="M35" s="79" cm="1">
        <f t="array" aca="1" ref="M35" ca="1">IF($K35=0,0,((SUMIFS(StockOpenQty,StockCodeOnly,$E35)*SUMIFS(StockOpenCost,StockCodeOnly,$E35))+SUMIFS(MoveAmount,MoveDate,"&lt;"&amp;$T35,MoveCode,$E35))/$K35)</f>
        <v>8.1378318732027015</v>
      </c>
      <c r="N35" s="82">
        <f t="shared" ca="1" si="3"/>
        <v>8.1378318732027015</v>
      </c>
      <c r="O35" s="82">
        <f t="shared" ca="1" si="4"/>
        <v>-24.413495619608106</v>
      </c>
      <c r="P35" s="83">
        <f t="shared" si="5"/>
        <v>0</v>
      </c>
      <c r="Q35" s="79">
        <f t="shared" si="6"/>
        <v>0</v>
      </c>
      <c r="R35" s="19">
        <f t="shared" si="7"/>
        <v>0</v>
      </c>
      <c r="S35" s="79">
        <f t="shared" si="8"/>
        <v>0</v>
      </c>
      <c r="T35" s="81">
        <f t="shared" ca="1" si="9"/>
        <v>44393.000405092593</v>
      </c>
    </row>
    <row r="36" spans="1:20" ht="16.149999999999999" customHeight="1" x14ac:dyDescent="0.25">
      <c r="A36" s="37">
        <v>44393</v>
      </c>
      <c r="B36" s="37" t="s">
        <v>102</v>
      </c>
      <c r="C36" s="3" t="s">
        <v>104</v>
      </c>
      <c r="D36" s="78" t="s">
        <v>104</v>
      </c>
      <c r="E36" s="3" t="s">
        <v>35</v>
      </c>
      <c r="F36" s="38">
        <v>-10</v>
      </c>
      <c r="G36" s="79">
        <v>0</v>
      </c>
      <c r="H36" s="80" t="str">
        <f t="shared" ca="1" si="0"/>
        <v>-</v>
      </c>
      <c r="I36" s="25" t="str">
        <f>IF(ISNA(VLOOKUP($E36,StockCode[],COLUMN(StockCodes!$B$3),0))=TRUE,"Invalid Stock Code",VLOOKUP($E36,StockCode[],COLUMN(StockCodes!$B$3),0))</f>
        <v>Onions</v>
      </c>
      <c r="J36" s="39" t="str">
        <f>IF(ISNA(VLOOKUP($E36,StockCode[],COLUMN(StockCodes!$C$3),0))=TRUE,"-",VLOOKUP($E36,StockCode[],COLUMN(StockCodes!$C$3),0))</f>
        <v>Kg</v>
      </c>
      <c r="K36" s="82">
        <f t="shared" ca="1" si="1"/>
        <v>39.47</v>
      </c>
      <c r="L36" s="82">
        <f t="shared" ca="1" si="2"/>
        <v>29.47</v>
      </c>
      <c r="M36" s="79" cm="1">
        <f t="array" aca="1" ref="M36" ca="1">IF($K36=0,0,((SUMIFS(StockOpenQty,StockCodeOnly,$E36)*SUMIFS(StockOpenCost,StockCodeOnly,$E36))+SUMIFS(MoveAmount,MoveDate,"&lt;"&amp;$T36,MoveCode,$E36))/$K36)</f>
        <v>6.2039885627420466</v>
      </c>
      <c r="N36" s="82">
        <f t="shared" ca="1" si="3"/>
        <v>6.2039885627420466</v>
      </c>
      <c r="O36" s="82">
        <f t="shared" ca="1" si="4"/>
        <v>-62.039885627420468</v>
      </c>
      <c r="P36" s="83">
        <f t="shared" si="5"/>
        <v>0</v>
      </c>
      <c r="Q36" s="79">
        <f t="shared" si="6"/>
        <v>0</v>
      </c>
      <c r="R36" s="19">
        <f t="shared" si="7"/>
        <v>0</v>
      </c>
      <c r="S36" s="79">
        <f t="shared" si="8"/>
        <v>0</v>
      </c>
      <c r="T36" s="81">
        <f t="shared" ca="1" si="9"/>
        <v>44393.000416666669</v>
      </c>
    </row>
    <row r="37" spans="1:20" ht="16.149999999999999" customHeight="1" x14ac:dyDescent="0.25">
      <c r="A37" s="37">
        <v>44398</v>
      </c>
      <c r="B37" s="37" t="s">
        <v>101</v>
      </c>
      <c r="C37" s="3" t="s">
        <v>38</v>
      </c>
      <c r="D37" s="78" t="s">
        <v>64</v>
      </c>
      <c r="E37" s="3" t="s">
        <v>19</v>
      </c>
      <c r="F37" s="38">
        <v>4</v>
      </c>
      <c r="G37" s="79">
        <v>78</v>
      </c>
      <c r="H37" s="80" t="str">
        <f t="shared" ref="H37:H68" ca="1" si="10">IF(AND(ISBLANK(E37)=FALSE,ISNA(VLOOKUP(E37,StockCodeOnly,1,0))=TRUE),"E2",IF(AND(ISBLANK(B37)=FALSE,B37&lt;&gt;"Purchase",B37&lt;&gt;"Usage",B37&lt;&gt;"Adjustment"),"E3",IF(AND(B37="Usage",F37&gt;0),"E4",IF(OR(K37&lt;0,L37&lt;0),"E5","-"))))</f>
        <v>-</v>
      </c>
      <c r="I37" s="78" t="str">
        <f>IF(ISNA(VLOOKUP($E37,StockCode[],COLUMN(StockCodes!$B$3),0))=TRUE,"Invalid Stock Code",VLOOKUP($E37,StockCode[],COLUMN(StockCodes!$B$3),0))</f>
        <v>Plastic Wrap</v>
      </c>
      <c r="J37" s="39" t="str">
        <f>IF(ISNA(VLOOKUP($E37,StockCode[],COLUMN(StockCodes!$C$3),0))=TRUE,"-",VLOOKUP($E37,StockCode[],COLUMN(StockCodes!$C$3),0))</f>
        <v>Rolls</v>
      </c>
      <c r="K37" s="79">
        <f t="shared" ref="K37:K68" ca="1" si="11">SUMIFS(StockOpenQty,StockCodeOnly,$E37)+SUMIFS(MoveQty,MoveDate,"&lt;"&amp;$T37,MoveCode,$E37)</f>
        <v>9.89</v>
      </c>
      <c r="L37" s="79">
        <f t="shared" ref="L37:L68" ca="1" si="12">K37+F37</f>
        <v>13.89</v>
      </c>
      <c r="M37" s="79" cm="1">
        <f t="array" aca="1" ref="M37" ca="1">IF($K37=0,0,((SUMIFS(StockOpenQty,StockCodeOnly,$E37)*SUMIFS(StockOpenCost,StockCodeOnly,$E37))+SUMIFS(MoveAmount,MoveDate,"&lt;"&amp;$T37,MoveCode,$E37))/$K37)</f>
        <v>20.774360206656254</v>
      </c>
      <c r="N37" s="79">
        <f t="shared" ref="N37:N68" ca="1" si="13">IF(B37&lt;&gt;"Purchase",M37,IF(L37=0,0,((K37*M37)+G37)/(F37+K37)))</f>
        <v>20.407373826049703</v>
      </c>
      <c r="O37" s="79">
        <f t="shared" ref="O37:O68" si="14">IF(B37="Purchase",G37,N37*F37)</f>
        <v>78</v>
      </c>
      <c r="P37" s="38">
        <f t="shared" ref="P37:P68" si="15">IF(B37&lt;&gt;"Purchase",0,IF(F37=0,0,G37/F37))</f>
        <v>19.5</v>
      </c>
      <c r="Q37" s="79">
        <f t="shared" ref="Q37:Q68" ca="1" si="16">IF(B37&lt;&gt;"Purchase",0,IF(K37=0,0,M37-P37))</f>
        <v>1.2743602066562545</v>
      </c>
      <c r="R37" s="19">
        <f t="shared" ref="R37:R68" ca="1" si="17">IF(B37&lt;&gt;"Purchase",0,IF(M37=0,0,Q37/M37))</f>
        <v>6.1342933981087915E-2</v>
      </c>
      <c r="S37" s="79">
        <f t="shared" ref="S37:S68" ca="1" si="18">Q37*F37</f>
        <v>5.097440826625018</v>
      </c>
      <c r="T37" s="81">
        <f t="shared" ref="T37:T68" ca="1" si="19">IF(ISBLANK($A37)=TRUE,TODAY()+((ROW($A37)-(86400*ROUNDDOWN(ROW($A37)/86400,0)))/86400),$A37+((ROW($A37)-(86400*ROUNDDOWN(ROW($A37)/86400,0)))/86400))</f>
        <v>44398.000428240739</v>
      </c>
    </row>
    <row r="38" spans="1:20" ht="16.149999999999999" customHeight="1" x14ac:dyDescent="0.25">
      <c r="A38" s="37">
        <v>44398</v>
      </c>
      <c r="B38" s="37" t="s">
        <v>101</v>
      </c>
      <c r="C38" s="3" t="s">
        <v>43</v>
      </c>
      <c r="D38" s="78">
        <v>76868</v>
      </c>
      <c r="E38" s="3" t="s">
        <v>22</v>
      </c>
      <c r="F38" s="38">
        <v>2</v>
      </c>
      <c r="G38" s="79">
        <v>800</v>
      </c>
      <c r="H38" s="80" t="str">
        <f t="shared" ca="1" si="10"/>
        <v>-</v>
      </c>
      <c r="I38" s="78" t="str">
        <f>IF(ISNA(VLOOKUP($E38,StockCode[],COLUMN(StockCodes!$B$3),0))=TRUE,"Invalid Stock Code",VLOOKUP($E38,StockCode[],COLUMN(StockCodes!$B$3),0))</f>
        <v>Labels</v>
      </c>
      <c r="J38" s="39">
        <f>IF(ISNA(VLOOKUP($E38,StockCode[],COLUMN(StockCodes!$C$3),0))=TRUE,"-",VLOOKUP($E38,StockCode[],COLUMN(StockCodes!$C$3),0))</f>
        <v>1000</v>
      </c>
      <c r="K38" s="79">
        <f t="shared" ca="1" si="11"/>
        <v>3.4699999999999998</v>
      </c>
      <c r="L38" s="79">
        <f t="shared" ca="1" si="12"/>
        <v>5.47</v>
      </c>
      <c r="M38" s="79" cm="1">
        <f t="array" aca="1" ref="M38" ca="1">IF($K38=0,0,((SUMIFS(StockOpenQty,StockCodeOnly,$E38)*SUMIFS(StockOpenCost,StockCodeOnly,$E38))+SUMIFS(MoveAmount,MoveDate,"&lt;"&amp;$T38,MoveCode,$E38))/$K38)</f>
        <v>370.39522744220733</v>
      </c>
      <c r="N38" s="79">
        <f t="shared" ca="1" si="13"/>
        <v>381.21964154012056</v>
      </c>
      <c r="O38" s="79">
        <f t="shared" si="14"/>
        <v>800</v>
      </c>
      <c r="P38" s="38">
        <f t="shared" si="15"/>
        <v>400</v>
      </c>
      <c r="Q38" s="79">
        <f t="shared" ca="1" si="16"/>
        <v>-29.604772557792671</v>
      </c>
      <c r="R38" s="19">
        <f t="shared" ca="1" si="17"/>
        <v>-7.9927521642842697E-2</v>
      </c>
      <c r="S38" s="79">
        <f t="shared" ca="1" si="18"/>
        <v>-59.209545115585343</v>
      </c>
      <c r="T38" s="81">
        <f t="shared" ca="1" si="19"/>
        <v>44398.000439814816</v>
      </c>
    </row>
    <row r="39" spans="1:20" ht="16.149999999999999" customHeight="1" x14ac:dyDescent="0.25">
      <c r="A39" s="37">
        <v>44398</v>
      </c>
      <c r="B39" s="37" t="s">
        <v>101</v>
      </c>
      <c r="C39" s="3" t="s">
        <v>39</v>
      </c>
      <c r="D39" s="78" t="s">
        <v>47</v>
      </c>
      <c r="E39" s="3" t="s">
        <v>23</v>
      </c>
      <c r="F39" s="38">
        <v>500</v>
      </c>
      <c r="G39" s="79">
        <v>595</v>
      </c>
      <c r="H39" s="80" t="str">
        <f t="shared" ca="1" si="10"/>
        <v>-</v>
      </c>
      <c r="I39" s="78" t="str">
        <f>IF(ISNA(VLOOKUP($E39,StockCode[],COLUMN(StockCodes!$B$3),0))=TRUE,"Invalid Stock Code",VLOOKUP($E39,StockCode[],COLUMN(StockCodes!$B$3),0))</f>
        <v>Boxes</v>
      </c>
      <c r="J39" s="39" t="str">
        <f>IF(ISNA(VLOOKUP($E39,StockCode[],COLUMN(StockCodes!$C$3),0))=TRUE,"-",VLOOKUP($E39,StockCode[],COLUMN(StockCodes!$C$3),0))</f>
        <v>Units</v>
      </c>
      <c r="K39" s="79">
        <f t="shared" ca="1" si="11"/>
        <v>738.68</v>
      </c>
      <c r="L39" s="79">
        <f t="shared" ca="1" si="12"/>
        <v>1238.6799999999998</v>
      </c>
      <c r="M39" s="79" cm="1">
        <f t="array" aca="1" ref="M39" ca="1">IF($K39=0,0,((SUMIFS(StockOpenQty,StockCodeOnly,$E39)*SUMIFS(StockOpenCost,StockCodeOnly,$E39))+SUMIFS(MoveAmount,MoveDate,"&lt;"&amp;$T39,MoveCode,$E39))/$K39)</f>
        <v>1.0483494084390947</v>
      </c>
      <c r="N39" s="79">
        <f t="shared" ca="1" si="13"/>
        <v>1.105527449402421</v>
      </c>
      <c r="O39" s="79">
        <f t="shared" si="14"/>
        <v>595</v>
      </c>
      <c r="P39" s="38">
        <f t="shared" si="15"/>
        <v>1.19</v>
      </c>
      <c r="Q39" s="79">
        <f t="shared" ca="1" si="16"/>
        <v>-0.1416505915609052</v>
      </c>
      <c r="R39" s="19">
        <f t="shared" ca="1" si="17"/>
        <v>-0.13511772928055654</v>
      </c>
      <c r="S39" s="79">
        <f t="shared" ca="1" si="18"/>
        <v>-70.825295780452606</v>
      </c>
      <c r="T39" s="81">
        <f t="shared" ca="1" si="19"/>
        <v>44398.000451388885</v>
      </c>
    </row>
    <row r="40" spans="1:20" ht="16.149999999999999" customHeight="1" x14ac:dyDescent="0.25">
      <c r="A40" s="37">
        <v>44398</v>
      </c>
      <c r="B40" s="37" t="s">
        <v>101</v>
      </c>
      <c r="C40" s="3" t="s">
        <v>42</v>
      </c>
      <c r="D40" s="78">
        <v>5765765</v>
      </c>
      <c r="E40" s="3" t="s">
        <v>25</v>
      </c>
      <c r="F40" s="38">
        <v>500</v>
      </c>
      <c r="G40" s="79">
        <v>23200</v>
      </c>
      <c r="H40" s="80" t="str">
        <f t="shared" ca="1" si="10"/>
        <v>-</v>
      </c>
      <c r="I40" s="78" t="str">
        <f>IF(ISNA(VLOOKUP($E40,StockCode[],COLUMN(StockCodes!$B$3),0))=TRUE,"Invalid Stock Code",VLOOKUP($E40,StockCode[],COLUMN(StockCodes!$B$3),0))</f>
        <v>Meat</v>
      </c>
      <c r="J40" s="39" t="str">
        <f>IF(ISNA(VLOOKUP($E40,StockCode[],COLUMN(StockCodes!$C$3),0))=TRUE,"-",VLOOKUP($E40,StockCode[],COLUMN(StockCodes!$C$3),0))</f>
        <v>Kg</v>
      </c>
      <c r="K40" s="79">
        <f t="shared" ca="1" si="11"/>
        <v>700</v>
      </c>
      <c r="L40" s="79">
        <f t="shared" ca="1" si="12"/>
        <v>1200</v>
      </c>
      <c r="M40" s="79" cm="1">
        <f t="array" aca="1" ref="M40" ca="1">IF($K40=0,0,((SUMIFS(StockOpenQty,StockCodeOnly,$E40)*SUMIFS(StockOpenCost,StockCodeOnly,$E40))+SUMIFS(MoveAmount,MoveDate,"&lt;"&amp;$T40,MoveCode,$E40))/$K40)</f>
        <v>45.668027210884354</v>
      </c>
      <c r="N40" s="79">
        <f t="shared" ca="1" si="13"/>
        <v>45.973015873015875</v>
      </c>
      <c r="O40" s="79">
        <f t="shared" si="14"/>
        <v>23200</v>
      </c>
      <c r="P40" s="38">
        <f t="shared" si="15"/>
        <v>46.4</v>
      </c>
      <c r="Q40" s="79">
        <f t="shared" ca="1" si="16"/>
        <v>-0.73197278911564467</v>
      </c>
      <c r="R40" s="19">
        <f t="shared" ca="1" si="17"/>
        <v>-1.6028123696597712E-2</v>
      </c>
      <c r="S40" s="79">
        <f t="shared" ca="1" si="18"/>
        <v>-365.98639455782234</v>
      </c>
      <c r="T40" s="81">
        <f t="shared" ca="1" si="19"/>
        <v>44398.000462962962</v>
      </c>
    </row>
    <row r="41" spans="1:20" ht="16.149999999999999" customHeight="1" x14ac:dyDescent="0.25">
      <c r="A41" s="37">
        <v>44398</v>
      </c>
      <c r="B41" s="37" t="s">
        <v>101</v>
      </c>
      <c r="C41" s="3" t="s">
        <v>40</v>
      </c>
      <c r="D41" s="78">
        <v>67887</v>
      </c>
      <c r="E41" s="3" t="s">
        <v>28</v>
      </c>
      <c r="F41" s="38">
        <v>40</v>
      </c>
      <c r="G41" s="79">
        <v>1600</v>
      </c>
      <c r="H41" s="80" t="str">
        <f t="shared" ca="1" si="10"/>
        <v>-</v>
      </c>
      <c r="I41" s="78" t="str">
        <f>IF(ISNA(VLOOKUP($E41,StockCode[],COLUMN(StockCodes!$B$3),0))=TRUE,"Invalid Stock Code",VLOOKUP($E41,StockCode[],COLUMN(StockCodes!$B$3),0))</f>
        <v>Bread Rolls</v>
      </c>
      <c r="J41" s="39" t="str">
        <f>IF(ISNA(VLOOKUP($E41,StockCode[],COLUMN(StockCodes!$C$3),0))=TRUE,"-",VLOOKUP($E41,StockCode[],COLUMN(StockCodes!$C$3),0))</f>
        <v>Dozen</v>
      </c>
      <c r="K41" s="79">
        <f t="shared" ca="1" si="11"/>
        <v>35.14</v>
      </c>
      <c r="L41" s="79">
        <f t="shared" ca="1" si="12"/>
        <v>75.14</v>
      </c>
      <c r="M41" s="79" cm="1">
        <f t="array" aca="1" ref="M41" ca="1">IF($K41=0,0,((SUMIFS(StockOpenQty,StockCodeOnly,$E41)*SUMIFS(StockOpenCost,StockCodeOnly,$E41))+SUMIFS(MoveAmount,MoveDate,"&lt;"&amp;$T41,MoveCode,$E41))/$K41)</f>
        <v>41.013131908111298</v>
      </c>
      <c r="N41" s="79">
        <f t="shared" ca="1" si="13"/>
        <v>40.47380164028521</v>
      </c>
      <c r="O41" s="79">
        <f t="shared" si="14"/>
        <v>1600</v>
      </c>
      <c r="P41" s="38">
        <f t="shared" si="15"/>
        <v>40</v>
      </c>
      <c r="Q41" s="79">
        <f t="shared" ca="1" si="16"/>
        <v>1.0131319081112977</v>
      </c>
      <c r="R41" s="19">
        <f t="shared" ca="1" si="17"/>
        <v>2.4702622330359691E-2</v>
      </c>
      <c r="S41" s="79">
        <f t="shared" ca="1" si="18"/>
        <v>40.525276324451909</v>
      </c>
      <c r="T41" s="81">
        <f t="shared" ca="1" si="19"/>
        <v>44398.000474537039</v>
      </c>
    </row>
    <row r="42" spans="1:20" ht="16.149999999999999" customHeight="1" x14ac:dyDescent="0.25">
      <c r="A42" s="37">
        <v>44398</v>
      </c>
      <c r="B42" s="37" t="s">
        <v>101</v>
      </c>
      <c r="C42" s="3" t="s">
        <v>41</v>
      </c>
      <c r="D42" s="78" t="s">
        <v>64</v>
      </c>
      <c r="E42" s="3" t="s">
        <v>31</v>
      </c>
      <c r="F42" s="38">
        <v>7</v>
      </c>
      <c r="G42" s="79">
        <v>42</v>
      </c>
      <c r="H42" s="80" t="str">
        <f t="shared" ca="1" si="10"/>
        <v>-</v>
      </c>
      <c r="I42" s="78" t="str">
        <f>IF(ISNA(VLOOKUP($E42,StockCode[],COLUMN(StockCodes!$B$3),0))=TRUE,"Invalid Stock Code",VLOOKUP($E42,StockCode[],COLUMN(StockCodes!$B$3),0))</f>
        <v>Lettuce</v>
      </c>
      <c r="J42" s="39" t="str">
        <f>IF(ISNA(VLOOKUP($E42,StockCode[],COLUMN(StockCodes!$C$3),0))=TRUE,"-",VLOOKUP($E42,StockCode[],COLUMN(StockCodes!$C$3),0))</f>
        <v>Kg</v>
      </c>
      <c r="K42" s="79">
        <f t="shared" ca="1" si="11"/>
        <v>17.440000000000001</v>
      </c>
      <c r="L42" s="79">
        <f t="shared" ca="1" si="12"/>
        <v>24.44</v>
      </c>
      <c r="M42" s="79" cm="1">
        <f t="array" aca="1" ref="M42" ca="1">IF($K42=0,0,((SUMIFS(StockOpenQty,StockCodeOnly,$E42)*SUMIFS(StockOpenCost,StockCodeOnly,$E42))+SUMIFS(MoveAmount,MoveDate,"&lt;"&amp;$T42,MoveCode,$E42))/$K42)</f>
        <v>5.0762952979934113</v>
      </c>
      <c r="N42" s="79">
        <f t="shared" ca="1" si="13"/>
        <v>5.3408588378479989</v>
      </c>
      <c r="O42" s="79">
        <f t="shared" si="14"/>
        <v>42</v>
      </c>
      <c r="P42" s="38">
        <f t="shared" si="15"/>
        <v>6</v>
      </c>
      <c r="Q42" s="79">
        <f t="shared" ca="1" si="16"/>
        <v>-0.92370470200658872</v>
      </c>
      <c r="R42" s="19">
        <f t="shared" ca="1" si="17"/>
        <v>-0.18196433575716453</v>
      </c>
      <c r="S42" s="79">
        <f t="shared" ca="1" si="18"/>
        <v>-6.465932914046121</v>
      </c>
      <c r="T42" s="81">
        <f t="shared" ca="1" si="19"/>
        <v>44398.000486111108</v>
      </c>
    </row>
    <row r="43" spans="1:20" ht="16.149999999999999" customHeight="1" x14ac:dyDescent="0.25">
      <c r="A43" s="37">
        <v>44398</v>
      </c>
      <c r="B43" s="37" t="s">
        <v>101</v>
      </c>
      <c r="C43" s="3" t="s">
        <v>41</v>
      </c>
      <c r="D43" s="78">
        <v>76868</v>
      </c>
      <c r="E43" s="3" t="s">
        <v>33</v>
      </c>
      <c r="F43" s="38">
        <v>1</v>
      </c>
      <c r="G43" s="79">
        <v>12</v>
      </c>
      <c r="H43" s="80" t="str">
        <f t="shared" ca="1" si="10"/>
        <v>-</v>
      </c>
      <c r="I43" s="78" t="str">
        <f>IF(ISNA(VLOOKUP($E43,StockCode[],COLUMN(StockCodes!$B$3),0))=TRUE,"Invalid Stock Code",VLOOKUP($E43,StockCode[],COLUMN(StockCodes!$B$3),0))</f>
        <v>Gurkins</v>
      </c>
      <c r="J43" s="39" t="str">
        <f>IF(ISNA(VLOOKUP($E43,StockCode[],COLUMN(StockCodes!$C$3),0))=TRUE,"-",VLOOKUP($E43,StockCode[],COLUMN(StockCodes!$C$3),0))</f>
        <v>Kg</v>
      </c>
      <c r="K43" s="79">
        <f t="shared" ca="1" si="11"/>
        <v>12.74</v>
      </c>
      <c r="L43" s="79">
        <f t="shared" ca="1" si="12"/>
        <v>13.74</v>
      </c>
      <c r="M43" s="79" cm="1">
        <f t="array" aca="1" ref="M43" ca="1">IF($K43=0,0,((SUMIFS(StockOpenQty,StockCodeOnly,$E43)*SUMIFS(StockOpenCost,StockCodeOnly,$E43))+SUMIFS(MoveAmount,MoveDate,"&lt;"&amp;$T43,MoveCode,$E43))/$K43)</f>
        <v>8.1378318732027015</v>
      </c>
      <c r="N43" s="79">
        <f t="shared" ca="1" si="13"/>
        <v>8.4189212565212816</v>
      </c>
      <c r="O43" s="79">
        <f t="shared" si="14"/>
        <v>12</v>
      </c>
      <c r="P43" s="38">
        <f t="shared" si="15"/>
        <v>12</v>
      </c>
      <c r="Q43" s="79">
        <f t="shared" ca="1" si="16"/>
        <v>-3.8621681267972985</v>
      </c>
      <c r="R43" s="19">
        <f t="shared" ca="1" si="17"/>
        <v>-0.47459423922422656</v>
      </c>
      <c r="S43" s="79">
        <f t="shared" ca="1" si="18"/>
        <v>-3.8621681267972985</v>
      </c>
      <c r="T43" s="81">
        <f t="shared" ca="1" si="19"/>
        <v>44398.000497685185</v>
      </c>
    </row>
    <row r="44" spans="1:20" ht="16.149999999999999" customHeight="1" x14ac:dyDescent="0.25">
      <c r="A44" s="37">
        <v>44398</v>
      </c>
      <c r="B44" s="37" t="s">
        <v>101</v>
      </c>
      <c r="C44" s="3" t="s">
        <v>41</v>
      </c>
      <c r="D44" s="78" t="s">
        <v>47</v>
      </c>
      <c r="E44" s="3" t="s">
        <v>35</v>
      </c>
      <c r="F44" s="38">
        <v>1</v>
      </c>
      <c r="G44" s="79">
        <v>9</v>
      </c>
      <c r="H44" s="80" t="str">
        <f t="shared" ca="1" si="10"/>
        <v>-</v>
      </c>
      <c r="I44" s="78" t="str">
        <f>IF(ISNA(VLOOKUP($E44,StockCode[],COLUMN(StockCodes!$B$3),0))=TRUE,"Invalid Stock Code",VLOOKUP($E44,StockCode[],COLUMN(StockCodes!$B$3),0))</f>
        <v>Onions</v>
      </c>
      <c r="J44" s="39" t="str">
        <f>IF(ISNA(VLOOKUP($E44,StockCode[],COLUMN(StockCodes!$C$3),0))=TRUE,"-",VLOOKUP($E44,StockCode[],COLUMN(StockCodes!$C$3),0))</f>
        <v>Kg</v>
      </c>
      <c r="K44" s="79">
        <f t="shared" ca="1" si="11"/>
        <v>29.47</v>
      </c>
      <c r="L44" s="79">
        <f t="shared" ca="1" si="12"/>
        <v>30.47</v>
      </c>
      <c r="M44" s="79" cm="1">
        <f t="array" aca="1" ref="M44" ca="1">IF($K44=0,0,((SUMIFS(StockOpenQty,StockCodeOnly,$E44)*SUMIFS(StockOpenCost,StockCodeOnly,$E44))+SUMIFS(MoveAmount,MoveDate,"&lt;"&amp;$T44,MoveCode,$E44))/$K44)</f>
        <v>6.2039885627420466</v>
      </c>
      <c r="N44" s="79">
        <f t="shared" ca="1" si="13"/>
        <v>6.2957513273386319</v>
      </c>
      <c r="O44" s="79">
        <f t="shared" si="14"/>
        <v>9</v>
      </c>
      <c r="P44" s="38">
        <f t="shared" si="15"/>
        <v>9</v>
      </c>
      <c r="Q44" s="79">
        <f t="shared" ca="1" si="16"/>
        <v>-2.7960114372579534</v>
      </c>
      <c r="R44" s="19">
        <f t="shared" ca="1" si="17"/>
        <v>-0.45067965696283763</v>
      </c>
      <c r="S44" s="79">
        <f t="shared" ca="1" si="18"/>
        <v>-2.7960114372579534</v>
      </c>
      <c r="T44" s="81">
        <f t="shared" ca="1" si="19"/>
        <v>44398.000509259262</v>
      </c>
    </row>
    <row r="45" spans="1:20" ht="16.149999999999999" customHeight="1" x14ac:dyDescent="0.25">
      <c r="A45" s="37">
        <v>44400</v>
      </c>
      <c r="B45" s="37" t="s">
        <v>102</v>
      </c>
      <c r="C45" s="3" t="s">
        <v>104</v>
      </c>
      <c r="D45" s="78" t="s">
        <v>104</v>
      </c>
      <c r="E45" s="3" t="s">
        <v>19</v>
      </c>
      <c r="F45" s="38">
        <v>-3</v>
      </c>
      <c r="G45" s="79">
        <v>0</v>
      </c>
      <c r="H45" s="80" t="str">
        <f t="shared" ca="1" si="10"/>
        <v>-</v>
      </c>
      <c r="I45" s="25" t="str">
        <f>IF(ISNA(VLOOKUP($E45,StockCode[],COLUMN(StockCodes!$B$3),0))=TRUE,"Invalid Stock Code",VLOOKUP($E45,StockCode[],COLUMN(StockCodes!$B$3),0))</f>
        <v>Plastic Wrap</v>
      </c>
      <c r="J45" s="39" t="str">
        <f>IF(ISNA(VLOOKUP($E45,StockCode[],COLUMN(StockCodes!$C$3),0))=TRUE,"-",VLOOKUP($E45,StockCode[],COLUMN(StockCodes!$C$3),0))</f>
        <v>Rolls</v>
      </c>
      <c r="K45" s="82">
        <f t="shared" ca="1" si="11"/>
        <v>13.89</v>
      </c>
      <c r="L45" s="82">
        <f t="shared" ca="1" si="12"/>
        <v>10.89</v>
      </c>
      <c r="M45" s="79" cm="1">
        <f t="array" aca="1" ref="M45" ca="1">IF($K45=0,0,((SUMIFS(StockOpenQty,StockCodeOnly,$E45)*SUMIFS(StockOpenCost,StockCodeOnly,$E45))+SUMIFS(MoveAmount,MoveDate,"&lt;"&amp;$T45,MoveCode,$E45))/$K45)</f>
        <v>20.407373826049703</v>
      </c>
      <c r="N45" s="82">
        <f t="shared" ca="1" si="13"/>
        <v>20.407373826049703</v>
      </c>
      <c r="O45" s="82">
        <f t="shared" ca="1" si="14"/>
        <v>-61.222121478149106</v>
      </c>
      <c r="P45" s="83">
        <f t="shared" si="15"/>
        <v>0</v>
      </c>
      <c r="Q45" s="79">
        <f t="shared" si="16"/>
        <v>0</v>
      </c>
      <c r="R45" s="19">
        <f t="shared" si="17"/>
        <v>0</v>
      </c>
      <c r="S45" s="79">
        <f t="shared" si="18"/>
        <v>0</v>
      </c>
      <c r="T45" s="81">
        <f t="shared" ca="1" si="19"/>
        <v>44400.000520833331</v>
      </c>
    </row>
    <row r="46" spans="1:20" ht="16.149999999999999" customHeight="1" x14ac:dyDescent="0.25">
      <c r="A46" s="37">
        <v>44400</v>
      </c>
      <c r="B46" s="37" t="s">
        <v>102</v>
      </c>
      <c r="C46" s="3" t="s">
        <v>104</v>
      </c>
      <c r="D46" s="78" t="s">
        <v>104</v>
      </c>
      <c r="E46" s="3" t="s">
        <v>22</v>
      </c>
      <c r="F46" s="38">
        <v>-2</v>
      </c>
      <c r="G46" s="79">
        <v>0</v>
      </c>
      <c r="H46" s="80" t="str">
        <f t="shared" ca="1" si="10"/>
        <v>-</v>
      </c>
      <c r="I46" s="25" t="str">
        <f>IF(ISNA(VLOOKUP($E46,StockCode[],COLUMN(StockCodes!$B$3),0))=TRUE,"Invalid Stock Code",VLOOKUP($E46,StockCode[],COLUMN(StockCodes!$B$3),0))</f>
        <v>Labels</v>
      </c>
      <c r="J46" s="39">
        <f>IF(ISNA(VLOOKUP($E46,StockCode[],COLUMN(StockCodes!$C$3),0))=TRUE,"-",VLOOKUP($E46,StockCode[],COLUMN(StockCodes!$C$3),0))</f>
        <v>1000</v>
      </c>
      <c r="K46" s="82">
        <f t="shared" ca="1" si="11"/>
        <v>5.47</v>
      </c>
      <c r="L46" s="82">
        <f t="shared" ca="1" si="12"/>
        <v>3.4699999999999998</v>
      </c>
      <c r="M46" s="79" cm="1">
        <f t="array" aca="1" ref="M46" ca="1">IF($K46=0,0,((SUMIFS(StockOpenQty,StockCodeOnly,$E46)*SUMIFS(StockOpenCost,StockCodeOnly,$E46))+SUMIFS(MoveAmount,MoveDate,"&lt;"&amp;$T46,MoveCode,$E46))/$K46)</f>
        <v>381.21964154012056</v>
      </c>
      <c r="N46" s="82">
        <f t="shared" ca="1" si="13"/>
        <v>381.21964154012056</v>
      </c>
      <c r="O46" s="82">
        <f t="shared" ca="1" si="14"/>
        <v>-762.43928308024113</v>
      </c>
      <c r="P46" s="83">
        <f t="shared" si="15"/>
        <v>0</v>
      </c>
      <c r="Q46" s="79">
        <f t="shared" si="16"/>
        <v>0</v>
      </c>
      <c r="R46" s="19">
        <f t="shared" si="17"/>
        <v>0</v>
      </c>
      <c r="S46" s="79">
        <f t="shared" si="18"/>
        <v>0</v>
      </c>
      <c r="T46" s="81">
        <f t="shared" ca="1" si="19"/>
        <v>44400.000532407408</v>
      </c>
    </row>
    <row r="47" spans="1:20" ht="16.149999999999999" customHeight="1" x14ac:dyDescent="0.25">
      <c r="A47" s="37">
        <v>44400</v>
      </c>
      <c r="B47" s="37" t="s">
        <v>102</v>
      </c>
      <c r="C47" s="3" t="s">
        <v>104</v>
      </c>
      <c r="D47" s="78" t="s">
        <v>104</v>
      </c>
      <c r="E47" s="3" t="s">
        <v>23</v>
      </c>
      <c r="F47" s="38">
        <v>-620</v>
      </c>
      <c r="G47" s="79">
        <v>0</v>
      </c>
      <c r="H47" s="80" t="str">
        <f t="shared" ca="1" si="10"/>
        <v>-</v>
      </c>
      <c r="I47" s="25" t="str">
        <f>IF(ISNA(VLOOKUP($E47,StockCode[],COLUMN(StockCodes!$B$3),0))=TRUE,"Invalid Stock Code",VLOOKUP($E47,StockCode[],COLUMN(StockCodes!$B$3),0))</f>
        <v>Boxes</v>
      </c>
      <c r="J47" s="39" t="str">
        <f>IF(ISNA(VLOOKUP($E47,StockCode[],COLUMN(StockCodes!$C$3),0))=TRUE,"-",VLOOKUP($E47,StockCode[],COLUMN(StockCodes!$C$3),0))</f>
        <v>Units</v>
      </c>
      <c r="K47" s="82">
        <f t="shared" ca="1" si="11"/>
        <v>1238.6799999999998</v>
      </c>
      <c r="L47" s="82">
        <f t="shared" ca="1" si="12"/>
        <v>618.67999999999984</v>
      </c>
      <c r="M47" s="79" cm="1">
        <f t="array" aca="1" ref="M47" ca="1">IF($K47=0,0,((SUMIFS(StockOpenQty,StockCodeOnly,$E47)*SUMIFS(StockOpenCost,StockCodeOnly,$E47))+SUMIFS(MoveAmount,MoveDate,"&lt;"&amp;$T47,MoveCode,$E47))/$K47)</f>
        <v>1.1055274494024208</v>
      </c>
      <c r="N47" s="82">
        <f t="shared" ca="1" si="13"/>
        <v>1.1055274494024208</v>
      </c>
      <c r="O47" s="82">
        <f t="shared" ca="1" si="14"/>
        <v>-685.42701862950082</v>
      </c>
      <c r="P47" s="83">
        <f t="shared" si="15"/>
        <v>0</v>
      </c>
      <c r="Q47" s="79">
        <f t="shared" si="16"/>
        <v>0</v>
      </c>
      <c r="R47" s="19">
        <f t="shared" si="17"/>
        <v>0</v>
      </c>
      <c r="S47" s="79">
        <f t="shared" si="18"/>
        <v>0</v>
      </c>
      <c r="T47" s="81">
        <f t="shared" ca="1" si="19"/>
        <v>44400.000543981485</v>
      </c>
    </row>
    <row r="48" spans="1:20" ht="16.149999999999999" customHeight="1" x14ac:dyDescent="0.25">
      <c r="A48" s="37">
        <v>44400</v>
      </c>
      <c r="B48" s="37" t="s">
        <v>102</v>
      </c>
      <c r="C48" s="3" t="s">
        <v>104</v>
      </c>
      <c r="D48" s="78" t="s">
        <v>104</v>
      </c>
      <c r="E48" s="3" t="s">
        <v>25</v>
      </c>
      <c r="F48" s="38">
        <v>-400</v>
      </c>
      <c r="G48" s="79">
        <v>0</v>
      </c>
      <c r="H48" s="80" t="str">
        <f t="shared" ca="1" si="10"/>
        <v>-</v>
      </c>
      <c r="I48" s="25" t="str">
        <f>IF(ISNA(VLOOKUP($E48,StockCode[],COLUMN(StockCodes!$B$3),0))=TRUE,"Invalid Stock Code",VLOOKUP($E48,StockCode[],COLUMN(StockCodes!$B$3),0))</f>
        <v>Meat</v>
      </c>
      <c r="J48" s="39" t="str">
        <f>IF(ISNA(VLOOKUP($E48,StockCode[],COLUMN(StockCodes!$C$3),0))=TRUE,"-",VLOOKUP($E48,StockCode[],COLUMN(StockCodes!$C$3),0))</f>
        <v>Kg</v>
      </c>
      <c r="K48" s="82">
        <f t="shared" ca="1" si="11"/>
        <v>1200</v>
      </c>
      <c r="L48" s="82">
        <f t="shared" ca="1" si="12"/>
        <v>800</v>
      </c>
      <c r="M48" s="79" cm="1">
        <f t="array" aca="1" ref="M48" ca="1">IF($K48=0,0,((SUMIFS(StockOpenQty,StockCodeOnly,$E48)*SUMIFS(StockOpenCost,StockCodeOnly,$E48))+SUMIFS(MoveAmount,MoveDate,"&lt;"&amp;$T48,MoveCode,$E48))/$K48)</f>
        <v>45.973015873015875</v>
      </c>
      <c r="N48" s="82">
        <f t="shared" ca="1" si="13"/>
        <v>45.973015873015875</v>
      </c>
      <c r="O48" s="82">
        <f t="shared" ca="1" si="14"/>
        <v>-18389.20634920635</v>
      </c>
      <c r="P48" s="83">
        <f t="shared" si="15"/>
        <v>0</v>
      </c>
      <c r="Q48" s="79">
        <f t="shared" si="16"/>
        <v>0</v>
      </c>
      <c r="R48" s="19">
        <f t="shared" si="17"/>
        <v>0</v>
      </c>
      <c r="S48" s="79">
        <f t="shared" si="18"/>
        <v>0</v>
      </c>
      <c r="T48" s="81">
        <f t="shared" ca="1" si="19"/>
        <v>44400.000555555554</v>
      </c>
    </row>
    <row r="49" spans="1:20" ht="16.149999999999999" customHeight="1" x14ac:dyDescent="0.25">
      <c r="A49" s="37">
        <v>44400</v>
      </c>
      <c r="B49" s="37" t="s">
        <v>102</v>
      </c>
      <c r="C49" s="3" t="s">
        <v>104</v>
      </c>
      <c r="D49" s="78" t="s">
        <v>104</v>
      </c>
      <c r="E49" s="3" t="s">
        <v>28</v>
      </c>
      <c r="F49" s="38">
        <v>-50</v>
      </c>
      <c r="G49" s="79">
        <v>0</v>
      </c>
      <c r="H49" s="80" t="str">
        <f t="shared" ca="1" si="10"/>
        <v>-</v>
      </c>
      <c r="I49" s="25" t="str">
        <f>IF(ISNA(VLOOKUP($E49,StockCode[],COLUMN(StockCodes!$B$3),0))=TRUE,"Invalid Stock Code",VLOOKUP($E49,StockCode[],COLUMN(StockCodes!$B$3),0))</f>
        <v>Bread Rolls</v>
      </c>
      <c r="J49" s="39" t="str">
        <f>IF(ISNA(VLOOKUP($E49,StockCode[],COLUMN(StockCodes!$C$3),0))=TRUE,"-",VLOOKUP($E49,StockCode[],COLUMN(StockCodes!$C$3),0))</f>
        <v>Dozen</v>
      </c>
      <c r="K49" s="82">
        <f t="shared" ca="1" si="11"/>
        <v>75.14</v>
      </c>
      <c r="L49" s="82">
        <f t="shared" ca="1" si="12"/>
        <v>25.14</v>
      </c>
      <c r="M49" s="79" cm="1">
        <f t="array" aca="1" ref="M49" ca="1">IF($K49=0,0,((SUMIFS(StockOpenQty,StockCodeOnly,$E49)*SUMIFS(StockOpenCost,StockCodeOnly,$E49))+SUMIFS(MoveAmount,MoveDate,"&lt;"&amp;$T49,MoveCode,$E49))/$K49)</f>
        <v>40.47380164028521</v>
      </c>
      <c r="N49" s="82">
        <f t="shared" ca="1" si="13"/>
        <v>40.47380164028521</v>
      </c>
      <c r="O49" s="82">
        <f t="shared" ca="1" si="14"/>
        <v>-2023.6900820142605</v>
      </c>
      <c r="P49" s="83">
        <f t="shared" si="15"/>
        <v>0</v>
      </c>
      <c r="Q49" s="79">
        <f t="shared" si="16"/>
        <v>0</v>
      </c>
      <c r="R49" s="19">
        <f t="shared" si="17"/>
        <v>0</v>
      </c>
      <c r="S49" s="79">
        <f t="shared" si="18"/>
        <v>0</v>
      </c>
      <c r="T49" s="81">
        <f t="shared" ca="1" si="19"/>
        <v>44400.000567129631</v>
      </c>
    </row>
    <row r="50" spans="1:20" ht="16.149999999999999" customHeight="1" x14ac:dyDescent="0.25">
      <c r="A50" s="37">
        <v>44400</v>
      </c>
      <c r="B50" s="37" t="s">
        <v>102</v>
      </c>
      <c r="C50" s="3" t="s">
        <v>104</v>
      </c>
      <c r="D50" s="78" t="s">
        <v>104</v>
      </c>
      <c r="E50" s="3" t="s">
        <v>31</v>
      </c>
      <c r="F50" s="38">
        <v>-12</v>
      </c>
      <c r="G50" s="79">
        <v>0</v>
      </c>
      <c r="H50" s="80" t="str">
        <f t="shared" ca="1" si="10"/>
        <v>-</v>
      </c>
      <c r="I50" s="25" t="str">
        <f>IF(ISNA(VLOOKUP($E50,StockCode[],COLUMN(StockCodes!$B$3),0))=TRUE,"Invalid Stock Code",VLOOKUP($E50,StockCode[],COLUMN(StockCodes!$B$3),0))</f>
        <v>Lettuce</v>
      </c>
      <c r="J50" s="39" t="str">
        <f>IF(ISNA(VLOOKUP($E50,StockCode[],COLUMN(StockCodes!$C$3),0))=TRUE,"-",VLOOKUP($E50,StockCode[],COLUMN(StockCodes!$C$3),0))</f>
        <v>Kg</v>
      </c>
      <c r="K50" s="82">
        <f t="shared" ca="1" si="11"/>
        <v>24.44</v>
      </c>
      <c r="L50" s="82">
        <f t="shared" ca="1" si="12"/>
        <v>12.440000000000001</v>
      </c>
      <c r="M50" s="79" cm="1">
        <f t="array" aca="1" ref="M50" ca="1">IF($K50=0,0,((SUMIFS(StockOpenQty,StockCodeOnly,$E50)*SUMIFS(StockOpenCost,StockCodeOnly,$E50))+SUMIFS(MoveAmount,MoveDate,"&lt;"&amp;$T50,MoveCode,$E50))/$K50)</f>
        <v>5.3408588378479989</v>
      </c>
      <c r="N50" s="82">
        <f t="shared" ca="1" si="13"/>
        <v>5.3408588378479989</v>
      </c>
      <c r="O50" s="82">
        <f t="shared" ca="1" si="14"/>
        <v>-64.090306054175983</v>
      </c>
      <c r="P50" s="83">
        <f t="shared" si="15"/>
        <v>0</v>
      </c>
      <c r="Q50" s="79">
        <f t="shared" si="16"/>
        <v>0</v>
      </c>
      <c r="R50" s="19">
        <f t="shared" si="17"/>
        <v>0</v>
      </c>
      <c r="S50" s="79">
        <f t="shared" si="18"/>
        <v>0</v>
      </c>
      <c r="T50" s="81">
        <f t="shared" ca="1" si="19"/>
        <v>44400.000578703701</v>
      </c>
    </row>
    <row r="51" spans="1:20" ht="16.149999999999999" customHeight="1" x14ac:dyDescent="0.25">
      <c r="A51" s="37">
        <v>44400</v>
      </c>
      <c r="B51" s="37" t="s">
        <v>102</v>
      </c>
      <c r="C51" s="3" t="s">
        <v>104</v>
      </c>
      <c r="D51" s="78" t="s">
        <v>104</v>
      </c>
      <c r="E51" s="3" t="s">
        <v>33</v>
      </c>
      <c r="F51" s="38">
        <v>-7</v>
      </c>
      <c r="G51" s="79">
        <v>0</v>
      </c>
      <c r="H51" s="80" t="str">
        <f t="shared" ca="1" si="10"/>
        <v>-</v>
      </c>
      <c r="I51" s="25" t="str">
        <f>IF(ISNA(VLOOKUP($E51,StockCode[],COLUMN(StockCodes!$B$3),0))=TRUE,"Invalid Stock Code",VLOOKUP($E51,StockCode[],COLUMN(StockCodes!$B$3),0))</f>
        <v>Gurkins</v>
      </c>
      <c r="J51" s="39" t="str">
        <f>IF(ISNA(VLOOKUP($E51,StockCode[],COLUMN(StockCodes!$C$3),0))=TRUE,"-",VLOOKUP($E51,StockCode[],COLUMN(StockCodes!$C$3),0))</f>
        <v>Kg</v>
      </c>
      <c r="K51" s="82">
        <f t="shared" ca="1" si="11"/>
        <v>13.74</v>
      </c>
      <c r="L51" s="82">
        <f t="shared" ca="1" si="12"/>
        <v>6.74</v>
      </c>
      <c r="M51" s="79" cm="1">
        <f t="array" aca="1" ref="M51" ca="1">IF($K51=0,0,((SUMIFS(StockOpenQty,StockCodeOnly,$E51)*SUMIFS(StockOpenCost,StockCodeOnly,$E51))+SUMIFS(MoveAmount,MoveDate,"&lt;"&amp;$T51,MoveCode,$E51))/$K51)</f>
        <v>8.4189212565212816</v>
      </c>
      <c r="N51" s="82">
        <f t="shared" ca="1" si="13"/>
        <v>8.4189212565212816</v>
      </c>
      <c r="O51" s="82">
        <f t="shared" ca="1" si="14"/>
        <v>-58.932448795648973</v>
      </c>
      <c r="P51" s="83">
        <f t="shared" si="15"/>
        <v>0</v>
      </c>
      <c r="Q51" s="79">
        <f t="shared" si="16"/>
        <v>0</v>
      </c>
      <c r="R51" s="19">
        <f t="shared" si="17"/>
        <v>0</v>
      </c>
      <c r="S51" s="79">
        <f t="shared" si="18"/>
        <v>0</v>
      </c>
      <c r="T51" s="81">
        <f t="shared" ca="1" si="19"/>
        <v>44400.000590277778</v>
      </c>
    </row>
    <row r="52" spans="1:20" ht="16.149999999999999" customHeight="1" x14ac:dyDescent="0.25">
      <c r="A52" s="37">
        <v>44400</v>
      </c>
      <c r="B52" s="37" t="s">
        <v>102</v>
      </c>
      <c r="C52" s="3" t="s">
        <v>104</v>
      </c>
      <c r="D52" s="78" t="s">
        <v>104</v>
      </c>
      <c r="E52" s="3" t="s">
        <v>35</v>
      </c>
      <c r="F52" s="38">
        <v>-14</v>
      </c>
      <c r="G52" s="79">
        <v>0</v>
      </c>
      <c r="H52" s="80" t="str">
        <f t="shared" ca="1" si="10"/>
        <v>-</v>
      </c>
      <c r="I52" s="25" t="str">
        <f>IF(ISNA(VLOOKUP($E52,StockCode[],COLUMN(StockCodes!$B$3),0))=TRUE,"Invalid Stock Code",VLOOKUP($E52,StockCode[],COLUMN(StockCodes!$B$3),0))</f>
        <v>Onions</v>
      </c>
      <c r="J52" s="39" t="str">
        <f>IF(ISNA(VLOOKUP($E52,StockCode[],COLUMN(StockCodes!$C$3),0))=TRUE,"-",VLOOKUP($E52,StockCode[],COLUMN(StockCodes!$C$3),0))</f>
        <v>Kg</v>
      </c>
      <c r="K52" s="82">
        <f t="shared" ca="1" si="11"/>
        <v>30.47</v>
      </c>
      <c r="L52" s="82">
        <f t="shared" ca="1" si="12"/>
        <v>16.47</v>
      </c>
      <c r="M52" s="79" cm="1">
        <f t="array" aca="1" ref="M52" ca="1">IF($K52=0,0,((SUMIFS(StockOpenQty,StockCodeOnly,$E52)*SUMIFS(StockOpenCost,StockCodeOnly,$E52))+SUMIFS(MoveAmount,MoveDate,"&lt;"&amp;$T52,MoveCode,$E52))/$K52)</f>
        <v>6.2957513273386319</v>
      </c>
      <c r="N52" s="82">
        <f t="shared" ca="1" si="13"/>
        <v>6.2957513273386319</v>
      </c>
      <c r="O52" s="82">
        <f t="shared" ca="1" si="14"/>
        <v>-88.140518582740839</v>
      </c>
      <c r="P52" s="83">
        <f t="shared" si="15"/>
        <v>0</v>
      </c>
      <c r="Q52" s="79">
        <f t="shared" si="16"/>
        <v>0</v>
      </c>
      <c r="R52" s="19">
        <f t="shared" si="17"/>
        <v>0</v>
      </c>
      <c r="S52" s="79">
        <f t="shared" si="18"/>
        <v>0</v>
      </c>
      <c r="T52" s="81">
        <f t="shared" ca="1" si="19"/>
        <v>44400.000601851854</v>
      </c>
    </row>
    <row r="53" spans="1:20" ht="16.149999999999999" customHeight="1" x14ac:dyDescent="0.25">
      <c r="A53" s="37">
        <v>44405</v>
      </c>
      <c r="B53" s="37" t="s">
        <v>101</v>
      </c>
      <c r="C53" s="3" t="s">
        <v>38</v>
      </c>
      <c r="D53" s="78" t="s">
        <v>64</v>
      </c>
      <c r="E53" s="3" t="s">
        <v>19</v>
      </c>
      <c r="F53" s="38">
        <v>2</v>
      </c>
      <c r="G53" s="79">
        <v>42</v>
      </c>
      <c r="H53" s="80" t="str">
        <f t="shared" ca="1" si="10"/>
        <v>-</v>
      </c>
      <c r="I53" s="78" t="str">
        <f>IF(ISNA(VLOOKUP($E53,StockCode[],COLUMN(StockCodes!$B$3),0))=TRUE,"Invalid Stock Code",VLOOKUP($E53,StockCode[],COLUMN(StockCodes!$B$3),0))</f>
        <v>Plastic Wrap</v>
      </c>
      <c r="J53" s="39" t="str">
        <f>IF(ISNA(VLOOKUP($E53,StockCode[],COLUMN(StockCodes!$C$3),0))=TRUE,"-",VLOOKUP($E53,StockCode[],COLUMN(StockCodes!$C$3),0))</f>
        <v>Rolls</v>
      </c>
      <c r="K53" s="79">
        <f t="shared" ca="1" si="11"/>
        <v>10.89</v>
      </c>
      <c r="L53" s="79">
        <f t="shared" ca="1" si="12"/>
        <v>12.89</v>
      </c>
      <c r="M53" s="79" cm="1">
        <f t="array" aca="1" ref="M53" ca="1">IF($K53=0,0,((SUMIFS(StockOpenQty,StockCodeOnly,$E53)*SUMIFS(StockOpenCost,StockCodeOnly,$E53))+SUMIFS(MoveAmount,MoveDate,"&lt;"&amp;$T53,MoveCode,$E53))/$K53)</f>
        <v>20.407373826049703</v>
      </c>
      <c r="N53" s="79">
        <f t="shared" ca="1" si="13"/>
        <v>20.499325133101728</v>
      </c>
      <c r="O53" s="79">
        <f t="shared" si="14"/>
        <v>42</v>
      </c>
      <c r="P53" s="38">
        <f t="shared" si="15"/>
        <v>21</v>
      </c>
      <c r="Q53" s="79">
        <f t="shared" ca="1" si="16"/>
        <v>-0.59262617395029693</v>
      </c>
      <c r="R53" s="19">
        <f t="shared" ca="1" si="17"/>
        <v>-2.9039805856538904E-2</v>
      </c>
      <c r="S53" s="79">
        <f t="shared" ca="1" si="18"/>
        <v>-1.1852523479005939</v>
      </c>
      <c r="T53" s="81">
        <f t="shared" ca="1" si="19"/>
        <v>44405.000613425924</v>
      </c>
    </row>
    <row r="54" spans="1:20" ht="16.149999999999999" customHeight="1" x14ac:dyDescent="0.25">
      <c r="A54" s="37">
        <v>44405</v>
      </c>
      <c r="B54" s="37" t="s">
        <v>101</v>
      </c>
      <c r="C54" s="3" t="s">
        <v>43</v>
      </c>
      <c r="D54" s="78">
        <v>76868</v>
      </c>
      <c r="E54" s="3" t="s">
        <v>22</v>
      </c>
      <c r="F54" s="38">
        <v>1</v>
      </c>
      <c r="G54" s="79">
        <v>410</v>
      </c>
      <c r="H54" s="80" t="str">
        <f t="shared" ca="1" si="10"/>
        <v>-</v>
      </c>
      <c r="I54" s="78" t="str">
        <f>IF(ISNA(VLOOKUP($E54,StockCode[],COLUMN(StockCodes!$B$3),0))=TRUE,"Invalid Stock Code",VLOOKUP($E54,StockCode[],COLUMN(StockCodes!$B$3),0))</f>
        <v>Labels</v>
      </c>
      <c r="J54" s="39">
        <f>IF(ISNA(VLOOKUP($E54,StockCode[],COLUMN(StockCodes!$C$3),0))=TRUE,"-",VLOOKUP($E54,StockCode[],COLUMN(StockCodes!$C$3),0))</f>
        <v>1000</v>
      </c>
      <c r="K54" s="79">
        <f t="shared" ca="1" si="11"/>
        <v>3.4699999999999998</v>
      </c>
      <c r="L54" s="79">
        <f t="shared" ca="1" si="12"/>
        <v>4.47</v>
      </c>
      <c r="M54" s="79" cm="1">
        <f t="array" aca="1" ref="M54" ca="1">IF($K54=0,0,((SUMIFS(StockOpenQty,StockCodeOnly,$E54)*SUMIFS(StockOpenCost,StockCodeOnly,$E54))+SUMIFS(MoveAmount,MoveDate,"&lt;"&amp;$T54,MoveCode,$E54))/$K54)</f>
        <v>381.21964154012051</v>
      </c>
      <c r="N54" s="79">
        <f t="shared" ca="1" si="13"/>
        <v>387.65820047969089</v>
      </c>
      <c r="O54" s="79">
        <f t="shared" si="14"/>
        <v>410</v>
      </c>
      <c r="P54" s="38">
        <f t="shared" si="15"/>
        <v>410</v>
      </c>
      <c r="Q54" s="79">
        <f t="shared" ca="1" si="16"/>
        <v>-28.780358459879494</v>
      </c>
      <c r="R54" s="19">
        <f t="shared" ca="1" si="17"/>
        <v>-7.5495476423007385E-2</v>
      </c>
      <c r="S54" s="79">
        <f t="shared" ca="1" si="18"/>
        <v>-28.780358459879494</v>
      </c>
      <c r="T54" s="81">
        <f t="shared" ca="1" si="19"/>
        <v>44405.000625000001</v>
      </c>
    </row>
    <row r="55" spans="1:20" ht="16.149999999999999" customHeight="1" x14ac:dyDescent="0.25">
      <c r="A55" s="37">
        <v>44405</v>
      </c>
      <c r="B55" s="37" t="s">
        <v>101</v>
      </c>
      <c r="C55" s="3" t="s">
        <v>39</v>
      </c>
      <c r="D55" s="78" t="s">
        <v>47</v>
      </c>
      <c r="E55" s="3" t="s">
        <v>23</v>
      </c>
      <c r="F55" s="38">
        <v>400</v>
      </c>
      <c r="G55" s="79">
        <v>390</v>
      </c>
      <c r="H55" s="80" t="str">
        <f t="shared" ca="1" si="10"/>
        <v>-</v>
      </c>
      <c r="I55" s="78" t="str">
        <f>IF(ISNA(VLOOKUP($E55,StockCode[],COLUMN(StockCodes!$B$3),0))=TRUE,"Invalid Stock Code",VLOOKUP($E55,StockCode[],COLUMN(StockCodes!$B$3),0))</f>
        <v>Boxes</v>
      </c>
      <c r="J55" s="39" t="str">
        <f>IF(ISNA(VLOOKUP($E55,StockCode[],COLUMN(StockCodes!$C$3),0))=TRUE,"-",VLOOKUP($E55,StockCode[],COLUMN(StockCodes!$C$3),0))</f>
        <v>Units</v>
      </c>
      <c r="K55" s="79">
        <f t="shared" ca="1" si="11"/>
        <v>618.67999999999995</v>
      </c>
      <c r="L55" s="79">
        <f t="shared" ca="1" si="12"/>
        <v>1018.68</v>
      </c>
      <c r="M55" s="79" cm="1">
        <f t="array" aca="1" ref="M55" ca="1">IF($K55=0,0,((SUMIFS(StockOpenQty,StockCodeOnly,$E55)*SUMIFS(StockOpenCost,StockCodeOnly,$E55))+SUMIFS(MoveAmount,MoveDate,"&lt;"&amp;$T55,MoveCode,$E55))/$K55)</f>
        <v>1.1055274494024208</v>
      </c>
      <c r="N55" s="79">
        <f t="shared" ca="1" si="13"/>
        <v>1.0542738862020358</v>
      </c>
      <c r="O55" s="79">
        <f t="shared" si="14"/>
        <v>390</v>
      </c>
      <c r="P55" s="38">
        <f t="shared" si="15"/>
        <v>0.97499999999999998</v>
      </c>
      <c r="Q55" s="79">
        <f t="shared" ca="1" si="16"/>
        <v>0.13052744940242078</v>
      </c>
      <c r="R55" s="19">
        <f t="shared" ca="1" si="17"/>
        <v>0.11806803121259069</v>
      </c>
      <c r="S55" s="79">
        <f t="shared" ca="1" si="18"/>
        <v>52.210979760968314</v>
      </c>
      <c r="T55" s="81">
        <f t="shared" ca="1" si="19"/>
        <v>44405.000636574077</v>
      </c>
    </row>
    <row r="56" spans="1:20" ht="16.149999999999999" customHeight="1" x14ac:dyDescent="0.25">
      <c r="A56" s="37">
        <v>44405</v>
      </c>
      <c r="B56" s="37" t="s">
        <v>101</v>
      </c>
      <c r="C56" s="3" t="s">
        <v>42</v>
      </c>
      <c r="D56" s="78">
        <v>5765765</v>
      </c>
      <c r="E56" s="3" t="s">
        <v>25</v>
      </c>
      <c r="F56" s="38">
        <v>380</v>
      </c>
      <c r="G56" s="79">
        <v>18300</v>
      </c>
      <c r="H56" s="80" t="str">
        <f t="shared" ca="1" si="10"/>
        <v>-</v>
      </c>
      <c r="I56" s="78" t="str">
        <f>IF(ISNA(VLOOKUP($E56,StockCode[],COLUMN(StockCodes!$B$3),0))=TRUE,"Invalid Stock Code",VLOOKUP($E56,StockCode[],COLUMN(StockCodes!$B$3),0))</f>
        <v>Meat</v>
      </c>
      <c r="J56" s="39" t="str">
        <f>IF(ISNA(VLOOKUP($E56,StockCode[],COLUMN(StockCodes!$C$3),0))=TRUE,"-",VLOOKUP($E56,StockCode[],COLUMN(StockCodes!$C$3),0))</f>
        <v>Kg</v>
      </c>
      <c r="K56" s="79">
        <f t="shared" ca="1" si="11"/>
        <v>800</v>
      </c>
      <c r="L56" s="79">
        <f t="shared" ca="1" si="12"/>
        <v>1180</v>
      </c>
      <c r="M56" s="79" cm="1">
        <f t="array" aca="1" ref="M56" ca="1">IF($K56=0,0,((SUMIFS(StockOpenQty,StockCodeOnly,$E56)*SUMIFS(StockOpenCost,StockCodeOnly,$E56))+SUMIFS(MoveAmount,MoveDate,"&lt;"&amp;$T56,MoveCode,$E56))/$K56)</f>
        <v>45.973015873015868</v>
      </c>
      <c r="N56" s="79">
        <f t="shared" ca="1" si="13"/>
        <v>46.676620930858213</v>
      </c>
      <c r="O56" s="79">
        <f t="shared" si="14"/>
        <v>18300</v>
      </c>
      <c r="P56" s="38">
        <f t="shared" si="15"/>
        <v>48.157894736842103</v>
      </c>
      <c r="Q56" s="79">
        <f t="shared" ca="1" si="16"/>
        <v>-2.1848788638262349</v>
      </c>
      <c r="R56" s="19">
        <f t="shared" ca="1" si="17"/>
        <v>-4.7525245458361641E-2</v>
      </c>
      <c r="S56" s="79">
        <f t="shared" ca="1" si="18"/>
        <v>-830.25396825396922</v>
      </c>
      <c r="T56" s="81">
        <f t="shared" ca="1" si="19"/>
        <v>44405.000648148147</v>
      </c>
    </row>
    <row r="57" spans="1:20" ht="16.149999999999999" customHeight="1" x14ac:dyDescent="0.25">
      <c r="A57" s="37">
        <v>44405</v>
      </c>
      <c r="B57" s="37" t="s">
        <v>101</v>
      </c>
      <c r="C57" s="3" t="s">
        <v>40</v>
      </c>
      <c r="D57" s="78">
        <v>67887</v>
      </c>
      <c r="E57" s="3" t="s">
        <v>28</v>
      </c>
      <c r="F57" s="38">
        <v>32</v>
      </c>
      <c r="G57" s="79">
        <v>1340</v>
      </c>
      <c r="H57" s="80" t="str">
        <f t="shared" ca="1" si="10"/>
        <v>-</v>
      </c>
      <c r="I57" s="78" t="str">
        <f>IF(ISNA(VLOOKUP($E57,StockCode[],COLUMN(StockCodes!$B$3),0))=TRUE,"Invalid Stock Code",VLOOKUP($E57,StockCode[],COLUMN(StockCodes!$B$3),0))</f>
        <v>Bread Rolls</v>
      </c>
      <c r="J57" s="39" t="str">
        <f>IF(ISNA(VLOOKUP($E57,StockCode[],COLUMN(StockCodes!$C$3),0))=TRUE,"-",VLOOKUP($E57,StockCode[],COLUMN(StockCodes!$C$3),0))</f>
        <v>Dozen</v>
      </c>
      <c r="K57" s="79">
        <f t="shared" ca="1" si="11"/>
        <v>25.14</v>
      </c>
      <c r="L57" s="79">
        <f t="shared" ca="1" si="12"/>
        <v>57.14</v>
      </c>
      <c r="M57" s="79" cm="1">
        <f t="array" aca="1" ref="M57" ca="1">IF($K57=0,0,((SUMIFS(StockOpenQty,StockCodeOnly,$E57)*SUMIFS(StockOpenCost,StockCodeOnly,$E57))+SUMIFS(MoveAmount,MoveDate,"&lt;"&amp;$T57,MoveCode,$E57))/$K57)</f>
        <v>40.473801640285224</v>
      </c>
      <c r="N57" s="79">
        <f t="shared" ca="1" si="13"/>
        <v>41.258511957241346</v>
      </c>
      <c r="O57" s="79">
        <f t="shared" si="14"/>
        <v>1340</v>
      </c>
      <c r="P57" s="38">
        <f t="shared" si="15"/>
        <v>41.875</v>
      </c>
      <c r="Q57" s="79">
        <f t="shared" ca="1" si="16"/>
        <v>-1.4011983597147761</v>
      </c>
      <c r="R57" s="19">
        <f t="shared" ca="1" si="17"/>
        <v>-3.4619885034968059E-2</v>
      </c>
      <c r="S57" s="79">
        <f t="shared" ca="1" si="18"/>
        <v>-44.838347510872836</v>
      </c>
      <c r="T57" s="81">
        <f t="shared" ca="1" si="19"/>
        <v>44405.000659722224</v>
      </c>
    </row>
    <row r="58" spans="1:20" ht="16.149999999999999" customHeight="1" x14ac:dyDescent="0.25">
      <c r="A58" s="37">
        <v>44405</v>
      </c>
      <c r="B58" s="37" t="s">
        <v>101</v>
      </c>
      <c r="C58" s="3" t="s">
        <v>41</v>
      </c>
      <c r="D58" s="78" t="s">
        <v>64</v>
      </c>
      <c r="E58" s="3" t="s">
        <v>31</v>
      </c>
      <c r="F58" s="38">
        <v>4</v>
      </c>
      <c r="G58" s="79">
        <v>18</v>
      </c>
      <c r="H58" s="80" t="str">
        <f t="shared" ca="1" si="10"/>
        <v>-</v>
      </c>
      <c r="I58" s="78" t="str">
        <f>IF(ISNA(VLOOKUP($E58,StockCode[],COLUMN(StockCodes!$B$3),0))=TRUE,"Invalid Stock Code",VLOOKUP($E58,StockCode[],COLUMN(StockCodes!$B$3),0))</f>
        <v>Lettuce</v>
      </c>
      <c r="J58" s="39" t="str">
        <f>IF(ISNA(VLOOKUP($E58,StockCode[],COLUMN(StockCodes!$C$3),0))=TRUE,"-",VLOOKUP($E58,StockCode[],COLUMN(StockCodes!$C$3),0))</f>
        <v>Kg</v>
      </c>
      <c r="K58" s="79">
        <f t="shared" ca="1" si="11"/>
        <v>12.440000000000001</v>
      </c>
      <c r="L58" s="79">
        <f t="shared" ca="1" si="12"/>
        <v>16.440000000000001</v>
      </c>
      <c r="M58" s="79" cm="1">
        <f t="array" aca="1" ref="M58" ca="1">IF($K58=0,0,((SUMIFS(StockOpenQty,StockCodeOnly,$E58)*SUMIFS(StockOpenCost,StockCodeOnly,$E58))+SUMIFS(MoveAmount,MoveDate,"&lt;"&amp;$T58,MoveCode,$E58))/$K58)</f>
        <v>5.3408588378479989</v>
      </c>
      <c r="N58" s="79">
        <f t="shared" ca="1" si="13"/>
        <v>5.1362703128241547</v>
      </c>
      <c r="O58" s="79">
        <f t="shared" si="14"/>
        <v>18</v>
      </c>
      <c r="P58" s="38">
        <f t="shared" si="15"/>
        <v>4.5</v>
      </c>
      <c r="Q58" s="79">
        <f t="shared" ca="1" si="16"/>
        <v>0.84085883784799886</v>
      </c>
      <c r="R58" s="19">
        <f t="shared" ca="1" si="17"/>
        <v>0.1574388807824787</v>
      </c>
      <c r="S58" s="79">
        <f t="shared" ca="1" si="18"/>
        <v>3.3634353513919955</v>
      </c>
      <c r="T58" s="81">
        <f t="shared" ca="1" si="19"/>
        <v>44405.000671296293</v>
      </c>
    </row>
    <row r="59" spans="1:20" ht="16.149999999999999" customHeight="1" x14ac:dyDescent="0.25">
      <c r="A59" s="37">
        <v>44405</v>
      </c>
      <c r="B59" s="37" t="s">
        <v>101</v>
      </c>
      <c r="C59" s="3" t="s">
        <v>41</v>
      </c>
      <c r="D59" s="78">
        <v>76868</v>
      </c>
      <c r="E59" s="3" t="s">
        <v>33</v>
      </c>
      <c r="F59" s="38">
        <v>1</v>
      </c>
      <c r="G59" s="79">
        <v>3.8</v>
      </c>
      <c r="H59" s="80" t="str">
        <f t="shared" ca="1" si="10"/>
        <v>-</v>
      </c>
      <c r="I59" s="78" t="str">
        <f>IF(ISNA(VLOOKUP($E59,StockCode[],COLUMN(StockCodes!$B$3),0))=TRUE,"Invalid Stock Code",VLOOKUP($E59,StockCode[],COLUMN(StockCodes!$B$3),0))</f>
        <v>Gurkins</v>
      </c>
      <c r="J59" s="39" t="str">
        <f>IF(ISNA(VLOOKUP($E59,StockCode[],COLUMN(StockCodes!$C$3),0))=TRUE,"-",VLOOKUP($E59,StockCode[],COLUMN(StockCodes!$C$3),0))</f>
        <v>Kg</v>
      </c>
      <c r="K59" s="79">
        <f t="shared" ca="1" si="11"/>
        <v>6.74</v>
      </c>
      <c r="L59" s="79">
        <f t="shared" ca="1" si="12"/>
        <v>7.74</v>
      </c>
      <c r="M59" s="79" cm="1">
        <f t="array" aca="1" ref="M59" ca="1">IF($K59=0,0,((SUMIFS(StockOpenQty,StockCodeOnly,$E59)*SUMIFS(StockOpenCost,StockCodeOnly,$E59))+SUMIFS(MoveAmount,MoveDate,"&lt;"&amp;$T59,MoveCode,$E59))/$K59)</f>
        <v>8.4189212565212834</v>
      </c>
      <c r="N59" s="79">
        <f t="shared" ca="1" si="13"/>
        <v>7.8221614042575514</v>
      </c>
      <c r="O59" s="79">
        <f t="shared" si="14"/>
        <v>3.8</v>
      </c>
      <c r="P59" s="38">
        <f t="shared" si="15"/>
        <v>3.8</v>
      </c>
      <c r="Q59" s="79">
        <f t="shared" ca="1" si="16"/>
        <v>4.6189212565212836</v>
      </c>
      <c r="R59" s="19">
        <f t="shared" ca="1" si="17"/>
        <v>0.54863575935497366</v>
      </c>
      <c r="S59" s="79">
        <f t="shared" ca="1" si="18"/>
        <v>4.6189212565212836</v>
      </c>
      <c r="T59" s="81">
        <f t="shared" ca="1" si="19"/>
        <v>44405.00068287037</v>
      </c>
    </row>
    <row r="60" spans="1:20" ht="16.149999999999999" customHeight="1" x14ac:dyDescent="0.25">
      <c r="A60" s="37">
        <v>44405</v>
      </c>
      <c r="B60" s="37" t="s">
        <v>101</v>
      </c>
      <c r="C60" s="3" t="s">
        <v>41</v>
      </c>
      <c r="D60" s="78" t="s">
        <v>47</v>
      </c>
      <c r="E60" s="3" t="s">
        <v>35</v>
      </c>
      <c r="F60" s="38">
        <v>1</v>
      </c>
      <c r="G60" s="79">
        <v>9</v>
      </c>
      <c r="H60" s="80" t="str">
        <f t="shared" ca="1" si="10"/>
        <v>-</v>
      </c>
      <c r="I60" s="78" t="str">
        <f>IF(ISNA(VLOOKUP($E60,StockCode[],COLUMN(StockCodes!$B$3),0))=TRUE,"Invalid Stock Code",VLOOKUP($E60,StockCode[],COLUMN(StockCodes!$B$3),0))</f>
        <v>Onions</v>
      </c>
      <c r="J60" s="39" t="str">
        <f>IF(ISNA(VLOOKUP($E60,StockCode[],COLUMN(StockCodes!$C$3),0))=TRUE,"-",VLOOKUP($E60,StockCode[],COLUMN(StockCodes!$C$3),0))</f>
        <v>Kg</v>
      </c>
      <c r="K60" s="79">
        <f t="shared" ca="1" si="11"/>
        <v>16.47</v>
      </c>
      <c r="L60" s="79">
        <f t="shared" ca="1" si="12"/>
        <v>17.47</v>
      </c>
      <c r="M60" s="79" cm="1">
        <f t="array" aca="1" ref="M60" ca="1">IF($K60=0,0,((SUMIFS(StockOpenQty,StockCodeOnly,$E60)*SUMIFS(StockOpenCost,StockCodeOnly,$E60))+SUMIFS(MoveAmount,MoveDate,"&lt;"&amp;$T60,MoveCode,$E60))/$K60)</f>
        <v>6.2957513273386327</v>
      </c>
      <c r="N60" s="79">
        <f t="shared" ca="1" si="13"/>
        <v>6.4505451838161001</v>
      </c>
      <c r="O60" s="79">
        <f t="shared" si="14"/>
        <v>9</v>
      </c>
      <c r="P60" s="38">
        <f t="shared" si="15"/>
        <v>9</v>
      </c>
      <c r="Q60" s="79">
        <f t="shared" ca="1" si="16"/>
        <v>-2.7042486726613673</v>
      </c>
      <c r="R60" s="19">
        <f t="shared" ca="1" si="17"/>
        <v>-0.42953549656868656</v>
      </c>
      <c r="S60" s="79">
        <f t="shared" ca="1" si="18"/>
        <v>-2.7042486726613673</v>
      </c>
      <c r="T60" s="81">
        <f t="shared" ca="1" si="19"/>
        <v>44405.000694444447</v>
      </c>
    </row>
    <row r="61" spans="1:20" ht="16.149999999999999" customHeight="1" x14ac:dyDescent="0.25">
      <c r="A61" s="37">
        <v>44407</v>
      </c>
      <c r="B61" s="37" t="s">
        <v>102</v>
      </c>
      <c r="C61" s="3" t="s">
        <v>104</v>
      </c>
      <c r="D61" s="78" t="s">
        <v>104</v>
      </c>
      <c r="E61" s="3" t="s">
        <v>19</v>
      </c>
      <c r="F61" s="38">
        <v>-7</v>
      </c>
      <c r="G61" s="79">
        <v>0</v>
      </c>
      <c r="H61" s="80" t="str">
        <f t="shared" ca="1" si="10"/>
        <v>-</v>
      </c>
      <c r="I61" s="25" t="str">
        <f>IF(ISNA(VLOOKUP($E61,StockCode[],COLUMN(StockCodes!$B$3),0))=TRUE,"Invalid Stock Code",VLOOKUP($E61,StockCode[],COLUMN(StockCodes!$B$3),0))</f>
        <v>Plastic Wrap</v>
      </c>
      <c r="J61" s="39" t="str">
        <f>IF(ISNA(VLOOKUP($E61,StockCode[],COLUMN(StockCodes!$C$3),0))=TRUE,"-",VLOOKUP($E61,StockCode[],COLUMN(StockCodes!$C$3),0))</f>
        <v>Rolls</v>
      </c>
      <c r="K61" s="82">
        <f t="shared" ca="1" si="11"/>
        <v>12.89</v>
      </c>
      <c r="L61" s="82">
        <f t="shared" ca="1" si="12"/>
        <v>5.8900000000000006</v>
      </c>
      <c r="M61" s="79" cm="1">
        <f t="array" aca="1" ref="M61" ca="1">IF($K61=0,0,((SUMIFS(StockOpenQty,StockCodeOnly,$E61)*SUMIFS(StockOpenCost,StockCodeOnly,$E61))+SUMIFS(MoveAmount,MoveDate,"&lt;"&amp;$T61,MoveCode,$E61))/$K61)</f>
        <v>20.499325133101728</v>
      </c>
      <c r="N61" s="82">
        <f t="shared" ca="1" si="13"/>
        <v>20.499325133101728</v>
      </c>
      <c r="O61" s="82">
        <f t="shared" ca="1" si="14"/>
        <v>-143.49527593171209</v>
      </c>
      <c r="P61" s="83">
        <f t="shared" si="15"/>
        <v>0</v>
      </c>
      <c r="Q61" s="79">
        <f t="shared" si="16"/>
        <v>0</v>
      </c>
      <c r="R61" s="19">
        <f t="shared" si="17"/>
        <v>0</v>
      </c>
      <c r="S61" s="79">
        <f t="shared" si="18"/>
        <v>0</v>
      </c>
      <c r="T61" s="81">
        <f t="shared" ca="1" si="19"/>
        <v>44407.000706018516</v>
      </c>
    </row>
    <row r="62" spans="1:20" ht="16.149999999999999" customHeight="1" x14ac:dyDescent="0.25">
      <c r="A62" s="37">
        <v>44407</v>
      </c>
      <c r="B62" s="37" t="s">
        <v>102</v>
      </c>
      <c r="C62" s="3" t="s">
        <v>104</v>
      </c>
      <c r="D62" s="78" t="s">
        <v>104</v>
      </c>
      <c r="E62" s="3" t="s">
        <v>22</v>
      </c>
      <c r="F62" s="38">
        <v>-4</v>
      </c>
      <c r="G62" s="79">
        <v>0</v>
      </c>
      <c r="H62" s="80" t="str">
        <f t="shared" ca="1" si="10"/>
        <v>-</v>
      </c>
      <c r="I62" s="25" t="str">
        <f>IF(ISNA(VLOOKUP($E62,StockCode[],COLUMN(StockCodes!$B$3),0))=TRUE,"Invalid Stock Code",VLOOKUP($E62,StockCode[],COLUMN(StockCodes!$B$3),0))</f>
        <v>Labels</v>
      </c>
      <c r="J62" s="39">
        <f>IF(ISNA(VLOOKUP($E62,StockCode[],COLUMN(StockCodes!$C$3),0))=TRUE,"-",VLOOKUP($E62,StockCode[],COLUMN(StockCodes!$C$3),0))</f>
        <v>1000</v>
      </c>
      <c r="K62" s="82">
        <f t="shared" ca="1" si="11"/>
        <v>4.47</v>
      </c>
      <c r="L62" s="82">
        <f t="shared" ca="1" si="12"/>
        <v>0.46999999999999975</v>
      </c>
      <c r="M62" s="79" cm="1">
        <f t="array" aca="1" ref="M62" ca="1">IF($K62=0,0,((SUMIFS(StockOpenQty,StockCodeOnly,$E62)*SUMIFS(StockOpenCost,StockCodeOnly,$E62))+SUMIFS(MoveAmount,MoveDate,"&lt;"&amp;$T62,MoveCode,$E62))/$K62)</f>
        <v>387.65820047969089</v>
      </c>
      <c r="N62" s="82">
        <f t="shared" ca="1" si="13"/>
        <v>387.65820047969089</v>
      </c>
      <c r="O62" s="82">
        <f t="shared" ca="1" si="14"/>
        <v>-1550.6328019187636</v>
      </c>
      <c r="P62" s="83">
        <f t="shared" si="15"/>
        <v>0</v>
      </c>
      <c r="Q62" s="79">
        <f t="shared" si="16"/>
        <v>0</v>
      </c>
      <c r="R62" s="19">
        <f t="shared" si="17"/>
        <v>0</v>
      </c>
      <c r="S62" s="79">
        <f t="shared" si="18"/>
        <v>0</v>
      </c>
      <c r="T62" s="81">
        <f t="shared" ca="1" si="19"/>
        <v>44407.000717592593</v>
      </c>
    </row>
    <row r="63" spans="1:20" ht="16.149999999999999" customHeight="1" x14ac:dyDescent="0.25">
      <c r="A63" s="37">
        <v>44407</v>
      </c>
      <c r="B63" s="37" t="s">
        <v>102</v>
      </c>
      <c r="C63" s="3" t="s">
        <v>104</v>
      </c>
      <c r="D63" s="78" t="s">
        <v>104</v>
      </c>
      <c r="E63" s="3" t="s">
        <v>23</v>
      </c>
      <c r="F63" s="38">
        <v>-800</v>
      </c>
      <c r="G63" s="79">
        <v>0</v>
      </c>
      <c r="H63" s="80" t="str">
        <f t="shared" ca="1" si="10"/>
        <v>-</v>
      </c>
      <c r="I63" s="25" t="str">
        <f>IF(ISNA(VLOOKUP($E63,StockCode[],COLUMN(StockCodes!$B$3),0))=TRUE,"Invalid Stock Code",VLOOKUP($E63,StockCode[],COLUMN(StockCodes!$B$3),0))</f>
        <v>Boxes</v>
      </c>
      <c r="J63" s="39" t="str">
        <f>IF(ISNA(VLOOKUP($E63,StockCode[],COLUMN(StockCodes!$C$3),0))=TRUE,"-",VLOOKUP($E63,StockCode[],COLUMN(StockCodes!$C$3),0))</f>
        <v>Units</v>
      </c>
      <c r="K63" s="82">
        <f t="shared" ca="1" si="11"/>
        <v>1018.68</v>
      </c>
      <c r="L63" s="82">
        <f t="shared" ca="1" si="12"/>
        <v>218.67999999999995</v>
      </c>
      <c r="M63" s="79" cm="1">
        <f t="array" aca="1" ref="M63" ca="1">IF($K63=0,0,((SUMIFS(StockOpenQty,StockCodeOnly,$E63)*SUMIFS(StockOpenCost,StockCodeOnly,$E63))+SUMIFS(MoveAmount,MoveDate,"&lt;"&amp;$T63,MoveCode,$E63))/$K63)</f>
        <v>1.0542738862020355</v>
      </c>
      <c r="N63" s="82">
        <f t="shared" ca="1" si="13"/>
        <v>1.0542738862020355</v>
      </c>
      <c r="O63" s="82">
        <f t="shared" ca="1" si="14"/>
        <v>-843.41910896162847</v>
      </c>
      <c r="P63" s="83">
        <f t="shared" si="15"/>
        <v>0</v>
      </c>
      <c r="Q63" s="79">
        <f t="shared" si="16"/>
        <v>0</v>
      </c>
      <c r="R63" s="19">
        <f t="shared" si="17"/>
        <v>0</v>
      </c>
      <c r="S63" s="79">
        <f t="shared" si="18"/>
        <v>0</v>
      </c>
      <c r="T63" s="81">
        <f t="shared" ca="1" si="19"/>
        <v>44407.00072916667</v>
      </c>
    </row>
    <row r="64" spans="1:20" ht="16.149999999999999" customHeight="1" x14ac:dyDescent="0.25">
      <c r="A64" s="37">
        <v>44407</v>
      </c>
      <c r="B64" s="37" t="s">
        <v>102</v>
      </c>
      <c r="C64" s="3" t="s">
        <v>104</v>
      </c>
      <c r="D64" s="78" t="s">
        <v>104</v>
      </c>
      <c r="E64" s="3" t="s">
        <v>25</v>
      </c>
      <c r="F64" s="38">
        <v>-620</v>
      </c>
      <c r="G64" s="79">
        <v>0</v>
      </c>
      <c r="H64" s="80" t="str">
        <f t="shared" ca="1" si="10"/>
        <v>-</v>
      </c>
      <c r="I64" s="25" t="str">
        <f>IF(ISNA(VLOOKUP($E64,StockCode[],COLUMN(StockCodes!$B$3),0))=TRUE,"Invalid Stock Code",VLOOKUP($E64,StockCode[],COLUMN(StockCodes!$B$3),0))</f>
        <v>Meat</v>
      </c>
      <c r="J64" s="39" t="str">
        <f>IF(ISNA(VLOOKUP($E64,StockCode[],COLUMN(StockCodes!$C$3),0))=TRUE,"-",VLOOKUP($E64,StockCode[],COLUMN(StockCodes!$C$3),0))</f>
        <v>Kg</v>
      </c>
      <c r="K64" s="82">
        <f t="shared" ca="1" si="11"/>
        <v>1180</v>
      </c>
      <c r="L64" s="82">
        <f t="shared" ca="1" si="12"/>
        <v>560</v>
      </c>
      <c r="M64" s="79" cm="1">
        <f t="array" aca="1" ref="M64" ca="1">IF($K64=0,0,((SUMIFS(StockOpenQty,StockCodeOnly,$E64)*SUMIFS(StockOpenCost,StockCodeOnly,$E64))+SUMIFS(MoveAmount,MoveDate,"&lt;"&amp;$T64,MoveCode,$E64))/$K64)</f>
        <v>46.676620930858213</v>
      </c>
      <c r="N64" s="82">
        <f t="shared" ca="1" si="13"/>
        <v>46.676620930858213</v>
      </c>
      <c r="O64" s="82">
        <f t="shared" ca="1" si="14"/>
        <v>-28939.504977132092</v>
      </c>
      <c r="P64" s="83">
        <f t="shared" si="15"/>
        <v>0</v>
      </c>
      <c r="Q64" s="79">
        <f t="shared" si="16"/>
        <v>0</v>
      </c>
      <c r="R64" s="19">
        <f t="shared" si="17"/>
        <v>0</v>
      </c>
      <c r="S64" s="79">
        <f t="shared" si="18"/>
        <v>0</v>
      </c>
      <c r="T64" s="81">
        <f t="shared" ca="1" si="19"/>
        <v>44407.000740740739</v>
      </c>
    </row>
    <row r="65" spans="1:20" ht="16.149999999999999" customHeight="1" x14ac:dyDescent="0.25">
      <c r="A65" s="37">
        <v>44407</v>
      </c>
      <c r="B65" s="37" t="s">
        <v>102</v>
      </c>
      <c r="C65" s="3" t="s">
        <v>104</v>
      </c>
      <c r="D65" s="78" t="s">
        <v>104</v>
      </c>
      <c r="E65" s="3" t="s">
        <v>28</v>
      </c>
      <c r="F65" s="38">
        <v>-50</v>
      </c>
      <c r="G65" s="79">
        <v>0</v>
      </c>
      <c r="H65" s="80" t="str">
        <f t="shared" ca="1" si="10"/>
        <v>-</v>
      </c>
      <c r="I65" s="25" t="str">
        <f>IF(ISNA(VLOOKUP($E65,StockCode[],COLUMN(StockCodes!$B$3),0))=TRUE,"Invalid Stock Code",VLOOKUP($E65,StockCode[],COLUMN(StockCodes!$B$3),0))</f>
        <v>Bread Rolls</v>
      </c>
      <c r="J65" s="39" t="str">
        <f>IF(ISNA(VLOOKUP($E65,StockCode[],COLUMN(StockCodes!$C$3),0))=TRUE,"-",VLOOKUP($E65,StockCode[],COLUMN(StockCodes!$C$3),0))</f>
        <v>Dozen</v>
      </c>
      <c r="K65" s="82">
        <f t="shared" ca="1" si="11"/>
        <v>57.14</v>
      </c>
      <c r="L65" s="82">
        <f t="shared" ca="1" si="12"/>
        <v>7.1400000000000006</v>
      </c>
      <c r="M65" s="79" cm="1">
        <f t="array" aca="1" ref="M65" ca="1">IF($K65=0,0,((SUMIFS(StockOpenQty,StockCodeOnly,$E65)*SUMIFS(StockOpenCost,StockCodeOnly,$E65))+SUMIFS(MoveAmount,MoveDate,"&lt;"&amp;$T65,MoveCode,$E65))/$K65)</f>
        <v>41.258511957241353</v>
      </c>
      <c r="N65" s="82">
        <f t="shared" ca="1" si="13"/>
        <v>41.258511957241353</v>
      </c>
      <c r="O65" s="82">
        <f t="shared" ca="1" si="14"/>
        <v>-2062.9255978620677</v>
      </c>
      <c r="P65" s="83">
        <f t="shared" si="15"/>
        <v>0</v>
      </c>
      <c r="Q65" s="79">
        <f t="shared" si="16"/>
        <v>0</v>
      </c>
      <c r="R65" s="19">
        <f t="shared" si="17"/>
        <v>0</v>
      </c>
      <c r="S65" s="79">
        <f t="shared" si="18"/>
        <v>0</v>
      </c>
      <c r="T65" s="81">
        <f t="shared" ca="1" si="19"/>
        <v>44407.000752314816</v>
      </c>
    </row>
    <row r="66" spans="1:20" ht="16.149999999999999" customHeight="1" x14ac:dyDescent="0.25">
      <c r="A66" s="37">
        <v>44407</v>
      </c>
      <c r="B66" s="37" t="s">
        <v>102</v>
      </c>
      <c r="C66" s="3" t="s">
        <v>104</v>
      </c>
      <c r="D66" s="78" t="s">
        <v>104</v>
      </c>
      <c r="E66" s="3" t="s">
        <v>31</v>
      </c>
      <c r="F66" s="38">
        <v>-12</v>
      </c>
      <c r="G66" s="79">
        <v>0</v>
      </c>
      <c r="H66" s="80" t="str">
        <f t="shared" ca="1" si="10"/>
        <v>-</v>
      </c>
      <c r="I66" s="25" t="str">
        <f>IF(ISNA(VLOOKUP($E66,StockCode[],COLUMN(StockCodes!$B$3),0))=TRUE,"Invalid Stock Code",VLOOKUP($E66,StockCode[],COLUMN(StockCodes!$B$3),0))</f>
        <v>Lettuce</v>
      </c>
      <c r="J66" s="39" t="str">
        <f>IF(ISNA(VLOOKUP($E66,StockCode[],COLUMN(StockCodes!$C$3),0))=TRUE,"-",VLOOKUP($E66,StockCode[],COLUMN(StockCodes!$C$3),0))</f>
        <v>Kg</v>
      </c>
      <c r="K66" s="82">
        <f t="shared" ca="1" si="11"/>
        <v>16.440000000000001</v>
      </c>
      <c r="L66" s="82">
        <f t="shared" ca="1" si="12"/>
        <v>4.4400000000000013</v>
      </c>
      <c r="M66" s="79" cm="1">
        <f t="array" aca="1" ref="M66" ca="1">IF($K66=0,0,((SUMIFS(StockOpenQty,StockCodeOnly,$E66)*SUMIFS(StockOpenCost,StockCodeOnly,$E66))+SUMIFS(MoveAmount,MoveDate,"&lt;"&amp;$T66,MoveCode,$E66))/$K66)</f>
        <v>5.1362703128241547</v>
      </c>
      <c r="N66" s="82">
        <f t="shared" ca="1" si="13"/>
        <v>5.1362703128241547</v>
      </c>
      <c r="O66" s="82">
        <f t="shared" ca="1" si="14"/>
        <v>-61.635243753889853</v>
      </c>
      <c r="P66" s="83">
        <f t="shared" si="15"/>
        <v>0</v>
      </c>
      <c r="Q66" s="79">
        <f t="shared" si="16"/>
        <v>0</v>
      </c>
      <c r="R66" s="19">
        <f t="shared" si="17"/>
        <v>0</v>
      </c>
      <c r="S66" s="79">
        <f t="shared" si="18"/>
        <v>0</v>
      </c>
      <c r="T66" s="81">
        <f t="shared" ca="1" si="19"/>
        <v>44407.000763888886</v>
      </c>
    </row>
    <row r="67" spans="1:20" ht="16.149999999999999" customHeight="1" x14ac:dyDescent="0.25">
      <c r="A67" s="37">
        <v>44407</v>
      </c>
      <c r="B67" s="37" t="s">
        <v>102</v>
      </c>
      <c r="C67" s="3" t="s">
        <v>104</v>
      </c>
      <c r="D67" s="78" t="s">
        <v>104</v>
      </c>
      <c r="E67" s="3" t="s">
        <v>33</v>
      </c>
      <c r="F67" s="38">
        <v>-7</v>
      </c>
      <c r="G67" s="79">
        <v>0</v>
      </c>
      <c r="H67" s="80" t="str">
        <f t="shared" ca="1" si="10"/>
        <v>-</v>
      </c>
      <c r="I67" s="25" t="str">
        <f>IF(ISNA(VLOOKUP($E67,StockCode[],COLUMN(StockCodes!$B$3),0))=TRUE,"Invalid Stock Code",VLOOKUP($E67,StockCode[],COLUMN(StockCodes!$B$3),0))</f>
        <v>Gurkins</v>
      </c>
      <c r="J67" s="39" t="str">
        <f>IF(ISNA(VLOOKUP($E67,StockCode[],COLUMN(StockCodes!$C$3),0))=TRUE,"-",VLOOKUP($E67,StockCode[],COLUMN(StockCodes!$C$3),0))</f>
        <v>Kg</v>
      </c>
      <c r="K67" s="82">
        <f t="shared" ca="1" si="11"/>
        <v>7.74</v>
      </c>
      <c r="L67" s="82">
        <f t="shared" ca="1" si="12"/>
        <v>0.74000000000000021</v>
      </c>
      <c r="M67" s="79" cm="1">
        <f t="array" aca="1" ref="M67" ca="1">IF($K67=0,0,((SUMIFS(StockOpenQty,StockCodeOnly,$E67)*SUMIFS(StockOpenCost,StockCodeOnly,$E67))+SUMIFS(MoveAmount,MoveDate,"&lt;"&amp;$T67,MoveCode,$E67))/$K67)</f>
        <v>7.8221614042575514</v>
      </c>
      <c r="N67" s="82">
        <f t="shared" ca="1" si="13"/>
        <v>7.8221614042575514</v>
      </c>
      <c r="O67" s="82">
        <f t="shared" ca="1" si="14"/>
        <v>-54.755129829802861</v>
      </c>
      <c r="P67" s="83">
        <f t="shared" si="15"/>
        <v>0</v>
      </c>
      <c r="Q67" s="79">
        <f t="shared" si="16"/>
        <v>0</v>
      </c>
      <c r="R67" s="19">
        <f t="shared" si="17"/>
        <v>0</v>
      </c>
      <c r="S67" s="79">
        <f t="shared" si="18"/>
        <v>0</v>
      </c>
      <c r="T67" s="81">
        <f t="shared" ca="1" si="19"/>
        <v>44407.000775462962</v>
      </c>
    </row>
    <row r="68" spans="1:20" ht="16.149999999999999" customHeight="1" x14ac:dyDescent="0.25">
      <c r="A68" s="37">
        <v>44407</v>
      </c>
      <c r="B68" s="37" t="s">
        <v>102</v>
      </c>
      <c r="C68" s="3" t="s">
        <v>104</v>
      </c>
      <c r="D68" s="78" t="s">
        <v>104</v>
      </c>
      <c r="E68" s="3" t="s">
        <v>35</v>
      </c>
      <c r="F68" s="38">
        <v>-14</v>
      </c>
      <c r="G68" s="79">
        <v>0</v>
      </c>
      <c r="H68" s="80" t="str">
        <f t="shared" ca="1" si="10"/>
        <v>-</v>
      </c>
      <c r="I68" s="25" t="str">
        <f>IF(ISNA(VLOOKUP($E68,StockCode[],COLUMN(StockCodes!$B$3),0))=TRUE,"Invalid Stock Code",VLOOKUP($E68,StockCode[],COLUMN(StockCodes!$B$3),0))</f>
        <v>Onions</v>
      </c>
      <c r="J68" s="39" t="str">
        <f>IF(ISNA(VLOOKUP($E68,StockCode[],COLUMN(StockCodes!$C$3),0))=TRUE,"-",VLOOKUP($E68,StockCode[],COLUMN(StockCodes!$C$3),0))</f>
        <v>Kg</v>
      </c>
      <c r="K68" s="82">
        <f t="shared" ca="1" si="11"/>
        <v>17.47</v>
      </c>
      <c r="L68" s="82">
        <f t="shared" ca="1" si="12"/>
        <v>3.4699999999999989</v>
      </c>
      <c r="M68" s="79" cm="1">
        <f t="array" aca="1" ref="M68" ca="1">IF($K68=0,0,((SUMIFS(StockOpenQty,StockCodeOnly,$E68)*SUMIFS(StockOpenCost,StockCodeOnly,$E68))+SUMIFS(MoveAmount,MoveDate,"&lt;"&amp;$T68,MoveCode,$E68))/$K68)</f>
        <v>6.4505451838161001</v>
      </c>
      <c r="N68" s="82">
        <f t="shared" ca="1" si="13"/>
        <v>6.4505451838161001</v>
      </c>
      <c r="O68" s="82">
        <f t="shared" ca="1" si="14"/>
        <v>-90.307632573425394</v>
      </c>
      <c r="P68" s="83">
        <f t="shared" si="15"/>
        <v>0</v>
      </c>
      <c r="Q68" s="79">
        <f t="shared" si="16"/>
        <v>0</v>
      </c>
      <c r="R68" s="19">
        <f t="shared" si="17"/>
        <v>0</v>
      </c>
      <c r="S68" s="79">
        <f t="shared" si="18"/>
        <v>0</v>
      </c>
      <c r="T68" s="81">
        <f t="shared" ca="1" si="19"/>
        <v>44407.000787037039</v>
      </c>
    </row>
    <row r="69" spans="1:20" ht="16.149999999999999" customHeight="1" x14ac:dyDescent="0.25">
      <c r="A69" s="37">
        <v>44408</v>
      </c>
      <c r="B69" s="37" t="s">
        <v>103</v>
      </c>
      <c r="C69" s="3" t="s">
        <v>104</v>
      </c>
      <c r="D69" s="78" t="s">
        <v>104</v>
      </c>
      <c r="E69" s="3" t="s">
        <v>19</v>
      </c>
      <c r="F69" s="38">
        <v>-0.89</v>
      </c>
      <c r="G69" s="79">
        <v>0</v>
      </c>
      <c r="H69" s="80" t="str">
        <f t="shared" ref="H69:H100" ca="1" si="20">IF(AND(ISBLANK(E69)=FALSE,ISNA(VLOOKUP(E69,StockCodeOnly,1,0))=TRUE),"E2",IF(AND(ISBLANK(B69)=FALSE,B69&lt;&gt;"Purchase",B69&lt;&gt;"Usage",B69&lt;&gt;"Adjustment"),"E3",IF(AND(B69="Usage",F69&gt;0),"E4",IF(OR(K69&lt;0,L69&lt;0),"E5","-"))))</f>
        <v>-</v>
      </c>
      <c r="I69" s="25" t="str">
        <f>IF(ISNA(VLOOKUP($E69,StockCode[],COLUMN(StockCodes!$B$3),0))=TRUE,"Invalid Stock Code",VLOOKUP($E69,StockCode[],COLUMN(StockCodes!$B$3),0))</f>
        <v>Plastic Wrap</v>
      </c>
      <c r="J69" s="39" t="str">
        <f>IF(ISNA(VLOOKUP($E69,StockCode[],COLUMN(StockCodes!$C$3),0))=TRUE,"-",VLOOKUP($E69,StockCode[],COLUMN(StockCodes!$C$3),0))</f>
        <v>Rolls</v>
      </c>
      <c r="K69" s="82">
        <f t="shared" ref="K69:K100" ca="1" si="21">SUMIFS(StockOpenQty,StockCodeOnly,$E69)+SUMIFS(MoveQty,MoveDate,"&lt;"&amp;$T69,MoveCode,$E69)</f>
        <v>5.8900000000000006</v>
      </c>
      <c r="L69" s="82">
        <f t="shared" ref="L69:L100" ca="1" si="22">K69+F69</f>
        <v>5.0000000000000009</v>
      </c>
      <c r="M69" s="79" cm="1">
        <f t="array" aca="1" ref="M69" ca="1">IF($K69=0,0,((SUMIFS(StockOpenQty,StockCodeOnly,$E69)*SUMIFS(StockOpenCost,StockCodeOnly,$E69))+SUMIFS(MoveAmount,MoveDate,"&lt;"&amp;$T69,MoveCode,$E69))/$K69)</f>
        <v>20.499325133101728</v>
      </c>
      <c r="N69" s="82">
        <f t="shared" ref="N69:N100" ca="1" si="23">IF(B69&lt;&gt;"Purchase",M69,IF(L69=0,0,((K69*M69)+G69)/(F69+K69)))</f>
        <v>20.499325133101728</v>
      </c>
      <c r="O69" s="82">
        <f t="shared" ref="O69:O100" ca="1" si="24">IF(B69="Purchase",G69,N69*F69)</f>
        <v>-18.244399368460538</v>
      </c>
      <c r="P69" s="83">
        <f t="shared" ref="P69:P100" si="25">IF(B69&lt;&gt;"Purchase",0,IF(F69=0,0,G69/F69))</f>
        <v>0</v>
      </c>
      <c r="Q69" s="79">
        <f t="shared" ref="Q69:Q100" si="26">IF(B69&lt;&gt;"Purchase",0,IF(K69=0,0,M69-P69))</f>
        <v>0</v>
      </c>
      <c r="R69" s="19">
        <f t="shared" ref="R69:R100" si="27">IF(B69&lt;&gt;"Purchase",0,IF(M69=0,0,Q69/M69))</f>
        <v>0</v>
      </c>
      <c r="S69" s="79">
        <f t="shared" ref="S69:S100" si="28">Q69*F69</f>
        <v>0</v>
      </c>
      <c r="T69" s="81">
        <f t="shared" ref="T69:T100" ca="1" si="29">IF(ISBLANK($A69)=TRUE,TODAY()+((ROW($A69)-(86400*ROUNDDOWN(ROW($A69)/86400,0)))/86400),$A69+((ROW($A69)-(86400*ROUNDDOWN(ROW($A69)/86400,0)))/86400))</f>
        <v>44408.000798611109</v>
      </c>
    </row>
    <row r="70" spans="1:20" ht="16.149999999999999" customHeight="1" x14ac:dyDescent="0.25">
      <c r="A70" s="37">
        <v>44408</v>
      </c>
      <c r="B70" s="37" t="s">
        <v>103</v>
      </c>
      <c r="C70" s="3" t="s">
        <v>104</v>
      </c>
      <c r="D70" s="78" t="s">
        <v>104</v>
      </c>
      <c r="E70" s="3" t="s">
        <v>22</v>
      </c>
      <c r="F70" s="38">
        <v>-0.47</v>
      </c>
      <c r="G70" s="79">
        <v>0</v>
      </c>
      <c r="H70" s="80" t="str">
        <f t="shared" ca="1" si="20"/>
        <v>-</v>
      </c>
      <c r="I70" s="25" t="str">
        <f>IF(ISNA(VLOOKUP($E70,StockCode[],COLUMN(StockCodes!$B$3),0))=TRUE,"Invalid Stock Code",VLOOKUP($E70,StockCode[],COLUMN(StockCodes!$B$3),0))</f>
        <v>Labels</v>
      </c>
      <c r="J70" s="39">
        <f>IF(ISNA(VLOOKUP($E70,StockCode[],COLUMN(StockCodes!$C$3),0))=TRUE,"-",VLOOKUP($E70,StockCode[],COLUMN(StockCodes!$C$3),0))</f>
        <v>1000</v>
      </c>
      <c r="K70" s="82">
        <f t="shared" ca="1" si="21"/>
        <v>0.46999999999999975</v>
      </c>
      <c r="L70" s="82">
        <f t="shared" ca="1" si="22"/>
        <v>0</v>
      </c>
      <c r="M70" s="79" cm="1">
        <f t="array" aca="1" ref="M70" ca="1">IF($K70=0,0,((SUMIFS(StockOpenQty,StockCodeOnly,$E70)*SUMIFS(StockOpenCost,StockCodeOnly,$E70))+SUMIFS(MoveAmount,MoveDate,"&lt;"&amp;$T70,MoveCode,$E70))/$K70)</f>
        <v>387.65820047969061</v>
      </c>
      <c r="N70" s="82">
        <f t="shared" ca="1" si="23"/>
        <v>387.65820047969061</v>
      </c>
      <c r="O70" s="82">
        <f t="shared" ca="1" si="24"/>
        <v>-182.19935422545458</v>
      </c>
      <c r="P70" s="83">
        <f t="shared" si="25"/>
        <v>0</v>
      </c>
      <c r="Q70" s="79">
        <f t="shared" si="26"/>
        <v>0</v>
      </c>
      <c r="R70" s="19">
        <f t="shared" si="27"/>
        <v>0</v>
      </c>
      <c r="S70" s="79">
        <f t="shared" si="28"/>
        <v>0</v>
      </c>
      <c r="T70" s="81">
        <f t="shared" ca="1" si="29"/>
        <v>44408.000810185185</v>
      </c>
    </row>
    <row r="71" spans="1:20" ht="16.149999999999999" customHeight="1" x14ac:dyDescent="0.25">
      <c r="A71" s="37">
        <v>44408</v>
      </c>
      <c r="B71" s="37" t="s">
        <v>103</v>
      </c>
      <c r="C71" s="3" t="s">
        <v>104</v>
      </c>
      <c r="D71" s="78" t="s">
        <v>104</v>
      </c>
      <c r="E71" s="3" t="s">
        <v>23</v>
      </c>
      <c r="F71" s="38">
        <v>-8.6800000000000068</v>
      </c>
      <c r="G71" s="79">
        <v>0</v>
      </c>
      <c r="H71" s="80" t="str">
        <f t="shared" ca="1" si="20"/>
        <v>-</v>
      </c>
      <c r="I71" s="25" t="str">
        <f>IF(ISNA(VLOOKUP($E71,StockCode[],COLUMN(StockCodes!$B$3),0))=TRUE,"Invalid Stock Code",VLOOKUP($E71,StockCode[],COLUMN(StockCodes!$B$3),0))</f>
        <v>Boxes</v>
      </c>
      <c r="J71" s="39" t="str">
        <f>IF(ISNA(VLOOKUP($E71,StockCode[],COLUMN(StockCodes!$C$3),0))=TRUE,"-",VLOOKUP($E71,StockCode[],COLUMN(StockCodes!$C$3),0))</f>
        <v>Units</v>
      </c>
      <c r="K71" s="82">
        <f t="shared" ca="1" si="21"/>
        <v>218.67999999999995</v>
      </c>
      <c r="L71" s="82">
        <f t="shared" ca="1" si="22"/>
        <v>209.99999999999994</v>
      </c>
      <c r="M71" s="79" cm="1">
        <f t="array" aca="1" ref="M71" ca="1">IF($K71=0,0,((SUMIFS(StockOpenQty,StockCodeOnly,$E71)*SUMIFS(StockOpenCost,StockCodeOnly,$E71))+SUMIFS(MoveAmount,MoveDate,"&lt;"&amp;$T71,MoveCode,$E71))/$K71)</f>
        <v>1.0542738862020355</v>
      </c>
      <c r="N71" s="82">
        <f t="shared" ca="1" si="23"/>
        <v>1.0542738862020355</v>
      </c>
      <c r="O71" s="82">
        <f t="shared" ca="1" si="24"/>
        <v>-9.1510973322336753</v>
      </c>
      <c r="P71" s="83">
        <f t="shared" si="25"/>
        <v>0</v>
      </c>
      <c r="Q71" s="79">
        <f t="shared" si="26"/>
        <v>0</v>
      </c>
      <c r="R71" s="19">
        <f t="shared" si="27"/>
        <v>0</v>
      </c>
      <c r="S71" s="79">
        <f t="shared" si="28"/>
        <v>0</v>
      </c>
      <c r="T71" s="81">
        <f t="shared" ca="1" si="29"/>
        <v>44408.000821759262</v>
      </c>
    </row>
    <row r="72" spans="1:20" ht="16.149999999999999" customHeight="1" x14ac:dyDescent="0.25">
      <c r="A72" s="37">
        <v>44408</v>
      </c>
      <c r="B72" s="37" t="s">
        <v>103</v>
      </c>
      <c r="C72" s="3" t="s">
        <v>104</v>
      </c>
      <c r="D72" s="78" t="s">
        <v>104</v>
      </c>
      <c r="E72" s="3" t="s">
        <v>25</v>
      </c>
      <c r="F72" s="38">
        <v>-60</v>
      </c>
      <c r="G72" s="79">
        <v>0</v>
      </c>
      <c r="H72" s="80" t="str">
        <f t="shared" ca="1" si="20"/>
        <v>-</v>
      </c>
      <c r="I72" s="25" t="str">
        <f>IF(ISNA(VLOOKUP($E72,StockCode[],COLUMN(StockCodes!$B$3),0))=TRUE,"Invalid Stock Code",VLOOKUP($E72,StockCode[],COLUMN(StockCodes!$B$3),0))</f>
        <v>Meat</v>
      </c>
      <c r="J72" s="39" t="str">
        <f>IF(ISNA(VLOOKUP($E72,StockCode[],COLUMN(StockCodes!$C$3),0))=TRUE,"-",VLOOKUP($E72,StockCode[],COLUMN(StockCodes!$C$3),0))</f>
        <v>Kg</v>
      </c>
      <c r="K72" s="82">
        <f t="shared" ca="1" si="21"/>
        <v>560</v>
      </c>
      <c r="L72" s="82">
        <f t="shared" ca="1" si="22"/>
        <v>500</v>
      </c>
      <c r="M72" s="79" cm="1">
        <f t="array" aca="1" ref="M72" ca="1">IF($K72=0,0,((SUMIFS(StockOpenQty,StockCodeOnly,$E72)*SUMIFS(StockOpenCost,StockCodeOnly,$E72))+SUMIFS(MoveAmount,MoveDate,"&lt;"&amp;$T72,MoveCode,$E72))/$K72)</f>
        <v>46.676620930858213</v>
      </c>
      <c r="N72" s="82">
        <f t="shared" ca="1" si="23"/>
        <v>46.676620930858213</v>
      </c>
      <c r="O72" s="82">
        <f t="shared" ca="1" si="24"/>
        <v>-2800.5972558514927</v>
      </c>
      <c r="P72" s="83">
        <f t="shared" si="25"/>
        <v>0</v>
      </c>
      <c r="Q72" s="79">
        <f t="shared" si="26"/>
        <v>0</v>
      </c>
      <c r="R72" s="19">
        <f t="shared" si="27"/>
        <v>0</v>
      </c>
      <c r="S72" s="79">
        <f t="shared" si="28"/>
        <v>0</v>
      </c>
      <c r="T72" s="81">
        <f t="shared" ca="1" si="29"/>
        <v>44408.000833333332</v>
      </c>
    </row>
    <row r="73" spans="1:20" ht="16.149999999999999" customHeight="1" x14ac:dyDescent="0.25">
      <c r="A73" s="37">
        <v>44408</v>
      </c>
      <c r="B73" s="37" t="s">
        <v>103</v>
      </c>
      <c r="C73" s="3" t="s">
        <v>104</v>
      </c>
      <c r="D73" s="78" t="s">
        <v>104</v>
      </c>
      <c r="E73" s="3" t="s">
        <v>28</v>
      </c>
      <c r="F73" s="38">
        <v>-3.14</v>
      </c>
      <c r="G73" s="79">
        <v>0</v>
      </c>
      <c r="H73" s="80" t="str">
        <f t="shared" ca="1" si="20"/>
        <v>-</v>
      </c>
      <c r="I73" s="25" t="str">
        <f>IF(ISNA(VLOOKUP($E73,StockCode[],COLUMN(StockCodes!$B$3),0))=TRUE,"Invalid Stock Code",VLOOKUP($E73,StockCode[],COLUMN(StockCodes!$B$3),0))</f>
        <v>Bread Rolls</v>
      </c>
      <c r="J73" s="39" t="str">
        <f>IF(ISNA(VLOOKUP($E73,StockCode[],COLUMN(StockCodes!$C$3),0))=TRUE,"-",VLOOKUP($E73,StockCode[],COLUMN(StockCodes!$C$3),0))</f>
        <v>Dozen</v>
      </c>
      <c r="K73" s="82">
        <f t="shared" ca="1" si="21"/>
        <v>7.1400000000000006</v>
      </c>
      <c r="L73" s="82">
        <f t="shared" ca="1" si="22"/>
        <v>4</v>
      </c>
      <c r="M73" s="79" cm="1">
        <f t="array" aca="1" ref="M73" ca="1">IF($K73=0,0,((SUMIFS(StockOpenQty,StockCodeOnly,$E73)*SUMIFS(StockOpenCost,StockCodeOnly,$E73))+SUMIFS(MoveAmount,MoveDate,"&lt;"&amp;$T73,MoveCode,$E73))/$K73)</f>
        <v>41.258511957241311</v>
      </c>
      <c r="N73" s="82">
        <f t="shared" ca="1" si="23"/>
        <v>41.258511957241311</v>
      </c>
      <c r="O73" s="82">
        <f t="shared" ca="1" si="24"/>
        <v>-129.55172754573772</v>
      </c>
      <c r="P73" s="83">
        <f t="shared" si="25"/>
        <v>0</v>
      </c>
      <c r="Q73" s="79">
        <f t="shared" si="26"/>
        <v>0</v>
      </c>
      <c r="R73" s="19">
        <f t="shared" si="27"/>
        <v>0</v>
      </c>
      <c r="S73" s="79">
        <f t="shared" si="28"/>
        <v>0</v>
      </c>
      <c r="T73" s="81">
        <f t="shared" ca="1" si="29"/>
        <v>44408.000844907408</v>
      </c>
    </row>
    <row r="74" spans="1:20" ht="16.149999999999999" customHeight="1" x14ac:dyDescent="0.25">
      <c r="A74" s="37">
        <v>44408</v>
      </c>
      <c r="B74" s="37" t="s">
        <v>103</v>
      </c>
      <c r="C74" s="3" t="s">
        <v>104</v>
      </c>
      <c r="D74" s="78" t="s">
        <v>104</v>
      </c>
      <c r="E74" s="3" t="s">
        <v>31</v>
      </c>
      <c r="F74" s="38">
        <v>-0.44</v>
      </c>
      <c r="G74" s="79">
        <v>0</v>
      </c>
      <c r="H74" s="80" t="str">
        <f t="shared" ca="1" si="20"/>
        <v>-</v>
      </c>
      <c r="I74" s="25" t="str">
        <f>IF(ISNA(VLOOKUP($E74,StockCode[],COLUMN(StockCodes!$B$3),0))=TRUE,"Invalid Stock Code",VLOOKUP($E74,StockCode[],COLUMN(StockCodes!$B$3),0))</f>
        <v>Lettuce</v>
      </c>
      <c r="J74" s="39" t="str">
        <f>IF(ISNA(VLOOKUP($E74,StockCode[],COLUMN(StockCodes!$C$3),0))=TRUE,"-",VLOOKUP($E74,StockCode[],COLUMN(StockCodes!$C$3),0))</f>
        <v>Kg</v>
      </c>
      <c r="K74" s="82">
        <f t="shared" ca="1" si="21"/>
        <v>4.4400000000000013</v>
      </c>
      <c r="L74" s="82">
        <f t="shared" ca="1" si="22"/>
        <v>4.0000000000000009</v>
      </c>
      <c r="M74" s="79" cm="1">
        <f t="array" aca="1" ref="M74" ca="1">IF($K74=0,0,((SUMIFS(StockOpenQty,StockCodeOnly,$E74)*SUMIFS(StockOpenCost,StockCodeOnly,$E74))+SUMIFS(MoveAmount,MoveDate,"&lt;"&amp;$T74,MoveCode,$E74))/$K74)</f>
        <v>5.1362703128241556</v>
      </c>
      <c r="N74" s="82">
        <f t="shared" ca="1" si="23"/>
        <v>5.1362703128241556</v>
      </c>
      <c r="O74" s="82">
        <f t="shared" ca="1" si="24"/>
        <v>-2.2599589376426286</v>
      </c>
      <c r="P74" s="83">
        <f t="shared" si="25"/>
        <v>0</v>
      </c>
      <c r="Q74" s="79">
        <f t="shared" si="26"/>
        <v>0</v>
      </c>
      <c r="R74" s="19">
        <f t="shared" si="27"/>
        <v>0</v>
      </c>
      <c r="S74" s="79">
        <f t="shared" si="28"/>
        <v>0</v>
      </c>
      <c r="T74" s="81">
        <f t="shared" ca="1" si="29"/>
        <v>44408.000856481478</v>
      </c>
    </row>
    <row r="75" spans="1:20" ht="16.149999999999999" customHeight="1" x14ac:dyDescent="0.25">
      <c r="A75" s="37">
        <v>44408</v>
      </c>
      <c r="B75" s="37" t="s">
        <v>103</v>
      </c>
      <c r="C75" s="3" t="s">
        <v>104</v>
      </c>
      <c r="D75" s="78" t="s">
        <v>104</v>
      </c>
      <c r="E75" s="3" t="s">
        <v>33</v>
      </c>
      <c r="F75" s="38">
        <v>75</v>
      </c>
      <c r="G75" s="79">
        <v>0</v>
      </c>
      <c r="H75" s="80" t="str">
        <f t="shared" ca="1" si="20"/>
        <v>-</v>
      </c>
      <c r="I75" s="25" t="str">
        <f>IF(ISNA(VLOOKUP($E75,StockCode[],COLUMN(StockCodes!$B$3),0))=TRUE,"Invalid Stock Code",VLOOKUP($E75,StockCode[],COLUMN(StockCodes!$B$3),0))</f>
        <v>Gurkins</v>
      </c>
      <c r="J75" s="39" t="str">
        <f>IF(ISNA(VLOOKUP($E75,StockCode[],COLUMN(StockCodes!$C$3),0))=TRUE,"-",VLOOKUP($E75,StockCode[],COLUMN(StockCodes!$C$3),0))</f>
        <v>Kg</v>
      </c>
      <c r="K75" s="82">
        <f t="shared" ca="1" si="21"/>
        <v>0.74000000000000021</v>
      </c>
      <c r="L75" s="82">
        <f t="shared" ca="1" si="22"/>
        <v>75.739999999999995</v>
      </c>
      <c r="M75" s="79" cm="1">
        <f t="array" aca="1" ref="M75" ca="1">IF($K75=0,0,((SUMIFS(StockOpenQty,StockCodeOnly,$E75)*SUMIFS(StockOpenCost,StockCodeOnly,$E75))+SUMIFS(MoveAmount,MoveDate,"&lt;"&amp;$T75,MoveCode,$E75))/$K75)</f>
        <v>7.8221614042575585</v>
      </c>
      <c r="N75" s="82">
        <f t="shared" ca="1" si="23"/>
        <v>7.8221614042575585</v>
      </c>
      <c r="O75" s="82">
        <f t="shared" ca="1" si="24"/>
        <v>586.66210531931688</v>
      </c>
      <c r="P75" s="83">
        <f t="shared" si="25"/>
        <v>0</v>
      </c>
      <c r="Q75" s="79">
        <f t="shared" si="26"/>
        <v>0</v>
      </c>
      <c r="R75" s="19">
        <f t="shared" si="27"/>
        <v>0</v>
      </c>
      <c r="S75" s="79">
        <f t="shared" si="28"/>
        <v>0</v>
      </c>
      <c r="T75" s="81">
        <f t="shared" ca="1" si="29"/>
        <v>44408.000868055555</v>
      </c>
    </row>
    <row r="76" spans="1:20" ht="16.149999999999999" customHeight="1" x14ac:dyDescent="0.25">
      <c r="A76" s="37">
        <v>44408</v>
      </c>
      <c r="B76" s="37" t="s">
        <v>103</v>
      </c>
      <c r="C76" s="3" t="s">
        <v>104</v>
      </c>
      <c r="D76" s="78" t="s">
        <v>104</v>
      </c>
      <c r="E76" s="3" t="s">
        <v>35</v>
      </c>
      <c r="F76" s="38">
        <v>-0.47</v>
      </c>
      <c r="G76" s="79">
        <v>0</v>
      </c>
      <c r="H76" s="80" t="str">
        <f t="shared" ca="1" si="20"/>
        <v>-</v>
      </c>
      <c r="I76" s="25" t="str">
        <f>IF(ISNA(VLOOKUP($E76,StockCode[],COLUMN(StockCodes!$B$3),0))=TRUE,"Invalid Stock Code",VLOOKUP($E76,StockCode[],COLUMN(StockCodes!$B$3),0))</f>
        <v>Onions</v>
      </c>
      <c r="J76" s="39" t="str">
        <f>IF(ISNA(VLOOKUP($E76,StockCode[],COLUMN(StockCodes!$C$3),0))=TRUE,"-",VLOOKUP($E76,StockCode[],COLUMN(StockCodes!$C$3),0))</f>
        <v>Kg</v>
      </c>
      <c r="K76" s="82">
        <f t="shared" ca="1" si="21"/>
        <v>3.4699999999999989</v>
      </c>
      <c r="L76" s="82">
        <f t="shared" ca="1" si="22"/>
        <v>2.9999999999999991</v>
      </c>
      <c r="M76" s="79" cm="1">
        <f t="array" aca="1" ref="M76" ca="1">IF($K76=0,0,((SUMIFS(StockOpenQty,StockCodeOnly,$E76)*SUMIFS(StockOpenCost,StockCodeOnly,$E76))+SUMIFS(MoveAmount,MoveDate,"&lt;"&amp;$T76,MoveCode,$E76))/$K76)</f>
        <v>6.4505451838161036</v>
      </c>
      <c r="N76" s="82">
        <f t="shared" ca="1" si="23"/>
        <v>6.4505451838161036</v>
      </c>
      <c r="O76" s="82">
        <f t="shared" ca="1" si="24"/>
        <v>-3.0317562363935684</v>
      </c>
      <c r="P76" s="83">
        <f t="shared" si="25"/>
        <v>0</v>
      </c>
      <c r="Q76" s="79">
        <f t="shared" si="26"/>
        <v>0</v>
      </c>
      <c r="R76" s="19">
        <f t="shared" si="27"/>
        <v>0</v>
      </c>
      <c r="S76" s="79">
        <f t="shared" si="28"/>
        <v>0</v>
      </c>
      <c r="T76" s="81">
        <f t="shared" ca="1" si="29"/>
        <v>44408.000879629632</v>
      </c>
    </row>
    <row r="77" spans="1:20" ht="16.149999999999999" customHeight="1" x14ac:dyDescent="0.25">
      <c r="A77" s="37">
        <v>44412</v>
      </c>
      <c r="B77" s="37" t="s">
        <v>101</v>
      </c>
      <c r="C77" s="3" t="s">
        <v>38</v>
      </c>
      <c r="D77" s="78" t="s">
        <v>64</v>
      </c>
      <c r="E77" s="3" t="s">
        <v>19</v>
      </c>
      <c r="F77" s="38">
        <v>5</v>
      </c>
      <c r="G77" s="79">
        <v>105</v>
      </c>
      <c r="H77" s="80" t="str">
        <f t="shared" ca="1" si="20"/>
        <v>-</v>
      </c>
      <c r="I77" s="78" t="str">
        <f>IF(ISNA(VLOOKUP($E77,StockCode[],COLUMN(StockCodes!$B$3),0))=TRUE,"Invalid Stock Code",VLOOKUP($E77,StockCode[],COLUMN(StockCodes!$B$3),0))</f>
        <v>Plastic Wrap</v>
      </c>
      <c r="J77" s="39" t="str">
        <f>IF(ISNA(VLOOKUP($E77,StockCode[],COLUMN(StockCodes!$C$3),0))=TRUE,"-",VLOOKUP($E77,StockCode[],COLUMN(StockCodes!$C$3),0))</f>
        <v>Rolls</v>
      </c>
      <c r="K77" s="79">
        <f t="shared" ca="1" si="21"/>
        <v>5</v>
      </c>
      <c r="L77" s="79">
        <f t="shared" ca="1" si="22"/>
        <v>10</v>
      </c>
      <c r="M77" s="79" cm="1">
        <f t="array" aca="1" ref="M77" ca="1">IF($K77=0,0,((SUMIFS(StockOpenQty,StockCodeOnly,$E77)*SUMIFS(StockOpenCost,StockCodeOnly,$E77))+SUMIFS(MoveAmount,MoveDate,"&lt;"&amp;$T77,MoveCode,$E77))/$K77)</f>
        <v>20.499325133101728</v>
      </c>
      <c r="N77" s="79">
        <f t="shared" ca="1" si="23"/>
        <v>20.749662566550864</v>
      </c>
      <c r="O77" s="79">
        <f t="shared" si="24"/>
        <v>105</v>
      </c>
      <c r="P77" s="38">
        <f t="shared" si="25"/>
        <v>21</v>
      </c>
      <c r="Q77" s="79">
        <f t="shared" ca="1" si="26"/>
        <v>-0.50067486689827234</v>
      </c>
      <c r="R77" s="19">
        <f t="shared" ca="1" si="27"/>
        <v>-2.4423968284194721E-2</v>
      </c>
      <c r="S77" s="79">
        <f t="shared" ca="1" si="28"/>
        <v>-2.5033743344913617</v>
      </c>
      <c r="T77" s="81">
        <f t="shared" ca="1" si="29"/>
        <v>44412.000891203701</v>
      </c>
    </row>
    <row r="78" spans="1:20" ht="16.149999999999999" customHeight="1" x14ac:dyDescent="0.25">
      <c r="A78" s="37">
        <v>44412</v>
      </c>
      <c r="B78" s="37" t="s">
        <v>101</v>
      </c>
      <c r="C78" s="3" t="s">
        <v>43</v>
      </c>
      <c r="D78" s="78">
        <v>76868</v>
      </c>
      <c r="E78" s="3" t="s">
        <v>22</v>
      </c>
      <c r="F78" s="38">
        <v>2</v>
      </c>
      <c r="G78" s="79">
        <v>750</v>
      </c>
      <c r="H78" s="80" t="str">
        <f t="shared" ca="1" si="20"/>
        <v>-</v>
      </c>
      <c r="I78" s="78" t="str">
        <f>IF(ISNA(VLOOKUP($E78,StockCode[],COLUMN(StockCodes!$B$3),0))=TRUE,"Invalid Stock Code",VLOOKUP($E78,StockCode[],COLUMN(StockCodes!$B$3),0))</f>
        <v>Labels</v>
      </c>
      <c r="J78" s="39">
        <f>IF(ISNA(VLOOKUP($E78,StockCode[],COLUMN(StockCodes!$C$3),0))=TRUE,"-",VLOOKUP($E78,StockCode[],COLUMN(StockCodes!$C$3),0))</f>
        <v>1000</v>
      </c>
      <c r="K78" s="79">
        <f t="shared" ca="1" si="21"/>
        <v>0</v>
      </c>
      <c r="L78" s="79">
        <f t="shared" ca="1" si="22"/>
        <v>2</v>
      </c>
      <c r="M78" s="79" cm="1">
        <f t="array" aca="1" ref="M78" ca="1">IF($K78=0,0,((SUMIFS(StockOpenQty,StockCodeOnly,$E78)*SUMIFS(StockOpenCost,StockCodeOnly,$E78))+SUMIFS(MoveAmount,MoveDate,"&lt;"&amp;$T78,MoveCode,$E78))/$K78)</f>
        <v>0</v>
      </c>
      <c r="N78" s="79">
        <f t="shared" ca="1" si="23"/>
        <v>375</v>
      </c>
      <c r="O78" s="79">
        <f t="shared" si="24"/>
        <v>750</v>
      </c>
      <c r="P78" s="38">
        <f t="shared" si="25"/>
        <v>375</v>
      </c>
      <c r="Q78" s="79">
        <f t="shared" ca="1" si="26"/>
        <v>0</v>
      </c>
      <c r="R78" s="19">
        <f t="shared" ca="1" si="27"/>
        <v>0</v>
      </c>
      <c r="S78" s="79">
        <f t="shared" ca="1" si="28"/>
        <v>0</v>
      </c>
      <c r="T78" s="81">
        <f t="shared" ca="1" si="29"/>
        <v>44412.000902777778</v>
      </c>
    </row>
    <row r="79" spans="1:20" ht="16.149999999999999" customHeight="1" x14ac:dyDescent="0.25">
      <c r="A79" s="37">
        <v>44412</v>
      </c>
      <c r="B79" s="37" t="s">
        <v>101</v>
      </c>
      <c r="C79" s="3" t="s">
        <v>39</v>
      </c>
      <c r="D79" s="78" t="s">
        <v>47</v>
      </c>
      <c r="E79" s="3" t="s">
        <v>23</v>
      </c>
      <c r="F79" s="38">
        <v>700</v>
      </c>
      <c r="G79" s="79">
        <v>700</v>
      </c>
      <c r="H79" s="80" t="str">
        <f t="shared" ca="1" si="20"/>
        <v>-</v>
      </c>
      <c r="I79" s="78" t="str">
        <f>IF(ISNA(VLOOKUP($E79,StockCode[],COLUMN(StockCodes!$B$3),0))=TRUE,"Invalid Stock Code",VLOOKUP($E79,StockCode[],COLUMN(StockCodes!$B$3),0))</f>
        <v>Boxes</v>
      </c>
      <c r="J79" s="39" t="str">
        <f>IF(ISNA(VLOOKUP($E79,StockCode[],COLUMN(StockCodes!$C$3),0))=TRUE,"-",VLOOKUP($E79,StockCode[],COLUMN(StockCodes!$C$3),0))</f>
        <v>Units</v>
      </c>
      <c r="K79" s="79">
        <f t="shared" ca="1" si="21"/>
        <v>209.99999999999994</v>
      </c>
      <c r="L79" s="79">
        <f t="shared" ca="1" si="22"/>
        <v>910</v>
      </c>
      <c r="M79" s="79" cm="1">
        <f t="array" aca="1" ref="M79" ca="1">IF($K79=0,0,((SUMIFS(StockOpenQty,StockCodeOnly,$E79)*SUMIFS(StockOpenCost,StockCodeOnly,$E79))+SUMIFS(MoveAmount,MoveDate,"&lt;"&amp;$T79,MoveCode,$E79))/$K79)</f>
        <v>1.0542738862020355</v>
      </c>
      <c r="N79" s="79">
        <f t="shared" ca="1" si="23"/>
        <v>1.0125247429697004</v>
      </c>
      <c r="O79" s="79">
        <f t="shared" si="24"/>
        <v>700</v>
      </c>
      <c r="P79" s="38">
        <f t="shared" si="25"/>
        <v>1</v>
      </c>
      <c r="Q79" s="79">
        <f t="shared" ca="1" si="26"/>
        <v>5.4273886202035548E-2</v>
      </c>
      <c r="R79" s="19">
        <f t="shared" ca="1" si="27"/>
        <v>5.1479873410840399E-2</v>
      </c>
      <c r="S79" s="79">
        <f t="shared" ca="1" si="28"/>
        <v>37.99172034142488</v>
      </c>
      <c r="T79" s="81">
        <f t="shared" ca="1" si="29"/>
        <v>44412.000914351855</v>
      </c>
    </row>
    <row r="80" spans="1:20" ht="16.149999999999999" customHeight="1" x14ac:dyDescent="0.25">
      <c r="A80" s="37">
        <v>44412</v>
      </c>
      <c r="B80" s="37" t="s">
        <v>101</v>
      </c>
      <c r="C80" s="3" t="s">
        <v>42</v>
      </c>
      <c r="D80" s="78">
        <v>5765765</v>
      </c>
      <c r="E80" s="3" t="s">
        <v>25</v>
      </c>
      <c r="F80" s="38">
        <v>400</v>
      </c>
      <c r="G80" s="79">
        <v>21760</v>
      </c>
      <c r="H80" s="80" t="str">
        <f t="shared" ca="1" si="20"/>
        <v>-</v>
      </c>
      <c r="I80" s="78" t="str">
        <f>IF(ISNA(VLOOKUP($E80,StockCode[],COLUMN(StockCodes!$B$3),0))=TRUE,"Invalid Stock Code",VLOOKUP($E80,StockCode[],COLUMN(StockCodes!$B$3),0))</f>
        <v>Meat</v>
      </c>
      <c r="J80" s="39" t="str">
        <f>IF(ISNA(VLOOKUP($E80,StockCode[],COLUMN(StockCodes!$C$3),0))=TRUE,"-",VLOOKUP($E80,StockCode[],COLUMN(StockCodes!$C$3),0))</f>
        <v>Kg</v>
      </c>
      <c r="K80" s="79">
        <f t="shared" ca="1" si="21"/>
        <v>500</v>
      </c>
      <c r="L80" s="79">
        <f t="shared" ca="1" si="22"/>
        <v>900</v>
      </c>
      <c r="M80" s="79" cm="1">
        <f t="array" aca="1" ref="M80" ca="1">IF($K80=0,0,((SUMIFS(StockOpenQty,StockCodeOnly,$E80)*SUMIFS(StockOpenCost,StockCodeOnly,$E80))+SUMIFS(MoveAmount,MoveDate,"&lt;"&amp;$T80,MoveCode,$E80))/$K80)</f>
        <v>46.676620930858221</v>
      </c>
      <c r="N80" s="79">
        <f t="shared" ca="1" si="23"/>
        <v>50.109233850476791</v>
      </c>
      <c r="O80" s="79">
        <f t="shared" si="24"/>
        <v>21760</v>
      </c>
      <c r="P80" s="38">
        <f t="shared" si="25"/>
        <v>54.4</v>
      </c>
      <c r="Q80" s="79">
        <f t="shared" ca="1" si="26"/>
        <v>-7.7233790691417781</v>
      </c>
      <c r="R80" s="19">
        <f t="shared" ca="1" si="27"/>
        <v>-0.16546568528562447</v>
      </c>
      <c r="S80" s="79">
        <f t="shared" ca="1" si="28"/>
        <v>-3089.3516276567111</v>
      </c>
      <c r="T80" s="81">
        <f t="shared" ca="1" si="29"/>
        <v>44412.000925925924</v>
      </c>
    </row>
    <row r="81" spans="1:20" ht="16.149999999999999" customHeight="1" x14ac:dyDescent="0.25">
      <c r="A81" s="37">
        <v>44412</v>
      </c>
      <c r="B81" s="37" t="s">
        <v>101</v>
      </c>
      <c r="C81" s="3" t="s">
        <v>40</v>
      </c>
      <c r="D81" s="78">
        <v>67887</v>
      </c>
      <c r="E81" s="3" t="s">
        <v>28</v>
      </c>
      <c r="F81" s="38">
        <v>45</v>
      </c>
      <c r="G81" s="79">
        <v>1800</v>
      </c>
      <c r="H81" s="80" t="str">
        <f t="shared" ca="1" si="20"/>
        <v>-</v>
      </c>
      <c r="I81" s="78" t="str">
        <f>IF(ISNA(VLOOKUP($E81,StockCode[],COLUMN(StockCodes!$B$3),0))=TRUE,"Invalid Stock Code",VLOOKUP($E81,StockCode[],COLUMN(StockCodes!$B$3),0))</f>
        <v>Bread Rolls</v>
      </c>
      <c r="J81" s="39" t="str">
        <f>IF(ISNA(VLOOKUP($E81,StockCode[],COLUMN(StockCodes!$C$3),0))=TRUE,"-",VLOOKUP($E81,StockCode[],COLUMN(StockCodes!$C$3),0))</f>
        <v>Dozen</v>
      </c>
      <c r="K81" s="79">
        <f t="shared" ca="1" si="21"/>
        <v>4</v>
      </c>
      <c r="L81" s="79">
        <f t="shared" ca="1" si="22"/>
        <v>49</v>
      </c>
      <c r="M81" s="79" cm="1">
        <f t="array" aca="1" ref="M81" ca="1">IF($K81=0,0,((SUMIFS(StockOpenQty,StockCodeOnly,$E81)*SUMIFS(StockOpenCost,StockCodeOnly,$E81))+SUMIFS(MoveAmount,MoveDate,"&lt;"&amp;$T81,MoveCode,$E81))/$K81)</f>
        <v>41.258511957241296</v>
      </c>
      <c r="N81" s="79">
        <f t="shared" ca="1" si="23"/>
        <v>40.102735669978884</v>
      </c>
      <c r="O81" s="79">
        <f t="shared" si="24"/>
        <v>1800</v>
      </c>
      <c r="P81" s="38">
        <f t="shared" si="25"/>
        <v>40</v>
      </c>
      <c r="Q81" s="79">
        <f t="shared" ca="1" si="26"/>
        <v>1.2585119572412964</v>
      </c>
      <c r="R81" s="19">
        <f t="shared" ca="1" si="27"/>
        <v>3.0503086455119101E-2</v>
      </c>
      <c r="S81" s="79">
        <f t="shared" ca="1" si="28"/>
        <v>56.633038075858337</v>
      </c>
      <c r="T81" s="81">
        <f t="shared" ca="1" si="29"/>
        <v>44412.000937500001</v>
      </c>
    </row>
    <row r="82" spans="1:20" ht="16.149999999999999" customHeight="1" x14ac:dyDescent="0.25">
      <c r="A82" s="37">
        <v>44412</v>
      </c>
      <c r="B82" s="37" t="s">
        <v>101</v>
      </c>
      <c r="C82" s="3" t="s">
        <v>41</v>
      </c>
      <c r="D82" s="78" t="s">
        <v>64</v>
      </c>
      <c r="E82" s="3" t="s">
        <v>31</v>
      </c>
      <c r="F82" s="38">
        <v>11</v>
      </c>
      <c r="G82" s="79">
        <v>59</v>
      </c>
      <c r="H82" s="80" t="str">
        <f t="shared" ca="1" si="20"/>
        <v>-</v>
      </c>
      <c r="I82" s="78" t="str">
        <f>IF(ISNA(VLOOKUP($E82,StockCode[],COLUMN(StockCodes!$B$3),0))=TRUE,"Invalid Stock Code",VLOOKUP($E82,StockCode[],COLUMN(StockCodes!$B$3),0))</f>
        <v>Lettuce</v>
      </c>
      <c r="J82" s="39" t="str">
        <f>IF(ISNA(VLOOKUP($E82,StockCode[],COLUMN(StockCodes!$C$3),0))=TRUE,"-",VLOOKUP($E82,StockCode[],COLUMN(StockCodes!$C$3),0))</f>
        <v>Kg</v>
      </c>
      <c r="K82" s="79">
        <f t="shared" ca="1" si="21"/>
        <v>4.0000000000000009</v>
      </c>
      <c r="L82" s="79">
        <f t="shared" ca="1" si="22"/>
        <v>15</v>
      </c>
      <c r="M82" s="79" cm="1">
        <f t="array" aca="1" ref="M82" ca="1">IF($K82=0,0,((SUMIFS(StockOpenQty,StockCodeOnly,$E82)*SUMIFS(StockOpenCost,StockCodeOnly,$E82))+SUMIFS(MoveAmount,MoveDate,"&lt;"&amp;$T82,MoveCode,$E82))/$K82)</f>
        <v>5.1362703128241565</v>
      </c>
      <c r="N82" s="79">
        <f t="shared" ca="1" si="23"/>
        <v>5.3030054167531091</v>
      </c>
      <c r="O82" s="79">
        <f t="shared" si="24"/>
        <v>59</v>
      </c>
      <c r="P82" s="38">
        <f t="shared" si="25"/>
        <v>5.3636363636363633</v>
      </c>
      <c r="Q82" s="79">
        <f t="shared" ca="1" si="26"/>
        <v>-0.22736605081220684</v>
      </c>
      <c r="R82" s="19">
        <f t="shared" ca="1" si="27"/>
        <v>-4.4266761086254158E-2</v>
      </c>
      <c r="S82" s="79">
        <f t="shared" ca="1" si="28"/>
        <v>-2.5010265589342753</v>
      </c>
      <c r="T82" s="81">
        <f t="shared" ca="1" si="29"/>
        <v>44412.000949074078</v>
      </c>
    </row>
    <row r="83" spans="1:20" ht="16.149999999999999" customHeight="1" x14ac:dyDescent="0.25">
      <c r="A83" s="37">
        <v>44412</v>
      </c>
      <c r="B83" s="37" t="s">
        <v>101</v>
      </c>
      <c r="C83" s="3" t="s">
        <v>41</v>
      </c>
      <c r="D83" s="78">
        <v>76868</v>
      </c>
      <c r="E83" s="3" t="s">
        <v>33</v>
      </c>
      <c r="F83" s="38">
        <v>9</v>
      </c>
      <c r="G83" s="79">
        <v>75</v>
      </c>
      <c r="H83" s="80" t="str">
        <f t="shared" ca="1" si="20"/>
        <v>-</v>
      </c>
      <c r="I83" s="78" t="str">
        <f>IF(ISNA(VLOOKUP($E83,StockCode[],COLUMN(StockCodes!$B$3),0))=TRUE,"Invalid Stock Code",VLOOKUP($E83,StockCode[],COLUMN(StockCodes!$B$3),0))</f>
        <v>Gurkins</v>
      </c>
      <c r="J83" s="39" t="str">
        <f>IF(ISNA(VLOOKUP($E83,StockCode[],COLUMN(StockCodes!$C$3),0))=TRUE,"-",VLOOKUP($E83,StockCode[],COLUMN(StockCodes!$C$3),0))</f>
        <v>Kg</v>
      </c>
      <c r="K83" s="79">
        <f t="shared" ca="1" si="21"/>
        <v>75.739999999999995</v>
      </c>
      <c r="L83" s="79">
        <f t="shared" ca="1" si="22"/>
        <v>84.74</v>
      </c>
      <c r="M83" s="79" cm="1">
        <f t="array" aca="1" ref="M83" ca="1">IF($K83=0,0,((SUMIFS(StockOpenQty,StockCodeOnly,$E83)*SUMIFS(StockOpenCost,StockCodeOnly,$E83))+SUMIFS(MoveAmount,MoveDate,"&lt;"&amp;$T83,MoveCode,$E83))/$K83)</f>
        <v>7.8221614042575585</v>
      </c>
      <c r="N83" s="79">
        <f t="shared" ca="1" si="23"/>
        <v>7.8764515548556462</v>
      </c>
      <c r="O83" s="79">
        <f t="shared" si="24"/>
        <v>75</v>
      </c>
      <c r="P83" s="38">
        <f t="shared" si="25"/>
        <v>8.3333333333333339</v>
      </c>
      <c r="Q83" s="79">
        <f t="shared" ca="1" si="26"/>
        <v>-0.51117192907577547</v>
      </c>
      <c r="R83" s="19">
        <f t="shared" ca="1" si="27"/>
        <v>-6.5349192206331549E-2</v>
      </c>
      <c r="S83" s="79">
        <f t="shared" ca="1" si="28"/>
        <v>-4.6005473616819792</v>
      </c>
      <c r="T83" s="81">
        <f t="shared" ca="1" si="29"/>
        <v>44412.000960648147</v>
      </c>
    </row>
    <row r="84" spans="1:20" ht="16.149999999999999" customHeight="1" x14ac:dyDescent="0.25">
      <c r="A84" s="37">
        <v>44412</v>
      </c>
      <c r="B84" s="37" t="s">
        <v>101</v>
      </c>
      <c r="C84" s="3" t="s">
        <v>41</v>
      </c>
      <c r="D84" s="78" t="s">
        <v>47</v>
      </c>
      <c r="E84" s="3" t="s">
        <v>35</v>
      </c>
      <c r="F84" s="38">
        <v>20</v>
      </c>
      <c r="G84" s="79">
        <v>190</v>
      </c>
      <c r="H84" s="80" t="str">
        <f t="shared" ca="1" si="20"/>
        <v>-</v>
      </c>
      <c r="I84" s="78" t="str">
        <f>IF(ISNA(VLOOKUP($E84,StockCode[],COLUMN(StockCodes!$B$3),0))=TRUE,"Invalid Stock Code",VLOOKUP($E84,StockCode[],COLUMN(StockCodes!$B$3),0))</f>
        <v>Onions</v>
      </c>
      <c r="J84" s="39" t="str">
        <f>IF(ISNA(VLOOKUP($E84,StockCode[],COLUMN(StockCodes!$C$3),0))=TRUE,"-",VLOOKUP($E84,StockCode[],COLUMN(StockCodes!$C$3),0))</f>
        <v>Kg</v>
      </c>
      <c r="K84" s="79">
        <f t="shared" ca="1" si="21"/>
        <v>2.9999999999999982</v>
      </c>
      <c r="L84" s="79">
        <f t="shared" ca="1" si="22"/>
        <v>23</v>
      </c>
      <c r="M84" s="79" cm="1">
        <f t="array" aca="1" ref="M84" ca="1">IF($K84=0,0,((SUMIFS(StockOpenQty,StockCodeOnly,$E84)*SUMIFS(StockOpenCost,StockCodeOnly,$E84))+SUMIFS(MoveAmount,MoveDate,"&lt;"&amp;$T84,MoveCode,$E84))/$K84)</f>
        <v>6.4505451838161072</v>
      </c>
      <c r="N84" s="79">
        <f t="shared" ca="1" si="23"/>
        <v>9.102245023976014</v>
      </c>
      <c r="O84" s="79">
        <f t="shared" si="24"/>
        <v>190</v>
      </c>
      <c r="P84" s="38">
        <f t="shared" si="25"/>
        <v>9.5</v>
      </c>
      <c r="Q84" s="79">
        <f t="shared" ca="1" si="26"/>
        <v>-3.0494548161838928</v>
      </c>
      <c r="R84" s="19">
        <f t="shared" ca="1" si="27"/>
        <v>-0.47274373394588826</v>
      </c>
      <c r="S84" s="79">
        <f t="shared" ca="1" si="28"/>
        <v>-60.989096323677856</v>
      </c>
      <c r="T84" s="81">
        <f t="shared" ca="1" si="29"/>
        <v>44412.000972222224</v>
      </c>
    </row>
    <row r="85" spans="1:20" ht="16.149999999999999" customHeight="1" x14ac:dyDescent="0.25">
      <c r="A85" s="37">
        <v>44414</v>
      </c>
      <c r="B85" s="37" t="s">
        <v>102</v>
      </c>
      <c r="C85" s="3" t="s">
        <v>104</v>
      </c>
      <c r="D85" s="78" t="s">
        <v>104</v>
      </c>
      <c r="E85" s="3" t="s">
        <v>19</v>
      </c>
      <c r="F85" s="38">
        <v>-1.1100000000000001</v>
      </c>
      <c r="G85" s="79">
        <v>0</v>
      </c>
      <c r="H85" s="80" t="str">
        <f t="shared" ca="1" si="20"/>
        <v>-</v>
      </c>
      <c r="I85" s="25" t="str">
        <f>IF(ISNA(VLOOKUP($E85,StockCode[],COLUMN(StockCodes!$B$3),0))=TRUE,"Invalid Stock Code",VLOOKUP($E85,StockCode[],COLUMN(StockCodes!$B$3),0))</f>
        <v>Plastic Wrap</v>
      </c>
      <c r="J85" s="39" t="str">
        <f>IF(ISNA(VLOOKUP($E85,StockCode[],COLUMN(StockCodes!$C$3),0))=TRUE,"-",VLOOKUP($E85,StockCode[],COLUMN(StockCodes!$C$3),0))</f>
        <v>Rolls</v>
      </c>
      <c r="K85" s="82">
        <f t="shared" ca="1" si="21"/>
        <v>10</v>
      </c>
      <c r="L85" s="82">
        <f t="shared" ca="1" si="22"/>
        <v>8.89</v>
      </c>
      <c r="M85" s="79" cm="1">
        <f t="array" aca="1" ref="M85" ca="1">IF($K85=0,0,((SUMIFS(StockOpenQty,StockCodeOnly,$E85)*SUMIFS(StockOpenCost,StockCodeOnly,$E85))+SUMIFS(MoveAmount,MoveDate,"&lt;"&amp;$T85,MoveCode,$E85))/$K85)</f>
        <v>20.749662566550864</v>
      </c>
      <c r="N85" s="82">
        <f t="shared" ca="1" si="23"/>
        <v>20.749662566550864</v>
      </c>
      <c r="O85" s="82">
        <f t="shared" ca="1" si="24"/>
        <v>-23.032125448871462</v>
      </c>
      <c r="P85" s="83">
        <f t="shared" si="25"/>
        <v>0</v>
      </c>
      <c r="Q85" s="79">
        <f t="shared" si="26"/>
        <v>0</v>
      </c>
      <c r="R85" s="19">
        <f t="shared" si="27"/>
        <v>0</v>
      </c>
      <c r="S85" s="79">
        <f t="shared" si="28"/>
        <v>0</v>
      </c>
      <c r="T85" s="81">
        <f t="shared" ca="1" si="29"/>
        <v>44414.000983796293</v>
      </c>
    </row>
    <row r="86" spans="1:20" ht="16.149999999999999" customHeight="1" x14ac:dyDescent="0.25">
      <c r="A86" s="37">
        <v>44414</v>
      </c>
      <c r="B86" s="37" t="s">
        <v>102</v>
      </c>
      <c r="C86" s="3" t="s">
        <v>104</v>
      </c>
      <c r="D86" s="78" t="s">
        <v>104</v>
      </c>
      <c r="E86" s="3" t="s">
        <v>22</v>
      </c>
      <c r="F86" s="38">
        <v>-0.53</v>
      </c>
      <c r="G86" s="79">
        <v>0</v>
      </c>
      <c r="H86" s="80" t="str">
        <f t="shared" ca="1" si="20"/>
        <v>-</v>
      </c>
      <c r="I86" s="25" t="str">
        <f>IF(ISNA(VLOOKUP($E86,StockCode[],COLUMN(StockCodes!$B$3),0))=TRUE,"Invalid Stock Code",VLOOKUP($E86,StockCode[],COLUMN(StockCodes!$B$3),0))</f>
        <v>Labels</v>
      </c>
      <c r="J86" s="39">
        <f>IF(ISNA(VLOOKUP($E86,StockCode[],COLUMN(StockCodes!$C$3),0))=TRUE,"-",VLOOKUP($E86,StockCode[],COLUMN(StockCodes!$C$3),0))</f>
        <v>1000</v>
      </c>
      <c r="K86" s="82">
        <f t="shared" ca="1" si="21"/>
        <v>1.9999999999999998</v>
      </c>
      <c r="L86" s="82">
        <f t="shared" ca="1" si="22"/>
        <v>1.4699999999999998</v>
      </c>
      <c r="M86" s="79" cm="1">
        <f t="array" aca="1" ref="M86" ca="1">IF($K86=0,0,((SUMIFS(StockOpenQty,StockCodeOnly,$E86)*SUMIFS(StockOpenCost,StockCodeOnly,$E86))+SUMIFS(MoveAmount,MoveDate,"&lt;"&amp;$T86,MoveCode,$E86))/$K86)</f>
        <v>375</v>
      </c>
      <c r="N86" s="82">
        <f t="shared" ca="1" si="23"/>
        <v>375</v>
      </c>
      <c r="O86" s="82">
        <f t="shared" ca="1" si="24"/>
        <v>-198.75</v>
      </c>
      <c r="P86" s="83">
        <f t="shared" si="25"/>
        <v>0</v>
      </c>
      <c r="Q86" s="79">
        <f t="shared" si="26"/>
        <v>0</v>
      </c>
      <c r="R86" s="19">
        <f t="shared" si="27"/>
        <v>0</v>
      </c>
      <c r="S86" s="79">
        <f t="shared" si="28"/>
        <v>0</v>
      </c>
      <c r="T86" s="81">
        <f t="shared" ca="1" si="29"/>
        <v>44414.00099537037</v>
      </c>
    </row>
    <row r="87" spans="1:20" ht="16.149999999999999" customHeight="1" x14ac:dyDescent="0.25">
      <c r="A87" s="37">
        <v>44414</v>
      </c>
      <c r="B87" s="37" t="s">
        <v>102</v>
      </c>
      <c r="C87" s="3" t="s">
        <v>104</v>
      </c>
      <c r="D87" s="78" t="s">
        <v>104</v>
      </c>
      <c r="E87" s="3" t="s">
        <v>23</v>
      </c>
      <c r="F87" s="38">
        <v>-526.32000000000005</v>
      </c>
      <c r="G87" s="79">
        <v>0</v>
      </c>
      <c r="H87" s="80" t="str">
        <f t="shared" ca="1" si="20"/>
        <v>-</v>
      </c>
      <c r="I87" s="25" t="str">
        <f>IF(ISNA(VLOOKUP($E87,StockCode[],COLUMN(StockCodes!$B$3),0))=TRUE,"Invalid Stock Code",VLOOKUP($E87,StockCode[],COLUMN(StockCodes!$B$3),0))</f>
        <v>Boxes</v>
      </c>
      <c r="J87" s="39" t="str">
        <f>IF(ISNA(VLOOKUP($E87,StockCode[],COLUMN(StockCodes!$C$3),0))=TRUE,"-",VLOOKUP($E87,StockCode[],COLUMN(StockCodes!$C$3),0))</f>
        <v>Units</v>
      </c>
      <c r="K87" s="82">
        <f t="shared" ca="1" si="21"/>
        <v>910</v>
      </c>
      <c r="L87" s="82">
        <f t="shared" ca="1" si="22"/>
        <v>383.67999999999995</v>
      </c>
      <c r="M87" s="79" cm="1">
        <f t="array" aca="1" ref="M87" ca="1">IF($K87=0,0,((SUMIFS(StockOpenQty,StockCodeOnly,$E87)*SUMIFS(StockOpenCost,StockCodeOnly,$E87))+SUMIFS(MoveAmount,MoveDate,"&lt;"&amp;$T87,MoveCode,$E87))/$K87)</f>
        <v>1.0125247429697004</v>
      </c>
      <c r="N87" s="82">
        <f t="shared" ca="1" si="23"/>
        <v>1.0125247429697004</v>
      </c>
      <c r="O87" s="82">
        <f t="shared" ca="1" si="24"/>
        <v>-532.91202271981274</v>
      </c>
      <c r="P87" s="83">
        <f t="shared" si="25"/>
        <v>0</v>
      </c>
      <c r="Q87" s="79">
        <f t="shared" si="26"/>
        <v>0</v>
      </c>
      <c r="R87" s="19">
        <f t="shared" si="27"/>
        <v>0</v>
      </c>
      <c r="S87" s="79">
        <f t="shared" si="28"/>
        <v>0</v>
      </c>
      <c r="T87" s="81">
        <f t="shared" ca="1" si="29"/>
        <v>44414.001006944447</v>
      </c>
    </row>
    <row r="88" spans="1:20" ht="16.149999999999999" customHeight="1" x14ac:dyDescent="0.25">
      <c r="A88" s="37">
        <v>44414</v>
      </c>
      <c r="B88" s="37" t="s">
        <v>102</v>
      </c>
      <c r="C88" s="3" t="s">
        <v>104</v>
      </c>
      <c r="D88" s="78" t="s">
        <v>104</v>
      </c>
      <c r="E88" s="3" t="s">
        <v>25</v>
      </c>
      <c r="F88" s="38">
        <v>-250</v>
      </c>
      <c r="G88" s="79">
        <v>0</v>
      </c>
      <c r="H88" s="80" t="str">
        <f t="shared" ca="1" si="20"/>
        <v>-</v>
      </c>
      <c r="I88" s="25" t="str">
        <f>IF(ISNA(VLOOKUP($E88,StockCode[],COLUMN(StockCodes!$B$3),0))=TRUE,"Invalid Stock Code",VLOOKUP($E88,StockCode[],COLUMN(StockCodes!$B$3),0))</f>
        <v>Meat</v>
      </c>
      <c r="J88" s="39" t="str">
        <f>IF(ISNA(VLOOKUP($E88,StockCode[],COLUMN(StockCodes!$C$3),0))=TRUE,"-",VLOOKUP($E88,StockCode[],COLUMN(StockCodes!$C$3),0))</f>
        <v>Kg</v>
      </c>
      <c r="K88" s="82">
        <f t="shared" ca="1" si="21"/>
        <v>900</v>
      </c>
      <c r="L88" s="82">
        <f t="shared" ca="1" si="22"/>
        <v>650</v>
      </c>
      <c r="M88" s="79" cm="1">
        <f t="array" aca="1" ref="M88" ca="1">IF($K88=0,0,((SUMIFS(StockOpenQty,StockCodeOnly,$E88)*SUMIFS(StockOpenCost,StockCodeOnly,$E88))+SUMIFS(MoveAmount,MoveDate,"&lt;"&amp;$T88,MoveCode,$E88))/$K88)</f>
        <v>50.109233850476791</v>
      </c>
      <c r="N88" s="82">
        <f t="shared" ca="1" si="23"/>
        <v>50.109233850476791</v>
      </c>
      <c r="O88" s="82">
        <f t="shared" ca="1" si="24"/>
        <v>-12527.308462619198</v>
      </c>
      <c r="P88" s="83">
        <f t="shared" si="25"/>
        <v>0</v>
      </c>
      <c r="Q88" s="79">
        <f t="shared" si="26"/>
        <v>0</v>
      </c>
      <c r="R88" s="19">
        <f t="shared" si="27"/>
        <v>0</v>
      </c>
      <c r="S88" s="79">
        <f t="shared" si="28"/>
        <v>0</v>
      </c>
      <c r="T88" s="81">
        <f t="shared" ca="1" si="29"/>
        <v>44414.001018518517</v>
      </c>
    </row>
    <row r="89" spans="1:20" ht="16.149999999999999" customHeight="1" x14ac:dyDescent="0.25">
      <c r="A89" s="37">
        <v>44414</v>
      </c>
      <c r="B89" s="37" t="s">
        <v>102</v>
      </c>
      <c r="C89" s="3" t="s">
        <v>104</v>
      </c>
      <c r="D89" s="78" t="s">
        <v>104</v>
      </c>
      <c r="E89" s="3" t="s">
        <v>28</v>
      </c>
      <c r="F89" s="38">
        <v>-43.86</v>
      </c>
      <c r="G89" s="79">
        <v>0</v>
      </c>
      <c r="H89" s="80" t="str">
        <f t="shared" ca="1" si="20"/>
        <v>-</v>
      </c>
      <c r="I89" s="25" t="str">
        <f>IF(ISNA(VLOOKUP($E89,StockCode[],COLUMN(StockCodes!$B$3),0))=TRUE,"Invalid Stock Code",VLOOKUP($E89,StockCode[],COLUMN(StockCodes!$B$3),0))</f>
        <v>Bread Rolls</v>
      </c>
      <c r="J89" s="39" t="str">
        <f>IF(ISNA(VLOOKUP($E89,StockCode[],COLUMN(StockCodes!$C$3),0))=TRUE,"-",VLOOKUP($E89,StockCode[],COLUMN(StockCodes!$C$3),0))</f>
        <v>Dozen</v>
      </c>
      <c r="K89" s="82">
        <f t="shared" ca="1" si="21"/>
        <v>49</v>
      </c>
      <c r="L89" s="82">
        <f t="shared" ca="1" si="22"/>
        <v>5.1400000000000006</v>
      </c>
      <c r="M89" s="79" cm="1">
        <f t="array" aca="1" ref="M89" ca="1">IF($K89=0,0,((SUMIFS(StockOpenQty,StockCodeOnly,$E89)*SUMIFS(StockOpenCost,StockCodeOnly,$E89))+SUMIFS(MoveAmount,MoveDate,"&lt;"&amp;$T89,MoveCode,$E89))/$K89)</f>
        <v>40.102735669978884</v>
      </c>
      <c r="N89" s="82">
        <f t="shared" ca="1" si="23"/>
        <v>40.102735669978884</v>
      </c>
      <c r="O89" s="82">
        <f t="shared" ca="1" si="24"/>
        <v>-1758.9059864852738</v>
      </c>
      <c r="P89" s="83">
        <f t="shared" si="25"/>
        <v>0</v>
      </c>
      <c r="Q89" s="79">
        <f t="shared" si="26"/>
        <v>0</v>
      </c>
      <c r="R89" s="19">
        <f t="shared" si="27"/>
        <v>0</v>
      </c>
      <c r="S89" s="79">
        <f t="shared" si="28"/>
        <v>0</v>
      </c>
      <c r="T89" s="81">
        <f t="shared" ca="1" si="29"/>
        <v>44414.001030092593</v>
      </c>
    </row>
    <row r="90" spans="1:20" ht="16.149999999999999" customHeight="1" x14ac:dyDescent="0.25">
      <c r="A90" s="37">
        <v>44414</v>
      </c>
      <c r="B90" s="37" t="s">
        <v>102</v>
      </c>
      <c r="C90" s="3" t="s">
        <v>104</v>
      </c>
      <c r="D90" s="78" t="s">
        <v>104</v>
      </c>
      <c r="E90" s="3" t="s">
        <v>31</v>
      </c>
      <c r="F90" s="38">
        <v>-5.56</v>
      </c>
      <c r="G90" s="79">
        <v>0</v>
      </c>
      <c r="H90" s="80" t="str">
        <f t="shared" ca="1" si="20"/>
        <v>-</v>
      </c>
      <c r="I90" s="25" t="str">
        <f>IF(ISNA(VLOOKUP($E90,StockCode[],COLUMN(StockCodes!$B$3),0))=TRUE,"Invalid Stock Code",VLOOKUP($E90,StockCode[],COLUMN(StockCodes!$B$3),0))</f>
        <v>Lettuce</v>
      </c>
      <c r="J90" s="39" t="str">
        <f>IF(ISNA(VLOOKUP($E90,StockCode[],COLUMN(StockCodes!$C$3),0))=TRUE,"-",VLOOKUP($E90,StockCode[],COLUMN(StockCodes!$C$3),0))</f>
        <v>Kg</v>
      </c>
      <c r="K90" s="82">
        <f t="shared" ca="1" si="21"/>
        <v>15</v>
      </c>
      <c r="L90" s="82">
        <f t="shared" ca="1" si="22"/>
        <v>9.4400000000000013</v>
      </c>
      <c r="M90" s="79" cm="1">
        <f t="array" aca="1" ref="M90" ca="1">IF($K90=0,0,((SUMIFS(StockOpenQty,StockCodeOnly,$E90)*SUMIFS(StockOpenCost,StockCodeOnly,$E90))+SUMIFS(MoveAmount,MoveDate,"&lt;"&amp;$T90,MoveCode,$E90))/$K90)</f>
        <v>5.3030054167531091</v>
      </c>
      <c r="N90" s="82">
        <f t="shared" ca="1" si="23"/>
        <v>5.3030054167531091</v>
      </c>
      <c r="O90" s="82">
        <f t="shared" ca="1" si="24"/>
        <v>-29.484710117147284</v>
      </c>
      <c r="P90" s="83">
        <f t="shared" si="25"/>
        <v>0</v>
      </c>
      <c r="Q90" s="79">
        <f t="shared" si="26"/>
        <v>0</v>
      </c>
      <c r="R90" s="19">
        <f t="shared" si="27"/>
        <v>0</v>
      </c>
      <c r="S90" s="79">
        <f t="shared" si="28"/>
        <v>0</v>
      </c>
      <c r="T90" s="81">
        <f t="shared" ca="1" si="29"/>
        <v>44414.00104166667</v>
      </c>
    </row>
    <row r="91" spans="1:20" ht="16.149999999999999" customHeight="1" x14ac:dyDescent="0.25">
      <c r="A91" s="37">
        <v>44414</v>
      </c>
      <c r="B91" s="37" t="s">
        <v>102</v>
      </c>
      <c r="C91" s="3" t="s">
        <v>104</v>
      </c>
      <c r="D91" s="78" t="s">
        <v>104</v>
      </c>
      <c r="E91" s="3" t="s">
        <v>33</v>
      </c>
      <c r="F91" s="38">
        <v>-5.26</v>
      </c>
      <c r="G91" s="79">
        <v>0</v>
      </c>
      <c r="H91" s="80" t="str">
        <f t="shared" ca="1" si="20"/>
        <v>-</v>
      </c>
      <c r="I91" s="25" t="str">
        <f>IF(ISNA(VLOOKUP($E91,StockCode[],COLUMN(StockCodes!$B$3),0))=TRUE,"Invalid Stock Code",VLOOKUP($E91,StockCode[],COLUMN(StockCodes!$B$3),0))</f>
        <v>Gurkins</v>
      </c>
      <c r="J91" s="39" t="str">
        <f>IF(ISNA(VLOOKUP($E91,StockCode[],COLUMN(StockCodes!$C$3),0))=TRUE,"-",VLOOKUP($E91,StockCode[],COLUMN(StockCodes!$C$3),0))</f>
        <v>Kg</v>
      </c>
      <c r="K91" s="82">
        <f t="shared" ca="1" si="21"/>
        <v>84.74</v>
      </c>
      <c r="L91" s="82">
        <f t="shared" ca="1" si="22"/>
        <v>79.47999999999999</v>
      </c>
      <c r="M91" s="79" cm="1">
        <f t="array" aca="1" ref="M91" ca="1">IF($K91=0,0,((SUMIFS(StockOpenQty,StockCodeOnly,$E91)*SUMIFS(StockOpenCost,StockCodeOnly,$E91))+SUMIFS(MoveAmount,MoveDate,"&lt;"&amp;$T91,MoveCode,$E91))/$K91)</f>
        <v>7.8764515548556462</v>
      </c>
      <c r="N91" s="82">
        <f t="shared" ca="1" si="23"/>
        <v>7.8764515548556462</v>
      </c>
      <c r="O91" s="82">
        <f t="shared" ca="1" si="24"/>
        <v>-41.430135178540695</v>
      </c>
      <c r="P91" s="83">
        <f t="shared" si="25"/>
        <v>0</v>
      </c>
      <c r="Q91" s="79">
        <f t="shared" si="26"/>
        <v>0</v>
      </c>
      <c r="R91" s="19">
        <f t="shared" si="27"/>
        <v>0</v>
      </c>
      <c r="S91" s="79">
        <f t="shared" si="28"/>
        <v>0</v>
      </c>
      <c r="T91" s="81">
        <f t="shared" ca="1" si="29"/>
        <v>44414.00105324074</v>
      </c>
    </row>
    <row r="92" spans="1:20" ht="16.149999999999999" customHeight="1" x14ac:dyDescent="0.25">
      <c r="A92" s="37">
        <v>44414</v>
      </c>
      <c r="B92" s="37" t="s">
        <v>102</v>
      </c>
      <c r="C92" s="3" t="s">
        <v>104</v>
      </c>
      <c r="D92" s="78" t="s">
        <v>104</v>
      </c>
      <c r="E92" s="3" t="s">
        <v>35</v>
      </c>
      <c r="F92" s="38">
        <v>-10.53</v>
      </c>
      <c r="G92" s="79">
        <v>0</v>
      </c>
      <c r="H92" s="80" t="str">
        <f t="shared" ca="1" si="20"/>
        <v>-</v>
      </c>
      <c r="I92" s="25" t="str">
        <f>IF(ISNA(VLOOKUP($E92,StockCode[],COLUMN(StockCodes!$B$3),0))=TRUE,"Invalid Stock Code",VLOOKUP($E92,StockCode[],COLUMN(StockCodes!$B$3),0))</f>
        <v>Onions</v>
      </c>
      <c r="J92" s="39" t="str">
        <f>IF(ISNA(VLOOKUP($E92,StockCode[],COLUMN(StockCodes!$C$3),0))=TRUE,"-",VLOOKUP($E92,StockCode[],COLUMN(StockCodes!$C$3),0))</f>
        <v>Kg</v>
      </c>
      <c r="K92" s="82">
        <f t="shared" ca="1" si="21"/>
        <v>23</v>
      </c>
      <c r="L92" s="82">
        <f t="shared" ca="1" si="22"/>
        <v>12.47</v>
      </c>
      <c r="M92" s="79" cm="1">
        <f t="array" aca="1" ref="M92" ca="1">IF($K92=0,0,((SUMIFS(StockOpenQty,StockCodeOnly,$E92)*SUMIFS(StockOpenCost,StockCodeOnly,$E92))+SUMIFS(MoveAmount,MoveDate,"&lt;"&amp;$T92,MoveCode,$E92))/$K92)</f>
        <v>9.102245023976014</v>
      </c>
      <c r="N92" s="82">
        <f t="shared" ca="1" si="23"/>
        <v>9.102245023976014</v>
      </c>
      <c r="O92" s="82">
        <f t="shared" ca="1" si="24"/>
        <v>-95.846640102467418</v>
      </c>
      <c r="P92" s="83">
        <f t="shared" si="25"/>
        <v>0</v>
      </c>
      <c r="Q92" s="79">
        <f t="shared" si="26"/>
        <v>0</v>
      </c>
      <c r="R92" s="19">
        <f t="shared" si="27"/>
        <v>0</v>
      </c>
      <c r="S92" s="79">
        <f t="shared" si="28"/>
        <v>0</v>
      </c>
      <c r="T92" s="81">
        <f t="shared" ca="1" si="29"/>
        <v>44414.001064814816</v>
      </c>
    </row>
    <row r="93" spans="1:20" ht="16.149999999999999" customHeight="1" x14ac:dyDescent="0.25">
      <c r="A93" s="37">
        <v>44419</v>
      </c>
      <c r="B93" s="37" t="s">
        <v>101</v>
      </c>
      <c r="C93" s="3" t="s">
        <v>38</v>
      </c>
      <c r="D93" s="78" t="s">
        <v>64</v>
      </c>
      <c r="E93" s="3" t="s">
        <v>19</v>
      </c>
      <c r="F93" s="38">
        <v>6</v>
      </c>
      <c r="G93" s="79">
        <v>125</v>
      </c>
      <c r="H93" s="80" t="str">
        <f t="shared" ca="1" si="20"/>
        <v>-</v>
      </c>
      <c r="I93" s="78" t="str">
        <f>IF(ISNA(VLOOKUP($E93,StockCode[],COLUMN(StockCodes!$B$3),0))=TRUE,"Invalid Stock Code",VLOOKUP($E93,StockCode[],COLUMN(StockCodes!$B$3),0))</f>
        <v>Plastic Wrap</v>
      </c>
      <c r="J93" s="39" t="str">
        <f>IF(ISNA(VLOOKUP($E93,StockCode[],COLUMN(StockCodes!$C$3),0))=TRUE,"-",VLOOKUP($E93,StockCode[],COLUMN(StockCodes!$C$3),0))</f>
        <v>Rolls</v>
      </c>
      <c r="K93" s="79">
        <f t="shared" ca="1" si="21"/>
        <v>8.89</v>
      </c>
      <c r="L93" s="79">
        <f t="shared" ca="1" si="22"/>
        <v>14.89</v>
      </c>
      <c r="M93" s="79" cm="1">
        <f t="array" aca="1" ref="M93" ca="1">IF($K93=0,0,((SUMIFS(StockOpenQty,StockCodeOnly,$E93)*SUMIFS(StockOpenCost,StockCodeOnly,$E93))+SUMIFS(MoveAmount,MoveDate,"&lt;"&amp;$T93,MoveCode,$E93))/$K93)</f>
        <v>20.749662566550864</v>
      </c>
      <c r="N93" s="79">
        <f t="shared" ca="1" si="23"/>
        <v>20.783378120660657</v>
      </c>
      <c r="O93" s="79">
        <f t="shared" si="24"/>
        <v>125</v>
      </c>
      <c r="P93" s="38">
        <f t="shared" si="25"/>
        <v>20.833333333333332</v>
      </c>
      <c r="Q93" s="79">
        <f t="shared" ca="1" si="26"/>
        <v>-8.367076678246832E-2</v>
      </c>
      <c r="R93" s="19">
        <f t="shared" ca="1" si="27"/>
        <v>-4.0323916841591605E-3</v>
      </c>
      <c r="S93" s="79">
        <f t="shared" ca="1" si="28"/>
        <v>-0.50202460069480992</v>
      </c>
      <c r="T93" s="81">
        <f t="shared" ca="1" si="29"/>
        <v>44419.001076388886</v>
      </c>
    </row>
    <row r="94" spans="1:20" ht="16.149999999999999" customHeight="1" x14ac:dyDescent="0.25">
      <c r="A94" s="37">
        <v>44419</v>
      </c>
      <c r="B94" s="37" t="s">
        <v>101</v>
      </c>
      <c r="C94" s="3" t="s">
        <v>43</v>
      </c>
      <c r="D94" s="78">
        <v>76868</v>
      </c>
      <c r="E94" s="3" t="s">
        <v>22</v>
      </c>
      <c r="F94" s="38">
        <v>2</v>
      </c>
      <c r="G94" s="79">
        <v>1800</v>
      </c>
      <c r="H94" s="80" t="str">
        <f t="shared" ca="1" si="20"/>
        <v>-</v>
      </c>
      <c r="I94" s="78" t="str">
        <f>IF(ISNA(VLOOKUP($E94,StockCode[],COLUMN(StockCodes!$B$3),0))=TRUE,"Invalid Stock Code",VLOOKUP($E94,StockCode[],COLUMN(StockCodes!$B$3),0))</f>
        <v>Labels</v>
      </c>
      <c r="J94" s="39">
        <f>IF(ISNA(VLOOKUP($E94,StockCode[],COLUMN(StockCodes!$C$3),0))=TRUE,"-",VLOOKUP($E94,StockCode[],COLUMN(StockCodes!$C$3),0))</f>
        <v>1000</v>
      </c>
      <c r="K94" s="79">
        <f t="shared" ca="1" si="21"/>
        <v>1.4699999999999998</v>
      </c>
      <c r="L94" s="79">
        <f t="shared" ca="1" si="22"/>
        <v>3.4699999999999998</v>
      </c>
      <c r="M94" s="79" cm="1">
        <f t="array" aca="1" ref="M94" ca="1">IF($K94=0,0,((SUMIFS(StockOpenQty,StockCodeOnly,$E94)*SUMIFS(StockOpenCost,StockCodeOnly,$E94))+SUMIFS(MoveAmount,MoveDate,"&lt;"&amp;$T94,MoveCode,$E94))/$K94)</f>
        <v>375</v>
      </c>
      <c r="N94" s="79">
        <f t="shared" ca="1" si="23"/>
        <v>677.59365994236316</v>
      </c>
      <c r="O94" s="79">
        <f t="shared" si="24"/>
        <v>1800</v>
      </c>
      <c r="P94" s="38">
        <f t="shared" si="25"/>
        <v>900</v>
      </c>
      <c r="Q94" s="79">
        <f t="shared" ca="1" si="26"/>
        <v>-525</v>
      </c>
      <c r="R94" s="19">
        <f t="shared" ca="1" si="27"/>
        <v>-1.4</v>
      </c>
      <c r="S94" s="79">
        <f t="shared" ca="1" si="28"/>
        <v>-1050</v>
      </c>
      <c r="T94" s="81">
        <f t="shared" ca="1" si="29"/>
        <v>44419.001087962963</v>
      </c>
    </row>
    <row r="95" spans="1:20" ht="16.149999999999999" customHeight="1" x14ac:dyDescent="0.25">
      <c r="A95" s="37">
        <v>44419</v>
      </c>
      <c r="B95" s="37" t="s">
        <v>101</v>
      </c>
      <c r="C95" s="3" t="s">
        <v>39</v>
      </c>
      <c r="D95" s="78" t="s">
        <v>47</v>
      </c>
      <c r="E95" s="3" t="s">
        <v>23</v>
      </c>
      <c r="F95" s="38">
        <v>600</v>
      </c>
      <c r="G95" s="79">
        <v>595</v>
      </c>
      <c r="H95" s="80" t="str">
        <f t="shared" ca="1" si="20"/>
        <v>-</v>
      </c>
      <c r="I95" s="78" t="str">
        <f>IF(ISNA(VLOOKUP($E95,StockCode[],COLUMN(StockCodes!$B$3),0))=TRUE,"Invalid Stock Code",VLOOKUP($E95,StockCode[],COLUMN(StockCodes!$B$3),0))</f>
        <v>Boxes</v>
      </c>
      <c r="J95" s="39" t="str">
        <f>IF(ISNA(VLOOKUP($E95,StockCode[],COLUMN(StockCodes!$C$3),0))=TRUE,"-",VLOOKUP($E95,StockCode[],COLUMN(StockCodes!$C$3),0))</f>
        <v>Units</v>
      </c>
      <c r="K95" s="79">
        <f t="shared" ca="1" si="21"/>
        <v>383.67999999999989</v>
      </c>
      <c r="L95" s="79">
        <f t="shared" ca="1" si="22"/>
        <v>983.67999999999984</v>
      </c>
      <c r="M95" s="79" cm="1">
        <f t="array" aca="1" ref="M95" ca="1">IF($K95=0,0,((SUMIFS(StockOpenQty,StockCodeOnly,$E95)*SUMIFS(StockOpenCost,StockCodeOnly,$E95))+SUMIFS(MoveAmount,MoveDate,"&lt;"&amp;$T95,MoveCode,$E95))/$K95)</f>
        <v>1.0125247429697006</v>
      </c>
      <c r="N95" s="79">
        <f t="shared" ca="1" si="23"/>
        <v>0.99980226636976932</v>
      </c>
      <c r="O95" s="79">
        <f t="shared" si="24"/>
        <v>595</v>
      </c>
      <c r="P95" s="38">
        <f t="shared" si="25"/>
        <v>0.9916666666666667</v>
      </c>
      <c r="Q95" s="79">
        <f t="shared" ca="1" si="26"/>
        <v>2.0858076303033934E-2</v>
      </c>
      <c r="R95" s="19">
        <f t="shared" ca="1" si="27"/>
        <v>2.060006577405497E-2</v>
      </c>
      <c r="S95" s="79">
        <f t="shared" ca="1" si="28"/>
        <v>12.514845781820361</v>
      </c>
      <c r="T95" s="81">
        <f t="shared" ca="1" si="29"/>
        <v>44419.001099537039</v>
      </c>
    </row>
    <row r="96" spans="1:20" ht="16.149999999999999" customHeight="1" x14ac:dyDescent="0.25">
      <c r="A96" s="37">
        <v>44419</v>
      </c>
      <c r="B96" s="37" t="s">
        <v>101</v>
      </c>
      <c r="C96" s="3" t="s">
        <v>42</v>
      </c>
      <c r="D96" s="78">
        <v>5765765</v>
      </c>
      <c r="E96" s="3" t="s">
        <v>25</v>
      </c>
      <c r="F96" s="38">
        <v>600</v>
      </c>
      <c r="G96" s="79">
        <v>35000</v>
      </c>
      <c r="H96" s="80" t="str">
        <f t="shared" ca="1" si="20"/>
        <v>-</v>
      </c>
      <c r="I96" s="78" t="str">
        <f>IF(ISNA(VLOOKUP($E96,StockCode[],COLUMN(StockCodes!$B$3),0))=TRUE,"Invalid Stock Code",VLOOKUP($E96,StockCode[],COLUMN(StockCodes!$B$3),0))</f>
        <v>Meat</v>
      </c>
      <c r="J96" s="39" t="str">
        <f>IF(ISNA(VLOOKUP($E96,StockCode[],COLUMN(StockCodes!$C$3),0))=TRUE,"-",VLOOKUP($E96,StockCode[],COLUMN(StockCodes!$C$3),0))</f>
        <v>Kg</v>
      </c>
      <c r="K96" s="79">
        <f t="shared" ca="1" si="21"/>
        <v>650</v>
      </c>
      <c r="L96" s="79">
        <f t="shared" ca="1" si="22"/>
        <v>1250</v>
      </c>
      <c r="M96" s="79" cm="1">
        <f t="array" aca="1" ref="M96" ca="1">IF($K96=0,0,((SUMIFS(StockOpenQty,StockCodeOnly,$E96)*SUMIFS(StockOpenCost,StockCodeOnly,$E96))+SUMIFS(MoveAmount,MoveDate,"&lt;"&amp;$T96,MoveCode,$E96))/$K96)</f>
        <v>50.109233850476784</v>
      </c>
      <c r="N96" s="79">
        <f t="shared" ca="1" si="23"/>
        <v>54.05680160224793</v>
      </c>
      <c r="O96" s="79">
        <f t="shared" si="24"/>
        <v>35000</v>
      </c>
      <c r="P96" s="38">
        <f t="shared" si="25"/>
        <v>58.333333333333336</v>
      </c>
      <c r="Q96" s="79">
        <f t="shared" ca="1" si="26"/>
        <v>-8.2240994828565519</v>
      </c>
      <c r="R96" s="19">
        <f t="shared" ca="1" si="27"/>
        <v>-0.16412343296640328</v>
      </c>
      <c r="S96" s="79">
        <f t="shared" ca="1" si="28"/>
        <v>-4934.4596897139309</v>
      </c>
      <c r="T96" s="81">
        <f t="shared" ca="1" si="29"/>
        <v>44419.001111111109</v>
      </c>
    </row>
    <row r="97" spans="1:20" ht="16.149999999999999" customHeight="1" x14ac:dyDescent="0.25">
      <c r="A97" s="37">
        <v>44419</v>
      </c>
      <c r="B97" s="37" t="s">
        <v>101</v>
      </c>
      <c r="C97" s="3" t="s">
        <v>40</v>
      </c>
      <c r="D97" s="78">
        <v>67887</v>
      </c>
      <c r="E97" s="3" t="s">
        <v>28</v>
      </c>
      <c r="F97" s="38">
        <v>40</v>
      </c>
      <c r="G97" s="79">
        <v>1800</v>
      </c>
      <c r="H97" s="80" t="str">
        <f t="shared" ca="1" si="20"/>
        <v>-</v>
      </c>
      <c r="I97" s="78" t="str">
        <f>IF(ISNA(VLOOKUP($E97,StockCode[],COLUMN(StockCodes!$B$3),0))=TRUE,"Invalid Stock Code",VLOOKUP($E97,StockCode[],COLUMN(StockCodes!$B$3),0))</f>
        <v>Bread Rolls</v>
      </c>
      <c r="J97" s="39" t="str">
        <f>IF(ISNA(VLOOKUP($E97,StockCode[],COLUMN(StockCodes!$C$3),0))=TRUE,"-",VLOOKUP($E97,StockCode[],COLUMN(StockCodes!$C$3),0))</f>
        <v>Dozen</v>
      </c>
      <c r="K97" s="79">
        <f t="shared" ca="1" si="21"/>
        <v>5.1400000000000006</v>
      </c>
      <c r="L97" s="79">
        <f t="shared" ca="1" si="22"/>
        <v>45.14</v>
      </c>
      <c r="M97" s="79" cm="1">
        <f t="array" aca="1" ref="M97" ca="1">IF($K97=0,0,((SUMIFS(StockOpenQty,StockCodeOnly,$E97)*SUMIFS(StockOpenCost,StockCodeOnly,$E97))+SUMIFS(MoveAmount,MoveDate,"&lt;"&amp;$T97,MoveCode,$E97))/$K97)</f>
        <v>40.102735669978856</v>
      </c>
      <c r="N97" s="79">
        <f t="shared" ca="1" si="23"/>
        <v>44.442358470174817</v>
      </c>
      <c r="O97" s="79">
        <f t="shared" si="24"/>
        <v>1800</v>
      </c>
      <c r="P97" s="38">
        <f t="shared" si="25"/>
        <v>45</v>
      </c>
      <c r="Q97" s="79">
        <f t="shared" ca="1" si="26"/>
        <v>-4.8972643300211445</v>
      </c>
      <c r="R97" s="19">
        <f t="shared" ca="1" si="27"/>
        <v>-0.12211796148578626</v>
      </c>
      <c r="S97" s="79">
        <f t="shared" ca="1" si="28"/>
        <v>-195.89057320084578</v>
      </c>
      <c r="T97" s="81">
        <f t="shared" ca="1" si="29"/>
        <v>44419.001122685186</v>
      </c>
    </row>
    <row r="98" spans="1:20" ht="16.149999999999999" customHeight="1" x14ac:dyDescent="0.25">
      <c r="A98" s="37">
        <v>44419</v>
      </c>
      <c r="B98" s="37" t="s">
        <v>101</v>
      </c>
      <c r="C98" s="3" t="s">
        <v>41</v>
      </c>
      <c r="D98" s="78" t="s">
        <v>64</v>
      </c>
      <c r="E98" s="3" t="s">
        <v>31</v>
      </c>
      <c r="F98" s="38">
        <v>10</v>
      </c>
      <c r="G98" s="79">
        <v>49</v>
      </c>
      <c r="H98" s="80" t="str">
        <f t="shared" ca="1" si="20"/>
        <v>-</v>
      </c>
      <c r="I98" s="78" t="str">
        <f>IF(ISNA(VLOOKUP($E98,StockCode[],COLUMN(StockCodes!$B$3),0))=TRUE,"Invalid Stock Code",VLOOKUP($E98,StockCode[],COLUMN(StockCodes!$B$3),0))</f>
        <v>Lettuce</v>
      </c>
      <c r="J98" s="39" t="str">
        <f>IF(ISNA(VLOOKUP($E98,StockCode[],COLUMN(StockCodes!$C$3),0))=TRUE,"-",VLOOKUP($E98,StockCode[],COLUMN(StockCodes!$C$3),0))</f>
        <v>Kg</v>
      </c>
      <c r="K98" s="79">
        <f t="shared" ca="1" si="21"/>
        <v>9.4400000000000013</v>
      </c>
      <c r="L98" s="79">
        <f t="shared" ca="1" si="22"/>
        <v>19.440000000000001</v>
      </c>
      <c r="M98" s="79" cm="1">
        <f t="array" aca="1" ref="M98" ca="1">IF($K98=0,0,((SUMIFS(StockOpenQty,StockCodeOnly,$E98)*SUMIFS(StockOpenCost,StockCodeOnly,$E98))+SUMIFS(MoveAmount,MoveDate,"&lt;"&amp;$T98,MoveCode,$E98))/$K98)</f>
        <v>5.3030054167531082</v>
      </c>
      <c r="N98" s="79">
        <f t="shared" ca="1" si="23"/>
        <v>5.0956981036085054</v>
      </c>
      <c r="O98" s="79">
        <f t="shared" si="24"/>
        <v>49</v>
      </c>
      <c r="P98" s="38">
        <f t="shared" si="25"/>
        <v>4.9000000000000004</v>
      </c>
      <c r="Q98" s="79">
        <f t="shared" ca="1" si="26"/>
        <v>0.40300541675310786</v>
      </c>
      <c r="R98" s="19">
        <f t="shared" ca="1" si="27"/>
        <v>7.5995663794712384E-2</v>
      </c>
      <c r="S98" s="79">
        <f t="shared" ca="1" si="28"/>
        <v>4.0300541675310786</v>
      </c>
      <c r="T98" s="81">
        <f t="shared" ca="1" si="29"/>
        <v>44419.001134259262</v>
      </c>
    </row>
    <row r="99" spans="1:20" ht="16.149999999999999" customHeight="1" x14ac:dyDescent="0.25">
      <c r="A99" s="37">
        <v>44419</v>
      </c>
      <c r="B99" s="37" t="s">
        <v>101</v>
      </c>
      <c r="C99" s="3" t="s">
        <v>41</v>
      </c>
      <c r="D99" s="78">
        <v>76868</v>
      </c>
      <c r="E99" s="3" t="s">
        <v>33</v>
      </c>
      <c r="F99" s="38">
        <v>2</v>
      </c>
      <c r="G99" s="79">
        <v>55</v>
      </c>
      <c r="H99" s="80" t="str">
        <f t="shared" ca="1" si="20"/>
        <v>-</v>
      </c>
      <c r="I99" s="78" t="str">
        <f>IF(ISNA(VLOOKUP($E99,StockCode[],COLUMN(StockCodes!$B$3),0))=TRUE,"Invalid Stock Code",VLOOKUP($E99,StockCode[],COLUMN(StockCodes!$B$3),0))</f>
        <v>Gurkins</v>
      </c>
      <c r="J99" s="39" t="str">
        <f>IF(ISNA(VLOOKUP($E99,StockCode[],COLUMN(StockCodes!$C$3),0))=TRUE,"-",VLOOKUP($E99,StockCode[],COLUMN(StockCodes!$C$3),0))</f>
        <v>Kg</v>
      </c>
      <c r="K99" s="79">
        <f t="shared" ca="1" si="21"/>
        <v>79.47999999999999</v>
      </c>
      <c r="L99" s="79">
        <f t="shared" ca="1" si="22"/>
        <v>81.47999999999999</v>
      </c>
      <c r="M99" s="79" cm="1">
        <f t="array" aca="1" ref="M99" ca="1">IF($K99=0,0,((SUMIFS(StockOpenQty,StockCodeOnly,$E99)*SUMIFS(StockOpenCost,StockCodeOnly,$E99))+SUMIFS(MoveAmount,MoveDate,"&lt;"&amp;$T99,MoveCode,$E99))/$K99)</f>
        <v>7.8764515548556471</v>
      </c>
      <c r="N99" s="79">
        <f t="shared" ca="1" si="23"/>
        <v>8.3581292290123574</v>
      </c>
      <c r="O99" s="79">
        <f t="shared" si="24"/>
        <v>55</v>
      </c>
      <c r="P99" s="38">
        <f t="shared" si="25"/>
        <v>27.5</v>
      </c>
      <c r="Q99" s="79">
        <f t="shared" ca="1" si="26"/>
        <v>-19.623548445144351</v>
      </c>
      <c r="R99" s="19">
        <f t="shared" ca="1" si="27"/>
        <v>-2.4914199380870814</v>
      </c>
      <c r="S99" s="79">
        <f t="shared" ca="1" si="28"/>
        <v>-39.247096890288702</v>
      </c>
      <c r="T99" s="81">
        <f t="shared" ca="1" si="29"/>
        <v>44419.001145833332</v>
      </c>
    </row>
    <row r="100" spans="1:20" ht="16.149999999999999" customHeight="1" x14ac:dyDescent="0.25">
      <c r="A100" s="37">
        <v>44419</v>
      </c>
      <c r="B100" s="37" t="s">
        <v>101</v>
      </c>
      <c r="C100" s="3" t="s">
        <v>41</v>
      </c>
      <c r="D100" s="78" t="s">
        <v>47</v>
      </c>
      <c r="E100" s="3" t="s">
        <v>35</v>
      </c>
      <c r="F100" s="38">
        <v>15</v>
      </c>
      <c r="G100" s="79">
        <v>640</v>
      </c>
      <c r="H100" s="80" t="str">
        <f t="shared" ca="1" si="20"/>
        <v>-</v>
      </c>
      <c r="I100" s="78" t="str">
        <f>IF(ISNA(VLOOKUP($E100,StockCode[],COLUMN(StockCodes!$B$3),0))=TRUE,"Invalid Stock Code",VLOOKUP($E100,StockCode[],COLUMN(StockCodes!$B$3),0))</f>
        <v>Onions</v>
      </c>
      <c r="J100" s="39" t="str">
        <f>IF(ISNA(VLOOKUP($E100,StockCode[],COLUMN(StockCodes!$C$3),0))=TRUE,"-",VLOOKUP($E100,StockCode[],COLUMN(StockCodes!$C$3),0))</f>
        <v>Kg</v>
      </c>
      <c r="K100" s="79">
        <f t="shared" ca="1" si="21"/>
        <v>12.469999999999999</v>
      </c>
      <c r="L100" s="79">
        <f t="shared" ca="1" si="22"/>
        <v>27.47</v>
      </c>
      <c r="M100" s="79" cm="1">
        <f t="array" aca="1" ref="M100" ca="1">IF($K100=0,0,((SUMIFS(StockOpenQty,StockCodeOnly,$E100)*SUMIFS(StockOpenCost,StockCodeOnly,$E100))+SUMIFS(MoveAmount,MoveDate,"&lt;"&amp;$T100,MoveCode,$E100))/$K100)</f>
        <v>9.102245023976014</v>
      </c>
      <c r="N100" s="79">
        <f t="shared" ca="1" si="23"/>
        <v>27.430105404040077</v>
      </c>
      <c r="O100" s="79">
        <f t="shared" si="24"/>
        <v>640</v>
      </c>
      <c r="P100" s="38">
        <f t="shared" si="25"/>
        <v>42.666666666666664</v>
      </c>
      <c r="Q100" s="79">
        <f t="shared" ca="1" si="26"/>
        <v>-33.564421642690647</v>
      </c>
      <c r="R100" s="19">
        <f t="shared" ca="1" si="27"/>
        <v>-3.6874882574880568</v>
      </c>
      <c r="S100" s="79">
        <f t="shared" ca="1" si="28"/>
        <v>-503.46632464035969</v>
      </c>
      <c r="T100" s="81">
        <f t="shared" ca="1" si="29"/>
        <v>44419.001157407409</v>
      </c>
    </row>
    <row r="101" spans="1:20" ht="16.149999999999999" customHeight="1" x14ac:dyDescent="0.25">
      <c r="A101" s="37">
        <v>44421</v>
      </c>
      <c r="B101" s="37" t="s">
        <v>102</v>
      </c>
      <c r="C101" s="3" t="s">
        <v>104</v>
      </c>
      <c r="D101" s="78" t="s">
        <v>104</v>
      </c>
      <c r="E101" s="3" t="s">
        <v>19</v>
      </c>
      <c r="F101" s="38">
        <v>-2</v>
      </c>
      <c r="G101" s="79">
        <v>0</v>
      </c>
      <c r="H101" s="80" t="str">
        <f t="shared" ref="H101:H132" ca="1" si="30">IF(AND(ISBLANK(E101)=FALSE,ISNA(VLOOKUP(E101,StockCodeOnly,1,0))=TRUE),"E2",IF(AND(ISBLANK(B101)=FALSE,B101&lt;&gt;"Purchase",B101&lt;&gt;"Usage",B101&lt;&gt;"Adjustment"),"E3",IF(AND(B101="Usage",F101&gt;0),"E4",IF(OR(K101&lt;0,L101&lt;0),"E5","-"))))</f>
        <v>-</v>
      </c>
      <c r="I101" s="25" t="str">
        <f>IF(ISNA(VLOOKUP($E101,StockCode[],COLUMN(StockCodes!$B$3),0))=TRUE,"Invalid Stock Code",VLOOKUP($E101,StockCode[],COLUMN(StockCodes!$B$3),0))</f>
        <v>Plastic Wrap</v>
      </c>
      <c r="J101" s="39" t="str">
        <f>IF(ISNA(VLOOKUP($E101,StockCode[],COLUMN(StockCodes!$C$3),0))=TRUE,"-",VLOOKUP($E101,StockCode[],COLUMN(StockCodes!$C$3),0))</f>
        <v>Rolls</v>
      </c>
      <c r="K101" s="82">
        <f t="shared" ref="K101:K132" ca="1" si="31">SUMIFS(StockOpenQty,StockCodeOnly,$E101)+SUMIFS(MoveQty,MoveDate,"&lt;"&amp;$T101,MoveCode,$E101)</f>
        <v>14.89</v>
      </c>
      <c r="L101" s="82">
        <f t="shared" ref="L101:L132" ca="1" si="32">K101+F101</f>
        <v>12.89</v>
      </c>
      <c r="M101" s="79" cm="1">
        <f t="array" aca="1" ref="M101" ca="1">IF($K101=0,0,((SUMIFS(StockOpenQty,StockCodeOnly,$E101)*SUMIFS(StockOpenCost,StockCodeOnly,$E101))+SUMIFS(MoveAmount,MoveDate,"&lt;"&amp;$T101,MoveCode,$E101))/$K101)</f>
        <v>20.783378120660657</v>
      </c>
      <c r="N101" s="82">
        <f t="shared" ref="N101:N132" ca="1" si="33">IF(B101&lt;&gt;"Purchase",M101,IF(L101=0,0,((K101*M101)+G101)/(F101+K101)))</f>
        <v>20.783378120660657</v>
      </c>
      <c r="O101" s="82">
        <f t="shared" ref="O101:O132" ca="1" si="34">IF(B101="Purchase",G101,N101*F101)</f>
        <v>-41.566756241321315</v>
      </c>
      <c r="P101" s="83">
        <f t="shared" ref="P101:P132" si="35">IF(B101&lt;&gt;"Purchase",0,IF(F101=0,0,G101/F101))</f>
        <v>0</v>
      </c>
      <c r="Q101" s="79">
        <f t="shared" ref="Q101:Q132" si="36">IF(B101&lt;&gt;"Purchase",0,IF(K101=0,0,M101-P101))</f>
        <v>0</v>
      </c>
      <c r="R101" s="19">
        <f t="shared" ref="R101:R132" si="37">IF(B101&lt;&gt;"Purchase",0,IF(M101=0,0,Q101/M101))</f>
        <v>0</v>
      </c>
      <c r="S101" s="79">
        <f t="shared" ref="S101:S132" si="38">Q101*F101</f>
        <v>0</v>
      </c>
      <c r="T101" s="81">
        <f t="shared" ref="T101:T132" ca="1" si="39">IF(ISBLANK($A101)=TRUE,TODAY()+((ROW($A101)-(86400*ROUNDDOWN(ROW($A101)/86400,0)))/86400),$A101+((ROW($A101)-(86400*ROUNDDOWN(ROW($A101)/86400,0)))/86400))</f>
        <v>44421.001168981478</v>
      </c>
    </row>
    <row r="102" spans="1:20" ht="16.149999999999999" customHeight="1" x14ac:dyDescent="0.25">
      <c r="A102" s="37">
        <v>44421</v>
      </c>
      <c r="B102" s="37" t="s">
        <v>102</v>
      </c>
      <c r="C102" s="3" t="s">
        <v>104</v>
      </c>
      <c r="D102" s="78" t="s">
        <v>104</v>
      </c>
      <c r="E102" s="3" t="s">
        <v>22</v>
      </c>
      <c r="F102" s="38">
        <v>-1</v>
      </c>
      <c r="G102" s="79">
        <v>0</v>
      </c>
      <c r="H102" s="80" t="str">
        <f t="shared" ca="1" si="30"/>
        <v>-</v>
      </c>
      <c r="I102" s="25" t="str">
        <f>IF(ISNA(VLOOKUP($E102,StockCode[],COLUMN(StockCodes!$B$3),0))=TRUE,"Invalid Stock Code",VLOOKUP($E102,StockCode[],COLUMN(StockCodes!$B$3),0))</f>
        <v>Labels</v>
      </c>
      <c r="J102" s="39">
        <f>IF(ISNA(VLOOKUP($E102,StockCode[],COLUMN(StockCodes!$C$3),0))=TRUE,"-",VLOOKUP($E102,StockCode[],COLUMN(StockCodes!$C$3),0))</f>
        <v>1000</v>
      </c>
      <c r="K102" s="82">
        <f t="shared" ca="1" si="31"/>
        <v>3.4699999999999998</v>
      </c>
      <c r="L102" s="82">
        <f t="shared" ca="1" si="32"/>
        <v>2.4699999999999998</v>
      </c>
      <c r="M102" s="79" cm="1">
        <f t="array" aca="1" ref="M102" ca="1">IF($K102=0,0,((SUMIFS(StockOpenQty,StockCodeOnly,$E102)*SUMIFS(StockOpenCost,StockCodeOnly,$E102))+SUMIFS(MoveAmount,MoveDate,"&lt;"&amp;$T102,MoveCode,$E102))/$K102)</f>
        <v>677.59365994236316</v>
      </c>
      <c r="N102" s="82">
        <f t="shared" ca="1" si="33"/>
        <v>677.59365994236316</v>
      </c>
      <c r="O102" s="82">
        <f t="shared" ca="1" si="34"/>
        <v>-677.59365994236316</v>
      </c>
      <c r="P102" s="83">
        <f t="shared" si="35"/>
        <v>0</v>
      </c>
      <c r="Q102" s="79">
        <f t="shared" si="36"/>
        <v>0</v>
      </c>
      <c r="R102" s="19">
        <f t="shared" si="37"/>
        <v>0</v>
      </c>
      <c r="S102" s="79">
        <f t="shared" si="38"/>
        <v>0</v>
      </c>
      <c r="T102" s="81">
        <f t="shared" ca="1" si="39"/>
        <v>44421.001180555555</v>
      </c>
    </row>
    <row r="103" spans="1:20" ht="16.149999999999999" customHeight="1" x14ac:dyDescent="0.25">
      <c r="A103" s="37">
        <v>44421</v>
      </c>
      <c r="B103" s="37" t="s">
        <v>102</v>
      </c>
      <c r="C103" s="3" t="s">
        <v>104</v>
      </c>
      <c r="D103" s="78" t="s">
        <v>104</v>
      </c>
      <c r="E103" s="3" t="s">
        <v>23</v>
      </c>
      <c r="F103" s="38">
        <v>-635</v>
      </c>
      <c r="G103" s="79">
        <v>0</v>
      </c>
      <c r="H103" s="80" t="str">
        <f t="shared" ca="1" si="30"/>
        <v>-</v>
      </c>
      <c r="I103" s="25" t="str">
        <f>IF(ISNA(VLOOKUP($E103,StockCode[],COLUMN(StockCodes!$B$3),0))=TRUE,"Invalid Stock Code",VLOOKUP($E103,StockCode[],COLUMN(StockCodes!$B$3),0))</f>
        <v>Boxes</v>
      </c>
      <c r="J103" s="39" t="str">
        <f>IF(ISNA(VLOOKUP($E103,StockCode[],COLUMN(StockCodes!$C$3),0))=TRUE,"-",VLOOKUP($E103,StockCode[],COLUMN(StockCodes!$C$3),0))</f>
        <v>Units</v>
      </c>
      <c r="K103" s="82">
        <f t="shared" ca="1" si="31"/>
        <v>983.67999999999984</v>
      </c>
      <c r="L103" s="82">
        <f t="shared" ca="1" si="32"/>
        <v>348.67999999999984</v>
      </c>
      <c r="M103" s="79" cm="1">
        <f t="array" aca="1" ref="M103" ca="1">IF($K103=0,0,((SUMIFS(StockOpenQty,StockCodeOnly,$E103)*SUMIFS(StockOpenCost,StockCodeOnly,$E103))+SUMIFS(MoveAmount,MoveDate,"&lt;"&amp;$T103,MoveCode,$E103))/$K103)</f>
        <v>0.99980226636976943</v>
      </c>
      <c r="N103" s="82">
        <f t="shared" ca="1" si="33"/>
        <v>0.99980226636976943</v>
      </c>
      <c r="O103" s="82">
        <f t="shared" ca="1" si="34"/>
        <v>-634.87443914480355</v>
      </c>
      <c r="P103" s="83">
        <f t="shared" si="35"/>
        <v>0</v>
      </c>
      <c r="Q103" s="79">
        <f t="shared" si="36"/>
        <v>0</v>
      </c>
      <c r="R103" s="19">
        <f t="shared" si="37"/>
        <v>0</v>
      </c>
      <c r="S103" s="79">
        <f t="shared" si="38"/>
        <v>0</v>
      </c>
      <c r="T103" s="81">
        <f t="shared" ca="1" si="39"/>
        <v>44421.001192129632</v>
      </c>
    </row>
    <row r="104" spans="1:20" ht="16.149999999999999" customHeight="1" x14ac:dyDescent="0.25">
      <c r="A104" s="37">
        <v>44421</v>
      </c>
      <c r="B104" s="37" t="s">
        <v>102</v>
      </c>
      <c r="C104" s="3" t="s">
        <v>104</v>
      </c>
      <c r="D104" s="78" t="s">
        <v>104</v>
      </c>
      <c r="E104" s="3" t="s">
        <v>25</v>
      </c>
      <c r="F104" s="38">
        <v>-350</v>
      </c>
      <c r="G104" s="79">
        <v>0</v>
      </c>
      <c r="H104" s="80" t="str">
        <f t="shared" ca="1" si="30"/>
        <v>-</v>
      </c>
      <c r="I104" s="25" t="str">
        <f>IF(ISNA(VLOOKUP($E104,StockCode[],COLUMN(StockCodes!$B$3),0))=TRUE,"Invalid Stock Code",VLOOKUP($E104,StockCode[],COLUMN(StockCodes!$B$3),0))</f>
        <v>Meat</v>
      </c>
      <c r="J104" s="39" t="str">
        <f>IF(ISNA(VLOOKUP($E104,StockCode[],COLUMN(StockCodes!$C$3),0))=TRUE,"-",VLOOKUP($E104,StockCode[],COLUMN(StockCodes!$C$3),0))</f>
        <v>Kg</v>
      </c>
      <c r="K104" s="82">
        <f t="shared" ca="1" si="31"/>
        <v>1250</v>
      </c>
      <c r="L104" s="82">
        <f t="shared" ca="1" si="32"/>
        <v>900</v>
      </c>
      <c r="M104" s="79" cm="1">
        <f t="array" aca="1" ref="M104" ca="1">IF($K104=0,0,((SUMIFS(StockOpenQty,StockCodeOnly,$E104)*SUMIFS(StockOpenCost,StockCodeOnly,$E104))+SUMIFS(MoveAmount,MoveDate,"&lt;"&amp;$T104,MoveCode,$E104))/$K104)</f>
        <v>54.05680160224793</v>
      </c>
      <c r="N104" s="82">
        <f t="shared" ca="1" si="33"/>
        <v>54.05680160224793</v>
      </c>
      <c r="O104" s="82">
        <f t="shared" ca="1" si="34"/>
        <v>-18919.880560786776</v>
      </c>
      <c r="P104" s="83">
        <f t="shared" si="35"/>
        <v>0</v>
      </c>
      <c r="Q104" s="79">
        <f t="shared" si="36"/>
        <v>0</v>
      </c>
      <c r="R104" s="19">
        <f t="shared" si="37"/>
        <v>0</v>
      </c>
      <c r="S104" s="79">
        <f t="shared" si="38"/>
        <v>0</v>
      </c>
      <c r="T104" s="81">
        <f t="shared" ca="1" si="39"/>
        <v>44421.001203703701</v>
      </c>
    </row>
    <row r="105" spans="1:20" ht="16.149999999999999" customHeight="1" x14ac:dyDescent="0.25">
      <c r="A105" s="37">
        <v>44421</v>
      </c>
      <c r="B105" s="37" t="s">
        <v>102</v>
      </c>
      <c r="C105" s="3" t="s">
        <v>104</v>
      </c>
      <c r="D105" s="78" t="s">
        <v>104</v>
      </c>
      <c r="E105" s="3" t="s">
        <v>28</v>
      </c>
      <c r="F105" s="38">
        <v>-42</v>
      </c>
      <c r="G105" s="79">
        <v>0</v>
      </c>
      <c r="H105" s="80" t="str">
        <f t="shared" ca="1" si="30"/>
        <v>-</v>
      </c>
      <c r="I105" s="25" t="str">
        <f>IF(ISNA(VLOOKUP($E105,StockCode[],COLUMN(StockCodes!$B$3),0))=TRUE,"Invalid Stock Code",VLOOKUP($E105,StockCode[],COLUMN(StockCodes!$B$3),0))</f>
        <v>Bread Rolls</v>
      </c>
      <c r="J105" s="39" t="str">
        <f>IF(ISNA(VLOOKUP($E105,StockCode[],COLUMN(StockCodes!$C$3),0))=TRUE,"-",VLOOKUP($E105,StockCode[],COLUMN(StockCodes!$C$3),0))</f>
        <v>Dozen</v>
      </c>
      <c r="K105" s="82">
        <f t="shared" ca="1" si="31"/>
        <v>45.14</v>
      </c>
      <c r="L105" s="82">
        <f t="shared" ca="1" si="32"/>
        <v>3.1400000000000006</v>
      </c>
      <c r="M105" s="79" cm="1">
        <f t="array" aca="1" ref="M105" ca="1">IF($K105=0,0,((SUMIFS(StockOpenQty,StockCodeOnly,$E105)*SUMIFS(StockOpenCost,StockCodeOnly,$E105))+SUMIFS(MoveAmount,MoveDate,"&lt;"&amp;$T105,MoveCode,$E105))/$K105)</f>
        <v>44.442358470174817</v>
      </c>
      <c r="N105" s="82">
        <f t="shared" ca="1" si="33"/>
        <v>44.442358470174817</v>
      </c>
      <c r="O105" s="82">
        <f t="shared" ca="1" si="34"/>
        <v>-1866.5790557473424</v>
      </c>
      <c r="P105" s="83">
        <f t="shared" si="35"/>
        <v>0</v>
      </c>
      <c r="Q105" s="79">
        <f t="shared" si="36"/>
        <v>0</v>
      </c>
      <c r="R105" s="19">
        <f t="shared" si="37"/>
        <v>0</v>
      </c>
      <c r="S105" s="79">
        <f t="shared" si="38"/>
        <v>0</v>
      </c>
      <c r="T105" s="81">
        <f t="shared" ca="1" si="39"/>
        <v>44421.001215277778</v>
      </c>
    </row>
    <row r="106" spans="1:20" ht="16.149999999999999" customHeight="1" x14ac:dyDescent="0.25">
      <c r="A106" s="37">
        <v>44421</v>
      </c>
      <c r="B106" s="37" t="s">
        <v>102</v>
      </c>
      <c r="C106" s="3" t="s">
        <v>104</v>
      </c>
      <c r="D106" s="78" t="s">
        <v>104</v>
      </c>
      <c r="E106" s="3" t="s">
        <v>31</v>
      </c>
      <c r="F106" s="38">
        <v>-8</v>
      </c>
      <c r="G106" s="79">
        <v>0</v>
      </c>
      <c r="H106" s="80" t="str">
        <f t="shared" ca="1" si="30"/>
        <v>-</v>
      </c>
      <c r="I106" s="25" t="str">
        <f>IF(ISNA(VLOOKUP($E106,StockCode[],COLUMN(StockCodes!$B$3),0))=TRUE,"Invalid Stock Code",VLOOKUP($E106,StockCode[],COLUMN(StockCodes!$B$3),0))</f>
        <v>Lettuce</v>
      </c>
      <c r="J106" s="39" t="str">
        <f>IF(ISNA(VLOOKUP($E106,StockCode[],COLUMN(StockCodes!$C$3),0))=TRUE,"-",VLOOKUP($E106,StockCode[],COLUMN(StockCodes!$C$3),0))</f>
        <v>Kg</v>
      </c>
      <c r="K106" s="82">
        <f t="shared" ca="1" si="31"/>
        <v>19.440000000000001</v>
      </c>
      <c r="L106" s="82">
        <f t="shared" ca="1" si="32"/>
        <v>11.440000000000001</v>
      </c>
      <c r="M106" s="79" cm="1">
        <f t="array" aca="1" ref="M106" ca="1">IF($K106=0,0,((SUMIFS(StockOpenQty,StockCodeOnly,$E106)*SUMIFS(StockOpenCost,StockCodeOnly,$E106))+SUMIFS(MoveAmount,MoveDate,"&lt;"&amp;$T106,MoveCode,$E106))/$K106)</f>
        <v>5.0956981036085054</v>
      </c>
      <c r="N106" s="82">
        <f t="shared" ca="1" si="33"/>
        <v>5.0956981036085054</v>
      </c>
      <c r="O106" s="82">
        <f t="shared" ca="1" si="34"/>
        <v>-40.765584828868043</v>
      </c>
      <c r="P106" s="83">
        <f t="shared" si="35"/>
        <v>0</v>
      </c>
      <c r="Q106" s="79">
        <f t="shared" si="36"/>
        <v>0</v>
      </c>
      <c r="R106" s="19">
        <f t="shared" si="37"/>
        <v>0</v>
      </c>
      <c r="S106" s="79">
        <f t="shared" si="38"/>
        <v>0</v>
      </c>
      <c r="T106" s="81">
        <f t="shared" ca="1" si="39"/>
        <v>44421.001226851855</v>
      </c>
    </row>
    <row r="107" spans="1:20" ht="16.149999999999999" customHeight="1" x14ac:dyDescent="0.25">
      <c r="A107" s="37">
        <v>44421</v>
      </c>
      <c r="B107" s="37" t="s">
        <v>102</v>
      </c>
      <c r="C107" s="3" t="s">
        <v>104</v>
      </c>
      <c r="D107" s="78" t="s">
        <v>104</v>
      </c>
      <c r="E107" s="3" t="s">
        <v>33</v>
      </c>
      <c r="F107" s="38">
        <v>-3</v>
      </c>
      <c r="G107" s="79">
        <v>0</v>
      </c>
      <c r="H107" s="80" t="str">
        <f t="shared" ca="1" si="30"/>
        <v>-</v>
      </c>
      <c r="I107" s="25" t="str">
        <f>IF(ISNA(VLOOKUP($E107,StockCode[],COLUMN(StockCodes!$B$3),0))=TRUE,"Invalid Stock Code",VLOOKUP($E107,StockCode[],COLUMN(StockCodes!$B$3),0))</f>
        <v>Gurkins</v>
      </c>
      <c r="J107" s="39" t="str">
        <f>IF(ISNA(VLOOKUP($E107,StockCode[],COLUMN(StockCodes!$C$3),0))=TRUE,"-",VLOOKUP($E107,StockCode[],COLUMN(StockCodes!$C$3),0))</f>
        <v>Kg</v>
      </c>
      <c r="K107" s="82">
        <f t="shared" ca="1" si="31"/>
        <v>81.47999999999999</v>
      </c>
      <c r="L107" s="82">
        <f t="shared" ca="1" si="32"/>
        <v>78.47999999999999</v>
      </c>
      <c r="M107" s="79" cm="1">
        <f t="array" aca="1" ref="M107" ca="1">IF($K107=0,0,((SUMIFS(StockOpenQty,StockCodeOnly,$E107)*SUMIFS(StockOpenCost,StockCodeOnly,$E107))+SUMIFS(MoveAmount,MoveDate,"&lt;"&amp;$T107,MoveCode,$E107))/$K107)</f>
        <v>8.3581292290123574</v>
      </c>
      <c r="N107" s="82">
        <f t="shared" ca="1" si="33"/>
        <v>8.3581292290123574</v>
      </c>
      <c r="O107" s="82">
        <f t="shared" ca="1" si="34"/>
        <v>-25.074387687037074</v>
      </c>
      <c r="P107" s="83">
        <f t="shared" si="35"/>
        <v>0</v>
      </c>
      <c r="Q107" s="79">
        <f t="shared" si="36"/>
        <v>0</v>
      </c>
      <c r="R107" s="19">
        <f t="shared" si="37"/>
        <v>0</v>
      </c>
      <c r="S107" s="79">
        <f t="shared" si="38"/>
        <v>0</v>
      </c>
      <c r="T107" s="81">
        <f t="shared" ca="1" si="39"/>
        <v>44421.001238425924</v>
      </c>
    </row>
    <row r="108" spans="1:20" ht="16.149999999999999" customHeight="1" x14ac:dyDescent="0.25">
      <c r="A108" s="37">
        <v>44421</v>
      </c>
      <c r="B108" s="37" t="s">
        <v>102</v>
      </c>
      <c r="C108" s="3" t="s">
        <v>104</v>
      </c>
      <c r="D108" s="78" t="s">
        <v>104</v>
      </c>
      <c r="E108" s="3" t="s">
        <v>35</v>
      </c>
      <c r="F108" s="38">
        <v>-10</v>
      </c>
      <c r="G108" s="79">
        <v>0</v>
      </c>
      <c r="H108" s="80" t="str">
        <f t="shared" ca="1" si="30"/>
        <v>-</v>
      </c>
      <c r="I108" s="25" t="str">
        <f>IF(ISNA(VLOOKUP($E108,StockCode[],COLUMN(StockCodes!$B$3),0))=TRUE,"Invalid Stock Code",VLOOKUP($E108,StockCode[],COLUMN(StockCodes!$B$3),0))</f>
        <v>Onions</v>
      </c>
      <c r="J108" s="39" t="str">
        <f>IF(ISNA(VLOOKUP($E108,StockCode[],COLUMN(StockCodes!$C$3),0))=TRUE,"-",VLOOKUP($E108,StockCode[],COLUMN(StockCodes!$C$3),0))</f>
        <v>Kg</v>
      </c>
      <c r="K108" s="82">
        <f t="shared" ca="1" si="31"/>
        <v>27.47</v>
      </c>
      <c r="L108" s="82">
        <f t="shared" ca="1" si="32"/>
        <v>17.47</v>
      </c>
      <c r="M108" s="79" cm="1">
        <f t="array" aca="1" ref="M108" ca="1">IF($K108=0,0,((SUMIFS(StockOpenQty,StockCodeOnly,$E108)*SUMIFS(StockOpenCost,StockCodeOnly,$E108))+SUMIFS(MoveAmount,MoveDate,"&lt;"&amp;$T108,MoveCode,$E108))/$K108)</f>
        <v>27.430105404040077</v>
      </c>
      <c r="N108" s="82">
        <f t="shared" ca="1" si="33"/>
        <v>27.430105404040077</v>
      </c>
      <c r="O108" s="82">
        <f t="shared" ca="1" si="34"/>
        <v>-274.3010540404008</v>
      </c>
      <c r="P108" s="83">
        <f t="shared" si="35"/>
        <v>0</v>
      </c>
      <c r="Q108" s="79">
        <f t="shared" si="36"/>
        <v>0</v>
      </c>
      <c r="R108" s="19">
        <f t="shared" si="37"/>
        <v>0</v>
      </c>
      <c r="S108" s="79">
        <f t="shared" si="38"/>
        <v>0</v>
      </c>
      <c r="T108" s="81">
        <f t="shared" ca="1" si="39"/>
        <v>44421.001250000001</v>
      </c>
    </row>
    <row r="109" spans="1:20" ht="16.149999999999999" customHeight="1" x14ac:dyDescent="0.25">
      <c r="A109" s="37">
        <v>44426</v>
      </c>
      <c r="B109" s="37" t="s">
        <v>101</v>
      </c>
      <c r="C109" s="3" t="s">
        <v>38</v>
      </c>
      <c r="D109" s="78" t="s">
        <v>64</v>
      </c>
      <c r="E109" s="3" t="s">
        <v>19</v>
      </c>
      <c r="F109" s="38">
        <v>4</v>
      </c>
      <c r="G109" s="79">
        <v>78</v>
      </c>
      <c r="H109" s="80" t="str">
        <f t="shared" ca="1" si="30"/>
        <v>-</v>
      </c>
      <c r="I109" s="78" t="str">
        <f>IF(ISNA(VLOOKUP($E109,StockCode[],COLUMN(StockCodes!$B$3),0))=TRUE,"Invalid Stock Code",VLOOKUP($E109,StockCode[],COLUMN(StockCodes!$B$3),0))</f>
        <v>Plastic Wrap</v>
      </c>
      <c r="J109" s="39" t="str">
        <f>IF(ISNA(VLOOKUP($E109,StockCode[],COLUMN(StockCodes!$C$3),0))=TRUE,"-",VLOOKUP($E109,StockCode[],COLUMN(StockCodes!$C$3),0))</f>
        <v>Rolls</v>
      </c>
      <c r="K109" s="79">
        <f t="shared" ca="1" si="31"/>
        <v>12.89</v>
      </c>
      <c r="L109" s="79">
        <f t="shared" ca="1" si="32"/>
        <v>16.89</v>
      </c>
      <c r="M109" s="79" cm="1">
        <f t="array" aca="1" ref="M109" ca="1">IF($K109=0,0,((SUMIFS(StockOpenQty,StockCodeOnly,$E109)*SUMIFS(StockOpenCost,StockCodeOnly,$E109))+SUMIFS(MoveAmount,MoveDate,"&lt;"&amp;$T109,MoveCode,$E109))/$K109)</f>
        <v>20.783378120660654</v>
      </c>
      <c r="N109" s="79">
        <f t="shared" ca="1" si="33"/>
        <v>20.479440140634448</v>
      </c>
      <c r="O109" s="79">
        <f t="shared" si="34"/>
        <v>78</v>
      </c>
      <c r="P109" s="38">
        <f t="shared" si="35"/>
        <v>19.5</v>
      </c>
      <c r="Q109" s="79">
        <f t="shared" ca="1" si="36"/>
        <v>1.2833781206606538</v>
      </c>
      <c r="R109" s="19">
        <f t="shared" ca="1" si="37"/>
        <v>6.1750217563758508E-2</v>
      </c>
      <c r="S109" s="79">
        <f t="shared" ca="1" si="38"/>
        <v>5.1335124826426153</v>
      </c>
      <c r="T109" s="81">
        <f t="shared" ca="1" si="39"/>
        <v>44426.001261574071</v>
      </c>
    </row>
    <row r="110" spans="1:20" ht="16.149999999999999" customHeight="1" x14ac:dyDescent="0.25">
      <c r="A110" s="37">
        <v>44426</v>
      </c>
      <c r="B110" s="37" t="s">
        <v>101</v>
      </c>
      <c r="C110" s="3" t="s">
        <v>43</v>
      </c>
      <c r="D110" s="78">
        <v>76868</v>
      </c>
      <c r="E110" s="3" t="s">
        <v>22</v>
      </c>
      <c r="F110" s="38">
        <v>2</v>
      </c>
      <c r="G110" s="79">
        <v>800</v>
      </c>
      <c r="H110" s="80" t="str">
        <f t="shared" ca="1" si="30"/>
        <v>-</v>
      </c>
      <c r="I110" s="78" t="str">
        <f>IF(ISNA(VLOOKUP($E110,StockCode[],COLUMN(StockCodes!$B$3),0))=TRUE,"Invalid Stock Code",VLOOKUP($E110,StockCode[],COLUMN(StockCodes!$B$3),0))</f>
        <v>Labels</v>
      </c>
      <c r="J110" s="39">
        <f>IF(ISNA(VLOOKUP($E110,StockCode[],COLUMN(StockCodes!$C$3),0))=TRUE,"-",VLOOKUP($E110,StockCode[],COLUMN(StockCodes!$C$3),0))</f>
        <v>1000</v>
      </c>
      <c r="K110" s="79">
        <f t="shared" ca="1" si="31"/>
        <v>2.4699999999999998</v>
      </c>
      <c r="L110" s="79">
        <f t="shared" ca="1" si="32"/>
        <v>4.47</v>
      </c>
      <c r="M110" s="79" cm="1">
        <f t="array" aca="1" ref="M110" ca="1">IF($K110=0,0,((SUMIFS(StockOpenQty,StockCodeOnly,$E110)*SUMIFS(StockOpenCost,StockCodeOnly,$E110))+SUMIFS(MoveAmount,MoveDate,"&lt;"&amp;$T110,MoveCode,$E110))/$K110)</f>
        <v>677.59365994236316</v>
      </c>
      <c r="N110" s="79">
        <f t="shared" ca="1" si="33"/>
        <v>553.39068010237963</v>
      </c>
      <c r="O110" s="79">
        <f t="shared" si="34"/>
        <v>800</v>
      </c>
      <c r="P110" s="38">
        <f t="shared" si="35"/>
        <v>400</v>
      </c>
      <c r="Q110" s="79">
        <f t="shared" ca="1" si="36"/>
        <v>277.59365994236316</v>
      </c>
      <c r="R110" s="19">
        <f t="shared" ca="1" si="37"/>
        <v>0.40967570441254658</v>
      </c>
      <c r="S110" s="79">
        <f t="shared" ca="1" si="38"/>
        <v>555.18731988472632</v>
      </c>
      <c r="T110" s="81">
        <f t="shared" ca="1" si="39"/>
        <v>44426.001273148147</v>
      </c>
    </row>
    <row r="111" spans="1:20" ht="16.149999999999999" customHeight="1" x14ac:dyDescent="0.25">
      <c r="A111" s="37">
        <v>44426</v>
      </c>
      <c r="B111" s="37" t="s">
        <v>101</v>
      </c>
      <c r="C111" s="3" t="s">
        <v>39</v>
      </c>
      <c r="D111" s="78" t="s">
        <v>47</v>
      </c>
      <c r="E111" s="3" t="s">
        <v>23</v>
      </c>
      <c r="F111" s="38">
        <v>500</v>
      </c>
      <c r="G111" s="79">
        <v>595</v>
      </c>
      <c r="H111" s="80" t="str">
        <f t="shared" ca="1" si="30"/>
        <v>-</v>
      </c>
      <c r="I111" s="78" t="str">
        <f>IF(ISNA(VLOOKUP($E111,StockCode[],COLUMN(StockCodes!$B$3),0))=TRUE,"Invalid Stock Code",VLOOKUP($E111,StockCode[],COLUMN(StockCodes!$B$3),0))</f>
        <v>Boxes</v>
      </c>
      <c r="J111" s="39" t="str">
        <f>IF(ISNA(VLOOKUP($E111,StockCode[],COLUMN(StockCodes!$C$3),0))=TRUE,"-",VLOOKUP($E111,StockCode[],COLUMN(StockCodes!$C$3),0))</f>
        <v>Units</v>
      </c>
      <c r="K111" s="79">
        <f t="shared" ca="1" si="31"/>
        <v>348.67999999999989</v>
      </c>
      <c r="L111" s="79">
        <f t="shared" ca="1" si="32"/>
        <v>848.67999999999984</v>
      </c>
      <c r="M111" s="79" cm="1">
        <f t="array" aca="1" ref="M111" ca="1">IF($K111=0,0,((SUMIFS(StockOpenQty,StockCodeOnly,$E111)*SUMIFS(StockOpenCost,StockCodeOnly,$E111))+SUMIFS(MoveAmount,MoveDate,"&lt;"&amp;$T111,MoveCode,$E111))/$K111)</f>
        <v>0.99980226636976943</v>
      </c>
      <c r="N111" s="79">
        <f t="shared" ca="1" si="33"/>
        <v>1.1118573010296122</v>
      </c>
      <c r="O111" s="79">
        <f t="shared" si="34"/>
        <v>595</v>
      </c>
      <c r="P111" s="38">
        <f t="shared" si="35"/>
        <v>1.19</v>
      </c>
      <c r="Q111" s="79">
        <f t="shared" ca="1" si="36"/>
        <v>-0.19019773363023051</v>
      </c>
      <c r="R111" s="19">
        <f t="shared" ca="1" si="37"/>
        <v>-0.19023534955649651</v>
      </c>
      <c r="S111" s="79">
        <f t="shared" ca="1" si="38"/>
        <v>-95.098866815115258</v>
      </c>
      <c r="T111" s="81">
        <f t="shared" ca="1" si="39"/>
        <v>44426.001284722224</v>
      </c>
    </row>
    <row r="112" spans="1:20" ht="16.149999999999999" customHeight="1" x14ac:dyDescent="0.25">
      <c r="A112" s="37">
        <v>44426</v>
      </c>
      <c r="B112" s="37" t="s">
        <v>101</v>
      </c>
      <c r="C112" s="3" t="s">
        <v>42</v>
      </c>
      <c r="D112" s="78">
        <v>5765765</v>
      </c>
      <c r="E112" s="3" t="s">
        <v>25</v>
      </c>
      <c r="F112" s="38">
        <v>500</v>
      </c>
      <c r="G112" s="79">
        <v>23200</v>
      </c>
      <c r="H112" s="80" t="str">
        <f t="shared" ca="1" si="30"/>
        <v>-</v>
      </c>
      <c r="I112" s="78" t="str">
        <f>IF(ISNA(VLOOKUP($E112,StockCode[],COLUMN(StockCodes!$B$3),0))=TRUE,"Invalid Stock Code",VLOOKUP($E112,StockCode[],COLUMN(StockCodes!$B$3),0))</f>
        <v>Meat</v>
      </c>
      <c r="J112" s="39" t="str">
        <f>IF(ISNA(VLOOKUP($E112,StockCode[],COLUMN(StockCodes!$C$3),0))=TRUE,"-",VLOOKUP($E112,StockCode[],COLUMN(StockCodes!$C$3),0))</f>
        <v>Kg</v>
      </c>
      <c r="K112" s="79">
        <f t="shared" ca="1" si="31"/>
        <v>900</v>
      </c>
      <c r="L112" s="79">
        <f t="shared" ca="1" si="32"/>
        <v>1400</v>
      </c>
      <c r="M112" s="79" cm="1">
        <f t="array" aca="1" ref="M112" ca="1">IF($K112=0,0,((SUMIFS(StockOpenQty,StockCodeOnly,$E112)*SUMIFS(StockOpenCost,StockCodeOnly,$E112))+SUMIFS(MoveAmount,MoveDate,"&lt;"&amp;$T112,MoveCode,$E112))/$K112)</f>
        <v>54.056801602247923</v>
      </c>
      <c r="N112" s="79">
        <f t="shared" ca="1" si="33"/>
        <v>51.322229601445102</v>
      </c>
      <c r="O112" s="79">
        <f t="shared" si="34"/>
        <v>23200</v>
      </c>
      <c r="P112" s="38">
        <f t="shared" si="35"/>
        <v>46.4</v>
      </c>
      <c r="Q112" s="79">
        <f t="shared" ca="1" si="36"/>
        <v>7.6568016022479242</v>
      </c>
      <c r="R112" s="19">
        <f t="shared" ca="1" si="37"/>
        <v>0.1416436299466434</v>
      </c>
      <c r="S112" s="79">
        <f t="shared" ca="1" si="38"/>
        <v>3828.4008011239621</v>
      </c>
      <c r="T112" s="81">
        <f t="shared" ca="1" si="39"/>
        <v>44426.001296296294</v>
      </c>
    </row>
    <row r="113" spans="1:20" ht="16.149999999999999" customHeight="1" x14ac:dyDescent="0.25">
      <c r="A113" s="37">
        <v>44426</v>
      </c>
      <c r="B113" s="37" t="s">
        <v>101</v>
      </c>
      <c r="C113" s="3" t="s">
        <v>40</v>
      </c>
      <c r="D113" s="78">
        <v>67887</v>
      </c>
      <c r="E113" s="3" t="s">
        <v>28</v>
      </c>
      <c r="F113" s="38">
        <v>40</v>
      </c>
      <c r="G113" s="79">
        <v>1600</v>
      </c>
      <c r="H113" s="80" t="str">
        <f t="shared" ca="1" si="30"/>
        <v>-</v>
      </c>
      <c r="I113" s="78" t="str">
        <f>IF(ISNA(VLOOKUP($E113,StockCode[],COLUMN(StockCodes!$B$3),0))=TRUE,"Invalid Stock Code",VLOOKUP($E113,StockCode[],COLUMN(StockCodes!$B$3),0))</f>
        <v>Bread Rolls</v>
      </c>
      <c r="J113" s="39" t="str">
        <f>IF(ISNA(VLOOKUP($E113,StockCode[],COLUMN(StockCodes!$C$3),0))=TRUE,"-",VLOOKUP($E113,StockCode[],COLUMN(StockCodes!$C$3),0))</f>
        <v>Dozen</v>
      </c>
      <c r="K113" s="79">
        <f t="shared" ca="1" si="31"/>
        <v>3.1400000000000006</v>
      </c>
      <c r="L113" s="79">
        <f t="shared" ca="1" si="32"/>
        <v>43.14</v>
      </c>
      <c r="M113" s="79" cm="1">
        <f t="array" aca="1" ref="M113" ca="1">IF($K113=0,0,((SUMIFS(StockOpenQty,StockCodeOnly,$E113)*SUMIFS(StockOpenCost,StockCodeOnly,$E113))+SUMIFS(MoveAmount,MoveDate,"&lt;"&amp;$T113,MoveCode,$E113))/$K113)</f>
        <v>44.44235847017481</v>
      </c>
      <c r="N113" s="79">
        <f t="shared" ca="1" si="33"/>
        <v>40.323342735195851</v>
      </c>
      <c r="O113" s="79">
        <f t="shared" si="34"/>
        <v>1600</v>
      </c>
      <c r="P113" s="38">
        <f t="shared" si="35"/>
        <v>40</v>
      </c>
      <c r="Q113" s="79">
        <f t="shared" ca="1" si="36"/>
        <v>4.4423584701748098</v>
      </c>
      <c r="R113" s="19">
        <f t="shared" ca="1" si="37"/>
        <v>9.9957757038390951E-2</v>
      </c>
      <c r="S113" s="79">
        <f t="shared" ca="1" si="38"/>
        <v>177.69433880699239</v>
      </c>
      <c r="T113" s="81">
        <f t="shared" ca="1" si="39"/>
        <v>44426.001307870371</v>
      </c>
    </row>
    <row r="114" spans="1:20" ht="16.149999999999999" customHeight="1" x14ac:dyDescent="0.25">
      <c r="A114" s="37">
        <v>44426</v>
      </c>
      <c r="B114" s="37" t="s">
        <v>101</v>
      </c>
      <c r="C114" s="3" t="s">
        <v>41</v>
      </c>
      <c r="D114" s="78" t="s">
        <v>64</v>
      </c>
      <c r="E114" s="3" t="s">
        <v>31</v>
      </c>
      <c r="F114" s="38">
        <v>7</v>
      </c>
      <c r="G114" s="79">
        <v>42</v>
      </c>
      <c r="H114" s="80" t="str">
        <f t="shared" ca="1" si="30"/>
        <v>-</v>
      </c>
      <c r="I114" s="78" t="str">
        <f>IF(ISNA(VLOOKUP($E114,StockCode[],COLUMN(StockCodes!$B$3),0))=TRUE,"Invalid Stock Code",VLOOKUP($E114,StockCode[],COLUMN(StockCodes!$B$3),0))</f>
        <v>Lettuce</v>
      </c>
      <c r="J114" s="39" t="str">
        <f>IF(ISNA(VLOOKUP($E114,StockCode[],COLUMN(StockCodes!$C$3),0))=TRUE,"-",VLOOKUP($E114,StockCode[],COLUMN(StockCodes!$C$3),0))</f>
        <v>Kg</v>
      </c>
      <c r="K114" s="79">
        <f t="shared" ca="1" si="31"/>
        <v>11.440000000000001</v>
      </c>
      <c r="L114" s="79">
        <f t="shared" ca="1" si="32"/>
        <v>18.440000000000001</v>
      </c>
      <c r="M114" s="79" cm="1">
        <f t="array" aca="1" ref="M114" ca="1">IF($K114=0,0,((SUMIFS(StockOpenQty,StockCodeOnly,$E114)*SUMIFS(StockOpenCost,StockCodeOnly,$E114))+SUMIFS(MoveAmount,MoveDate,"&lt;"&amp;$T114,MoveCode,$E114))/$K114)</f>
        <v>5.0956981036085054</v>
      </c>
      <c r="N114" s="79">
        <f t="shared" ca="1" si="33"/>
        <v>5.4389797345597231</v>
      </c>
      <c r="O114" s="79">
        <f t="shared" si="34"/>
        <v>42</v>
      </c>
      <c r="P114" s="38">
        <f t="shared" si="35"/>
        <v>6</v>
      </c>
      <c r="Q114" s="79">
        <f t="shared" ca="1" si="36"/>
        <v>-0.90430189639149461</v>
      </c>
      <c r="R114" s="19">
        <f t="shared" ca="1" si="37"/>
        <v>-0.17746378965251405</v>
      </c>
      <c r="S114" s="79">
        <f t="shared" ca="1" si="38"/>
        <v>-6.3301132747404623</v>
      </c>
      <c r="T114" s="81">
        <f t="shared" ca="1" si="39"/>
        <v>44426.001319444447</v>
      </c>
    </row>
    <row r="115" spans="1:20" ht="16.149999999999999" customHeight="1" x14ac:dyDescent="0.25">
      <c r="A115" s="37">
        <v>44426</v>
      </c>
      <c r="B115" s="37" t="s">
        <v>101</v>
      </c>
      <c r="C115" s="3" t="s">
        <v>41</v>
      </c>
      <c r="D115" s="78">
        <v>76868</v>
      </c>
      <c r="E115" s="3" t="s">
        <v>33</v>
      </c>
      <c r="F115" s="38">
        <v>1</v>
      </c>
      <c r="G115" s="79">
        <v>12</v>
      </c>
      <c r="H115" s="80" t="str">
        <f t="shared" ca="1" si="30"/>
        <v>-</v>
      </c>
      <c r="I115" s="78" t="str">
        <f>IF(ISNA(VLOOKUP($E115,StockCode[],COLUMN(StockCodes!$B$3),0))=TRUE,"Invalid Stock Code",VLOOKUP($E115,StockCode[],COLUMN(StockCodes!$B$3),0))</f>
        <v>Gurkins</v>
      </c>
      <c r="J115" s="39" t="str">
        <f>IF(ISNA(VLOOKUP($E115,StockCode[],COLUMN(StockCodes!$C$3),0))=TRUE,"-",VLOOKUP($E115,StockCode[],COLUMN(StockCodes!$C$3),0))</f>
        <v>Kg</v>
      </c>
      <c r="K115" s="79">
        <f t="shared" ca="1" si="31"/>
        <v>78.47999999999999</v>
      </c>
      <c r="L115" s="79">
        <f t="shared" ca="1" si="32"/>
        <v>79.47999999999999</v>
      </c>
      <c r="M115" s="79" cm="1">
        <f t="array" aca="1" ref="M115" ca="1">IF($K115=0,0,((SUMIFS(StockOpenQty,StockCodeOnly,$E115)*SUMIFS(StockOpenCost,StockCodeOnly,$E115))+SUMIFS(MoveAmount,MoveDate,"&lt;"&amp;$T115,MoveCode,$E115))/$K115)</f>
        <v>8.3581292290123574</v>
      </c>
      <c r="N115" s="79">
        <f t="shared" ca="1" si="33"/>
        <v>8.4039504515964989</v>
      </c>
      <c r="O115" s="79">
        <f t="shared" si="34"/>
        <v>12</v>
      </c>
      <c r="P115" s="38">
        <f t="shared" si="35"/>
        <v>12</v>
      </c>
      <c r="Q115" s="79">
        <f t="shared" ca="1" si="36"/>
        <v>-3.6418707709876426</v>
      </c>
      <c r="R115" s="19">
        <f t="shared" ca="1" si="37"/>
        <v>-0.43572798065219509</v>
      </c>
      <c r="S115" s="79">
        <f t="shared" ca="1" si="38"/>
        <v>-3.6418707709876426</v>
      </c>
      <c r="T115" s="81">
        <f t="shared" ca="1" si="39"/>
        <v>44426.001331018517</v>
      </c>
    </row>
    <row r="116" spans="1:20" ht="16.149999999999999" customHeight="1" x14ac:dyDescent="0.25">
      <c r="A116" s="37">
        <v>44426</v>
      </c>
      <c r="B116" s="37" t="s">
        <v>101</v>
      </c>
      <c r="C116" s="3" t="s">
        <v>41</v>
      </c>
      <c r="D116" s="78" t="s">
        <v>47</v>
      </c>
      <c r="E116" s="3" t="s">
        <v>35</v>
      </c>
      <c r="F116" s="38">
        <v>1</v>
      </c>
      <c r="G116" s="79">
        <v>9</v>
      </c>
      <c r="H116" s="80" t="str">
        <f t="shared" ca="1" si="30"/>
        <v>-</v>
      </c>
      <c r="I116" s="78" t="str">
        <f>IF(ISNA(VLOOKUP($E116,StockCode[],COLUMN(StockCodes!$B$3),0))=TRUE,"Invalid Stock Code",VLOOKUP($E116,StockCode[],COLUMN(StockCodes!$B$3),0))</f>
        <v>Onions</v>
      </c>
      <c r="J116" s="39" t="str">
        <f>IF(ISNA(VLOOKUP($E116,StockCode[],COLUMN(StockCodes!$C$3),0))=TRUE,"-",VLOOKUP($E116,StockCode[],COLUMN(StockCodes!$C$3),0))</f>
        <v>Kg</v>
      </c>
      <c r="K116" s="79">
        <f t="shared" ca="1" si="31"/>
        <v>17.47</v>
      </c>
      <c r="L116" s="79">
        <f t="shared" ca="1" si="32"/>
        <v>18.47</v>
      </c>
      <c r="M116" s="79" cm="1">
        <f t="array" aca="1" ref="M116" ca="1">IF($K116=0,0,((SUMIFS(StockOpenQty,StockCodeOnly,$E116)*SUMIFS(StockOpenCost,StockCodeOnly,$E116))+SUMIFS(MoveAmount,MoveDate,"&lt;"&amp;$T116,MoveCode,$E116))/$K116)</f>
        <v>27.430105404040077</v>
      </c>
      <c r="N116" s="79">
        <f t="shared" ca="1" si="33"/>
        <v>26.432265371336229</v>
      </c>
      <c r="O116" s="79">
        <f t="shared" si="34"/>
        <v>9</v>
      </c>
      <c r="P116" s="38">
        <f t="shared" si="35"/>
        <v>9</v>
      </c>
      <c r="Q116" s="79">
        <f t="shared" ca="1" si="36"/>
        <v>18.430105404040077</v>
      </c>
      <c r="R116" s="19">
        <f t="shared" ca="1" si="37"/>
        <v>0.67189334975452109</v>
      </c>
      <c r="S116" s="79">
        <f t="shared" ca="1" si="38"/>
        <v>18.430105404040077</v>
      </c>
      <c r="T116" s="81">
        <f t="shared" ca="1" si="39"/>
        <v>44426.001342592594</v>
      </c>
    </row>
    <row r="117" spans="1:20" ht="16.149999999999999" customHeight="1" x14ac:dyDescent="0.25">
      <c r="A117" s="37">
        <v>44428</v>
      </c>
      <c r="B117" s="37" t="s">
        <v>102</v>
      </c>
      <c r="C117" s="3" t="s">
        <v>104</v>
      </c>
      <c r="D117" s="78" t="s">
        <v>104</v>
      </c>
      <c r="E117" s="3" t="s">
        <v>19</v>
      </c>
      <c r="F117" s="38">
        <v>-3</v>
      </c>
      <c r="G117" s="79">
        <v>0</v>
      </c>
      <c r="H117" s="80" t="str">
        <f t="shared" ca="1" si="30"/>
        <v>-</v>
      </c>
      <c r="I117" s="25" t="str">
        <f>IF(ISNA(VLOOKUP($E117,StockCode[],COLUMN(StockCodes!$B$3),0))=TRUE,"Invalid Stock Code",VLOOKUP($E117,StockCode[],COLUMN(StockCodes!$B$3),0))</f>
        <v>Plastic Wrap</v>
      </c>
      <c r="J117" s="39" t="str">
        <f>IF(ISNA(VLOOKUP($E117,StockCode[],COLUMN(StockCodes!$C$3),0))=TRUE,"-",VLOOKUP($E117,StockCode[],COLUMN(StockCodes!$C$3),0))</f>
        <v>Rolls</v>
      </c>
      <c r="K117" s="82">
        <f t="shared" ca="1" si="31"/>
        <v>16.89</v>
      </c>
      <c r="L117" s="82">
        <f t="shared" ca="1" si="32"/>
        <v>13.89</v>
      </c>
      <c r="M117" s="79" cm="1">
        <f t="array" aca="1" ref="M117" ca="1">IF($K117=0,0,((SUMIFS(StockOpenQty,StockCodeOnly,$E117)*SUMIFS(StockOpenCost,StockCodeOnly,$E117))+SUMIFS(MoveAmount,MoveDate,"&lt;"&amp;$T117,MoveCode,$E117))/$K117)</f>
        <v>20.479440140634448</v>
      </c>
      <c r="N117" s="82">
        <f t="shared" ca="1" si="33"/>
        <v>20.479440140634448</v>
      </c>
      <c r="O117" s="82">
        <f t="shared" ca="1" si="34"/>
        <v>-61.438320421903342</v>
      </c>
      <c r="P117" s="83">
        <f t="shared" si="35"/>
        <v>0</v>
      </c>
      <c r="Q117" s="79">
        <f t="shared" si="36"/>
        <v>0</v>
      </c>
      <c r="R117" s="19">
        <f t="shared" si="37"/>
        <v>0</v>
      </c>
      <c r="S117" s="79">
        <f t="shared" si="38"/>
        <v>0</v>
      </c>
      <c r="T117" s="81">
        <f t="shared" ca="1" si="39"/>
        <v>44428.001354166663</v>
      </c>
    </row>
    <row r="118" spans="1:20" ht="16.149999999999999" customHeight="1" x14ac:dyDescent="0.25">
      <c r="A118" s="37">
        <v>44428</v>
      </c>
      <c r="B118" s="37" t="s">
        <v>102</v>
      </c>
      <c r="C118" s="3" t="s">
        <v>104</v>
      </c>
      <c r="D118" s="78" t="s">
        <v>104</v>
      </c>
      <c r="E118" s="3" t="s">
        <v>22</v>
      </c>
      <c r="F118" s="38">
        <v>-2</v>
      </c>
      <c r="G118" s="79">
        <v>0</v>
      </c>
      <c r="H118" s="80" t="str">
        <f t="shared" ca="1" si="30"/>
        <v>-</v>
      </c>
      <c r="I118" s="25" t="str">
        <f>IF(ISNA(VLOOKUP($E118,StockCode[],COLUMN(StockCodes!$B$3),0))=TRUE,"Invalid Stock Code",VLOOKUP($E118,StockCode[],COLUMN(StockCodes!$B$3),0))</f>
        <v>Labels</v>
      </c>
      <c r="J118" s="39">
        <f>IF(ISNA(VLOOKUP($E118,StockCode[],COLUMN(StockCodes!$C$3),0))=TRUE,"-",VLOOKUP($E118,StockCode[],COLUMN(StockCodes!$C$3),0))</f>
        <v>1000</v>
      </c>
      <c r="K118" s="82">
        <f t="shared" ca="1" si="31"/>
        <v>4.47</v>
      </c>
      <c r="L118" s="82">
        <f t="shared" ca="1" si="32"/>
        <v>2.4699999999999998</v>
      </c>
      <c r="M118" s="79" cm="1">
        <f t="array" aca="1" ref="M118" ca="1">IF($K118=0,0,((SUMIFS(StockOpenQty,StockCodeOnly,$E118)*SUMIFS(StockOpenCost,StockCodeOnly,$E118))+SUMIFS(MoveAmount,MoveDate,"&lt;"&amp;$T118,MoveCode,$E118))/$K118)</f>
        <v>553.39068010237963</v>
      </c>
      <c r="N118" s="82">
        <f t="shared" ca="1" si="33"/>
        <v>553.39068010237963</v>
      </c>
      <c r="O118" s="82">
        <f t="shared" ca="1" si="34"/>
        <v>-1106.7813602047593</v>
      </c>
      <c r="P118" s="83">
        <f t="shared" si="35"/>
        <v>0</v>
      </c>
      <c r="Q118" s="79">
        <f t="shared" si="36"/>
        <v>0</v>
      </c>
      <c r="R118" s="19">
        <f t="shared" si="37"/>
        <v>0</v>
      </c>
      <c r="S118" s="79">
        <f t="shared" si="38"/>
        <v>0</v>
      </c>
      <c r="T118" s="81">
        <f t="shared" ca="1" si="39"/>
        <v>44428.00136574074</v>
      </c>
    </row>
    <row r="119" spans="1:20" ht="16.149999999999999" customHeight="1" x14ac:dyDescent="0.25">
      <c r="A119" s="37">
        <v>44428</v>
      </c>
      <c r="B119" s="37" t="s">
        <v>102</v>
      </c>
      <c r="C119" s="3" t="s">
        <v>104</v>
      </c>
      <c r="D119" s="78" t="s">
        <v>104</v>
      </c>
      <c r="E119" s="3" t="s">
        <v>23</v>
      </c>
      <c r="F119" s="38">
        <v>-620</v>
      </c>
      <c r="G119" s="79">
        <v>0</v>
      </c>
      <c r="H119" s="80" t="str">
        <f t="shared" ca="1" si="30"/>
        <v>-</v>
      </c>
      <c r="I119" s="25" t="str">
        <f>IF(ISNA(VLOOKUP($E119,StockCode[],COLUMN(StockCodes!$B$3),0))=TRUE,"Invalid Stock Code",VLOOKUP($E119,StockCode[],COLUMN(StockCodes!$B$3),0))</f>
        <v>Boxes</v>
      </c>
      <c r="J119" s="39" t="str">
        <f>IF(ISNA(VLOOKUP($E119,StockCode[],COLUMN(StockCodes!$C$3),0))=TRUE,"-",VLOOKUP($E119,StockCode[],COLUMN(StockCodes!$C$3),0))</f>
        <v>Units</v>
      </c>
      <c r="K119" s="82">
        <f t="shared" ca="1" si="31"/>
        <v>848.67999999999984</v>
      </c>
      <c r="L119" s="82">
        <f t="shared" ca="1" si="32"/>
        <v>228.67999999999984</v>
      </c>
      <c r="M119" s="79" cm="1">
        <f t="array" aca="1" ref="M119" ca="1">IF($K119=0,0,((SUMIFS(StockOpenQty,StockCodeOnly,$E119)*SUMIFS(StockOpenCost,StockCodeOnly,$E119))+SUMIFS(MoveAmount,MoveDate,"&lt;"&amp;$T119,MoveCode,$E119))/$K119)</f>
        <v>1.1118573010296122</v>
      </c>
      <c r="N119" s="82">
        <f t="shared" ca="1" si="33"/>
        <v>1.1118573010296122</v>
      </c>
      <c r="O119" s="82">
        <f t="shared" ca="1" si="34"/>
        <v>-689.35152663835959</v>
      </c>
      <c r="P119" s="83">
        <f t="shared" si="35"/>
        <v>0</v>
      </c>
      <c r="Q119" s="79">
        <f t="shared" si="36"/>
        <v>0</v>
      </c>
      <c r="R119" s="19">
        <f t="shared" si="37"/>
        <v>0</v>
      </c>
      <c r="S119" s="79">
        <f t="shared" si="38"/>
        <v>0</v>
      </c>
      <c r="T119" s="81">
        <f t="shared" ca="1" si="39"/>
        <v>44428.001377314817</v>
      </c>
    </row>
    <row r="120" spans="1:20" ht="16.149999999999999" customHeight="1" x14ac:dyDescent="0.25">
      <c r="A120" s="37">
        <v>44428</v>
      </c>
      <c r="B120" s="37" t="s">
        <v>102</v>
      </c>
      <c r="C120" s="3" t="s">
        <v>104</v>
      </c>
      <c r="D120" s="78" t="s">
        <v>104</v>
      </c>
      <c r="E120" s="3" t="s">
        <v>25</v>
      </c>
      <c r="F120" s="38">
        <v>-400</v>
      </c>
      <c r="G120" s="79">
        <v>0</v>
      </c>
      <c r="H120" s="80" t="str">
        <f t="shared" ca="1" si="30"/>
        <v>-</v>
      </c>
      <c r="I120" s="25" t="str">
        <f>IF(ISNA(VLOOKUP($E120,StockCode[],COLUMN(StockCodes!$B$3),0))=TRUE,"Invalid Stock Code",VLOOKUP($E120,StockCode[],COLUMN(StockCodes!$B$3),0))</f>
        <v>Meat</v>
      </c>
      <c r="J120" s="39" t="str">
        <f>IF(ISNA(VLOOKUP($E120,StockCode[],COLUMN(StockCodes!$C$3),0))=TRUE,"-",VLOOKUP($E120,StockCode[],COLUMN(StockCodes!$C$3),0))</f>
        <v>Kg</v>
      </c>
      <c r="K120" s="82">
        <f t="shared" ca="1" si="31"/>
        <v>1400</v>
      </c>
      <c r="L120" s="82">
        <f t="shared" ca="1" si="32"/>
        <v>1000</v>
      </c>
      <c r="M120" s="79" cm="1">
        <f t="array" aca="1" ref="M120" ca="1">IF($K120=0,0,((SUMIFS(StockOpenQty,StockCodeOnly,$E120)*SUMIFS(StockOpenCost,StockCodeOnly,$E120))+SUMIFS(MoveAmount,MoveDate,"&lt;"&amp;$T120,MoveCode,$E120))/$K120)</f>
        <v>51.322229601445102</v>
      </c>
      <c r="N120" s="82">
        <f t="shared" ca="1" si="33"/>
        <v>51.322229601445102</v>
      </c>
      <c r="O120" s="82">
        <f t="shared" ca="1" si="34"/>
        <v>-20528.891840578042</v>
      </c>
      <c r="P120" s="83">
        <f t="shared" si="35"/>
        <v>0</v>
      </c>
      <c r="Q120" s="79">
        <f t="shared" si="36"/>
        <v>0</v>
      </c>
      <c r="R120" s="19">
        <f t="shared" si="37"/>
        <v>0</v>
      </c>
      <c r="S120" s="79">
        <f t="shared" si="38"/>
        <v>0</v>
      </c>
      <c r="T120" s="81">
        <f t="shared" ca="1" si="39"/>
        <v>44428.001388888886</v>
      </c>
    </row>
    <row r="121" spans="1:20" ht="16.149999999999999" customHeight="1" x14ac:dyDescent="0.25">
      <c r="A121" s="37">
        <v>44428</v>
      </c>
      <c r="B121" s="37" t="s">
        <v>102</v>
      </c>
      <c r="C121" s="3" t="s">
        <v>104</v>
      </c>
      <c r="D121" s="78" t="s">
        <v>104</v>
      </c>
      <c r="E121" s="3" t="s">
        <v>28</v>
      </c>
      <c r="F121" s="38">
        <v>-40</v>
      </c>
      <c r="G121" s="79">
        <v>0</v>
      </c>
      <c r="H121" s="80" t="str">
        <f t="shared" ca="1" si="30"/>
        <v>-</v>
      </c>
      <c r="I121" s="25" t="str">
        <f>IF(ISNA(VLOOKUP($E121,StockCode[],COLUMN(StockCodes!$B$3),0))=TRUE,"Invalid Stock Code",VLOOKUP($E121,StockCode[],COLUMN(StockCodes!$B$3),0))</f>
        <v>Bread Rolls</v>
      </c>
      <c r="J121" s="39" t="str">
        <f>IF(ISNA(VLOOKUP($E121,StockCode[],COLUMN(StockCodes!$C$3),0))=TRUE,"-",VLOOKUP($E121,StockCode[],COLUMN(StockCodes!$C$3),0))</f>
        <v>Dozen</v>
      </c>
      <c r="K121" s="82">
        <f t="shared" ca="1" si="31"/>
        <v>43.14</v>
      </c>
      <c r="L121" s="82">
        <f t="shared" ca="1" si="32"/>
        <v>3.1400000000000006</v>
      </c>
      <c r="M121" s="79" cm="1">
        <f t="array" aca="1" ref="M121" ca="1">IF($K121=0,0,((SUMIFS(StockOpenQty,StockCodeOnly,$E121)*SUMIFS(StockOpenCost,StockCodeOnly,$E121))+SUMIFS(MoveAmount,MoveDate,"&lt;"&amp;$T121,MoveCode,$E121))/$K121)</f>
        <v>40.323342735195851</v>
      </c>
      <c r="N121" s="82">
        <f t="shared" ca="1" si="33"/>
        <v>40.323342735195851</v>
      </c>
      <c r="O121" s="82">
        <f t="shared" ca="1" si="34"/>
        <v>-1612.9337094078342</v>
      </c>
      <c r="P121" s="83">
        <f t="shared" si="35"/>
        <v>0</v>
      </c>
      <c r="Q121" s="79">
        <f t="shared" si="36"/>
        <v>0</v>
      </c>
      <c r="R121" s="19">
        <f t="shared" si="37"/>
        <v>0</v>
      </c>
      <c r="S121" s="79">
        <f t="shared" si="38"/>
        <v>0</v>
      </c>
      <c r="T121" s="81">
        <f t="shared" ca="1" si="39"/>
        <v>44428.001400462963</v>
      </c>
    </row>
    <row r="122" spans="1:20" ht="16.149999999999999" customHeight="1" x14ac:dyDescent="0.25">
      <c r="A122" s="37">
        <v>44428</v>
      </c>
      <c r="B122" s="37" t="s">
        <v>102</v>
      </c>
      <c r="C122" s="3" t="s">
        <v>104</v>
      </c>
      <c r="D122" s="78" t="s">
        <v>104</v>
      </c>
      <c r="E122" s="3" t="s">
        <v>31</v>
      </c>
      <c r="F122" s="38">
        <v>-12</v>
      </c>
      <c r="G122" s="79">
        <v>0</v>
      </c>
      <c r="H122" s="80" t="str">
        <f t="shared" ca="1" si="30"/>
        <v>-</v>
      </c>
      <c r="I122" s="25" t="str">
        <f>IF(ISNA(VLOOKUP($E122,StockCode[],COLUMN(StockCodes!$B$3),0))=TRUE,"Invalid Stock Code",VLOOKUP($E122,StockCode[],COLUMN(StockCodes!$B$3),0))</f>
        <v>Lettuce</v>
      </c>
      <c r="J122" s="39" t="str">
        <f>IF(ISNA(VLOOKUP($E122,StockCode[],COLUMN(StockCodes!$C$3),0))=TRUE,"-",VLOOKUP($E122,StockCode[],COLUMN(StockCodes!$C$3),0))</f>
        <v>Kg</v>
      </c>
      <c r="K122" s="82">
        <f t="shared" ca="1" si="31"/>
        <v>18.440000000000001</v>
      </c>
      <c r="L122" s="82">
        <f t="shared" ca="1" si="32"/>
        <v>6.4400000000000013</v>
      </c>
      <c r="M122" s="79" cm="1">
        <f t="array" aca="1" ref="M122" ca="1">IF($K122=0,0,((SUMIFS(StockOpenQty,StockCodeOnly,$E122)*SUMIFS(StockOpenCost,StockCodeOnly,$E122))+SUMIFS(MoveAmount,MoveDate,"&lt;"&amp;$T122,MoveCode,$E122))/$K122)</f>
        <v>5.4389797345597231</v>
      </c>
      <c r="N122" s="82">
        <f t="shared" ca="1" si="33"/>
        <v>5.4389797345597231</v>
      </c>
      <c r="O122" s="82">
        <f t="shared" ca="1" si="34"/>
        <v>-65.267756814716677</v>
      </c>
      <c r="P122" s="83">
        <f t="shared" si="35"/>
        <v>0</v>
      </c>
      <c r="Q122" s="79">
        <f t="shared" si="36"/>
        <v>0</v>
      </c>
      <c r="R122" s="19">
        <f t="shared" si="37"/>
        <v>0</v>
      </c>
      <c r="S122" s="79">
        <f t="shared" si="38"/>
        <v>0</v>
      </c>
      <c r="T122" s="81">
        <f t="shared" ca="1" si="39"/>
        <v>44428.00141203704</v>
      </c>
    </row>
    <row r="123" spans="1:20" ht="16.149999999999999" customHeight="1" x14ac:dyDescent="0.25">
      <c r="A123" s="37">
        <v>44428</v>
      </c>
      <c r="B123" s="37" t="s">
        <v>102</v>
      </c>
      <c r="C123" s="3" t="s">
        <v>104</v>
      </c>
      <c r="D123" s="78" t="s">
        <v>104</v>
      </c>
      <c r="E123" s="3" t="s">
        <v>33</v>
      </c>
      <c r="F123" s="38">
        <v>-2</v>
      </c>
      <c r="G123" s="79">
        <v>0</v>
      </c>
      <c r="H123" s="80" t="str">
        <f t="shared" ca="1" si="30"/>
        <v>-</v>
      </c>
      <c r="I123" s="25" t="str">
        <f>IF(ISNA(VLOOKUP($E123,StockCode[],COLUMN(StockCodes!$B$3),0))=TRUE,"Invalid Stock Code",VLOOKUP($E123,StockCode[],COLUMN(StockCodes!$B$3),0))</f>
        <v>Gurkins</v>
      </c>
      <c r="J123" s="39" t="str">
        <f>IF(ISNA(VLOOKUP($E123,StockCode[],COLUMN(StockCodes!$C$3),0))=TRUE,"-",VLOOKUP($E123,StockCode[],COLUMN(StockCodes!$C$3),0))</f>
        <v>Kg</v>
      </c>
      <c r="K123" s="82">
        <f t="shared" ca="1" si="31"/>
        <v>79.47999999999999</v>
      </c>
      <c r="L123" s="82">
        <f t="shared" ca="1" si="32"/>
        <v>77.47999999999999</v>
      </c>
      <c r="M123" s="79" cm="1">
        <f t="array" aca="1" ref="M123" ca="1">IF($K123=0,0,((SUMIFS(StockOpenQty,StockCodeOnly,$E123)*SUMIFS(StockOpenCost,StockCodeOnly,$E123))+SUMIFS(MoveAmount,MoveDate,"&lt;"&amp;$T123,MoveCode,$E123))/$K123)</f>
        <v>8.4039504515964989</v>
      </c>
      <c r="N123" s="82">
        <f t="shared" ca="1" si="33"/>
        <v>8.4039504515964989</v>
      </c>
      <c r="O123" s="82">
        <f t="shared" ca="1" si="34"/>
        <v>-16.807900903192998</v>
      </c>
      <c r="P123" s="83">
        <f t="shared" si="35"/>
        <v>0</v>
      </c>
      <c r="Q123" s="79">
        <f t="shared" si="36"/>
        <v>0</v>
      </c>
      <c r="R123" s="19">
        <f t="shared" si="37"/>
        <v>0</v>
      </c>
      <c r="S123" s="79">
        <f t="shared" si="38"/>
        <v>0</v>
      </c>
      <c r="T123" s="81">
        <f t="shared" ca="1" si="39"/>
        <v>44428.001423611109</v>
      </c>
    </row>
    <row r="124" spans="1:20" ht="16.149999999999999" customHeight="1" x14ac:dyDescent="0.25">
      <c r="A124" s="37">
        <v>44428</v>
      </c>
      <c r="B124" s="37" t="s">
        <v>102</v>
      </c>
      <c r="C124" s="3" t="s">
        <v>104</v>
      </c>
      <c r="D124" s="78" t="s">
        <v>104</v>
      </c>
      <c r="E124" s="3" t="s">
        <v>35</v>
      </c>
      <c r="F124" s="38">
        <v>-14</v>
      </c>
      <c r="G124" s="79">
        <v>0</v>
      </c>
      <c r="H124" s="80" t="str">
        <f t="shared" ca="1" si="30"/>
        <v>-</v>
      </c>
      <c r="I124" s="25" t="str">
        <f>IF(ISNA(VLOOKUP($E124,StockCode[],COLUMN(StockCodes!$B$3),0))=TRUE,"Invalid Stock Code",VLOOKUP($E124,StockCode[],COLUMN(StockCodes!$B$3),0))</f>
        <v>Onions</v>
      </c>
      <c r="J124" s="39" t="str">
        <f>IF(ISNA(VLOOKUP($E124,StockCode[],COLUMN(StockCodes!$C$3),0))=TRUE,"-",VLOOKUP($E124,StockCode[],COLUMN(StockCodes!$C$3),0))</f>
        <v>Kg</v>
      </c>
      <c r="K124" s="82">
        <f t="shared" ca="1" si="31"/>
        <v>18.47</v>
      </c>
      <c r="L124" s="82">
        <f t="shared" ca="1" si="32"/>
        <v>4.4699999999999989</v>
      </c>
      <c r="M124" s="79" cm="1">
        <f t="array" aca="1" ref="M124" ca="1">IF($K124=0,0,((SUMIFS(StockOpenQty,StockCodeOnly,$E124)*SUMIFS(StockOpenCost,StockCodeOnly,$E124))+SUMIFS(MoveAmount,MoveDate,"&lt;"&amp;$T124,MoveCode,$E124))/$K124)</f>
        <v>26.432265371336229</v>
      </c>
      <c r="N124" s="82">
        <f t="shared" ca="1" si="33"/>
        <v>26.432265371336229</v>
      </c>
      <c r="O124" s="82">
        <f t="shared" ca="1" si="34"/>
        <v>-370.0517151987072</v>
      </c>
      <c r="P124" s="83">
        <f t="shared" si="35"/>
        <v>0</v>
      </c>
      <c r="Q124" s="79">
        <f t="shared" si="36"/>
        <v>0</v>
      </c>
      <c r="R124" s="19">
        <f t="shared" si="37"/>
        <v>0</v>
      </c>
      <c r="S124" s="79">
        <f t="shared" si="38"/>
        <v>0</v>
      </c>
      <c r="T124" s="81">
        <f t="shared" ca="1" si="39"/>
        <v>44428.001435185186</v>
      </c>
    </row>
    <row r="125" spans="1:20" ht="16.149999999999999" customHeight="1" x14ac:dyDescent="0.25">
      <c r="A125" s="37">
        <v>44433</v>
      </c>
      <c r="B125" s="37" t="s">
        <v>101</v>
      </c>
      <c r="C125" s="3" t="s">
        <v>38</v>
      </c>
      <c r="D125" s="78" t="s">
        <v>64</v>
      </c>
      <c r="E125" s="3" t="s">
        <v>19</v>
      </c>
      <c r="F125" s="38">
        <v>2</v>
      </c>
      <c r="G125" s="79">
        <v>42</v>
      </c>
      <c r="H125" s="80" t="str">
        <f t="shared" ca="1" si="30"/>
        <v>-</v>
      </c>
      <c r="I125" s="78" t="str">
        <f>IF(ISNA(VLOOKUP($E125,StockCode[],COLUMN(StockCodes!$B$3),0))=TRUE,"Invalid Stock Code",VLOOKUP($E125,StockCode[],COLUMN(StockCodes!$B$3),0))</f>
        <v>Plastic Wrap</v>
      </c>
      <c r="J125" s="39" t="str">
        <f>IF(ISNA(VLOOKUP($E125,StockCode[],COLUMN(StockCodes!$C$3),0))=TRUE,"-",VLOOKUP($E125,StockCode[],COLUMN(StockCodes!$C$3),0))</f>
        <v>Rolls</v>
      </c>
      <c r="K125" s="79">
        <f t="shared" ca="1" si="31"/>
        <v>13.89</v>
      </c>
      <c r="L125" s="79">
        <f t="shared" ca="1" si="32"/>
        <v>15.89</v>
      </c>
      <c r="M125" s="79" cm="1">
        <f t="array" aca="1" ref="M125" ca="1">IF($K125=0,0,((SUMIFS(StockOpenQty,StockCodeOnly,$E125)*SUMIFS(StockOpenCost,StockCodeOnly,$E125))+SUMIFS(MoveAmount,MoveDate,"&lt;"&amp;$T125,MoveCode,$E125))/$K125)</f>
        <v>20.479440140634452</v>
      </c>
      <c r="N125" s="79">
        <f t="shared" ca="1" si="33"/>
        <v>20.544960576048616</v>
      </c>
      <c r="O125" s="79">
        <f t="shared" si="34"/>
        <v>42</v>
      </c>
      <c r="P125" s="38">
        <f t="shared" si="35"/>
        <v>21</v>
      </c>
      <c r="Q125" s="79">
        <f t="shared" ca="1" si="36"/>
        <v>-0.52055985936554805</v>
      </c>
      <c r="R125" s="19">
        <f t="shared" ca="1" si="37"/>
        <v>-2.5418656749931112E-2</v>
      </c>
      <c r="S125" s="79">
        <f t="shared" ca="1" si="38"/>
        <v>-1.0411197187310961</v>
      </c>
      <c r="T125" s="81">
        <f t="shared" ca="1" si="39"/>
        <v>44433.001446759263</v>
      </c>
    </row>
    <row r="126" spans="1:20" ht="16.149999999999999" customHeight="1" x14ac:dyDescent="0.25">
      <c r="A126" s="37">
        <v>44433</v>
      </c>
      <c r="B126" s="37" t="s">
        <v>101</v>
      </c>
      <c r="C126" s="3" t="s">
        <v>43</v>
      </c>
      <c r="D126" s="78">
        <v>76868</v>
      </c>
      <c r="E126" s="3" t="s">
        <v>22</v>
      </c>
      <c r="F126" s="38">
        <v>1</v>
      </c>
      <c r="G126" s="79">
        <v>410</v>
      </c>
      <c r="H126" s="80" t="str">
        <f t="shared" ca="1" si="30"/>
        <v>-</v>
      </c>
      <c r="I126" s="78" t="str">
        <f>IF(ISNA(VLOOKUP($E126,StockCode[],COLUMN(StockCodes!$B$3),0))=TRUE,"Invalid Stock Code",VLOOKUP($E126,StockCode[],COLUMN(StockCodes!$B$3),0))</f>
        <v>Labels</v>
      </c>
      <c r="J126" s="39">
        <f>IF(ISNA(VLOOKUP($E126,StockCode[],COLUMN(StockCodes!$C$3),0))=TRUE,"-",VLOOKUP($E126,StockCode[],COLUMN(StockCodes!$C$3),0))</f>
        <v>1000</v>
      </c>
      <c r="K126" s="79">
        <f t="shared" ca="1" si="31"/>
        <v>2.4699999999999998</v>
      </c>
      <c r="L126" s="79">
        <f t="shared" ca="1" si="32"/>
        <v>3.4699999999999998</v>
      </c>
      <c r="M126" s="79" cm="1">
        <f t="array" aca="1" ref="M126" ca="1">IF($K126=0,0,((SUMIFS(StockOpenQty,StockCodeOnly,$E126)*SUMIFS(StockOpenCost,StockCodeOnly,$E126))+SUMIFS(MoveAmount,MoveDate,"&lt;"&amp;$T126,MoveCode,$E126))/$K126)</f>
        <v>553.39068010237963</v>
      </c>
      <c r="N126" s="79">
        <f t="shared" ca="1" si="33"/>
        <v>512.06771753685234</v>
      </c>
      <c r="O126" s="79">
        <f t="shared" si="34"/>
        <v>410</v>
      </c>
      <c r="P126" s="38">
        <f t="shared" si="35"/>
        <v>410</v>
      </c>
      <c r="Q126" s="79">
        <f t="shared" ca="1" si="36"/>
        <v>143.39068010237963</v>
      </c>
      <c r="R126" s="19">
        <f t="shared" ca="1" si="37"/>
        <v>0.25911292918025247</v>
      </c>
      <c r="S126" s="79">
        <f t="shared" ca="1" si="38"/>
        <v>143.39068010237963</v>
      </c>
      <c r="T126" s="81">
        <f t="shared" ca="1" si="39"/>
        <v>44433.001458333332</v>
      </c>
    </row>
    <row r="127" spans="1:20" ht="16.149999999999999" customHeight="1" x14ac:dyDescent="0.25">
      <c r="A127" s="37">
        <v>44433</v>
      </c>
      <c r="B127" s="37" t="s">
        <v>101</v>
      </c>
      <c r="C127" s="3" t="s">
        <v>39</v>
      </c>
      <c r="D127" s="78" t="s">
        <v>47</v>
      </c>
      <c r="E127" s="3" t="s">
        <v>23</v>
      </c>
      <c r="F127" s="38">
        <v>400</v>
      </c>
      <c r="G127" s="79">
        <v>390</v>
      </c>
      <c r="H127" s="80" t="str">
        <f t="shared" ca="1" si="30"/>
        <v>-</v>
      </c>
      <c r="I127" s="78" t="str">
        <f>IF(ISNA(VLOOKUP($E127,StockCode[],COLUMN(StockCodes!$B$3),0))=TRUE,"Invalid Stock Code",VLOOKUP($E127,StockCode[],COLUMN(StockCodes!$B$3),0))</f>
        <v>Boxes</v>
      </c>
      <c r="J127" s="39" t="str">
        <f>IF(ISNA(VLOOKUP($E127,StockCode[],COLUMN(StockCodes!$C$3),0))=TRUE,"-",VLOOKUP($E127,StockCode[],COLUMN(StockCodes!$C$3),0))</f>
        <v>Units</v>
      </c>
      <c r="K127" s="79">
        <f t="shared" ca="1" si="31"/>
        <v>228.67999999999989</v>
      </c>
      <c r="L127" s="79">
        <f t="shared" ca="1" si="32"/>
        <v>628.67999999999984</v>
      </c>
      <c r="M127" s="79" cm="1">
        <f t="array" aca="1" ref="M127" ca="1">IF($K127=0,0,((SUMIFS(StockOpenQty,StockCodeOnly,$E127)*SUMIFS(StockOpenCost,StockCodeOnly,$E127))+SUMIFS(MoveAmount,MoveDate,"&lt;"&amp;$T127,MoveCode,$E127))/$K127)</f>
        <v>1.111857301029612</v>
      </c>
      <c r="N127" s="79">
        <f t="shared" ca="1" si="33"/>
        <v>1.0247813316782015</v>
      </c>
      <c r="O127" s="79">
        <f t="shared" si="34"/>
        <v>390</v>
      </c>
      <c r="P127" s="38">
        <f t="shared" si="35"/>
        <v>0.97499999999999998</v>
      </c>
      <c r="Q127" s="79">
        <f t="shared" ca="1" si="36"/>
        <v>0.13685730102961202</v>
      </c>
      <c r="R127" s="19">
        <f t="shared" ca="1" si="37"/>
        <v>0.12308890799464842</v>
      </c>
      <c r="S127" s="79">
        <f t="shared" ca="1" si="38"/>
        <v>54.742920411844807</v>
      </c>
      <c r="T127" s="81">
        <f t="shared" ca="1" si="39"/>
        <v>44433.001469907409</v>
      </c>
    </row>
    <row r="128" spans="1:20" ht="16.149999999999999" customHeight="1" x14ac:dyDescent="0.25">
      <c r="A128" s="37">
        <v>44433</v>
      </c>
      <c r="B128" s="37" t="s">
        <v>101</v>
      </c>
      <c r="C128" s="3" t="s">
        <v>42</v>
      </c>
      <c r="D128" s="78">
        <v>5765765</v>
      </c>
      <c r="E128" s="3" t="s">
        <v>25</v>
      </c>
      <c r="F128" s="38">
        <v>380</v>
      </c>
      <c r="G128" s="79">
        <v>18300</v>
      </c>
      <c r="H128" s="80" t="str">
        <f t="shared" ca="1" si="30"/>
        <v>-</v>
      </c>
      <c r="I128" s="78" t="str">
        <f>IF(ISNA(VLOOKUP($E128,StockCode[],COLUMN(StockCodes!$B$3),0))=TRUE,"Invalid Stock Code",VLOOKUP($E128,StockCode[],COLUMN(StockCodes!$B$3),0))</f>
        <v>Meat</v>
      </c>
      <c r="J128" s="39" t="str">
        <f>IF(ISNA(VLOOKUP($E128,StockCode[],COLUMN(StockCodes!$C$3),0))=TRUE,"-",VLOOKUP($E128,StockCode[],COLUMN(StockCodes!$C$3),0))</f>
        <v>Kg</v>
      </c>
      <c r="K128" s="79">
        <f t="shared" ca="1" si="31"/>
        <v>1000</v>
      </c>
      <c r="L128" s="79">
        <f t="shared" ca="1" si="32"/>
        <v>1380</v>
      </c>
      <c r="M128" s="79" cm="1">
        <f t="array" aca="1" ref="M128" ca="1">IF($K128=0,0,((SUMIFS(StockOpenQty,StockCodeOnly,$E128)*SUMIFS(StockOpenCost,StockCodeOnly,$E128))+SUMIFS(MoveAmount,MoveDate,"&lt;"&amp;$T128,MoveCode,$E128))/$K128)</f>
        <v>51.322229601445095</v>
      </c>
      <c r="N128" s="79">
        <f t="shared" ca="1" si="33"/>
        <v>50.450891015539916</v>
      </c>
      <c r="O128" s="79">
        <f t="shared" si="34"/>
        <v>18300</v>
      </c>
      <c r="P128" s="38">
        <f t="shared" si="35"/>
        <v>48.157894736842103</v>
      </c>
      <c r="Q128" s="79">
        <f t="shared" ca="1" si="36"/>
        <v>3.1643348646029921</v>
      </c>
      <c r="R128" s="19">
        <f t="shared" ca="1" si="37"/>
        <v>6.1656223612582356E-2</v>
      </c>
      <c r="S128" s="79">
        <f t="shared" ca="1" si="38"/>
        <v>1202.4472485491369</v>
      </c>
      <c r="T128" s="81">
        <f t="shared" ca="1" si="39"/>
        <v>44433.001481481479</v>
      </c>
    </row>
    <row r="129" spans="1:20" ht="16.149999999999999" customHeight="1" x14ac:dyDescent="0.25">
      <c r="A129" s="37">
        <v>44433</v>
      </c>
      <c r="B129" s="37" t="s">
        <v>101</v>
      </c>
      <c r="C129" s="3" t="s">
        <v>40</v>
      </c>
      <c r="D129" s="78">
        <v>67887</v>
      </c>
      <c r="E129" s="3" t="s">
        <v>28</v>
      </c>
      <c r="F129" s="38">
        <v>32</v>
      </c>
      <c r="G129" s="79">
        <v>1340</v>
      </c>
      <c r="H129" s="80" t="str">
        <f t="shared" ca="1" si="30"/>
        <v>-</v>
      </c>
      <c r="I129" s="78" t="str">
        <f>IF(ISNA(VLOOKUP($E129,StockCode[],COLUMN(StockCodes!$B$3),0))=TRUE,"Invalid Stock Code",VLOOKUP($E129,StockCode[],COLUMN(StockCodes!$B$3),0))</f>
        <v>Bread Rolls</v>
      </c>
      <c r="J129" s="39" t="str">
        <f>IF(ISNA(VLOOKUP($E129,StockCode[],COLUMN(StockCodes!$C$3),0))=TRUE,"-",VLOOKUP($E129,StockCode[],COLUMN(StockCodes!$C$3),0))</f>
        <v>Dozen</v>
      </c>
      <c r="K129" s="79">
        <f t="shared" ca="1" si="31"/>
        <v>3.1400000000000006</v>
      </c>
      <c r="L129" s="79">
        <f t="shared" ca="1" si="32"/>
        <v>35.14</v>
      </c>
      <c r="M129" s="79" cm="1">
        <f t="array" aca="1" ref="M129" ca="1">IF($K129=0,0,((SUMIFS(StockOpenQty,StockCodeOnly,$E129)*SUMIFS(StockOpenCost,StockCodeOnly,$E129))+SUMIFS(MoveAmount,MoveDate,"&lt;"&amp;$T129,MoveCode,$E129))/$K129)</f>
        <v>40.32334273519578</v>
      </c>
      <c r="N129" s="79">
        <f t="shared" ca="1" si="33"/>
        <v>41.736348781687958</v>
      </c>
      <c r="O129" s="79">
        <f t="shared" si="34"/>
        <v>1340</v>
      </c>
      <c r="P129" s="38">
        <f t="shared" si="35"/>
        <v>41.875</v>
      </c>
      <c r="Q129" s="79">
        <f t="shared" ca="1" si="36"/>
        <v>-1.5516572648042199</v>
      </c>
      <c r="R129" s="19">
        <f t="shared" ca="1" si="37"/>
        <v>-3.8480372894528735E-2</v>
      </c>
      <c r="S129" s="79">
        <f t="shared" ca="1" si="38"/>
        <v>-49.653032473735038</v>
      </c>
      <c r="T129" s="81">
        <f t="shared" ca="1" si="39"/>
        <v>44433.001493055555</v>
      </c>
    </row>
    <row r="130" spans="1:20" ht="16.149999999999999" customHeight="1" x14ac:dyDescent="0.25">
      <c r="A130" s="37">
        <v>44433</v>
      </c>
      <c r="B130" s="37" t="s">
        <v>101</v>
      </c>
      <c r="C130" s="3" t="s">
        <v>41</v>
      </c>
      <c r="D130" s="78" t="s">
        <v>64</v>
      </c>
      <c r="E130" s="3" t="s">
        <v>31</v>
      </c>
      <c r="F130" s="38">
        <v>4</v>
      </c>
      <c r="G130" s="79">
        <v>18</v>
      </c>
      <c r="H130" s="80" t="str">
        <f t="shared" ca="1" si="30"/>
        <v>-</v>
      </c>
      <c r="I130" s="78" t="str">
        <f>IF(ISNA(VLOOKUP($E130,StockCode[],COLUMN(StockCodes!$B$3),0))=TRUE,"Invalid Stock Code",VLOOKUP($E130,StockCode[],COLUMN(StockCodes!$B$3),0))</f>
        <v>Lettuce</v>
      </c>
      <c r="J130" s="39" t="str">
        <f>IF(ISNA(VLOOKUP($E130,StockCode[],COLUMN(StockCodes!$C$3),0))=TRUE,"-",VLOOKUP($E130,StockCode[],COLUMN(StockCodes!$C$3),0))</f>
        <v>Kg</v>
      </c>
      <c r="K130" s="79">
        <f t="shared" ca="1" si="31"/>
        <v>6.4400000000000013</v>
      </c>
      <c r="L130" s="79">
        <f t="shared" ca="1" si="32"/>
        <v>10.440000000000001</v>
      </c>
      <c r="M130" s="79" cm="1">
        <f t="array" aca="1" ref="M130" ca="1">IF($K130=0,0,((SUMIFS(StockOpenQty,StockCodeOnly,$E130)*SUMIFS(StockOpenCost,StockCodeOnly,$E130))+SUMIFS(MoveAmount,MoveDate,"&lt;"&amp;$T130,MoveCode,$E130))/$K130)</f>
        <v>5.4389797345597239</v>
      </c>
      <c r="N130" s="79">
        <f t="shared" ca="1" si="33"/>
        <v>5.0792173841536998</v>
      </c>
      <c r="O130" s="79">
        <f t="shared" si="34"/>
        <v>18</v>
      </c>
      <c r="P130" s="38">
        <f t="shared" si="35"/>
        <v>4.5</v>
      </c>
      <c r="Q130" s="79">
        <f t="shared" ca="1" si="36"/>
        <v>0.93897973455972394</v>
      </c>
      <c r="R130" s="19">
        <f t="shared" ca="1" si="37"/>
        <v>0.17263894707924166</v>
      </c>
      <c r="S130" s="79">
        <f t="shared" ca="1" si="38"/>
        <v>3.7559189382388958</v>
      </c>
      <c r="T130" s="81">
        <f t="shared" ca="1" si="39"/>
        <v>44433.001504629632</v>
      </c>
    </row>
    <row r="131" spans="1:20" ht="16.149999999999999" customHeight="1" x14ac:dyDescent="0.25">
      <c r="A131" s="37">
        <v>44433</v>
      </c>
      <c r="B131" s="37" t="s">
        <v>101</v>
      </c>
      <c r="C131" s="3" t="s">
        <v>41</v>
      </c>
      <c r="D131" s="78">
        <v>76868</v>
      </c>
      <c r="E131" s="3" t="s">
        <v>33</v>
      </c>
      <c r="F131" s="38">
        <v>1</v>
      </c>
      <c r="G131" s="79">
        <v>3.8</v>
      </c>
      <c r="H131" s="80" t="str">
        <f t="shared" ca="1" si="30"/>
        <v>-</v>
      </c>
      <c r="I131" s="78" t="str">
        <f>IF(ISNA(VLOOKUP($E131,StockCode[],COLUMN(StockCodes!$B$3),0))=TRUE,"Invalid Stock Code",VLOOKUP($E131,StockCode[],COLUMN(StockCodes!$B$3),0))</f>
        <v>Gurkins</v>
      </c>
      <c r="J131" s="39" t="str">
        <f>IF(ISNA(VLOOKUP($E131,StockCode[],COLUMN(StockCodes!$C$3),0))=TRUE,"-",VLOOKUP($E131,StockCode[],COLUMN(StockCodes!$C$3),0))</f>
        <v>Kg</v>
      </c>
      <c r="K131" s="79">
        <f t="shared" ca="1" si="31"/>
        <v>77.47999999999999</v>
      </c>
      <c r="L131" s="79">
        <f t="shared" ca="1" si="32"/>
        <v>78.47999999999999</v>
      </c>
      <c r="M131" s="79" cm="1">
        <f t="array" aca="1" ref="M131" ca="1">IF($K131=0,0,((SUMIFS(StockOpenQty,StockCodeOnly,$E131)*SUMIFS(StockOpenCost,StockCodeOnly,$E131))+SUMIFS(MoveAmount,MoveDate,"&lt;"&amp;$T131,MoveCode,$E131))/$K131)</f>
        <v>8.4039504515965007</v>
      </c>
      <c r="N131" s="79">
        <f t="shared" ca="1" si="33"/>
        <v>8.3452864550165238</v>
      </c>
      <c r="O131" s="79">
        <f t="shared" si="34"/>
        <v>3.8</v>
      </c>
      <c r="P131" s="38">
        <f t="shared" si="35"/>
        <v>3.8</v>
      </c>
      <c r="Q131" s="79">
        <f t="shared" ca="1" si="36"/>
        <v>4.6039504515965008</v>
      </c>
      <c r="R131" s="19">
        <f t="shared" ca="1" si="37"/>
        <v>0.54783169868902393</v>
      </c>
      <c r="S131" s="79">
        <f t="shared" ca="1" si="38"/>
        <v>4.6039504515965008</v>
      </c>
      <c r="T131" s="81">
        <f t="shared" ca="1" si="39"/>
        <v>44433.001516203702</v>
      </c>
    </row>
    <row r="132" spans="1:20" ht="16.149999999999999" customHeight="1" x14ac:dyDescent="0.25">
      <c r="A132" s="37">
        <v>44433</v>
      </c>
      <c r="B132" s="37" t="s">
        <v>101</v>
      </c>
      <c r="C132" s="3" t="s">
        <v>41</v>
      </c>
      <c r="D132" s="78" t="s">
        <v>47</v>
      </c>
      <c r="E132" s="3" t="s">
        <v>35</v>
      </c>
      <c r="F132" s="38">
        <v>1</v>
      </c>
      <c r="G132" s="79">
        <v>9</v>
      </c>
      <c r="H132" s="80" t="str">
        <f t="shared" ca="1" si="30"/>
        <v>-</v>
      </c>
      <c r="I132" s="78" t="str">
        <f>IF(ISNA(VLOOKUP($E132,StockCode[],COLUMN(StockCodes!$B$3),0))=TRUE,"Invalid Stock Code",VLOOKUP($E132,StockCode[],COLUMN(StockCodes!$B$3),0))</f>
        <v>Onions</v>
      </c>
      <c r="J132" s="39" t="str">
        <f>IF(ISNA(VLOOKUP($E132,StockCode[],COLUMN(StockCodes!$C$3),0))=TRUE,"-",VLOOKUP($E132,StockCode[],COLUMN(StockCodes!$C$3),0))</f>
        <v>Kg</v>
      </c>
      <c r="K132" s="79">
        <f t="shared" ca="1" si="31"/>
        <v>4.4699999999999989</v>
      </c>
      <c r="L132" s="79">
        <f t="shared" ca="1" si="32"/>
        <v>5.4699999999999989</v>
      </c>
      <c r="M132" s="79" cm="1">
        <f t="array" aca="1" ref="M132" ca="1">IF($K132=0,0,((SUMIFS(StockOpenQty,StockCodeOnly,$E132)*SUMIFS(StockOpenCost,StockCodeOnly,$E132))+SUMIFS(MoveAmount,MoveDate,"&lt;"&amp;$T132,MoveCode,$E132))/$K132)</f>
        <v>26.432265371336236</v>
      </c>
      <c r="N132" s="79">
        <f t="shared" ca="1" si="33"/>
        <v>23.245379563048076</v>
      </c>
      <c r="O132" s="79">
        <f t="shared" si="34"/>
        <v>9</v>
      </c>
      <c r="P132" s="38">
        <f t="shared" si="35"/>
        <v>9</v>
      </c>
      <c r="Q132" s="79">
        <f t="shared" ca="1" si="36"/>
        <v>17.432265371336236</v>
      </c>
      <c r="R132" s="19">
        <f t="shared" ca="1" si="37"/>
        <v>0.65950705043390612</v>
      </c>
      <c r="S132" s="79">
        <f t="shared" ca="1" si="38"/>
        <v>17.432265371336236</v>
      </c>
      <c r="T132" s="81">
        <f t="shared" ca="1" si="39"/>
        <v>44433.001527777778</v>
      </c>
    </row>
    <row r="133" spans="1:20" ht="16.149999999999999" customHeight="1" x14ac:dyDescent="0.25">
      <c r="A133" s="37">
        <v>44435</v>
      </c>
      <c r="B133" s="37" t="s">
        <v>102</v>
      </c>
      <c r="C133" s="3" t="s">
        <v>104</v>
      </c>
      <c r="D133" s="78" t="s">
        <v>104</v>
      </c>
      <c r="E133" s="3" t="s">
        <v>19</v>
      </c>
      <c r="F133" s="38">
        <v>-7</v>
      </c>
      <c r="G133" s="79">
        <v>0</v>
      </c>
      <c r="H133" s="80" t="str">
        <f t="shared" ref="H133:H148" ca="1" si="40">IF(AND(ISBLANK(E133)=FALSE,ISNA(VLOOKUP(E133,StockCodeOnly,1,0))=TRUE),"E2",IF(AND(ISBLANK(B133)=FALSE,B133&lt;&gt;"Purchase",B133&lt;&gt;"Usage",B133&lt;&gt;"Adjustment"),"E3",IF(AND(B133="Usage",F133&gt;0),"E4",IF(OR(K133&lt;0,L133&lt;0),"E5","-"))))</f>
        <v>-</v>
      </c>
      <c r="I133" s="25" t="str">
        <f>IF(ISNA(VLOOKUP($E133,StockCode[],COLUMN(StockCodes!$B$3),0))=TRUE,"Invalid Stock Code",VLOOKUP($E133,StockCode[],COLUMN(StockCodes!$B$3),0))</f>
        <v>Plastic Wrap</v>
      </c>
      <c r="J133" s="39" t="str">
        <f>IF(ISNA(VLOOKUP($E133,StockCode[],COLUMN(StockCodes!$C$3),0))=TRUE,"-",VLOOKUP($E133,StockCode[],COLUMN(StockCodes!$C$3),0))</f>
        <v>Rolls</v>
      </c>
      <c r="K133" s="82">
        <f t="shared" ref="K133:K148" ca="1" si="41">SUMIFS(StockOpenQty,StockCodeOnly,$E133)+SUMIFS(MoveQty,MoveDate,"&lt;"&amp;$T133,MoveCode,$E133)</f>
        <v>15.89</v>
      </c>
      <c r="L133" s="82">
        <f t="shared" ref="L133:L148" ca="1" si="42">K133+F133</f>
        <v>8.89</v>
      </c>
      <c r="M133" s="79" cm="1">
        <f t="array" aca="1" ref="M133" ca="1">IF($K133=0,0,((SUMIFS(StockOpenQty,StockCodeOnly,$E133)*SUMIFS(StockOpenCost,StockCodeOnly,$E133))+SUMIFS(MoveAmount,MoveDate,"&lt;"&amp;$T133,MoveCode,$E133))/$K133)</f>
        <v>20.544960576048616</v>
      </c>
      <c r="N133" s="82">
        <f t="shared" ref="N133:N148" ca="1" si="43">IF(B133&lt;&gt;"Purchase",M133,IF(L133=0,0,((K133*M133)+G133)/(F133+K133)))</f>
        <v>20.544960576048616</v>
      </c>
      <c r="O133" s="82">
        <f t="shared" ref="O133:O148" ca="1" si="44">IF(B133="Purchase",G133,N133*F133)</f>
        <v>-143.81472403234031</v>
      </c>
      <c r="P133" s="83">
        <f t="shared" ref="P133:P148" si="45">IF(B133&lt;&gt;"Purchase",0,IF(F133=0,0,G133/F133))</f>
        <v>0</v>
      </c>
      <c r="Q133" s="79">
        <f t="shared" ref="Q133:Q148" si="46">IF(B133&lt;&gt;"Purchase",0,IF(K133=0,0,M133-P133))</f>
        <v>0</v>
      </c>
      <c r="R133" s="19">
        <f t="shared" ref="R133:R148" si="47">IF(B133&lt;&gt;"Purchase",0,IF(M133=0,0,Q133/M133))</f>
        <v>0</v>
      </c>
      <c r="S133" s="79">
        <f t="shared" ref="S133:S148" si="48">Q133*F133</f>
        <v>0</v>
      </c>
      <c r="T133" s="81">
        <f t="shared" ref="T133:T148" ca="1" si="49">IF(ISBLANK($A133)=TRUE,TODAY()+((ROW($A133)-(86400*ROUNDDOWN(ROW($A133)/86400,0)))/86400),$A133+((ROW($A133)-(86400*ROUNDDOWN(ROW($A133)/86400,0)))/86400))</f>
        <v>44435.001539351855</v>
      </c>
    </row>
    <row r="134" spans="1:20" ht="16.149999999999999" customHeight="1" x14ac:dyDescent="0.25">
      <c r="A134" s="37">
        <v>44435</v>
      </c>
      <c r="B134" s="37" t="s">
        <v>102</v>
      </c>
      <c r="C134" s="3" t="s">
        <v>104</v>
      </c>
      <c r="D134" s="78" t="s">
        <v>104</v>
      </c>
      <c r="E134" s="3" t="s">
        <v>22</v>
      </c>
      <c r="F134" s="38">
        <v>-3</v>
      </c>
      <c r="G134" s="79">
        <v>0</v>
      </c>
      <c r="H134" s="80" t="str">
        <f t="shared" ca="1" si="40"/>
        <v>-</v>
      </c>
      <c r="I134" s="25" t="str">
        <f>IF(ISNA(VLOOKUP($E134,StockCode[],COLUMN(StockCodes!$B$3),0))=TRUE,"Invalid Stock Code",VLOOKUP($E134,StockCode[],COLUMN(StockCodes!$B$3),0))</f>
        <v>Labels</v>
      </c>
      <c r="J134" s="39">
        <f>IF(ISNA(VLOOKUP($E134,StockCode[],COLUMN(StockCodes!$C$3),0))=TRUE,"-",VLOOKUP($E134,StockCode[],COLUMN(StockCodes!$C$3),0))</f>
        <v>1000</v>
      </c>
      <c r="K134" s="82">
        <f t="shared" ca="1" si="41"/>
        <v>3.4699999999999998</v>
      </c>
      <c r="L134" s="82">
        <f t="shared" ca="1" si="42"/>
        <v>0.46999999999999975</v>
      </c>
      <c r="M134" s="79" cm="1">
        <f t="array" aca="1" ref="M134" ca="1">IF($K134=0,0,((SUMIFS(StockOpenQty,StockCodeOnly,$E134)*SUMIFS(StockOpenCost,StockCodeOnly,$E134))+SUMIFS(MoveAmount,MoveDate,"&lt;"&amp;$T134,MoveCode,$E134))/$K134)</f>
        <v>512.06771753685234</v>
      </c>
      <c r="N134" s="82">
        <f t="shared" ca="1" si="43"/>
        <v>512.06771753685234</v>
      </c>
      <c r="O134" s="82">
        <f t="shared" ca="1" si="44"/>
        <v>-1536.203152610557</v>
      </c>
      <c r="P134" s="83">
        <f t="shared" si="45"/>
        <v>0</v>
      </c>
      <c r="Q134" s="79">
        <f t="shared" si="46"/>
        <v>0</v>
      </c>
      <c r="R134" s="19">
        <f t="shared" si="47"/>
        <v>0</v>
      </c>
      <c r="S134" s="79">
        <f t="shared" si="48"/>
        <v>0</v>
      </c>
      <c r="T134" s="81">
        <f t="shared" ca="1" si="49"/>
        <v>44435.001550925925</v>
      </c>
    </row>
    <row r="135" spans="1:20" ht="16.149999999999999" customHeight="1" x14ac:dyDescent="0.25">
      <c r="A135" s="37">
        <v>44435</v>
      </c>
      <c r="B135" s="37" t="s">
        <v>102</v>
      </c>
      <c r="C135" s="3" t="s">
        <v>104</v>
      </c>
      <c r="D135" s="78" t="s">
        <v>104</v>
      </c>
      <c r="E135" s="3" t="s">
        <v>23</v>
      </c>
      <c r="F135" s="38">
        <v>-610</v>
      </c>
      <c r="G135" s="79">
        <v>0</v>
      </c>
      <c r="H135" s="80" t="str">
        <f t="shared" ca="1" si="40"/>
        <v>-</v>
      </c>
      <c r="I135" s="25" t="str">
        <f>IF(ISNA(VLOOKUP($E135,StockCode[],COLUMN(StockCodes!$B$3),0))=TRUE,"Invalid Stock Code",VLOOKUP($E135,StockCode[],COLUMN(StockCodes!$B$3),0))</f>
        <v>Boxes</v>
      </c>
      <c r="J135" s="39" t="str">
        <f>IF(ISNA(VLOOKUP($E135,StockCode[],COLUMN(StockCodes!$C$3),0))=TRUE,"-",VLOOKUP($E135,StockCode[],COLUMN(StockCodes!$C$3),0))</f>
        <v>Units</v>
      </c>
      <c r="K135" s="82">
        <f t="shared" ca="1" si="41"/>
        <v>628.67999999999984</v>
      </c>
      <c r="L135" s="82">
        <f t="shared" ca="1" si="42"/>
        <v>18.679999999999836</v>
      </c>
      <c r="M135" s="79" cm="1">
        <f t="array" aca="1" ref="M135" ca="1">IF($K135=0,0,((SUMIFS(StockOpenQty,StockCodeOnly,$E135)*SUMIFS(StockOpenCost,StockCodeOnly,$E135))+SUMIFS(MoveAmount,MoveDate,"&lt;"&amp;$T135,MoveCode,$E135))/$K135)</f>
        <v>1.0247813316782015</v>
      </c>
      <c r="N135" s="82">
        <f t="shared" ca="1" si="43"/>
        <v>1.0247813316782015</v>
      </c>
      <c r="O135" s="82">
        <f t="shared" ca="1" si="44"/>
        <v>-625.11661232370295</v>
      </c>
      <c r="P135" s="83">
        <f t="shared" si="45"/>
        <v>0</v>
      </c>
      <c r="Q135" s="79">
        <f t="shared" si="46"/>
        <v>0</v>
      </c>
      <c r="R135" s="19">
        <f t="shared" si="47"/>
        <v>0</v>
      </c>
      <c r="S135" s="79">
        <f t="shared" si="48"/>
        <v>0</v>
      </c>
      <c r="T135" s="81">
        <f t="shared" ca="1" si="49"/>
        <v>44435.001562500001</v>
      </c>
    </row>
    <row r="136" spans="1:20" ht="16.149999999999999" customHeight="1" x14ac:dyDescent="0.25">
      <c r="A136" s="37">
        <v>44435</v>
      </c>
      <c r="B136" s="37" t="s">
        <v>102</v>
      </c>
      <c r="C136" s="3" t="s">
        <v>104</v>
      </c>
      <c r="D136" s="78" t="s">
        <v>104</v>
      </c>
      <c r="E136" s="3" t="s">
        <v>25</v>
      </c>
      <c r="F136" s="38">
        <v>-620</v>
      </c>
      <c r="G136" s="79">
        <v>0</v>
      </c>
      <c r="H136" s="80" t="str">
        <f t="shared" ca="1" si="40"/>
        <v>-</v>
      </c>
      <c r="I136" s="25" t="str">
        <f>IF(ISNA(VLOOKUP($E136,StockCode[],COLUMN(StockCodes!$B$3),0))=TRUE,"Invalid Stock Code",VLOOKUP($E136,StockCode[],COLUMN(StockCodes!$B$3),0))</f>
        <v>Meat</v>
      </c>
      <c r="J136" s="39" t="str">
        <f>IF(ISNA(VLOOKUP($E136,StockCode[],COLUMN(StockCodes!$C$3),0))=TRUE,"-",VLOOKUP($E136,StockCode[],COLUMN(StockCodes!$C$3),0))</f>
        <v>Kg</v>
      </c>
      <c r="K136" s="82">
        <f t="shared" ca="1" si="41"/>
        <v>1380</v>
      </c>
      <c r="L136" s="82">
        <f t="shared" ca="1" si="42"/>
        <v>760</v>
      </c>
      <c r="M136" s="79" cm="1">
        <f t="array" aca="1" ref="M136" ca="1">IF($K136=0,0,((SUMIFS(StockOpenQty,StockCodeOnly,$E136)*SUMIFS(StockOpenCost,StockCodeOnly,$E136))+SUMIFS(MoveAmount,MoveDate,"&lt;"&amp;$T136,MoveCode,$E136))/$K136)</f>
        <v>50.450891015539916</v>
      </c>
      <c r="N136" s="82">
        <f t="shared" ca="1" si="43"/>
        <v>50.450891015539916</v>
      </c>
      <c r="O136" s="82">
        <f t="shared" ca="1" si="44"/>
        <v>-31279.552429634747</v>
      </c>
      <c r="P136" s="83">
        <f t="shared" si="45"/>
        <v>0</v>
      </c>
      <c r="Q136" s="79">
        <f t="shared" si="46"/>
        <v>0</v>
      </c>
      <c r="R136" s="19">
        <f t="shared" si="47"/>
        <v>0</v>
      </c>
      <c r="S136" s="79">
        <f t="shared" si="48"/>
        <v>0</v>
      </c>
      <c r="T136" s="81">
        <f t="shared" ca="1" si="49"/>
        <v>44435.001574074071</v>
      </c>
    </row>
    <row r="137" spans="1:20" ht="16.149999999999999" customHeight="1" x14ac:dyDescent="0.25">
      <c r="A137" s="37">
        <v>44435</v>
      </c>
      <c r="B137" s="37" t="s">
        <v>102</v>
      </c>
      <c r="C137" s="3" t="s">
        <v>104</v>
      </c>
      <c r="D137" s="78" t="s">
        <v>104</v>
      </c>
      <c r="E137" s="3" t="s">
        <v>28</v>
      </c>
      <c r="F137" s="38">
        <v>-25</v>
      </c>
      <c r="G137" s="79">
        <v>0</v>
      </c>
      <c r="H137" s="80" t="str">
        <f t="shared" ca="1" si="40"/>
        <v>-</v>
      </c>
      <c r="I137" s="25" t="str">
        <f>IF(ISNA(VLOOKUP($E137,StockCode[],COLUMN(StockCodes!$B$3),0))=TRUE,"Invalid Stock Code",VLOOKUP($E137,StockCode[],COLUMN(StockCodes!$B$3),0))</f>
        <v>Bread Rolls</v>
      </c>
      <c r="J137" s="39" t="str">
        <f>IF(ISNA(VLOOKUP($E137,StockCode[],COLUMN(StockCodes!$C$3),0))=TRUE,"-",VLOOKUP($E137,StockCode[],COLUMN(StockCodes!$C$3),0))</f>
        <v>Dozen</v>
      </c>
      <c r="K137" s="82">
        <f t="shared" ca="1" si="41"/>
        <v>35.14</v>
      </c>
      <c r="L137" s="82">
        <f t="shared" ca="1" si="42"/>
        <v>10.14</v>
      </c>
      <c r="M137" s="79" cm="1">
        <f t="array" aca="1" ref="M137" ca="1">IF($K137=0,0,((SUMIFS(StockOpenQty,StockCodeOnly,$E137)*SUMIFS(StockOpenCost,StockCodeOnly,$E137))+SUMIFS(MoveAmount,MoveDate,"&lt;"&amp;$T137,MoveCode,$E137))/$K137)</f>
        <v>41.736348781687958</v>
      </c>
      <c r="N137" s="82">
        <f t="shared" ca="1" si="43"/>
        <v>41.736348781687958</v>
      </c>
      <c r="O137" s="82">
        <f t="shared" ca="1" si="44"/>
        <v>-1043.4087195421989</v>
      </c>
      <c r="P137" s="83">
        <f t="shared" si="45"/>
        <v>0</v>
      </c>
      <c r="Q137" s="79">
        <f t="shared" si="46"/>
        <v>0</v>
      </c>
      <c r="R137" s="19">
        <f t="shared" si="47"/>
        <v>0</v>
      </c>
      <c r="S137" s="79">
        <f t="shared" si="48"/>
        <v>0</v>
      </c>
      <c r="T137" s="81">
        <f t="shared" ca="1" si="49"/>
        <v>44435.001585648148</v>
      </c>
    </row>
    <row r="138" spans="1:20" ht="16.149999999999999" customHeight="1" x14ac:dyDescent="0.25">
      <c r="A138" s="37">
        <v>44435</v>
      </c>
      <c r="B138" s="37" t="s">
        <v>102</v>
      </c>
      <c r="C138" s="3" t="s">
        <v>104</v>
      </c>
      <c r="D138" s="78" t="s">
        <v>104</v>
      </c>
      <c r="E138" s="3" t="s">
        <v>31</v>
      </c>
      <c r="F138" s="38">
        <v>-9</v>
      </c>
      <c r="G138" s="79">
        <v>0</v>
      </c>
      <c r="H138" s="80" t="str">
        <f t="shared" ca="1" si="40"/>
        <v>-</v>
      </c>
      <c r="I138" s="25" t="str">
        <f>IF(ISNA(VLOOKUP($E138,StockCode[],COLUMN(StockCodes!$B$3),0))=TRUE,"Invalid Stock Code",VLOOKUP($E138,StockCode[],COLUMN(StockCodes!$B$3),0))</f>
        <v>Lettuce</v>
      </c>
      <c r="J138" s="39" t="str">
        <f>IF(ISNA(VLOOKUP($E138,StockCode[],COLUMN(StockCodes!$C$3),0))=TRUE,"-",VLOOKUP($E138,StockCode[],COLUMN(StockCodes!$C$3),0))</f>
        <v>Kg</v>
      </c>
      <c r="K138" s="82">
        <f t="shared" ca="1" si="41"/>
        <v>10.440000000000001</v>
      </c>
      <c r="L138" s="82">
        <f t="shared" ca="1" si="42"/>
        <v>1.4400000000000013</v>
      </c>
      <c r="M138" s="79" cm="1">
        <f t="array" aca="1" ref="M138" ca="1">IF($K138=0,0,((SUMIFS(StockOpenQty,StockCodeOnly,$E138)*SUMIFS(StockOpenCost,StockCodeOnly,$E138))+SUMIFS(MoveAmount,MoveDate,"&lt;"&amp;$T138,MoveCode,$E138))/$K138)</f>
        <v>5.0792173841536998</v>
      </c>
      <c r="N138" s="82">
        <f t="shared" ca="1" si="43"/>
        <v>5.0792173841536998</v>
      </c>
      <c r="O138" s="82">
        <f t="shared" ca="1" si="44"/>
        <v>-45.712956457383299</v>
      </c>
      <c r="P138" s="83">
        <f t="shared" si="45"/>
        <v>0</v>
      </c>
      <c r="Q138" s="79">
        <f t="shared" si="46"/>
        <v>0</v>
      </c>
      <c r="R138" s="19">
        <f t="shared" si="47"/>
        <v>0</v>
      </c>
      <c r="S138" s="79">
        <f t="shared" si="48"/>
        <v>0</v>
      </c>
      <c r="T138" s="81">
        <f t="shared" ca="1" si="49"/>
        <v>44435.001597222225</v>
      </c>
    </row>
    <row r="139" spans="1:20" ht="16.149999999999999" customHeight="1" x14ac:dyDescent="0.25">
      <c r="A139" s="37">
        <v>44435</v>
      </c>
      <c r="B139" s="37" t="s">
        <v>102</v>
      </c>
      <c r="C139" s="3" t="s">
        <v>104</v>
      </c>
      <c r="D139" s="78" t="s">
        <v>104</v>
      </c>
      <c r="E139" s="3" t="s">
        <v>33</v>
      </c>
      <c r="F139" s="38">
        <v>-1</v>
      </c>
      <c r="G139" s="79">
        <v>0</v>
      </c>
      <c r="H139" s="80" t="str">
        <f t="shared" ca="1" si="40"/>
        <v>-</v>
      </c>
      <c r="I139" s="25" t="str">
        <f>IF(ISNA(VLOOKUP($E139,StockCode[],COLUMN(StockCodes!$B$3),0))=TRUE,"Invalid Stock Code",VLOOKUP($E139,StockCode[],COLUMN(StockCodes!$B$3),0))</f>
        <v>Gurkins</v>
      </c>
      <c r="J139" s="39" t="str">
        <f>IF(ISNA(VLOOKUP($E139,StockCode[],COLUMN(StockCodes!$C$3),0))=TRUE,"-",VLOOKUP($E139,StockCode[],COLUMN(StockCodes!$C$3),0))</f>
        <v>Kg</v>
      </c>
      <c r="K139" s="82">
        <f t="shared" ca="1" si="41"/>
        <v>78.47999999999999</v>
      </c>
      <c r="L139" s="82">
        <f t="shared" ca="1" si="42"/>
        <v>77.47999999999999</v>
      </c>
      <c r="M139" s="79" cm="1">
        <f t="array" aca="1" ref="M139" ca="1">IF($K139=0,0,((SUMIFS(StockOpenQty,StockCodeOnly,$E139)*SUMIFS(StockOpenCost,StockCodeOnly,$E139))+SUMIFS(MoveAmount,MoveDate,"&lt;"&amp;$T139,MoveCode,$E139))/$K139)</f>
        <v>8.3452864550165238</v>
      </c>
      <c r="N139" s="82">
        <f t="shared" ca="1" si="43"/>
        <v>8.3452864550165238</v>
      </c>
      <c r="O139" s="82">
        <f t="shared" ca="1" si="44"/>
        <v>-8.3452864550165238</v>
      </c>
      <c r="P139" s="83">
        <f t="shared" si="45"/>
        <v>0</v>
      </c>
      <c r="Q139" s="79">
        <f t="shared" si="46"/>
        <v>0</v>
      </c>
      <c r="R139" s="19">
        <f t="shared" si="47"/>
        <v>0</v>
      </c>
      <c r="S139" s="79">
        <f t="shared" si="48"/>
        <v>0</v>
      </c>
      <c r="T139" s="81">
        <f t="shared" ca="1" si="49"/>
        <v>44435.001608796294</v>
      </c>
    </row>
    <row r="140" spans="1:20" ht="16.149999999999999" customHeight="1" x14ac:dyDescent="0.25">
      <c r="A140" s="37">
        <v>44435</v>
      </c>
      <c r="B140" s="37" t="s">
        <v>102</v>
      </c>
      <c r="C140" s="3" t="s">
        <v>104</v>
      </c>
      <c r="D140" s="78" t="s">
        <v>104</v>
      </c>
      <c r="E140" s="3" t="s">
        <v>35</v>
      </c>
      <c r="F140" s="38">
        <v>-4</v>
      </c>
      <c r="G140" s="79">
        <v>0</v>
      </c>
      <c r="H140" s="80" t="str">
        <f t="shared" ca="1" si="40"/>
        <v>-</v>
      </c>
      <c r="I140" s="25" t="str">
        <f>IF(ISNA(VLOOKUP($E140,StockCode[],COLUMN(StockCodes!$B$3),0))=TRUE,"Invalid Stock Code",VLOOKUP($E140,StockCode[],COLUMN(StockCodes!$B$3),0))</f>
        <v>Onions</v>
      </c>
      <c r="J140" s="39" t="str">
        <f>IF(ISNA(VLOOKUP($E140,StockCode[],COLUMN(StockCodes!$C$3),0))=TRUE,"-",VLOOKUP($E140,StockCode[],COLUMN(StockCodes!$C$3),0))</f>
        <v>Kg</v>
      </c>
      <c r="K140" s="82">
        <f t="shared" ca="1" si="41"/>
        <v>5.4699999999999989</v>
      </c>
      <c r="L140" s="82">
        <f t="shared" ca="1" si="42"/>
        <v>1.4699999999999989</v>
      </c>
      <c r="M140" s="79" cm="1">
        <f t="array" aca="1" ref="M140" ca="1">IF($K140=0,0,((SUMIFS(StockOpenQty,StockCodeOnly,$E140)*SUMIFS(StockOpenCost,StockCodeOnly,$E140))+SUMIFS(MoveAmount,MoveDate,"&lt;"&amp;$T140,MoveCode,$E140))/$K140)</f>
        <v>23.245379563048072</v>
      </c>
      <c r="N140" s="82">
        <f t="shared" ca="1" si="43"/>
        <v>23.245379563048072</v>
      </c>
      <c r="O140" s="82">
        <f t="shared" ca="1" si="44"/>
        <v>-92.981518252192288</v>
      </c>
      <c r="P140" s="83">
        <f t="shared" si="45"/>
        <v>0</v>
      </c>
      <c r="Q140" s="79">
        <f t="shared" si="46"/>
        <v>0</v>
      </c>
      <c r="R140" s="19">
        <f t="shared" si="47"/>
        <v>0</v>
      </c>
      <c r="S140" s="79">
        <f t="shared" si="48"/>
        <v>0</v>
      </c>
      <c r="T140" s="81">
        <f t="shared" ca="1" si="49"/>
        <v>44435.001620370371</v>
      </c>
    </row>
    <row r="141" spans="1:20" ht="16.149999999999999" customHeight="1" x14ac:dyDescent="0.25">
      <c r="A141" s="37">
        <v>44439</v>
      </c>
      <c r="B141" s="37" t="s">
        <v>103</v>
      </c>
      <c r="C141" s="3" t="s">
        <v>104</v>
      </c>
      <c r="D141" s="78" t="s">
        <v>104</v>
      </c>
      <c r="E141" s="3" t="s">
        <v>19</v>
      </c>
      <c r="F141" s="38">
        <v>-0.39000000000000057</v>
      </c>
      <c r="G141" s="79">
        <v>0</v>
      </c>
      <c r="H141" s="80" t="str">
        <f t="shared" ca="1" si="40"/>
        <v>-</v>
      </c>
      <c r="I141" s="25" t="str">
        <f>IF(ISNA(VLOOKUP($E141,StockCode[],COLUMN(StockCodes!$B$3),0))=TRUE,"Invalid Stock Code",VLOOKUP($E141,StockCode[],COLUMN(StockCodes!$B$3),0))</f>
        <v>Plastic Wrap</v>
      </c>
      <c r="J141" s="39" t="str">
        <f>IF(ISNA(VLOOKUP($E141,StockCode[],COLUMN(StockCodes!$C$3),0))=TRUE,"-",VLOOKUP($E141,StockCode[],COLUMN(StockCodes!$C$3),0))</f>
        <v>Rolls</v>
      </c>
      <c r="K141" s="82">
        <f t="shared" ca="1" si="41"/>
        <v>8.89</v>
      </c>
      <c r="L141" s="82">
        <f t="shared" ca="1" si="42"/>
        <v>8.5</v>
      </c>
      <c r="M141" s="79" cm="1">
        <f t="array" aca="1" ref="M141" ca="1">IF($K141=0,0,((SUMIFS(StockOpenQty,StockCodeOnly,$E141)*SUMIFS(StockOpenCost,StockCodeOnly,$E141))+SUMIFS(MoveAmount,MoveDate,"&lt;"&amp;$T141,MoveCode,$E141))/$K141)</f>
        <v>20.544960576048616</v>
      </c>
      <c r="N141" s="82">
        <f t="shared" ca="1" si="43"/>
        <v>20.544960576048616</v>
      </c>
      <c r="O141" s="82">
        <f t="shared" ca="1" si="44"/>
        <v>-8.0125346246589721</v>
      </c>
      <c r="P141" s="83">
        <f t="shared" si="45"/>
        <v>0</v>
      </c>
      <c r="Q141" s="79">
        <f t="shared" si="46"/>
        <v>0</v>
      </c>
      <c r="R141" s="19">
        <f t="shared" si="47"/>
        <v>0</v>
      </c>
      <c r="S141" s="79">
        <f t="shared" si="48"/>
        <v>0</v>
      </c>
      <c r="T141" s="81">
        <f t="shared" ca="1" si="49"/>
        <v>44439.001631944448</v>
      </c>
    </row>
    <row r="142" spans="1:20" ht="16.149999999999999" customHeight="1" x14ac:dyDescent="0.25">
      <c r="A142" s="37">
        <v>44439</v>
      </c>
      <c r="B142" s="37" t="s">
        <v>103</v>
      </c>
      <c r="C142" s="3" t="s">
        <v>104</v>
      </c>
      <c r="D142" s="78" t="s">
        <v>104</v>
      </c>
      <c r="E142" s="3" t="s">
        <v>22</v>
      </c>
      <c r="F142" s="38">
        <v>-0.47</v>
      </c>
      <c r="G142" s="79">
        <v>0</v>
      </c>
      <c r="H142" s="80" t="str">
        <f t="shared" ca="1" si="40"/>
        <v>-</v>
      </c>
      <c r="I142" s="25" t="str">
        <f>IF(ISNA(VLOOKUP($E142,StockCode[],COLUMN(StockCodes!$B$3),0))=TRUE,"Invalid Stock Code",VLOOKUP($E142,StockCode[],COLUMN(StockCodes!$B$3),0))</f>
        <v>Labels</v>
      </c>
      <c r="J142" s="39">
        <f>IF(ISNA(VLOOKUP($E142,StockCode[],COLUMN(StockCodes!$C$3),0))=TRUE,"-",VLOOKUP($E142,StockCode[],COLUMN(StockCodes!$C$3),0))</f>
        <v>1000</v>
      </c>
      <c r="K142" s="82">
        <f t="shared" ca="1" si="41"/>
        <v>0.46999999999999975</v>
      </c>
      <c r="L142" s="82">
        <f t="shared" ca="1" si="42"/>
        <v>0</v>
      </c>
      <c r="M142" s="79" cm="1">
        <f t="array" aca="1" ref="M142" ca="1">IF($K142=0,0,((SUMIFS(StockOpenQty,StockCodeOnly,$E142)*SUMIFS(StockOpenCost,StockCodeOnly,$E142))+SUMIFS(MoveAmount,MoveDate,"&lt;"&amp;$T142,MoveCode,$E142))/$K142)</f>
        <v>512.06771753685268</v>
      </c>
      <c r="N142" s="82">
        <f t="shared" ca="1" si="43"/>
        <v>512.06771753685268</v>
      </c>
      <c r="O142" s="82">
        <f t="shared" ca="1" si="44"/>
        <v>-240.67182724232075</v>
      </c>
      <c r="P142" s="83">
        <f t="shared" si="45"/>
        <v>0</v>
      </c>
      <c r="Q142" s="79">
        <f t="shared" si="46"/>
        <v>0</v>
      </c>
      <c r="R142" s="19">
        <f t="shared" si="47"/>
        <v>0</v>
      </c>
      <c r="S142" s="79">
        <f t="shared" si="48"/>
        <v>0</v>
      </c>
      <c r="T142" s="81">
        <f t="shared" ca="1" si="49"/>
        <v>44439.001643518517</v>
      </c>
    </row>
    <row r="143" spans="1:20" ht="16.149999999999999" customHeight="1" x14ac:dyDescent="0.25">
      <c r="A143" s="37">
        <v>44439</v>
      </c>
      <c r="B143" s="37" t="s">
        <v>103</v>
      </c>
      <c r="C143" s="3" t="s">
        <v>104</v>
      </c>
      <c r="D143" s="78" t="s">
        <v>104</v>
      </c>
      <c r="E143" s="3" t="s">
        <v>23</v>
      </c>
      <c r="F143" s="38">
        <v>-0.68</v>
      </c>
      <c r="G143" s="79">
        <v>0</v>
      </c>
      <c r="H143" s="80" t="str">
        <f t="shared" ca="1" si="40"/>
        <v>-</v>
      </c>
      <c r="I143" s="25" t="str">
        <f>IF(ISNA(VLOOKUP($E143,StockCode[],COLUMN(StockCodes!$B$3),0))=TRUE,"Invalid Stock Code",VLOOKUP($E143,StockCode[],COLUMN(StockCodes!$B$3),0))</f>
        <v>Boxes</v>
      </c>
      <c r="J143" s="39" t="str">
        <f>IF(ISNA(VLOOKUP($E143,StockCode[],COLUMN(StockCodes!$C$3),0))=TRUE,"-",VLOOKUP($E143,StockCode[],COLUMN(StockCodes!$C$3),0))</f>
        <v>Units</v>
      </c>
      <c r="K143" s="82">
        <f t="shared" ca="1" si="41"/>
        <v>18.679999999999836</v>
      </c>
      <c r="L143" s="82">
        <f t="shared" ca="1" si="42"/>
        <v>17.999999999999837</v>
      </c>
      <c r="M143" s="79" cm="1">
        <f t="array" aca="1" ref="M143" ca="1">IF($K143=0,0,((SUMIFS(StockOpenQty,StockCodeOnly,$E143)*SUMIFS(StockOpenCost,StockCodeOnly,$E143))+SUMIFS(MoveAmount,MoveDate,"&lt;"&amp;$T143,MoveCode,$E143))/$K143)</f>
        <v>1.0247813316781984</v>
      </c>
      <c r="N143" s="82">
        <f t="shared" ca="1" si="43"/>
        <v>1.0247813316781984</v>
      </c>
      <c r="O143" s="82">
        <f t="shared" ca="1" si="44"/>
        <v>-0.69685130554117491</v>
      </c>
      <c r="P143" s="83">
        <f t="shared" si="45"/>
        <v>0</v>
      </c>
      <c r="Q143" s="79">
        <f t="shared" si="46"/>
        <v>0</v>
      </c>
      <c r="R143" s="19">
        <f t="shared" si="47"/>
        <v>0</v>
      </c>
      <c r="S143" s="79">
        <f t="shared" si="48"/>
        <v>0</v>
      </c>
      <c r="T143" s="81">
        <f t="shared" ca="1" si="49"/>
        <v>44439.001655092594</v>
      </c>
    </row>
    <row r="144" spans="1:20" ht="16.149999999999999" customHeight="1" x14ac:dyDescent="0.25">
      <c r="A144" s="37">
        <v>44439</v>
      </c>
      <c r="B144" s="37" t="s">
        <v>103</v>
      </c>
      <c r="C144" s="3" t="s">
        <v>104</v>
      </c>
      <c r="D144" s="78" t="s">
        <v>104</v>
      </c>
      <c r="E144" s="3" t="s">
        <v>25</v>
      </c>
      <c r="F144" s="38">
        <v>-160</v>
      </c>
      <c r="G144" s="79">
        <v>0</v>
      </c>
      <c r="H144" s="80" t="str">
        <f t="shared" ca="1" si="40"/>
        <v>-</v>
      </c>
      <c r="I144" s="25" t="str">
        <f>IF(ISNA(VLOOKUP($E144,StockCode[],COLUMN(StockCodes!$B$3),0))=TRUE,"Invalid Stock Code",VLOOKUP($E144,StockCode[],COLUMN(StockCodes!$B$3),0))</f>
        <v>Meat</v>
      </c>
      <c r="J144" s="39" t="str">
        <f>IF(ISNA(VLOOKUP($E144,StockCode[],COLUMN(StockCodes!$C$3),0))=TRUE,"-",VLOOKUP($E144,StockCode[],COLUMN(StockCodes!$C$3),0))</f>
        <v>Kg</v>
      </c>
      <c r="K144" s="82">
        <f t="shared" ca="1" si="41"/>
        <v>760</v>
      </c>
      <c r="L144" s="82">
        <f t="shared" ca="1" si="42"/>
        <v>600</v>
      </c>
      <c r="M144" s="79" cm="1">
        <f t="array" aca="1" ref="M144" ca="1">IF($K144=0,0,((SUMIFS(StockOpenQty,StockCodeOnly,$E144)*SUMIFS(StockOpenCost,StockCodeOnly,$E144))+SUMIFS(MoveAmount,MoveDate,"&lt;"&amp;$T144,MoveCode,$E144))/$K144)</f>
        <v>50.450891015539924</v>
      </c>
      <c r="N144" s="82">
        <f t="shared" ca="1" si="43"/>
        <v>50.450891015539924</v>
      </c>
      <c r="O144" s="82">
        <f t="shared" ca="1" si="44"/>
        <v>-8072.1425624863878</v>
      </c>
      <c r="P144" s="83">
        <f t="shared" si="45"/>
        <v>0</v>
      </c>
      <c r="Q144" s="79">
        <f t="shared" si="46"/>
        <v>0</v>
      </c>
      <c r="R144" s="19">
        <f t="shared" si="47"/>
        <v>0</v>
      </c>
      <c r="S144" s="79">
        <f t="shared" si="48"/>
        <v>0</v>
      </c>
      <c r="T144" s="81">
        <f t="shared" ca="1" si="49"/>
        <v>44439.001666666663</v>
      </c>
    </row>
    <row r="145" spans="1:20" ht="16.149999999999999" customHeight="1" x14ac:dyDescent="0.25">
      <c r="A145" s="37">
        <v>44439</v>
      </c>
      <c r="B145" s="37" t="s">
        <v>103</v>
      </c>
      <c r="C145" s="3" t="s">
        <v>104</v>
      </c>
      <c r="D145" s="78" t="s">
        <v>104</v>
      </c>
      <c r="E145" s="3" t="s">
        <v>28</v>
      </c>
      <c r="F145" s="38">
        <v>-0.14000000000000057</v>
      </c>
      <c r="G145" s="79">
        <v>0</v>
      </c>
      <c r="H145" s="80" t="str">
        <f t="shared" ca="1" si="40"/>
        <v>-</v>
      </c>
      <c r="I145" s="25" t="str">
        <f>IF(ISNA(VLOOKUP($E145,StockCode[],COLUMN(StockCodes!$B$3),0))=TRUE,"Invalid Stock Code",VLOOKUP($E145,StockCode[],COLUMN(StockCodes!$B$3),0))</f>
        <v>Bread Rolls</v>
      </c>
      <c r="J145" s="39" t="str">
        <f>IF(ISNA(VLOOKUP($E145,StockCode[],COLUMN(StockCodes!$C$3),0))=TRUE,"-",VLOOKUP($E145,StockCode[],COLUMN(StockCodes!$C$3),0))</f>
        <v>Dozen</v>
      </c>
      <c r="K145" s="82">
        <f t="shared" ca="1" si="41"/>
        <v>10.14</v>
      </c>
      <c r="L145" s="82">
        <f t="shared" ca="1" si="42"/>
        <v>10</v>
      </c>
      <c r="M145" s="79" cm="1">
        <f t="array" aca="1" ref="M145" ca="1">IF($K145=0,0,((SUMIFS(StockOpenQty,StockCodeOnly,$E145)*SUMIFS(StockOpenCost,StockCodeOnly,$E145))+SUMIFS(MoveAmount,MoveDate,"&lt;"&amp;$T145,MoveCode,$E145))/$K145)</f>
        <v>41.736348781687951</v>
      </c>
      <c r="N145" s="82">
        <f t="shared" ca="1" si="43"/>
        <v>41.736348781687951</v>
      </c>
      <c r="O145" s="82">
        <f t="shared" ca="1" si="44"/>
        <v>-5.8430888294363372</v>
      </c>
      <c r="P145" s="83">
        <f t="shared" si="45"/>
        <v>0</v>
      </c>
      <c r="Q145" s="79">
        <f t="shared" si="46"/>
        <v>0</v>
      </c>
      <c r="R145" s="19">
        <f t="shared" si="47"/>
        <v>0</v>
      </c>
      <c r="S145" s="79">
        <f t="shared" si="48"/>
        <v>0</v>
      </c>
      <c r="T145" s="81">
        <f t="shared" ca="1" si="49"/>
        <v>44439.00167824074</v>
      </c>
    </row>
    <row r="146" spans="1:20" ht="16.149999999999999" customHeight="1" x14ac:dyDescent="0.25">
      <c r="A146" s="37">
        <v>44439</v>
      </c>
      <c r="B146" s="37" t="s">
        <v>103</v>
      </c>
      <c r="C146" s="3" t="s">
        <v>104</v>
      </c>
      <c r="D146" s="78" t="s">
        <v>104</v>
      </c>
      <c r="E146" s="3" t="s">
        <v>31</v>
      </c>
      <c r="F146" s="38">
        <v>-0.44</v>
      </c>
      <c r="G146" s="79">
        <v>0</v>
      </c>
      <c r="H146" s="80" t="str">
        <f t="shared" ca="1" si="40"/>
        <v>-</v>
      </c>
      <c r="I146" s="25" t="str">
        <f>IF(ISNA(VLOOKUP($E146,StockCode[],COLUMN(StockCodes!$B$3),0))=TRUE,"Invalid Stock Code",VLOOKUP($E146,StockCode[],COLUMN(StockCodes!$B$3),0))</f>
        <v>Lettuce</v>
      </c>
      <c r="J146" s="39" t="str">
        <f>IF(ISNA(VLOOKUP($E146,StockCode[],COLUMN(StockCodes!$C$3),0))=TRUE,"-",VLOOKUP($E146,StockCode[],COLUMN(StockCodes!$C$3),0))</f>
        <v>Kg</v>
      </c>
      <c r="K146" s="82">
        <f t="shared" ca="1" si="41"/>
        <v>1.4400000000000013</v>
      </c>
      <c r="L146" s="82">
        <f t="shared" ca="1" si="42"/>
        <v>1.0000000000000013</v>
      </c>
      <c r="M146" s="79" cm="1">
        <f t="array" aca="1" ref="M146" ca="1">IF($K146=0,0,((SUMIFS(StockOpenQty,StockCodeOnly,$E146)*SUMIFS(StockOpenCost,StockCodeOnly,$E146))+SUMIFS(MoveAmount,MoveDate,"&lt;"&amp;$T146,MoveCode,$E146))/$K146)</f>
        <v>5.0792173841536972</v>
      </c>
      <c r="N146" s="82">
        <f t="shared" ca="1" si="43"/>
        <v>5.0792173841536972</v>
      </c>
      <c r="O146" s="82">
        <f t="shared" ca="1" si="44"/>
        <v>-2.2348556490276268</v>
      </c>
      <c r="P146" s="83">
        <f t="shared" si="45"/>
        <v>0</v>
      </c>
      <c r="Q146" s="79">
        <f t="shared" si="46"/>
        <v>0</v>
      </c>
      <c r="R146" s="19">
        <f t="shared" si="47"/>
        <v>0</v>
      </c>
      <c r="S146" s="79">
        <f t="shared" si="48"/>
        <v>0</v>
      </c>
      <c r="T146" s="81">
        <f t="shared" ca="1" si="49"/>
        <v>44439.001689814817</v>
      </c>
    </row>
    <row r="147" spans="1:20" ht="16.149999999999999" customHeight="1" x14ac:dyDescent="0.25">
      <c r="A147" s="37">
        <v>44439</v>
      </c>
      <c r="B147" s="37" t="s">
        <v>103</v>
      </c>
      <c r="C147" s="3" t="s">
        <v>104</v>
      </c>
      <c r="D147" s="78" t="s">
        <v>104</v>
      </c>
      <c r="E147" s="3" t="s">
        <v>33</v>
      </c>
      <c r="F147" s="38">
        <v>0.26</v>
      </c>
      <c r="G147" s="79">
        <v>0</v>
      </c>
      <c r="H147" s="80" t="str">
        <f t="shared" ca="1" si="40"/>
        <v>-</v>
      </c>
      <c r="I147" s="25" t="str">
        <f>IF(ISNA(VLOOKUP($E147,StockCode[],COLUMN(StockCodes!$B$3),0))=TRUE,"Invalid Stock Code",VLOOKUP($E147,StockCode[],COLUMN(StockCodes!$B$3),0))</f>
        <v>Gurkins</v>
      </c>
      <c r="J147" s="39" t="str">
        <f>IF(ISNA(VLOOKUP($E147,StockCode[],COLUMN(StockCodes!$C$3),0))=TRUE,"-",VLOOKUP($E147,StockCode[],COLUMN(StockCodes!$C$3),0))</f>
        <v>Kg</v>
      </c>
      <c r="K147" s="82">
        <f t="shared" ca="1" si="41"/>
        <v>77.47999999999999</v>
      </c>
      <c r="L147" s="82">
        <f t="shared" ca="1" si="42"/>
        <v>77.739999999999995</v>
      </c>
      <c r="M147" s="79" cm="1">
        <f t="array" aca="1" ref="M147" ca="1">IF($K147=0,0,((SUMIFS(StockOpenQty,StockCodeOnly,$E147)*SUMIFS(StockOpenCost,StockCodeOnly,$E147))+SUMIFS(MoveAmount,MoveDate,"&lt;"&amp;$T147,MoveCode,$E147))/$K147)</f>
        <v>8.3452864550165238</v>
      </c>
      <c r="N147" s="82">
        <f t="shared" ca="1" si="43"/>
        <v>8.3452864550165238</v>
      </c>
      <c r="O147" s="82">
        <f t="shared" ca="1" si="44"/>
        <v>2.169774478304296</v>
      </c>
      <c r="P147" s="83">
        <f t="shared" si="45"/>
        <v>0</v>
      </c>
      <c r="Q147" s="79">
        <f t="shared" si="46"/>
        <v>0</v>
      </c>
      <c r="R147" s="19">
        <f t="shared" si="47"/>
        <v>0</v>
      </c>
      <c r="S147" s="79">
        <f t="shared" si="48"/>
        <v>0</v>
      </c>
      <c r="T147" s="81">
        <f t="shared" ca="1" si="49"/>
        <v>44439.001701388886</v>
      </c>
    </row>
    <row r="148" spans="1:20" ht="16.149999999999999" customHeight="1" x14ac:dyDescent="0.25">
      <c r="A148" s="37">
        <v>44439</v>
      </c>
      <c r="B148" s="37" t="s">
        <v>103</v>
      </c>
      <c r="C148" s="3" t="s">
        <v>104</v>
      </c>
      <c r="D148" s="78" t="s">
        <v>104</v>
      </c>
      <c r="E148" s="3" t="s">
        <v>35</v>
      </c>
      <c r="F148" s="38">
        <v>-0.47</v>
      </c>
      <c r="G148" s="79">
        <v>0</v>
      </c>
      <c r="H148" s="80" t="str">
        <f t="shared" ca="1" si="40"/>
        <v>-</v>
      </c>
      <c r="I148" s="25" t="str">
        <f>IF(ISNA(VLOOKUP($E148,StockCode[],COLUMN(StockCodes!$B$3),0))=TRUE,"Invalid Stock Code",VLOOKUP($E148,StockCode[],COLUMN(StockCodes!$B$3),0))</f>
        <v>Onions</v>
      </c>
      <c r="J148" s="39" t="str">
        <f>IF(ISNA(VLOOKUP($E148,StockCode[],COLUMN(StockCodes!$C$3),0))=TRUE,"-",VLOOKUP($E148,StockCode[],COLUMN(StockCodes!$C$3),0))</f>
        <v>Kg</v>
      </c>
      <c r="K148" s="82">
        <f t="shared" ca="1" si="41"/>
        <v>1.4699999999999989</v>
      </c>
      <c r="L148" s="82">
        <f t="shared" ca="1" si="42"/>
        <v>0.99999999999999889</v>
      </c>
      <c r="M148" s="79" cm="1">
        <f t="array" aca="1" ref="M148" ca="1">IF($K148=0,0,((SUMIFS(StockOpenQty,StockCodeOnly,$E148)*SUMIFS(StockOpenCost,StockCodeOnly,$E148))+SUMIFS(MoveAmount,MoveDate,"&lt;"&amp;$T148,MoveCode,$E148))/$K148)</f>
        <v>23.245379563048079</v>
      </c>
      <c r="N148" s="82">
        <f t="shared" ca="1" si="43"/>
        <v>23.245379563048079</v>
      </c>
      <c r="O148" s="82">
        <f t="shared" ca="1" si="44"/>
        <v>-10.925328394632597</v>
      </c>
      <c r="P148" s="83">
        <f t="shared" si="45"/>
        <v>0</v>
      </c>
      <c r="Q148" s="79">
        <f t="shared" si="46"/>
        <v>0</v>
      </c>
      <c r="R148" s="19">
        <f t="shared" si="47"/>
        <v>0</v>
      </c>
      <c r="S148" s="79">
        <f t="shared" si="48"/>
        <v>0</v>
      </c>
      <c r="T148" s="81">
        <f t="shared" ca="1" si="49"/>
        <v>44439.001712962963</v>
      </c>
    </row>
    <row r="149" spans="1:20" ht="16.149999999999999" customHeight="1" x14ac:dyDescent="0.25">
      <c r="A149" s="84"/>
      <c r="B149" s="3"/>
      <c r="D149" s="3"/>
      <c r="F149" s="79"/>
      <c r="H149" s="39"/>
      <c r="I149" s="3"/>
      <c r="J149" s="39"/>
      <c r="K149" s="3"/>
      <c r="L149" s="3"/>
      <c r="M149" s="3"/>
      <c r="N149" s="3"/>
      <c r="O149" s="3"/>
      <c r="P149" s="3"/>
      <c r="Q149" s="3"/>
      <c r="R149" s="3"/>
    </row>
    <row r="150" spans="1:20" ht="16.149999999999999" customHeight="1" x14ac:dyDescent="0.25">
      <c r="A150" s="84"/>
      <c r="B150" s="3"/>
      <c r="D150" s="3"/>
      <c r="F150" s="79"/>
      <c r="H150" s="39"/>
      <c r="I150" s="3"/>
      <c r="J150" s="39"/>
      <c r="K150" s="3"/>
      <c r="L150" s="3"/>
      <c r="M150" s="3"/>
      <c r="N150" s="3"/>
      <c r="O150" s="3"/>
      <c r="P150" s="3"/>
      <c r="Q150" s="3"/>
      <c r="R150" s="3"/>
    </row>
    <row r="151" spans="1:20" ht="16.149999999999999" customHeight="1" x14ac:dyDescent="0.25">
      <c r="A151" s="84"/>
      <c r="B151" s="3"/>
      <c r="D151" s="3"/>
      <c r="F151" s="79"/>
      <c r="H151" s="39"/>
      <c r="I151" s="3"/>
      <c r="J151" s="39"/>
      <c r="K151" s="3"/>
      <c r="L151" s="3"/>
      <c r="M151" s="3"/>
      <c r="N151" s="3"/>
      <c r="O151" s="3"/>
      <c r="P151" s="3"/>
      <c r="Q151" s="3"/>
      <c r="R151" s="3"/>
    </row>
    <row r="152" spans="1:20" ht="16.149999999999999" customHeight="1" x14ac:dyDescent="0.25">
      <c r="A152" s="84"/>
      <c r="B152" s="3"/>
      <c r="D152" s="3"/>
      <c r="F152" s="79"/>
      <c r="H152" s="39"/>
      <c r="I152" s="3"/>
      <c r="J152" s="39"/>
      <c r="K152" s="3"/>
      <c r="L152" s="3"/>
      <c r="M152" s="3"/>
      <c r="N152" s="3"/>
      <c r="O152" s="3"/>
      <c r="P152" s="3"/>
      <c r="Q152" s="3"/>
      <c r="R152" s="3"/>
    </row>
    <row r="153" spans="1:20" ht="16.149999999999999" customHeight="1" x14ac:dyDescent="0.25">
      <c r="A153" s="84"/>
      <c r="B153" s="3"/>
      <c r="D153" s="3"/>
      <c r="F153" s="79"/>
      <c r="H153" s="39"/>
      <c r="I153" s="3"/>
      <c r="J153" s="39"/>
      <c r="K153" s="3"/>
      <c r="L153" s="3"/>
      <c r="M153" s="3"/>
      <c r="N153" s="3"/>
      <c r="O153" s="3"/>
      <c r="P153" s="3"/>
      <c r="Q153" s="3"/>
      <c r="R153" s="3"/>
    </row>
    <row r="154" spans="1:20" ht="16.149999999999999" customHeight="1" x14ac:dyDescent="0.25">
      <c r="A154" s="84"/>
      <c r="B154" s="3"/>
      <c r="D154" s="3"/>
      <c r="F154" s="79"/>
      <c r="H154" s="39"/>
      <c r="I154" s="3"/>
      <c r="J154" s="39"/>
      <c r="K154" s="3"/>
      <c r="L154" s="3"/>
      <c r="M154" s="3"/>
      <c r="N154" s="3"/>
      <c r="O154" s="3"/>
      <c r="P154" s="3"/>
      <c r="Q154" s="3"/>
      <c r="R154" s="3"/>
    </row>
    <row r="155" spans="1:20" ht="16.149999999999999" customHeight="1" x14ac:dyDescent="0.25">
      <c r="A155" s="84"/>
      <c r="B155" s="3"/>
      <c r="D155" s="3"/>
      <c r="F155" s="79"/>
      <c r="H155" s="39"/>
      <c r="I155" s="3"/>
      <c r="J155" s="39"/>
      <c r="K155" s="3"/>
      <c r="L155" s="3"/>
      <c r="M155" s="3"/>
      <c r="N155" s="3"/>
      <c r="O155" s="3"/>
      <c r="P155" s="3"/>
      <c r="Q155" s="3"/>
      <c r="R155" s="3"/>
    </row>
    <row r="156" spans="1:20" ht="16.149999999999999" customHeight="1" x14ac:dyDescent="0.25">
      <c r="A156" s="84"/>
      <c r="B156" s="3"/>
      <c r="D156" s="3"/>
      <c r="F156" s="79"/>
      <c r="H156" s="39"/>
      <c r="I156" s="3"/>
      <c r="J156" s="39"/>
      <c r="K156" s="3"/>
      <c r="L156" s="3"/>
      <c r="M156" s="3"/>
      <c r="N156" s="3"/>
      <c r="O156" s="3"/>
      <c r="P156" s="3"/>
      <c r="Q156" s="3"/>
      <c r="R156" s="3"/>
    </row>
    <row r="157" spans="1:20" ht="16.149999999999999" customHeight="1" x14ac:dyDescent="0.25">
      <c r="A157" s="84"/>
      <c r="B157" s="3"/>
      <c r="D157" s="3"/>
      <c r="F157" s="79"/>
      <c r="H157" s="39"/>
      <c r="I157" s="3"/>
      <c r="J157" s="39"/>
      <c r="K157" s="3"/>
      <c r="L157" s="3"/>
      <c r="M157" s="3"/>
      <c r="N157" s="3"/>
      <c r="O157" s="3"/>
      <c r="P157" s="3"/>
      <c r="Q157" s="3"/>
      <c r="R157" s="3"/>
    </row>
    <row r="158" spans="1:20" ht="16.149999999999999" customHeight="1" x14ac:dyDescent="0.25">
      <c r="A158" s="84"/>
      <c r="B158" s="3"/>
      <c r="D158" s="3"/>
      <c r="F158" s="79"/>
      <c r="H158" s="39"/>
      <c r="I158" s="3"/>
      <c r="J158" s="39"/>
      <c r="K158" s="3"/>
      <c r="L158" s="3"/>
      <c r="M158" s="3"/>
      <c r="N158" s="3"/>
      <c r="O158" s="3"/>
      <c r="P158" s="3"/>
      <c r="Q158" s="3"/>
      <c r="R158" s="3"/>
    </row>
    <row r="159" spans="1:20" ht="16.149999999999999" customHeight="1" x14ac:dyDescent="0.25">
      <c r="A159" s="84"/>
      <c r="B159" s="3"/>
      <c r="D159" s="3"/>
      <c r="F159" s="79"/>
      <c r="H159" s="39"/>
      <c r="I159" s="3"/>
      <c r="J159" s="39"/>
      <c r="K159" s="3"/>
      <c r="L159" s="3"/>
      <c r="M159" s="3"/>
      <c r="N159" s="3"/>
      <c r="O159" s="3"/>
      <c r="P159" s="3"/>
      <c r="Q159" s="3"/>
      <c r="R159" s="3"/>
    </row>
    <row r="160" spans="1:20" ht="16.149999999999999" customHeight="1" x14ac:dyDescent="0.25">
      <c r="A160" s="84"/>
      <c r="B160" s="3"/>
      <c r="D160" s="3"/>
      <c r="F160" s="79"/>
      <c r="H160" s="39"/>
      <c r="I160" s="3"/>
      <c r="J160" s="39"/>
      <c r="K160" s="3"/>
      <c r="L160" s="3"/>
      <c r="M160" s="3"/>
      <c r="N160" s="3"/>
      <c r="O160" s="3"/>
      <c r="P160" s="3"/>
      <c r="Q160" s="3"/>
      <c r="R160" s="3"/>
    </row>
    <row r="161" spans="1:18" ht="16.149999999999999" customHeight="1" x14ac:dyDescent="0.25">
      <c r="A161" s="84"/>
      <c r="B161" s="3"/>
      <c r="D161" s="3"/>
      <c r="F161" s="79"/>
      <c r="H161" s="39"/>
      <c r="I161" s="3"/>
      <c r="J161" s="39"/>
      <c r="K161" s="3"/>
      <c r="L161" s="3"/>
      <c r="M161" s="3"/>
      <c r="N161" s="3"/>
      <c r="O161" s="3"/>
      <c r="P161" s="3"/>
      <c r="Q161" s="3"/>
      <c r="R161" s="3"/>
    </row>
    <row r="162" spans="1:18" ht="16.149999999999999" customHeight="1" x14ac:dyDescent="0.25">
      <c r="A162" s="84"/>
      <c r="B162" s="3"/>
      <c r="D162" s="3"/>
      <c r="F162" s="79"/>
      <c r="H162" s="39"/>
      <c r="I162" s="3"/>
      <c r="J162" s="39"/>
      <c r="K162" s="3"/>
      <c r="L162" s="3"/>
      <c r="M162" s="3"/>
      <c r="N162" s="3"/>
      <c r="O162" s="3"/>
      <c r="P162" s="3"/>
      <c r="Q162" s="3"/>
      <c r="R162" s="3"/>
    </row>
    <row r="163" spans="1:18" ht="16.149999999999999" customHeight="1" x14ac:dyDescent="0.25">
      <c r="A163" s="84"/>
      <c r="B163" s="3"/>
      <c r="D163" s="3"/>
      <c r="F163" s="79"/>
      <c r="H163" s="39"/>
      <c r="I163" s="3"/>
      <c r="J163" s="39"/>
      <c r="K163" s="3"/>
      <c r="L163" s="3"/>
      <c r="M163" s="3"/>
      <c r="N163" s="3"/>
      <c r="O163" s="3"/>
      <c r="P163" s="3"/>
      <c r="Q163" s="3"/>
      <c r="R163" s="3"/>
    </row>
    <row r="164" spans="1:18" ht="16.149999999999999" customHeight="1" x14ac:dyDescent="0.25">
      <c r="A164" s="84"/>
      <c r="B164" s="3"/>
      <c r="D164" s="3"/>
      <c r="F164" s="79"/>
      <c r="H164" s="39"/>
      <c r="I164" s="3"/>
      <c r="J164" s="39"/>
      <c r="K164" s="3"/>
      <c r="L164" s="3"/>
      <c r="M164" s="3"/>
      <c r="N164" s="3"/>
      <c r="O164" s="3"/>
      <c r="P164" s="3"/>
      <c r="Q164" s="3"/>
      <c r="R164" s="3"/>
    </row>
    <row r="165" spans="1:18" ht="16.149999999999999" customHeight="1" x14ac:dyDescent="0.25">
      <c r="A165" s="84"/>
      <c r="B165" s="3"/>
      <c r="D165" s="3"/>
      <c r="F165" s="79"/>
      <c r="H165" s="39"/>
      <c r="I165" s="3"/>
      <c r="J165" s="39"/>
      <c r="K165" s="3"/>
      <c r="L165" s="3"/>
      <c r="M165" s="3"/>
      <c r="N165" s="3"/>
      <c r="O165" s="3"/>
      <c r="P165" s="3"/>
      <c r="Q165" s="3"/>
      <c r="R165" s="3"/>
    </row>
    <row r="166" spans="1:18" ht="16.149999999999999" customHeight="1" x14ac:dyDescent="0.25">
      <c r="A166" s="84"/>
      <c r="B166" s="3"/>
      <c r="D166" s="3"/>
      <c r="F166" s="79"/>
      <c r="H166" s="39"/>
      <c r="I166" s="3"/>
      <c r="J166" s="39"/>
      <c r="K166" s="3"/>
      <c r="L166" s="3"/>
      <c r="M166" s="3"/>
      <c r="N166" s="3"/>
      <c r="O166" s="3"/>
      <c r="P166" s="3"/>
      <c r="Q166" s="3"/>
      <c r="R166" s="3"/>
    </row>
    <row r="167" spans="1:18" ht="16.149999999999999" customHeight="1" x14ac:dyDescent="0.25">
      <c r="A167" s="84"/>
      <c r="B167" s="3"/>
      <c r="D167" s="3"/>
      <c r="F167" s="79"/>
      <c r="H167" s="39"/>
      <c r="I167" s="3"/>
      <c r="J167" s="39"/>
      <c r="K167" s="3"/>
      <c r="L167" s="3"/>
      <c r="M167" s="3"/>
      <c r="N167" s="3"/>
      <c r="O167" s="3"/>
      <c r="P167" s="3"/>
      <c r="Q167" s="3"/>
      <c r="R167" s="3"/>
    </row>
    <row r="168" spans="1:18" ht="16.149999999999999" customHeight="1" x14ac:dyDescent="0.25">
      <c r="A168" s="84"/>
      <c r="B168" s="3"/>
      <c r="D168" s="3"/>
      <c r="F168" s="79"/>
      <c r="H168" s="39"/>
      <c r="I168" s="3"/>
      <c r="J168" s="39"/>
      <c r="K168" s="3"/>
      <c r="L168" s="3"/>
      <c r="M168" s="3"/>
      <c r="N168" s="3"/>
      <c r="O168" s="3"/>
      <c r="P168" s="3"/>
      <c r="Q168" s="3"/>
      <c r="R168" s="3"/>
    </row>
    <row r="169" spans="1:18" ht="16.149999999999999" customHeight="1" x14ac:dyDescent="0.25">
      <c r="A169" s="84"/>
      <c r="B169" s="3"/>
      <c r="D169" s="3"/>
      <c r="F169" s="79"/>
      <c r="H169" s="39"/>
      <c r="I169" s="3"/>
      <c r="J169" s="39"/>
      <c r="K169" s="3"/>
      <c r="L169" s="3"/>
      <c r="M169" s="3"/>
      <c r="N169" s="3"/>
      <c r="O169" s="3"/>
      <c r="P169" s="3"/>
      <c r="Q169" s="3"/>
      <c r="R169" s="3"/>
    </row>
    <row r="170" spans="1:18" ht="16.149999999999999" customHeight="1" x14ac:dyDescent="0.25">
      <c r="A170" s="84"/>
      <c r="B170" s="3"/>
      <c r="D170" s="3"/>
      <c r="F170" s="79"/>
      <c r="H170" s="39"/>
      <c r="I170" s="3"/>
      <c r="J170" s="39"/>
      <c r="K170" s="3"/>
      <c r="L170" s="3"/>
      <c r="M170" s="3"/>
      <c r="N170" s="3"/>
      <c r="O170" s="3"/>
      <c r="P170" s="3"/>
      <c r="Q170" s="3"/>
      <c r="R170" s="3"/>
    </row>
    <row r="171" spans="1:18" ht="16.149999999999999" customHeight="1" x14ac:dyDescent="0.25">
      <c r="A171" s="84"/>
      <c r="B171" s="3"/>
      <c r="D171" s="3"/>
      <c r="F171" s="79"/>
      <c r="H171" s="39"/>
      <c r="I171" s="3"/>
      <c r="J171" s="39"/>
      <c r="K171" s="3"/>
      <c r="L171" s="3"/>
      <c r="M171" s="3"/>
      <c r="N171" s="3"/>
      <c r="O171" s="3"/>
      <c r="P171" s="3"/>
      <c r="Q171" s="3"/>
      <c r="R171" s="3"/>
    </row>
    <row r="172" spans="1:18" ht="16.149999999999999" customHeight="1" x14ac:dyDescent="0.25">
      <c r="A172" s="84"/>
      <c r="B172" s="3"/>
      <c r="D172" s="3"/>
      <c r="F172" s="79"/>
      <c r="H172" s="39"/>
      <c r="I172" s="3"/>
      <c r="J172" s="39"/>
      <c r="K172" s="3"/>
      <c r="L172" s="3"/>
      <c r="M172" s="3"/>
      <c r="N172" s="3"/>
      <c r="O172" s="3"/>
      <c r="P172" s="3"/>
      <c r="Q172" s="3"/>
      <c r="R172" s="3"/>
    </row>
    <row r="173" spans="1:18" ht="16.149999999999999" customHeight="1" x14ac:dyDescent="0.25">
      <c r="A173" s="84"/>
      <c r="B173" s="3"/>
      <c r="D173" s="3"/>
      <c r="F173" s="79"/>
      <c r="H173" s="39"/>
      <c r="I173" s="3"/>
      <c r="J173" s="39"/>
      <c r="K173" s="3"/>
      <c r="L173" s="3"/>
      <c r="M173" s="3"/>
      <c r="N173" s="3"/>
      <c r="O173" s="3"/>
      <c r="P173" s="3"/>
      <c r="Q173" s="3"/>
      <c r="R173" s="3"/>
    </row>
    <row r="174" spans="1:18" ht="16.149999999999999" customHeight="1" x14ac:dyDescent="0.25">
      <c r="A174" s="84"/>
      <c r="B174" s="3"/>
      <c r="D174" s="3"/>
      <c r="F174" s="79"/>
      <c r="H174" s="39"/>
      <c r="I174" s="3"/>
      <c r="J174" s="39"/>
      <c r="K174" s="3"/>
      <c r="L174" s="3"/>
      <c r="M174" s="3"/>
      <c r="N174" s="3"/>
      <c r="O174" s="3"/>
      <c r="P174" s="3"/>
      <c r="Q174" s="3"/>
      <c r="R174" s="3"/>
    </row>
    <row r="175" spans="1:18" ht="16.149999999999999" customHeight="1" x14ac:dyDescent="0.25">
      <c r="A175" s="84"/>
      <c r="B175" s="3"/>
      <c r="D175" s="3"/>
      <c r="F175" s="79"/>
      <c r="H175" s="39"/>
      <c r="I175" s="3"/>
      <c r="J175" s="39"/>
      <c r="K175" s="3"/>
      <c r="L175" s="3"/>
      <c r="M175" s="3"/>
      <c r="N175" s="3"/>
      <c r="O175" s="3"/>
      <c r="P175" s="3"/>
      <c r="Q175" s="3"/>
      <c r="R175" s="3"/>
    </row>
    <row r="176" spans="1:18" ht="16.149999999999999" customHeight="1" x14ac:dyDescent="0.25">
      <c r="A176" s="84"/>
      <c r="B176" s="3"/>
      <c r="D176" s="3"/>
      <c r="F176" s="79"/>
      <c r="H176" s="39"/>
      <c r="I176" s="3"/>
      <c r="J176" s="39"/>
      <c r="K176" s="3"/>
      <c r="L176" s="3"/>
      <c r="M176" s="3"/>
      <c r="N176" s="3"/>
      <c r="O176" s="3"/>
      <c r="P176" s="3"/>
      <c r="Q176" s="3"/>
      <c r="R176" s="3"/>
    </row>
    <row r="177" spans="1:18" ht="16.149999999999999" customHeight="1" x14ac:dyDescent="0.25">
      <c r="A177" s="84"/>
      <c r="B177" s="3"/>
      <c r="D177" s="3"/>
      <c r="F177" s="79"/>
      <c r="H177" s="39"/>
      <c r="I177" s="3"/>
      <c r="J177" s="39"/>
      <c r="K177" s="3"/>
      <c r="L177" s="3"/>
      <c r="M177" s="3"/>
      <c r="N177" s="3"/>
      <c r="O177" s="3"/>
      <c r="P177" s="3"/>
      <c r="Q177" s="3"/>
      <c r="R177" s="3"/>
    </row>
    <row r="178" spans="1:18" ht="16.149999999999999" customHeight="1" x14ac:dyDescent="0.25">
      <c r="A178" s="84"/>
      <c r="B178" s="3"/>
      <c r="D178" s="3"/>
      <c r="F178" s="79"/>
      <c r="H178" s="39"/>
      <c r="I178" s="3"/>
      <c r="J178" s="39"/>
      <c r="K178" s="3"/>
      <c r="L178" s="3"/>
      <c r="M178" s="3"/>
      <c r="N178" s="3"/>
      <c r="O178" s="3"/>
      <c r="P178" s="3"/>
      <c r="Q178" s="3"/>
      <c r="R178" s="3"/>
    </row>
    <row r="179" spans="1:18" ht="16.149999999999999" customHeight="1" x14ac:dyDescent="0.25">
      <c r="A179" s="84"/>
      <c r="B179" s="3"/>
      <c r="D179" s="3"/>
      <c r="F179" s="79"/>
      <c r="H179" s="39"/>
      <c r="I179" s="3"/>
      <c r="J179" s="39"/>
      <c r="K179" s="3"/>
      <c r="L179" s="3"/>
      <c r="M179" s="3"/>
      <c r="N179" s="3"/>
      <c r="O179" s="3"/>
      <c r="P179" s="3"/>
      <c r="Q179" s="3"/>
      <c r="R179" s="3"/>
    </row>
    <row r="180" spans="1:18" ht="16.149999999999999" customHeight="1" x14ac:dyDescent="0.25">
      <c r="A180" s="84"/>
      <c r="B180" s="3"/>
      <c r="D180" s="3"/>
      <c r="F180" s="79"/>
      <c r="H180" s="39"/>
      <c r="I180" s="3"/>
      <c r="J180" s="39"/>
      <c r="K180" s="3"/>
      <c r="L180" s="3"/>
      <c r="M180" s="3"/>
      <c r="N180" s="3"/>
      <c r="O180" s="3"/>
      <c r="P180" s="3"/>
      <c r="Q180" s="3"/>
      <c r="R180" s="3"/>
    </row>
    <row r="181" spans="1:18" ht="16.149999999999999" customHeight="1" x14ac:dyDescent="0.25">
      <c r="A181" s="84"/>
      <c r="B181" s="3"/>
      <c r="D181" s="3"/>
      <c r="F181" s="79"/>
      <c r="H181" s="39"/>
      <c r="I181" s="3"/>
      <c r="J181" s="39"/>
      <c r="K181" s="3"/>
      <c r="L181" s="3"/>
      <c r="M181" s="3"/>
      <c r="N181" s="3"/>
      <c r="O181" s="3"/>
      <c r="P181" s="3"/>
      <c r="Q181" s="3"/>
      <c r="R181" s="3"/>
    </row>
    <row r="182" spans="1:18" ht="16.149999999999999" customHeight="1" x14ac:dyDescent="0.25">
      <c r="A182" s="84"/>
      <c r="B182" s="3"/>
      <c r="D182" s="3"/>
      <c r="F182" s="79"/>
      <c r="H182" s="39"/>
      <c r="I182" s="3"/>
      <c r="J182" s="39"/>
      <c r="K182" s="3"/>
      <c r="L182" s="3"/>
      <c r="M182" s="3"/>
      <c r="N182" s="3"/>
      <c r="O182" s="3"/>
      <c r="P182" s="3"/>
      <c r="Q182" s="3"/>
      <c r="R182" s="3"/>
    </row>
    <row r="183" spans="1:18" ht="16.149999999999999" customHeight="1" x14ac:dyDescent="0.25">
      <c r="A183" s="84"/>
      <c r="B183" s="3"/>
      <c r="D183" s="3"/>
      <c r="F183" s="79"/>
      <c r="H183" s="39"/>
      <c r="I183" s="3"/>
      <c r="J183" s="39"/>
      <c r="K183" s="3"/>
      <c r="L183" s="3"/>
      <c r="M183" s="3"/>
      <c r="N183" s="3"/>
      <c r="O183" s="3"/>
      <c r="P183" s="3"/>
      <c r="Q183" s="3"/>
      <c r="R183" s="3"/>
    </row>
    <row r="184" spans="1:18" ht="16.149999999999999" customHeight="1" x14ac:dyDescent="0.25">
      <c r="A184" s="84"/>
      <c r="B184" s="3"/>
      <c r="D184" s="3"/>
      <c r="F184" s="79"/>
      <c r="H184" s="39"/>
      <c r="I184" s="3"/>
      <c r="J184" s="39"/>
      <c r="K184" s="3"/>
      <c r="L184" s="3"/>
      <c r="M184" s="3"/>
      <c r="N184" s="3"/>
      <c r="O184" s="3"/>
      <c r="P184" s="3"/>
      <c r="Q184" s="3"/>
      <c r="R184" s="3"/>
    </row>
    <row r="185" spans="1:18" ht="16.149999999999999" customHeight="1" x14ac:dyDescent="0.25">
      <c r="A185" s="84"/>
      <c r="B185" s="3"/>
      <c r="D185" s="3"/>
      <c r="F185" s="79"/>
      <c r="H185" s="39"/>
      <c r="I185" s="3"/>
      <c r="J185" s="39"/>
      <c r="K185" s="3"/>
      <c r="L185" s="3"/>
      <c r="M185" s="3"/>
      <c r="N185" s="3"/>
      <c r="O185" s="3"/>
      <c r="P185" s="3"/>
      <c r="Q185" s="3"/>
      <c r="R185" s="3"/>
    </row>
    <row r="186" spans="1:18" ht="16.149999999999999" customHeight="1" x14ac:dyDescent="0.25">
      <c r="A186" s="84"/>
      <c r="B186" s="3"/>
      <c r="D186" s="3"/>
      <c r="F186" s="79"/>
      <c r="H186" s="39"/>
      <c r="I186" s="3"/>
      <c r="J186" s="39"/>
      <c r="K186" s="3"/>
      <c r="L186" s="3"/>
      <c r="M186" s="3"/>
      <c r="N186" s="3"/>
      <c r="O186" s="3"/>
      <c r="P186" s="3"/>
      <c r="Q186" s="3"/>
      <c r="R186" s="3"/>
    </row>
    <row r="187" spans="1:18" ht="16.149999999999999" customHeight="1" x14ac:dyDescent="0.25">
      <c r="A187" s="84"/>
      <c r="B187" s="3"/>
      <c r="D187" s="3"/>
      <c r="F187" s="79"/>
      <c r="H187" s="39"/>
      <c r="I187" s="3"/>
      <c r="J187" s="39"/>
      <c r="K187" s="3"/>
      <c r="L187" s="3"/>
      <c r="M187" s="3"/>
      <c r="N187" s="3"/>
      <c r="O187" s="3"/>
      <c r="P187" s="3"/>
      <c r="Q187" s="3"/>
      <c r="R187" s="3"/>
    </row>
    <row r="188" spans="1:18" ht="16.149999999999999" customHeight="1" x14ac:dyDescent="0.25">
      <c r="A188" s="84"/>
      <c r="B188" s="3"/>
      <c r="D188" s="3"/>
      <c r="F188" s="79"/>
      <c r="H188" s="39"/>
      <c r="I188" s="3"/>
      <c r="J188" s="39"/>
      <c r="K188" s="3"/>
      <c r="L188" s="3"/>
      <c r="M188" s="3"/>
      <c r="N188" s="3"/>
      <c r="O188" s="3"/>
      <c r="P188" s="3"/>
      <c r="Q188" s="3"/>
      <c r="R188" s="3"/>
    </row>
    <row r="189" spans="1:18" ht="16.149999999999999" customHeight="1" x14ac:dyDescent="0.25">
      <c r="A189" s="84"/>
      <c r="B189" s="3"/>
      <c r="D189" s="3"/>
      <c r="F189" s="79"/>
      <c r="H189" s="39"/>
      <c r="I189" s="3"/>
      <c r="J189" s="39"/>
      <c r="K189" s="3"/>
      <c r="L189" s="3"/>
      <c r="M189" s="3"/>
      <c r="N189" s="3"/>
      <c r="O189" s="3"/>
      <c r="P189" s="3"/>
      <c r="Q189" s="3"/>
      <c r="R189" s="3"/>
    </row>
    <row r="190" spans="1:18" ht="16.149999999999999" customHeight="1" x14ac:dyDescent="0.25">
      <c r="A190" s="84"/>
      <c r="B190" s="3"/>
      <c r="D190" s="3"/>
      <c r="F190" s="79"/>
      <c r="H190" s="39"/>
      <c r="I190" s="3"/>
      <c r="J190" s="39"/>
      <c r="K190" s="3"/>
      <c r="L190" s="3"/>
      <c r="M190" s="3"/>
      <c r="N190" s="3"/>
      <c r="O190" s="3"/>
      <c r="P190" s="3"/>
      <c r="Q190" s="3"/>
      <c r="R190" s="3"/>
    </row>
    <row r="191" spans="1:18" ht="16.149999999999999" customHeight="1" x14ac:dyDescent="0.25">
      <c r="A191" s="84"/>
      <c r="B191" s="3"/>
      <c r="D191" s="3"/>
      <c r="F191" s="79"/>
      <c r="H191" s="39"/>
      <c r="I191" s="3"/>
      <c r="J191" s="39"/>
      <c r="K191" s="3"/>
      <c r="L191" s="3"/>
      <c r="M191" s="3"/>
      <c r="N191" s="3"/>
      <c r="O191" s="3"/>
      <c r="P191" s="3"/>
      <c r="Q191" s="3"/>
      <c r="R191" s="3"/>
    </row>
    <row r="192" spans="1:18" ht="16.149999999999999" customHeight="1" x14ac:dyDescent="0.25">
      <c r="A192" s="84"/>
      <c r="B192" s="3"/>
      <c r="D192" s="3"/>
      <c r="F192" s="79"/>
      <c r="H192" s="39"/>
      <c r="I192" s="3"/>
      <c r="J192" s="39"/>
      <c r="K192" s="3"/>
      <c r="L192" s="3"/>
      <c r="M192" s="3"/>
      <c r="N192" s="3"/>
      <c r="O192" s="3"/>
      <c r="P192" s="3"/>
      <c r="Q192" s="3"/>
      <c r="R192" s="3"/>
    </row>
    <row r="193" spans="1:18" ht="16.149999999999999" customHeight="1" x14ac:dyDescent="0.25">
      <c r="A193" s="84"/>
      <c r="B193" s="3"/>
      <c r="D193" s="3"/>
      <c r="F193" s="79"/>
      <c r="H193" s="39"/>
      <c r="I193" s="3"/>
      <c r="J193" s="39"/>
      <c r="K193" s="3"/>
      <c r="L193" s="3"/>
      <c r="M193" s="3"/>
      <c r="N193" s="3"/>
      <c r="O193" s="3"/>
      <c r="P193" s="3"/>
      <c r="Q193" s="3"/>
      <c r="R193" s="3"/>
    </row>
    <row r="194" spans="1:18" ht="16.149999999999999" customHeight="1" x14ac:dyDescent="0.25">
      <c r="A194" s="84"/>
      <c r="B194" s="3"/>
      <c r="D194" s="3"/>
      <c r="F194" s="79"/>
      <c r="H194" s="39"/>
      <c r="I194" s="3"/>
      <c r="J194" s="39"/>
      <c r="K194" s="3"/>
      <c r="L194" s="3"/>
      <c r="M194" s="3"/>
      <c r="N194" s="3"/>
      <c r="O194" s="3"/>
      <c r="P194" s="3"/>
      <c r="Q194" s="3"/>
      <c r="R194" s="3"/>
    </row>
    <row r="195" spans="1:18" ht="16.149999999999999" customHeight="1" x14ac:dyDescent="0.25">
      <c r="A195" s="84"/>
      <c r="B195" s="3"/>
      <c r="D195" s="3"/>
      <c r="F195" s="79"/>
      <c r="H195" s="39"/>
      <c r="I195" s="3"/>
      <c r="J195" s="39"/>
      <c r="K195" s="3"/>
      <c r="L195" s="3"/>
      <c r="M195" s="3"/>
      <c r="N195" s="3"/>
      <c r="O195" s="3"/>
      <c r="P195" s="3"/>
      <c r="Q195" s="3"/>
      <c r="R195" s="3"/>
    </row>
    <row r="196" spans="1:18" ht="16.149999999999999" customHeight="1" x14ac:dyDescent="0.25">
      <c r="A196" s="84"/>
      <c r="B196" s="3"/>
      <c r="D196" s="3"/>
      <c r="F196" s="79"/>
      <c r="H196" s="39"/>
      <c r="I196" s="3"/>
      <c r="J196" s="39"/>
      <c r="K196" s="3"/>
      <c r="L196" s="3"/>
      <c r="M196" s="3"/>
      <c r="N196" s="3"/>
      <c r="O196" s="3"/>
      <c r="P196" s="3"/>
      <c r="Q196" s="3"/>
      <c r="R196" s="3"/>
    </row>
    <row r="197" spans="1:18" ht="16.149999999999999" customHeight="1" x14ac:dyDescent="0.25">
      <c r="A197" s="84"/>
      <c r="B197" s="3"/>
      <c r="D197" s="3"/>
      <c r="F197" s="79"/>
      <c r="H197" s="39"/>
      <c r="I197" s="3"/>
      <c r="J197" s="39"/>
      <c r="K197" s="3"/>
      <c r="L197" s="3"/>
      <c r="M197" s="3"/>
      <c r="N197" s="3"/>
      <c r="O197" s="3"/>
      <c r="P197" s="3"/>
      <c r="Q197" s="3"/>
      <c r="R197" s="3"/>
    </row>
    <row r="198" spans="1:18" ht="16.149999999999999" customHeight="1" x14ac:dyDescent="0.25">
      <c r="A198" s="84"/>
      <c r="B198" s="3"/>
      <c r="D198" s="3"/>
      <c r="F198" s="79"/>
      <c r="H198" s="39"/>
      <c r="I198" s="3"/>
      <c r="J198" s="39"/>
      <c r="K198" s="3"/>
      <c r="L198" s="3"/>
      <c r="M198" s="3"/>
      <c r="N198" s="3"/>
      <c r="O198" s="3"/>
      <c r="P198" s="3"/>
      <c r="Q198" s="3"/>
      <c r="R198" s="3"/>
    </row>
    <row r="199" spans="1:18" ht="16.149999999999999" customHeight="1" x14ac:dyDescent="0.25">
      <c r="A199" s="84"/>
      <c r="B199" s="3"/>
      <c r="D199" s="3"/>
      <c r="F199" s="79"/>
      <c r="H199" s="39"/>
      <c r="I199" s="3"/>
      <c r="J199" s="39"/>
      <c r="K199" s="3"/>
      <c r="L199" s="3"/>
      <c r="M199" s="3"/>
      <c r="N199" s="3"/>
      <c r="O199" s="3"/>
      <c r="P199" s="3"/>
      <c r="Q199" s="3"/>
      <c r="R199" s="3"/>
    </row>
    <row r="200" spans="1:18" ht="16.149999999999999" customHeight="1" x14ac:dyDescent="0.25">
      <c r="A200" s="84"/>
      <c r="B200" s="3"/>
      <c r="D200" s="3"/>
      <c r="F200" s="79"/>
      <c r="H200" s="39"/>
      <c r="I200" s="3"/>
      <c r="J200" s="39"/>
      <c r="K200" s="3"/>
      <c r="L200" s="3"/>
      <c r="M200" s="3"/>
      <c r="N200" s="3"/>
      <c r="O200" s="3"/>
      <c r="P200" s="3"/>
      <c r="Q200" s="3"/>
      <c r="R200" s="3"/>
    </row>
    <row r="201" spans="1:18" ht="16.149999999999999" customHeight="1" x14ac:dyDescent="0.25">
      <c r="A201" s="84"/>
      <c r="B201" s="3"/>
      <c r="D201" s="3"/>
      <c r="F201" s="79"/>
      <c r="H201" s="39"/>
      <c r="I201" s="3"/>
      <c r="J201" s="39"/>
      <c r="K201" s="3"/>
      <c r="L201" s="3"/>
      <c r="M201" s="3"/>
      <c r="N201" s="3"/>
      <c r="O201" s="3"/>
      <c r="P201" s="3"/>
      <c r="Q201" s="3"/>
      <c r="R201" s="3"/>
    </row>
    <row r="202" spans="1:18" ht="16.149999999999999" customHeight="1" x14ac:dyDescent="0.25">
      <c r="A202" s="84"/>
      <c r="B202" s="3"/>
      <c r="D202" s="3"/>
      <c r="F202" s="79"/>
      <c r="H202" s="39"/>
      <c r="I202" s="3"/>
      <c r="J202" s="39"/>
      <c r="K202" s="3"/>
      <c r="L202" s="3"/>
      <c r="M202" s="3"/>
      <c r="N202" s="3"/>
      <c r="O202" s="3"/>
      <c r="P202" s="3"/>
      <c r="Q202" s="3"/>
      <c r="R202" s="3"/>
    </row>
    <row r="203" spans="1:18" ht="16.149999999999999" customHeight="1" x14ac:dyDescent="0.25">
      <c r="A203" s="84"/>
      <c r="B203" s="3"/>
      <c r="D203" s="3"/>
      <c r="F203" s="79"/>
      <c r="H203" s="39"/>
      <c r="I203" s="3"/>
      <c r="J203" s="39"/>
      <c r="K203" s="3"/>
      <c r="L203" s="3"/>
      <c r="M203" s="3"/>
      <c r="N203" s="3"/>
      <c r="O203" s="3"/>
      <c r="P203" s="3"/>
      <c r="Q203" s="3"/>
      <c r="R203" s="3"/>
    </row>
    <row r="204" spans="1:18" ht="16.149999999999999" customHeight="1" x14ac:dyDescent="0.25">
      <c r="A204" s="84"/>
      <c r="B204" s="3"/>
      <c r="D204" s="3"/>
      <c r="F204" s="79"/>
      <c r="H204" s="39"/>
      <c r="I204" s="3"/>
      <c r="J204" s="39"/>
      <c r="K204" s="3"/>
      <c r="L204" s="3"/>
      <c r="M204" s="3"/>
      <c r="N204" s="3"/>
      <c r="O204" s="3"/>
      <c r="P204" s="3"/>
      <c r="Q204" s="3"/>
      <c r="R204" s="3"/>
    </row>
    <row r="205" spans="1:18" ht="16.149999999999999" customHeight="1" x14ac:dyDescent="0.25">
      <c r="A205" s="84"/>
      <c r="B205" s="3"/>
      <c r="D205" s="3"/>
      <c r="F205" s="79"/>
      <c r="H205" s="39"/>
      <c r="I205" s="3"/>
      <c r="J205" s="39"/>
      <c r="K205" s="3"/>
      <c r="L205" s="3"/>
      <c r="M205" s="3"/>
      <c r="N205" s="3"/>
      <c r="O205" s="3"/>
      <c r="P205" s="3"/>
      <c r="Q205" s="3"/>
      <c r="R205" s="3"/>
    </row>
    <row r="206" spans="1:18" ht="16.149999999999999" customHeight="1" x14ac:dyDescent="0.25">
      <c r="A206" s="84"/>
      <c r="B206" s="3"/>
      <c r="D206" s="3"/>
      <c r="F206" s="79"/>
      <c r="H206" s="39"/>
      <c r="I206" s="3"/>
      <c r="J206" s="39"/>
      <c r="K206" s="3"/>
      <c r="L206" s="3"/>
      <c r="M206" s="3"/>
      <c r="N206" s="3"/>
      <c r="O206" s="3"/>
      <c r="P206" s="3"/>
      <c r="Q206" s="3"/>
      <c r="R206" s="3"/>
    </row>
    <row r="207" spans="1:18" ht="16.149999999999999" customHeight="1" x14ac:dyDescent="0.25">
      <c r="A207" s="84"/>
      <c r="B207" s="3"/>
      <c r="D207" s="3"/>
      <c r="F207" s="79"/>
      <c r="H207" s="39"/>
      <c r="I207" s="3"/>
      <c r="J207" s="39"/>
      <c r="K207" s="3"/>
      <c r="L207" s="3"/>
      <c r="M207" s="3"/>
      <c r="N207" s="3"/>
      <c r="O207" s="3"/>
      <c r="P207" s="3"/>
      <c r="Q207" s="3"/>
      <c r="R207" s="3"/>
    </row>
    <row r="208" spans="1:18" ht="16.149999999999999" customHeight="1" x14ac:dyDescent="0.25">
      <c r="A208" s="84"/>
      <c r="B208" s="3"/>
      <c r="D208" s="3"/>
      <c r="F208" s="79"/>
      <c r="H208" s="39"/>
      <c r="I208" s="3"/>
      <c r="J208" s="39"/>
      <c r="K208" s="3"/>
      <c r="L208" s="3"/>
      <c r="M208" s="3"/>
      <c r="N208" s="3"/>
      <c r="O208" s="3"/>
      <c r="P208" s="3"/>
      <c r="Q208" s="3"/>
      <c r="R208" s="3"/>
    </row>
    <row r="209" spans="1:18" ht="16.149999999999999" customHeight="1" x14ac:dyDescent="0.25">
      <c r="A209" s="84"/>
      <c r="B209" s="3"/>
      <c r="D209" s="3"/>
      <c r="F209" s="79"/>
      <c r="H209" s="39"/>
      <c r="I209" s="3"/>
      <c r="J209" s="39"/>
      <c r="K209" s="3"/>
      <c r="L209" s="3"/>
      <c r="M209" s="3"/>
      <c r="N209" s="3"/>
      <c r="O209" s="3"/>
      <c r="P209" s="3"/>
      <c r="Q209" s="3"/>
      <c r="R209" s="3"/>
    </row>
    <row r="210" spans="1:18" ht="16.149999999999999" customHeight="1" x14ac:dyDescent="0.25">
      <c r="A210" s="84"/>
      <c r="B210" s="3"/>
      <c r="D210" s="3"/>
      <c r="F210" s="79"/>
      <c r="H210" s="39"/>
      <c r="I210" s="3"/>
      <c r="J210" s="39"/>
      <c r="K210" s="3"/>
      <c r="L210" s="3"/>
      <c r="M210" s="3"/>
      <c r="N210" s="3"/>
      <c r="O210" s="3"/>
      <c r="P210" s="3"/>
      <c r="Q210" s="3"/>
      <c r="R210" s="3"/>
    </row>
    <row r="211" spans="1:18" ht="16.149999999999999" customHeight="1" x14ac:dyDescent="0.25">
      <c r="A211" s="84"/>
      <c r="B211" s="3"/>
      <c r="D211" s="3"/>
      <c r="F211" s="79"/>
      <c r="H211" s="39"/>
      <c r="I211" s="3"/>
      <c r="J211" s="39"/>
      <c r="K211" s="3"/>
      <c r="L211" s="3"/>
      <c r="M211" s="3"/>
      <c r="N211" s="3"/>
      <c r="O211" s="3"/>
      <c r="P211" s="3"/>
      <c r="Q211" s="3"/>
      <c r="R211" s="3"/>
    </row>
    <row r="212" spans="1:18" ht="16.149999999999999" customHeight="1" x14ac:dyDescent="0.25">
      <c r="A212" s="84"/>
      <c r="B212" s="3"/>
      <c r="D212" s="3"/>
      <c r="F212" s="79"/>
      <c r="H212" s="39"/>
      <c r="I212" s="3"/>
      <c r="J212" s="39"/>
      <c r="K212" s="3"/>
      <c r="L212" s="3"/>
      <c r="M212" s="3"/>
      <c r="N212" s="3"/>
      <c r="O212" s="3"/>
      <c r="P212" s="3"/>
      <c r="Q212" s="3"/>
      <c r="R212" s="3"/>
    </row>
    <row r="213" spans="1:18" ht="16.149999999999999" customHeight="1" x14ac:dyDescent="0.25">
      <c r="A213" s="84"/>
      <c r="B213" s="3"/>
      <c r="D213" s="3"/>
      <c r="F213" s="79"/>
      <c r="H213" s="39"/>
      <c r="I213" s="3"/>
      <c r="J213" s="39"/>
      <c r="K213" s="3"/>
      <c r="L213" s="3"/>
      <c r="M213" s="3"/>
      <c r="N213" s="3"/>
      <c r="O213" s="3"/>
      <c r="P213" s="3"/>
      <c r="Q213" s="3"/>
      <c r="R213" s="3"/>
    </row>
    <row r="214" spans="1:18" ht="16.149999999999999" customHeight="1" x14ac:dyDescent="0.25">
      <c r="A214" s="84"/>
      <c r="B214" s="3"/>
      <c r="D214" s="3"/>
      <c r="F214" s="79"/>
      <c r="H214" s="39"/>
      <c r="I214" s="3"/>
      <c r="J214" s="39"/>
      <c r="K214" s="3"/>
      <c r="L214" s="3"/>
      <c r="M214" s="3"/>
      <c r="N214" s="3"/>
      <c r="O214" s="3"/>
      <c r="P214" s="3"/>
      <c r="Q214" s="3"/>
      <c r="R214" s="3"/>
    </row>
    <row r="215" spans="1:18" ht="16.149999999999999" customHeight="1" x14ac:dyDescent="0.25">
      <c r="A215" s="84"/>
      <c r="B215" s="3"/>
      <c r="D215" s="3"/>
      <c r="F215" s="79"/>
      <c r="H215" s="39"/>
      <c r="I215" s="3"/>
      <c r="J215" s="39"/>
      <c r="K215" s="3"/>
      <c r="L215" s="3"/>
      <c r="M215" s="3"/>
      <c r="N215" s="3"/>
      <c r="O215" s="3"/>
      <c r="P215" s="3"/>
      <c r="Q215" s="3"/>
      <c r="R215" s="3"/>
    </row>
    <row r="216" spans="1:18" ht="16.149999999999999" customHeight="1" x14ac:dyDescent="0.25">
      <c r="A216" s="84"/>
      <c r="B216" s="3"/>
      <c r="D216" s="3"/>
      <c r="F216" s="79"/>
      <c r="H216" s="39"/>
      <c r="I216" s="3"/>
      <c r="J216" s="39"/>
      <c r="K216" s="3"/>
      <c r="L216" s="3"/>
      <c r="M216" s="3"/>
      <c r="N216" s="3"/>
      <c r="O216" s="3"/>
      <c r="P216" s="3"/>
      <c r="Q216" s="3"/>
      <c r="R216" s="3"/>
    </row>
    <row r="217" spans="1:18" ht="16.149999999999999" customHeight="1" x14ac:dyDescent="0.25">
      <c r="A217" s="84"/>
      <c r="B217" s="3"/>
      <c r="D217" s="3"/>
      <c r="F217" s="79"/>
      <c r="H217" s="39"/>
      <c r="I217" s="3"/>
      <c r="J217" s="39"/>
      <c r="K217" s="3"/>
      <c r="L217" s="3"/>
      <c r="M217" s="3"/>
      <c r="N217" s="3"/>
      <c r="O217" s="3"/>
      <c r="P217" s="3"/>
      <c r="Q217" s="3"/>
      <c r="R217" s="3"/>
    </row>
    <row r="218" spans="1:18" ht="16.149999999999999" customHeight="1" x14ac:dyDescent="0.25">
      <c r="A218" s="84"/>
      <c r="B218" s="3"/>
      <c r="D218" s="3"/>
      <c r="F218" s="79"/>
      <c r="H218" s="39"/>
      <c r="I218" s="3"/>
      <c r="J218" s="39"/>
      <c r="K218" s="3"/>
      <c r="L218" s="3"/>
      <c r="M218" s="3"/>
      <c r="N218" s="3"/>
      <c r="O218" s="3"/>
      <c r="P218" s="3"/>
      <c r="Q218" s="3"/>
      <c r="R218" s="3"/>
    </row>
    <row r="219" spans="1:18" ht="16.149999999999999" customHeight="1" x14ac:dyDescent="0.25">
      <c r="A219" s="84"/>
      <c r="B219" s="3"/>
      <c r="D219" s="3"/>
      <c r="F219" s="79"/>
      <c r="H219" s="39"/>
      <c r="I219" s="3"/>
      <c r="J219" s="39"/>
      <c r="K219" s="3"/>
      <c r="L219" s="3"/>
      <c r="M219" s="3"/>
      <c r="N219" s="3"/>
      <c r="O219" s="3"/>
      <c r="P219" s="3"/>
      <c r="Q219" s="3"/>
      <c r="R219" s="3"/>
    </row>
    <row r="220" spans="1:18" ht="16.149999999999999" customHeight="1" x14ac:dyDescent="0.25">
      <c r="A220" s="84"/>
      <c r="B220" s="3"/>
      <c r="D220" s="3"/>
      <c r="F220" s="79"/>
      <c r="H220" s="39"/>
      <c r="I220" s="3"/>
      <c r="J220" s="39"/>
      <c r="K220" s="3"/>
      <c r="L220" s="3"/>
      <c r="M220" s="3"/>
      <c r="N220" s="3"/>
      <c r="O220" s="3"/>
      <c r="P220" s="3"/>
      <c r="Q220" s="3"/>
      <c r="R220" s="3"/>
    </row>
    <row r="221" spans="1:18" ht="16.149999999999999" customHeight="1" x14ac:dyDescent="0.25">
      <c r="A221" s="84"/>
      <c r="B221" s="3"/>
      <c r="D221" s="3"/>
      <c r="F221" s="79"/>
      <c r="H221" s="39"/>
      <c r="I221" s="3"/>
      <c r="J221" s="39"/>
      <c r="K221" s="3"/>
      <c r="L221" s="3"/>
      <c r="M221" s="3"/>
      <c r="N221" s="3"/>
      <c r="O221" s="3"/>
      <c r="P221" s="3"/>
      <c r="Q221" s="3"/>
      <c r="R221" s="3"/>
    </row>
    <row r="222" spans="1:18" ht="16.149999999999999" customHeight="1" x14ac:dyDescent="0.25">
      <c r="A222" s="84"/>
      <c r="B222" s="3"/>
      <c r="D222" s="3"/>
      <c r="F222" s="79"/>
      <c r="H222" s="39"/>
      <c r="I222" s="3"/>
      <c r="J222" s="39"/>
      <c r="K222" s="3"/>
      <c r="L222" s="3"/>
      <c r="M222" s="3"/>
      <c r="N222" s="3"/>
      <c r="O222" s="3"/>
      <c r="P222" s="3"/>
      <c r="Q222" s="3"/>
      <c r="R222" s="3"/>
    </row>
    <row r="223" spans="1:18" ht="16.149999999999999" customHeight="1" x14ac:dyDescent="0.25">
      <c r="A223" s="84"/>
      <c r="B223" s="3"/>
      <c r="D223" s="3"/>
      <c r="F223" s="79"/>
      <c r="H223" s="39"/>
      <c r="I223" s="3"/>
      <c r="J223" s="39"/>
      <c r="K223" s="3"/>
      <c r="L223" s="3"/>
      <c r="M223" s="3"/>
      <c r="N223" s="3"/>
      <c r="O223" s="3"/>
      <c r="P223" s="3"/>
      <c r="Q223" s="3"/>
      <c r="R223" s="3"/>
    </row>
    <row r="224" spans="1:18" ht="16.149999999999999" customHeight="1" x14ac:dyDescent="0.25">
      <c r="A224" s="84"/>
      <c r="B224" s="3"/>
      <c r="D224" s="3"/>
      <c r="F224" s="79"/>
      <c r="H224" s="39"/>
      <c r="I224" s="3"/>
      <c r="J224" s="39"/>
      <c r="K224" s="3"/>
      <c r="L224" s="3"/>
      <c r="M224" s="3"/>
      <c r="N224" s="3"/>
      <c r="O224" s="3"/>
      <c r="P224" s="3"/>
      <c r="Q224" s="3"/>
      <c r="R224" s="3"/>
    </row>
    <row r="225" spans="1:18" ht="16.149999999999999" customHeight="1" x14ac:dyDescent="0.25">
      <c r="A225" s="84"/>
      <c r="B225" s="3"/>
      <c r="D225" s="3"/>
      <c r="F225" s="79"/>
      <c r="H225" s="39"/>
      <c r="I225" s="3"/>
      <c r="J225" s="39"/>
      <c r="K225" s="3"/>
      <c r="L225" s="3"/>
      <c r="M225" s="3"/>
      <c r="N225" s="3"/>
      <c r="O225" s="3"/>
      <c r="P225" s="3"/>
      <c r="Q225" s="3"/>
      <c r="R225" s="3"/>
    </row>
    <row r="226" spans="1:18" ht="16.149999999999999" customHeight="1" x14ac:dyDescent="0.25">
      <c r="A226" s="84"/>
      <c r="B226" s="3"/>
      <c r="D226" s="3"/>
      <c r="F226" s="79"/>
      <c r="H226" s="39"/>
      <c r="I226" s="3"/>
      <c r="J226" s="39"/>
      <c r="K226" s="3"/>
      <c r="L226" s="3"/>
      <c r="M226" s="3"/>
      <c r="N226" s="3"/>
      <c r="O226" s="3"/>
      <c r="P226" s="3"/>
      <c r="Q226" s="3"/>
      <c r="R226" s="3"/>
    </row>
    <row r="227" spans="1:18" ht="16.149999999999999" customHeight="1" x14ac:dyDescent="0.25">
      <c r="A227" s="84"/>
      <c r="B227" s="3"/>
      <c r="D227" s="3"/>
      <c r="F227" s="79"/>
      <c r="H227" s="39"/>
      <c r="I227" s="3"/>
      <c r="J227" s="39"/>
      <c r="K227" s="3"/>
      <c r="L227" s="3"/>
      <c r="M227" s="3"/>
      <c r="N227" s="3"/>
      <c r="O227" s="3"/>
      <c r="P227" s="3"/>
      <c r="Q227" s="3"/>
      <c r="R227" s="3"/>
    </row>
    <row r="228" spans="1:18" ht="16.149999999999999" customHeight="1" x14ac:dyDescent="0.25">
      <c r="A228" s="84"/>
      <c r="B228" s="3"/>
      <c r="D228" s="3"/>
      <c r="F228" s="79"/>
      <c r="H228" s="39"/>
      <c r="I228" s="3"/>
      <c r="J228" s="39"/>
      <c r="K228" s="3"/>
      <c r="L228" s="3"/>
      <c r="M228" s="3"/>
      <c r="N228" s="3"/>
      <c r="O228" s="3"/>
      <c r="P228" s="3"/>
      <c r="Q228" s="3"/>
      <c r="R228" s="3"/>
    </row>
    <row r="229" spans="1:18" ht="16.149999999999999" customHeight="1" x14ac:dyDescent="0.25">
      <c r="A229" s="84"/>
      <c r="B229" s="3"/>
      <c r="D229" s="3"/>
      <c r="F229" s="79"/>
      <c r="H229" s="39"/>
      <c r="I229" s="3"/>
      <c r="J229" s="39"/>
      <c r="K229" s="3"/>
      <c r="L229" s="3"/>
      <c r="M229" s="3"/>
      <c r="N229" s="3"/>
      <c r="O229" s="3"/>
      <c r="P229" s="3"/>
      <c r="Q229" s="3"/>
      <c r="R229" s="3"/>
    </row>
    <row r="230" spans="1:18" ht="16.149999999999999" customHeight="1" x14ac:dyDescent="0.25">
      <c r="A230" s="84"/>
      <c r="B230" s="3"/>
      <c r="D230" s="3"/>
      <c r="F230" s="79"/>
      <c r="H230" s="39"/>
      <c r="I230" s="3"/>
      <c r="J230" s="39"/>
      <c r="K230" s="3"/>
      <c r="L230" s="3"/>
      <c r="M230" s="3"/>
      <c r="N230" s="3"/>
      <c r="O230" s="3"/>
      <c r="P230" s="3"/>
      <c r="Q230" s="3"/>
      <c r="R230" s="3"/>
    </row>
    <row r="231" spans="1:18" ht="16.149999999999999" customHeight="1" x14ac:dyDescent="0.25">
      <c r="A231" s="84"/>
      <c r="B231" s="3"/>
      <c r="D231" s="3"/>
      <c r="F231" s="79"/>
      <c r="H231" s="39"/>
      <c r="I231" s="3"/>
      <c r="J231" s="39"/>
      <c r="K231" s="3"/>
      <c r="L231" s="3"/>
      <c r="M231" s="3"/>
      <c r="N231" s="3"/>
      <c r="O231" s="3"/>
      <c r="P231" s="3"/>
      <c r="Q231" s="3"/>
      <c r="R231" s="3"/>
    </row>
    <row r="232" spans="1:18" ht="16.149999999999999" customHeight="1" x14ac:dyDescent="0.25">
      <c r="A232" s="84"/>
      <c r="B232" s="3"/>
      <c r="D232" s="3"/>
      <c r="F232" s="79"/>
      <c r="H232" s="39"/>
      <c r="I232" s="3"/>
      <c r="J232" s="39"/>
      <c r="K232" s="3"/>
      <c r="L232" s="3"/>
      <c r="M232" s="3"/>
      <c r="N232" s="3"/>
      <c r="O232" s="3"/>
      <c r="P232" s="3"/>
      <c r="Q232" s="3"/>
      <c r="R232" s="3"/>
    </row>
    <row r="233" spans="1:18" ht="16.149999999999999" customHeight="1" x14ac:dyDescent="0.25">
      <c r="A233" s="84"/>
      <c r="B233" s="3"/>
      <c r="D233" s="3"/>
      <c r="F233" s="79"/>
      <c r="H233" s="39"/>
      <c r="I233" s="3"/>
      <c r="J233" s="39"/>
      <c r="K233" s="3"/>
      <c r="L233" s="3"/>
      <c r="M233" s="3"/>
      <c r="N233" s="3"/>
      <c r="O233" s="3"/>
      <c r="P233" s="3"/>
      <c r="Q233" s="3"/>
      <c r="R233" s="3"/>
    </row>
    <row r="234" spans="1:18" ht="16.149999999999999" customHeight="1" x14ac:dyDescent="0.25">
      <c r="A234" s="84"/>
      <c r="B234" s="3"/>
      <c r="D234" s="3"/>
      <c r="F234" s="79"/>
      <c r="H234" s="39"/>
      <c r="I234" s="3"/>
      <c r="J234" s="39"/>
      <c r="K234" s="3"/>
      <c r="L234" s="3"/>
      <c r="M234" s="3"/>
      <c r="N234" s="3"/>
      <c r="O234" s="3"/>
      <c r="P234" s="3"/>
      <c r="Q234" s="3"/>
      <c r="R234" s="3"/>
    </row>
    <row r="235" spans="1:18" ht="16.149999999999999" customHeight="1" x14ac:dyDescent="0.25">
      <c r="A235" s="84"/>
      <c r="B235" s="3"/>
      <c r="D235" s="3"/>
      <c r="F235" s="79"/>
      <c r="H235" s="39"/>
      <c r="I235" s="3"/>
      <c r="J235" s="39"/>
      <c r="K235" s="3"/>
      <c r="L235" s="3"/>
      <c r="M235" s="3"/>
      <c r="N235" s="3"/>
      <c r="O235" s="3"/>
      <c r="P235" s="3"/>
      <c r="Q235" s="3"/>
      <c r="R235" s="3"/>
    </row>
    <row r="236" spans="1:18" ht="16.149999999999999" customHeight="1" x14ac:dyDescent="0.25">
      <c r="A236" s="84"/>
      <c r="B236" s="3"/>
      <c r="D236" s="3"/>
      <c r="F236" s="79"/>
      <c r="H236" s="39"/>
      <c r="I236" s="3"/>
      <c r="J236" s="39"/>
      <c r="K236" s="3"/>
      <c r="L236" s="3"/>
      <c r="M236" s="3"/>
      <c r="N236" s="3"/>
      <c r="O236" s="3"/>
      <c r="P236" s="3"/>
      <c r="Q236" s="3"/>
      <c r="R236" s="3"/>
    </row>
    <row r="237" spans="1:18" ht="16.149999999999999" customHeight="1" x14ac:dyDescent="0.25">
      <c r="A237" s="84"/>
      <c r="B237" s="3"/>
      <c r="D237" s="3"/>
      <c r="F237" s="79"/>
      <c r="H237" s="39"/>
      <c r="I237" s="3"/>
      <c r="J237" s="39"/>
      <c r="K237" s="3"/>
      <c r="L237" s="3"/>
      <c r="M237" s="3"/>
      <c r="N237" s="3"/>
      <c r="O237" s="3"/>
      <c r="P237" s="3"/>
      <c r="Q237" s="3"/>
      <c r="R237" s="3"/>
    </row>
    <row r="238" spans="1:18" ht="16.149999999999999" customHeight="1" x14ac:dyDescent="0.25">
      <c r="A238" s="84"/>
      <c r="B238" s="3"/>
      <c r="D238" s="3"/>
      <c r="F238" s="79"/>
      <c r="H238" s="39"/>
      <c r="I238" s="3"/>
      <c r="J238" s="39"/>
      <c r="K238" s="3"/>
      <c r="L238" s="3"/>
      <c r="M238" s="3"/>
      <c r="N238" s="3"/>
      <c r="O238" s="3"/>
      <c r="P238" s="3"/>
      <c r="Q238" s="3"/>
      <c r="R238" s="3"/>
    </row>
    <row r="239" spans="1:18" ht="16.149999999999999" customHeight="1" x14ac:dyDescent="0.25">
      <c r="A239" s="84"/>
      <c r="B239" s="3"/>
      <c r="D239" s="3"/>
      <c r="F239" s="79"/>
      <c r="H239" s="39"/>
      <c r="I239" s="3"/>
      <c r="J239" s="39"/>
      <c r="K239" s="3"/>
      <c r="L239" s="3"/>
      <c r="M239" s="3"/>
      <c r="N239" s="3"/>
      <c r="O239" s="3"/>
      <c r="P239" s="3"/>
      <c r="Q239" s="3"/>
      <c r="R239" s="3"/>
    </row>
    <row r="240" spans="1:18" ht="16.149999999999999" customHeight="1" x14ac:dyDescent="0.25">
      <c r="A240" s="84"/>
      <c r="B240" s="3"/>
      <c r="D240" s="3"/>
      <c r="F240" s="79"/>
      <c r="H240" s="39"/>
      <c r="I240" s="3"/>
      <c r="J240" s="39"/>
      <c r="K240" s="3"/>
      <c r="L240" s="3"/>
      <c r="M240" s="3"/>
      <c r="N240" s="3"/>
      <c r="O240" s="3"/>
      <c r="P240" s="3"/>
      <c r="Q240" s="3"/>
      <c r="R240" s="3"/>
    </row>
    <row r="241" spans="1:18" ht="16.149999999999999" customHeight="1" x14ac:dyDescent="0.25">
      <c r="A241" s="84"/>
      <c r="B241" s="3"/>
      <c r="D241" s="3"/>
      <c r="F241" s="79"/>
      <c r="H241" s="39"/>
      <c r="I241" s="3"/>
      <c r="J241" s="39"/>
      <c r="K241" s="3"/>
      <c r="L241" s="3"/>
      <c r="M241" s="3"/>
      <c r="N241" s="3"/>
      <c r="O241" s="3"/>
      <c r="P241" s="3"/>
      <c r="Q241" s="3"/>
      <c r="R241" s="3"/>
    </row>
    <row r="242" spans="1:18" ht="16.149999999999999" customHeight="1" x14ac:dyDescent="0.25">
      <c r="A242" s="84"/>
      <c r="B242" s="3"/>
      <c r="D242" s="3"/>
      <c r="F242" s="79"/>
      <c r="H242" s="39"/>
      <c r="I242" s="3"/>
      <c r="J242" s="39"/>
      <c r="K242" s="3"/>
      <c r="L242" s="3"/>
      <c r="M242" s="3"/>
      <c r="N242" s="3"/>
      <c r="O242" s="3"/>
      <c r="P242" s="3"/>
      <c r="Q242" s="3"/>
      <c r="R242" s="3"/>
    </row>
    <row r="243" spans="1:18" ht="16.149999999999999" customHeight="1" x14ac:dyDescent="0.25">
      <c r="A243" s="84"/>
      <c r="B243" s="3"/>
      <c r="D243" s="3"/>
      <c r="F243" s="79"/>
      <c r="H243" s="39"/>
      <c r="I243" s="3"/>
      <c r="J243" s="39"/>
      <c r="K243" s="3"/>
      <c r="L243" s="3"/>
      <c r="M243" s="3"/>
      <c r="N243" s="3"/>
      <c r="O243" s="3"/>
      <c r="P243" s="3"/>
      <c r="Q243" s="3"/>
      <c r="R243" s="3"/>
    </row>
    <row r="244" spans="1:18" ht="16.149999999999999" customHeight="1" x14ac:dyDescent="0.25">
      <c r="A244" s="84"/>
      <c r="B244" s="3"/>
      <c r="D244" s="3"/>
      <c r="F244" s="79"/>
      <c r="H244" s="39"/>
      <c r="I244" s="3"/>
      <c r="J244" s="39"/>
      <c r="K244" s="3"/>
      <c r="L244" s="3"/>
      <c r="M244" s="3"/>
      <c r="N244" s="3"/>
      <c r="O244" s="3"/>
      <c r="P244" s="3"/>
      <c r="Q244" s="3"/>
      <c r="R244" s="3"/>
    </row>
    <row r="245" spans="1:18" ht="16.149999999999999" customHeight="1" x14ac:dyDescent="0.25">
      <c r="A245" s="84"/>
      <c r="B245" s="3"/>
      <c r="D245" s="3"/>
      <c r="F245" s="79"/>
      <c r="H245" s="39"/>
      <c r="I245" s="3"/>
      <c r="J245" s="39"/>
      <c r="K245" s="3"/>
      <c r="L245" s="3"/>
      <c r="M245" s="3"/>
      <c r="N245" s="3"/>
      <c r="O245" s="3"/>
      <c r="P245" s="3"/>
      <c r="Q245" s="3"/>
      <c r="R245" s="3"/>
    </row>
    <row r="246" spans="1:18" ht="16.149999999999999" customHeight="1" x14ac:dyDescent="0.25">
      <c r="A246" s="84"/>
      <c r="B246" s="3"/>
      <c r="D246" s="3"/>
      <c r="F246" s="79"/>
      <c r="H246" s="39"/>
      <c r="I246" s="3"/>
      <c r="J246" s="39"/>
      <c r="K246" s="3"/>
      <c r="L246" s="3"/>
      <c r="M246" s="3"/>
      <c r="N246" s="3"/>
      <c r="O246" s="3"/>
      <c r="P246" s="3"/>
      <c r="Q246" s="3"/>
      <c r="R246" s="3"/>
    </row>
    <row r="247" spans="1:18" ht="16.149999999999999" customHeight="1" x14ac:dyDescent="0.25">
      <c r="A247" s="84"/>
      <c r="B247" s="3"/>
      <c r="D247" s="3"/>
      <c r="F247" s="79"/>
      <c r="H247" s="39"/>
      <c r="I247" s="3"/>
      <c r="J247" s="39"/>
      <c r="K247" s="3"/>
      <c r="L247" s="3"/>
      <c r="M247" s="3"/>
      <c r="N247" s="3"/>
      <c r="O247" s="3"/>
      <c r="P247" s="3"/>
      <c r="Q247" s="3"/>
      <c r="R247" s="3"/>
    </row>
    <row r="248" spans="1:18" ht="16.149999999999999" customHeight="1" x14ac:dyDescent="0.25">
      <c r="A248" s="84"/>
      <c r="B248" s="3"/>
      <c r="D248" s="3"/>
      <c r="F248" s="79"/>
      <c r="H248" s="39"/>
      <c r="I248" s="3"/>
      <c r="J248" s="39"/>
      <c r="K248" s="3"/>
      <c r="L248" s="3"/>
      <c r="M248" s="3"/>
      <c r="N248" s="3"/>
      <c r="O248" s="3"/>
      <c r="P248" s="3"/>
      <c r="Q248" s="3"/>
      <c r="R248" s="3"/>
    </row>
    <row r="249" spans="1:18" ht="16.149999999999999" customHeight="1" x14ac:dyDescent="0.25">
      <c r="A249" s="84"/>
      <c r="B249" s="3"/>
      <c r="D249" s="3"/>
      <c r="F249" s="79"/>
      <c r="H249" s="39"/>
      <c r="I249" s="3"/>
      <c r="J249" s="39"/>
      <c r="K249" s="3"/>
      <c r="L249" s="3"/>
      <c r="M249" s="3"/>
      <c r="N249" s="3"/>
      <c r="O249" s="3"/>
      <c r="P249" s="3"/>
      <c r="Q249" s="3"/>
      <c r="R249" s="3"/>
    </row>
    <row r="250" spans="1:18" ht="16.149999999999999" customHeight="1" x14ac:dyDescent="0.25">
      <c r="A250" s="84"/>
      <c r="B250" s="3"/>
      <c r="D250" s="3"/>
      <c r="F250" s="79"/>
      <c r="H250" s="39"/>
      <c r="I250" s="3"/>
      <c r="J250" s="39"/>
      <c r="K250" s="3"/>
      <c r="L250" s="3"/>
      <c r="M250" s="3"/>
      <c r="N250" s="3"/>
      <c r="O250" s="3"/>
      <c r="P250" s="3"/>
      <c r="Q250" s="3"/>
      <c r="R250" s="3"/>
    </row>
    <row r="251" spans="1:18" ht="16.149999999999999" customHeight="1" x14ac:dyDescent="0.25">
      <c r="A251" s="84"/>
      <c r="B251" s="3"/>
      <c r="D251" s="3"/>
      <c r="F251" s="79"/>
      <c r="H251" s="39"/>
      <c r="I251" s="3"/>
      <c r="J251" s="39"/>
      <c r="K251" s="3"/>
      <c r="L251" s="3"/>
      <c r="M251" s="3"/>
      <c r="N251" s="3"/>
      <c r="O251" s="3"/>
      <c r="P251" s="3"/>
      <c r="Q251" s="3"/>
      <c r="R251" s="3"/>
    </row>
    <row r="252" spans="1:18" ht="16.149999999999999" customHeight="1" x14ac:dyDescent="0.25">
      <c r="A252" s="84"/>
      <c r="B252" s="3"/>
      <c r="D252" s="3"/>
      <c r="F252" s="79"/>
      <c r="H252" s="39"/>
      <c r="I252" s="3"/>
      <c r="J252" s="39"/>
      <c r="K252" s="3"/>
      <c r="L252" s="3"/>
      <c r="M252" s="3"/>
      <c r="N252" s="3"/>
      <c r="O252" s="3"/>
      <c r="P252" s="3"/>
      <c r="Q252" s="3"/>
      <c r="R252" s="3"/>
    </row>
    <row r="253" spans="1:18" ht="16.149999999999999" customHeight="1" x14ac:dyDescent="0.25">
      <c r="A253" s="84"/>
      <c r="B253" s="3"/>
      <c r="D253" s="3"/>
      <c r="F253" s="79"/>
      <c r="H253" s="39"/>
      <c r="I253" s="3"/>
      <c r="J253" s="39"/>
      <c r="K253" s="3"/>
      <c r="L253" s="3"/>
      <c r="M253" s="3"/>
      <c r="N253" s="3"/>
      <c r="O253" s="3"/>
      <c r="P253" s="3"/>
      <c r="Q253" s="3"/>
      <c r="R253" s="3"/>
    </row>
    <row r="254" spans="1:18" ht="16.149999999999999" customHeight="1" x14ac:dyDescent="0.25">
      <c r="A254" s="84"/>
      <c r="B254" s="3"/>
      <c r="D254" s="3"/>
      <c r="F254" s="79"/>
      <c r="H254" s="39"/>
      <c r="I254" s="3"/>
      <c r="J254" s="39"/>
      <c r="K254" s="3"/>
      <c r="L254" s="3"/>
      <c r="M254" s="3"/>
      <c r="N254" s="3"/>
      <c r="O254" s="3"/>
      <c r="P254" s="3"/>
      <c r="Q254" s="3"/>
      <c r="R254" s="3"/>
    </row>
    <row r="255" spans="1:18" ht="16.149999999999999" customHeight="1" x14ac:dyDescent="0.25">
      <c r="A255" s="84"/>
      <c r="B255" s="3"/>
      <c r="D255" s="3"/>
      <c r="F255" s="79"/>
      <c r="H255" s="39"/>
      <c r="I255" s="3"/>
      <c r="J255" s="39"/>
      <c r="K255" s="3"/>
      <c r="L255" s="3"/>
      <c r="M255" s="3"/>
      <c r="N255" s="3"/>
      <c r="O255" s="3"/>
      <c r="P255" s="3"/>
      <c r="Q255" s="3"/>
      <c r="R255" s="3"/>
    </row>
    <row r="256" spans="1:18" ht="16.149999999999999" customHeight="1" x14ac:dyDescent="0.25">
      <c r="A256" s="84"/>
      <c r="B256" s="3"/>
      <c r="D256" s="3"/>
      <c r="F256" s="79"/>
      <c r="H256" s="39"/>
      <c r="I256" s="3"/>
      <c r="J256" s="39"/>
      <c r="K256" s="3"/>
      <c r="L256" s="3"/>
      <c r="M256" s="3"/>
      <c r="N256" s="3"/>
      <c r="O256" s="3"/>
      <c r="P256" s="3"/>
      <c r="Q256" s="3"/>
      <c r="R256" s="3"/>
    </row>
    <row r="257" spans="1:18" ht="16.149999999999999" customHeight="1" x14ac:dyDescent="0.25">
      <c r="A257" s="84"/>
      <c r="B257" s="3"/>
      <c r="D257" s="3"/>
      <c r="F257" s="79"/>
      <c r="H257" s="39"/>
      <c r="I257" s="3"/>
      <c r="J257" s="39"/>
      <c r="K257" s="3"/>
      <c r="L257" s="3"/>
      <c r="M257" s="3"/>
      <c r="N257" s="3"/>
      <c r="O257" s="3"/>
      <c r="P257" s="3"/>
      <c r="Q257" s="3"/>
      <c r="R257" s="3"/>
    </row>
    <row r="258" spans="1:18" ht="16.149999999999999" customHeight="1" x14ac:dyDescent="0.25">
      <c r="A258" s="84"/>
      <c r="B258" s="3"/>
      <c r="D258" s="3"/>
      <c r="F258" s="79"/>
      <c r="H258" s="39"/>
      <c r="I258" s="3"/>
      <c r="J258" s="39"/>
      <c r="K258" s="3"/>
      <c r="L258" s="3"/>
      <c r="M258" s="3"/>
      <c r="N258" s="3"/>
      <c r="O258" s="3"/>
      <c r="P258" s="3"/>
      <c r="Q258" s="3"/>
      <c r="R258" s="3"/>
    </row>
    <row r="259" spans="1:18" ht="16.149999999999999" customHeight="1" x14ac:dyDescent="0.25">
      <c r="A259" s="84"/>
      <c r="B259" s="3"/>
      <c r="D259" s="3"/>
      <c r="F259" s="79"/>
      <c r="H259" s="39"/>
      <c r="I259" s="3"/>
      <c r="J259" s="39"/>
      <c r="K259" s="3"/>
      <c r="L259" s="3"/>
      <c r="M259" s="3"/>
      <c r="N259" s="3"/>
      <c r="O259" s="3"/>
      <c r="P259" s="3"/>
      <c r="Q259" s="3"/>
      <c r="R259" s="3"/>
    </row>
    <row r="260" spans="1:18" ht="16.149999999999999" customHeight="1" x14ac:dyDescent="0.25">
      <c r="A260" s="84"/>
      <c r="B260" s="3"/>
      <c r="D260" s="3"/>
      <c r="F260" s="79"/>
      <c r="H260" s="39"/>
      <c r="I260" s="3"/>
      <c r="J260" s="39"/>
      <c r="K260" s="3"/>
      <c r="L260" s="3"/>
      <c r="M260" s="3"/>
      <c r="N260" s="3"/>
      <c r="O260" s="3"/>
      <c r="P260" s="3"/>
      <c r="Q260" s="3"/>
      <c r="R260" s="3"/>
    </row>
    <row r="261" spans="1:18" ht="16.149999999999999" customHeight="1" x14ac:dyDescent="0.25">
      <c r="A261" s="84"/>
      <c r="B261" s="3"/>
      <c r="D261" s="3"/>
      <c r="F261" s="79"/>
      <c r="H261" s="39"/>
      <c r="I261" s="3"/>
      <c r="J261" s="39"/>
      <c r="K261" s="3"/>
      <c r="L261" s="3"/>
      <c r="M261" s="3"/>
      <c r="N261" s="3"/>
      <c r="O261" s="3"/>
      <c r="P261" s="3"/>
      <c r="Q261" s="3"/>
      <c r="R261" s="3"/>
    </row>
    <row r="262" spans="1:18" ht="16.149999999999999" customHeight="1" x14ac:dyDescent="0.25">
      <c r="A262" s="84"/>
      <c r="B262" s="3"/>
      <c r="D262" s="3"/>
      <c r="F262" s="79"/>
      <c r="H262" s="39"/>
      <c r="I262" s="3"/>
      <c r="J262" s="39"/>
      <c r="K262" s="3"/>
      <c r="L262" s="3"/>
      <c r="M262" s="3"/>
      <c r="N262" s="3"/>
      <c r="O262" s="3"/>
      <c r="P262" s="3"/>
      <c r="Q262" s="3"/>
      <c r="R262" s="3"/>
    </row>
    <row r="263" spans="1:18" ht="16.149999999999999" customHeight="1" x14ac:dyDescent="0.25">
      <c r="A263" s="84"/>
      <c r="B263" s="3"/>
      <c r="D263" s="3"/>
      <c r="F263" s="79"/>
      <c r="H263" s="39"/>
      <c r="I263" s="3"/>
      <c r="J263" s="39"/>
      <c r="K263" s="3"/>
      <c r="L263" s="3"/>
      <c r="M263" s="3"/>
      <c r="N263" s="3"/>
      <c r="O263" s="3"/>
      <c r="P263" s="3"/>
      <c r="Q263" s="3"/>
      <c r="R263" s="3"/>
    </row>
    <row r="264" spans="1:18" ht="16.149999999999999" customHeight="1" x14ac:dyDescent="0.25">
      <c r="A264" s="84"/>
      <c r="B264" s="3"/>
      <c r="D264" s="3"/>
      <c r="F264" s="79"/>
      <c r="H264" s="39"/>
      <c r="I264" s="3"/>
      <c r="J264" s="39"/>
      <c r="K264" s="3"/>
      <c r="L264" s="3"/>
      <c r="M264" s="3"/>
      <c r="N264" s="3"/>
      <c r="O264" s="3"/>
      <c r="P264" s="3"/>
      <c r="Q264" s="3"/>
      <c r="R264" s="3"/>
    </row>
    <row r="265" spans="1:18" ht="16.149999999999999" customHeight="1" x14ac:dyDescent="0.25">
      <c r="A265" s="84"/>
      <c r="B265" s="3"/>
      <c r="D265" s="3"/>
      <c r="F265" s="79"/>
      <c r="H265" s="39"/>
      <c r="I265" s="3"/>
      <c r="J265" s="39"/>
      <c r="K265" s="3"/>
      <c r="L265" s="3"/>
      <c r="M265" s="3"/>
      <c r="N265" s="3"/>
      <c r="O265" s="3"/>
      <c r="P265" s="3"/>
      <c r="Q265" s="3"/>
      <c r="R265" s="3"/>
    </row>
    <row r="266" spans="1:18" ht="16.149999999999999" customHeight="1" x14ac:dyDescent="0.25">
      <c r="A266" s="84"/>
      <c r="B266" s="3"/>
      <c r="D266" s="3"/>
      <c r="F266" s="79"/>
      <c r="H266" s="39"/>
      <c r="I266" s="3"/>
      <c r="J266" s="39"/>
      <c r="K266" s="3"/>
      <c r="L266" s="3"/>
      <c r="M266" s="3"/>
      <c r="N266" s="3"/>
      <c r="O266" s="3"/>
      <c r="P266" s="3"/>
      <c r="Q266" s="3"/>
      <c r="R266" s="3"/>
    </row>
    <row r="267" spans="1:18" ht="16.149999999999999" customHeight="1" x14ac:dyDescent="0.25">
      <c r="A267" s="84"/>
      <c r="B267" s="3"/>
      <c r="D267" s="3"/>
      <c r="F267" s="79"/>
      <c r="H267" s="39"/>
      <c r="I267" s="3"/>
      <c r="J267" s="39"/>
      <c r="K267" s="3"/>
      <c r="L267" s="3"/>
      <c r="M267" s="3"/>
      <c r="N267" s="3"/>
      <c r="O267" s="3"/>
      <c r="P267" s="3"/>
      <c r="Q267" s="3"/>
      <c r="R267" s="3"/>
    </row>
    <row r="268" spans="1:18" ht="16.149999999999999" customHeight="1" x14ac:dyDescent="0.25">
      <c r="A268" s="84"/>
      <c r="B268" s="3"/>
      <c r="D268" s="3"/>
      <c r="F268" s="79"/>
      <c r="H268" s="39"/>
      <c r="I268" s="3"/>
      <c r="J268" s="39"/>
      <c r="K268" s="3"/>
      <c r="L268" s="3"/>
      <c r="M268" s="3"/>
      <c r="N268" s="3"/>
      <c r="O268" s="3"/>
      <c r="P268" s="3"/>
      <c r="Q268" s="3"/>
      <c r="R268" s="3"/>
    </row>
    <row r="269" spans="1:18" ht="16.149999999999999" customHeight="1" x14ac:dyDescent="0.25">
      <c r="A269" s="84"/>
      <c r="B269" s="3"/>
      <c r="D269" s="3"/>
      <c r="F269" s="79"/>
      <c r="H269" s="39"/>
      <c r="I269" s="3"/>
      <c r="J269" s="39"/>
      <c r="K269" s="3"/>
      <c r="L269" s="3"/>
      <c r="M269" s="3"/>
      <c r="N269" s="3"/>
      <c r="O269" s="3"/>
      <c r="P269" s="3"/>
      <c r="Q269" s="3"/>
      <c r="R269" s="3"/>
    </row>
    <row r="270" spans="1:18" ht="16.149999999999999" customHeight="1" x14ac:dyDescent="0.25">
      <c r="A270" s="84"/>
      <c r="B270" s="3"/>
      <c r="D270" s="3"/>
      <c r="F270" s="79"/>
      <c r="H270" s="39"/>
      <c r="I270" s="3"/>
      <c r="J270" s="39"/>
      <c r="K270" s="3"/>
      <c r="L270" s="3"/>
      <c r="M270" s="3"/>
      <c r="N270" s="3"/>
      <c r="O270" s="3"/>
      <c r="P270" s="3"/>
      <c r="Q270" s="3"/>
      <c r="R270" s="3"/>
    </row>
    <row r="271" spans="1:18" ht="16.149999999999999" customHeight="1" x14ac:dyDescent="0.25">
      <c r="A271" s="84"/>
      <c r="B271" s="3"/>
      <c r="D271" s="3"/>
      <c r="F271" s="79"/>
      <c r="H271" s="39"/>
      <c r="I271" s="3"/>
      <c r="J271" s="39"/>
      <c r="K271" s="3"/>
      <c r="L271" s="3"/>
      <c r="M271" s="3"/>
      <c r="N271" s="3"/>
      <c r="O271" s="3"/>
      <c r="P271" s="3"/>
      <c r="Q271" s="3"/>
      <c r="R271" s="3"/>
    </row>
    <row r="272" spans="1:18" ht="16.149999999999999" customHeight="1" x14ac:dyDescent="0.25">
      <c r="A272" s="84"/>
      <c r="B272" s="3"/>
      <c r="D272" s="3"/>
      <c r="F272" s="79"/>
      <c r="H272" s="39"/>
      <c r="I272" s="3"/>
      <c r="J272" s="39"/>
      <c r="K272" s="3"/>
      <c r="L272" s="3"/>
      <c r="M272" s="3"/>
      <c r="N272" s="3"/>
      <c r="O272" s="3"/>
      <c r="P272" s="3"/>
      <c r="Q272" s="3"/>
      <c r="R272" s="3"/>
    </row>
    <row r="273" spans="1:18" ht="16.149999999999999" customHeight="1" x14ac:dyDescent="0.25">
      <c r="A273" s="84"/>
      <c r="B273" s="3"/>
      <c r="D273" s="3"/>
      <c r="F273" s="79"/>
      <c r="H273" s="39"/>
      <c r="I273" s="3"/>
      <c r="J273" s="39"/>
      <c r="K273" s="3"/>
      <c r="L273" s="3"/>
      <c r="M273" s="3"/>
      <c r="N273" s="3"/>
      <c r="O273" s="3"/>
      <c r="P273" s="3"/>
      <c r="Q273" s="3"/>
      <c r="R273" s="3"/>
    </row>
    <row r="274" spans="1:18" ht="16.149999999999999" customHeight="1" x14ac:dyDescent="0.25">
      <c r="A274" s="84"/>
      <c r="B274" s="3"/>
      <c r="D274" s="3"/>
      <c r="F274" s="79"/>
      <c r="H274" s="39"/>
      <c r="I274" s="3"/>
      <c r="J274" s="39"/>
      <c r="K274" s="3"/>
      <c r="L274" s="3"/>
      <c r="M274" s="3"/>
      <c r="N274" s="3"/>
      <c r="O274" s="3"/>
      <c r="P274" s="3"/>
      <c r="Q274" s="3"/>
      <c r="R274" s="3"/>
    </row>
    <row r="275" spans="1:18" ht="16.149999999999999" customHeight="1" x14ac:dyDescent="0.25">
      <c r="A275" s="84"/>
      <c r="B275" s="3"/>
      <c r="D275" s="3"/>
      <c r="F275" s="79"/>
      <c r="H275" s="39"/>
      <c r="I275" s="3"/>
      <c r="J275" s="39"/>
      <c r="K275" s="3"/>
      <c r="L275" s="3"/>
      <c r="M275" s="3"/>
      <c r="N275" s="3"/>
      <c r="O275" s="3"/>
      <c r="P275" s="3"/>
      <c r="Q275" s="3"/>
      <c r="R275" s="3"/>
    </row>
    <row r="276" spans="1:18" ht="16.149999999999999" customHeight="1" x14ac:dyDescent="0.25">
      <c r="A276" s="84"/>
      <c r="B276" s="3"/>
      <c r="D276" s="3"/>
      <c r="F276" s="79"/>
      <c r="H276" s="39"/>
      <c r="I276" s="3"/>
      <c r="J276" s="39"/>
      <c r="K276" s="3"/>
      <c r="L276" s="3"/>
      <c r="M276" s="3"/>
      <c r="N276" s="3"/>
      <c r="O276" s="3"/>
      <c r="P276" s="3"/>
      <c r="Q276" s="3"/>
      <c r="R276" s="3"/>
    </row>
    <row r="277" spans="1:18" ht="16.149999999999999" customHeight="1" x14ac:dyDescent="0.25">
      <c r="A277" s="84"/>
      <c r="B277" s="3"/>
      <c r="D277" s="3"/>
      <c r="F277" s="79"/>
      <c r="H277" s="39"/>
      <c r="I277" s="3"/>
      <c r="J277" s="39"/>
      <c r="K277" s="3"/>
      <c r="L277" s="3"/>
      <c r="M277" s="3"/>
      <c r="N277" s="3"/>
      <c r="O277" s="3"/>
      <c r="P277" s="3"/>
      <c r="Q277" s="3"/>
      <c r="R277" s="3"/>
    </row>
    <row r="278" spans="1:18" ht="16.149999999999999" customHeight="1" x14ac:dyDescent="0.25">
      <c r="A278" s="84"/>
      <c r="B278" s="3"/>
      <c r="D278" s="3"/>
      <c r="F278" s="79"/>
      <c r="H278" s="39"/>
      <c r="I278" s="3"/>
      <c r="J278" s="39"/>
      <c r="K278" s="3"/>
      <c r="L278" s="3"/>
      <c r="M278" s="3"/>
      <c r="N278" s="3"/>
      <c r="O278" s="3"/>
      <c r="P278" s="3"/>
      <c r="Q278" s="3"/>
      <c r="R278" s="3"/>
    </row>
    <row r="279" spans="1:18" ht="16.149999999999999" customHeight="1" x14ac:dyDescent="0.25">
      <c r="A279" s="84"/>
      <c r="B279" s="3"/>
      <c r="D279" s="3"/>
      <c r="F279" s="79"/>
      <c r="H279" s="39"/>
      <c r="I279" s="3"/>
      <c r="J279" s="39"/>
      <c r="K279" s="3"/>
      <c r="L279" s="3"/>
      <c r="M279" s="3"/>
      <c r="N279" s="3"/>
      <c r="O279" s="3"/>
      <c r="P279" s="3"/>
      <c r="Q279" s="3"/>
      <c r="R279" s="3"/>
    </row>
    <row r="280" spans="1:18" ht="16.149999999999999" customHeight="1" x14ac:dyDescent="0.25">
      <c r="A280" s="84"/>
      <c r="B280" s="3"/>
      <c r="D280" s="3"/>
      <c r="F280" s="79"/>
      <c r="H280" s="39"/>
      <c r="I280" s="3"/>
      <c r="J280" s="39"/>
      <c r="K280" s="3"/>
      <c r="L280" s="3"/>
      <c r="M280" s="3"/>
      <c r="N280" s="3"/>
      <c r="O280" s="3"/>
      <c r="P280" s="3"/>
      <c r="Q280" s="3"/>
      <c r="R280" s="3"/>
    </row>
    <row r="281" spans="1:18" ht="16.149999999999999" customHeight="1" x14ac:dyDescent="0.25">
      <c r="A281" s="84"/>
      <c r="B281" s="3"/>
      <c r="D281" s="3"/>
      <c r="F281" s="79"/>
      <c r="H281" s="39"/>
      <c r="I281" s="3"/>
      <c r="J281" s="39"/>
      <c r="K281" s="3"/>
      <c r="L281" s="3"/>
      <c r="M281" s="3"/>
      <c r="N281" s="3"/>
      <c r="O281" s="3"/>
      <c r="P281" s="3"/>
      <c r="Q281" s="3"/>
      <c r="R281" s="3"/>
    </row>
    <row r="282" spans="1:18" ht="16.149999999999999" customHeight="1" x14ac:dyDescent="0.25">
      <c r="A282" s="84"/>
      <c r="B282" s="3"/>
      <c r="D282" s="3"/>
      <c r="F282" s="79"/>
      <c r="H282" s="39"/>
      <c r="I282" s="3"/>
      <c r="J282" s="39"/>
      <c r="K282" s="3"/>
      <c r="L282" s="3"/>
      <c r="M282" s="3"/>
      <c r="N282" s="3"/>
      <c r="O282" s="3"/>
      <c r="P282" s="3"/>
      <c r="Q282" s="3"/>
      <c r="R282" s="3"/>
    </row>
    <row r="283" spans="1:18" ht="16.149999999999999" customHeight="1" x14ac:dyDescent="0.25">
      <c r="A283" s="84"/>
      <c r="B283" s="3"/>
      <c r="D283" s="3"/>
      <c r="F283" s="79"/>
      <c r="H283" s="39"/>
      <c r="I283" s="3"/>
      <c r="J283" s="39"/>
      <c r="K283" s="3"/>
      <c r="L283" s="3"/>
      <c r="M283" s="3"/>
      <c r="N283" s="3"/>
      <c r="O283" s="3"/>
      <c r="P283" s="3"/>
      <c r="Q283" s="3"/>
      <c r="R283" s="3"/>
    </row>
    <row r="284" spans="1:18" ht="16.149999999999999" customHeight="1" x14ac:dyDescent="0.25">
      <c r="A284" s="84"/>
      <c r="B284" s="3"/>
      <c r="D284" s="3"/>
      <c r="F284" s="79"/>
      <c r="H284" s="39"/>
      <c r="I284" s="3"/>
      <c r="J284" s="39"/>
      <c r="K284" s="3"/>
      <c r="L284" s="3"/>
      <c r="M284" s="3"/>
      <c r="N284" s="3"/>
      <c r="O284" s="3"/>
      <c r="P284" s="3"/>
      <c r="Q284" s="3"/>
      <c r="R284" s="3"/>
    </row>
    <row r="285" spans="1:18" ht="16.149999999999999" customHeight="1" x14ac:dyDescent="0.25">
      <c r="A285" s="84"/>
      <c r="B285" s="3"/>
      <c r="D285" s="3"/>
      <c r="F285" s="79"/>
      <c r="H285" s="39"/>
      <c r="I285" s="3"/>
      <c r="J285" s="39"/>
      <c r="K285" s="3"/>
      <c r="L285" s="3"/>
      <c r="M285" s="3"/>
      <c r="N285" s="3"/>
      <c r="O285" s="3"/>
      <c r="P285" s="3"/>
      <c r="Q285" s="3"/>
      <c r="R285" s="3"/>
    </row>
    <row r="286" spans="1:18" ht="16.149999999999999" customHeight="1" x14ac:dyDescent="0.25">
      <c r="A286" s="84"/>
      <c r="B286" s="3"/>
      <c r="D286" s="3"/>
      <c r="F286" s="79"/>
      <c r="H286" s="39"/>
      <c r="I286" s="3"/>
      <c r="J286" s="39"/>
      <c r="K286" s="3"/>
      <c r="L286" s="3"/>
      <c r="M286" s="3"/>
      <c r="N286" s="3"/>
      <c r="O286" s="3"/>
      <c r="P286" s="3"/>
      <c r="Q286" s="3"/>
      <c r="R286" s="3"/>
    </row>
    <row r="287" spans="1:18" ht="16.149999999999999" customHeight="1" x14ac:dyDescent="0.25">
      <c r="A287" s="84"/>
      <c r="B287" s="3"/>
      <c r="D287" s="3"/>
      <c r="F287" s="79"/>
      <c r="H287" s="39"/>
      <c r="I287" s="3"/>
      <c r="J287" s="39"/>
      <c r="K287" s="3"/>
      <c r="L287" s="3"/>
      <c r="M287" s="3"/>
      <c r="N287" s="3"/>
      <c r="O287" s="3"/>
      <c r="P287" s="3"/>
      <c r="Q287" s="3"/>
      <c r="R287" s="3"/>
    </row>
    <row r="288" spans="1:18" ht="16.149999999999999" customHeight="1" x14ac:dyDescent="0.25">
      <c r="A288" s="84"/>
      <c r="B288" s="3"/>
      <c r="D288" s="3"/>
      <c r="F288" s="79"/>
      <c r="H288" s="39"/>
      <c r="I288" s="3"/>
      <c r="J288" s="39"/>
      <c r="K288" s="3"/>
      <c r="L288" s="3"/>
      <c r="M288" s="3"/>
      <c r="N288" s="3"/>
      <c r="O288" s="3"/>
      <c r="P288" s="3"/>
      <c r="Q288" s="3"/>
      <c r="R288" s="3"/>
    </row>
    <row r="289" spans="1:18" ht="16.149999999999999" customHeight="1" x14ac:dyDescent="0.25">
      <c r="A289" s="84"/>
      <c r="B289" s="3"/>
      <c r="D289" s="3"/>
      <c r="F289" s="79"/>
      <c r="H289" s="39"/>
      <c r="I289" s="3"/>
      <c r="J289" s="39"/>
      <c r="K289" s="3"/>
      <c r="L289" s="3"/>
      <c r="M289" s="3"/>
      <c r="N289" s="3"/>
      <c r="O289" s="3"/>
      <c r="P289" s="3"/>
      <c r="Q289" s="3"/>
      <c r="R289" s="3"/>
    </row>
    <row r="290" spans="1:18" ht="16.149999999999999" customHeight="1" x14ac:dyDescent="0.25">
      <c r="A290" s="84"/>
      <c r="B290" s="3"/>
      <c r="D290" s="3"/>
      <c r="F290" s="79"/>
      <c r="H290" s="39"/>
      <c r="I290" s="3"/>
      <c r="J290" s="39"/>
      <c r="K290" s="3"/>
      <c r="L290" s="3"/>
      <c r="M290" s="3"/>
      <c r="N290" s="3"/>
      <c r="O290" s="3"/>
      <c r="P290" s="3"/>
      <c r="Q290" s="3"/>
      <c r="R290" s="3"/>
    </row>
    <row r="291" spans="1:18" ht="16.149999999999999" customHeight="1" x14ac:dyDescent="0.25">
      <c r="A291" s="84"/>
      <c r="B291" s="3"/>
      <c r="D291" s="3"/>
      <c r="F291" s="79"/>
      <c r="H291" s="39"/>
      <c r="I291" s="3"/>
      <c r="J291" s="39"/>
      <c r="K291" s="3"/>
      <c r="L291" s="3"/>
      <c r="M291" s="3"/>
      <c r="N291" s="3"/>
      <c r="O291" s="3"/>
      <c r="P291" s="3"/>
      <c r="Q291" s="3"/>
      <c r="R291" s="3"/>
    </row>
    <row r="292" spans="1:18" ht="16.149999999999999" customHeight="1" x14ac:dyDescent="0.25">
      <c r="A292" s="84"/>
      <c r="B292" s="3"/>
      <c r="D292" s="3"/>
      <c r="F292" s="79"/>
      <c r="H292" s="39"/>
      <c r="I292" s="3"/>
      <c r="J292" s="39"/>
      <c r="K292" s="3"/>
      <c r="L292" s="3"/>
      <c r="M292" s="3"/>
      <c r="N292" s="3"/>
      <c r="O292" s="3"/>
      <c r="P292" s="3"/>
      <c r="Q292" s="3"/>
      <c r="R292" s="3"/>
    </row>
    <row r="293" spans="1:18" ht="16.149999999999999" customHeight="1" x14ac:dyDescent="0.25">
      <c r="A293" s="84"/>
      <c r="B293" s="3"/>
      <c r="D293" s="3"/>
      <c r="F293" s="79"/>
      <c r="H293" s="39"/>
      <c r="I293" s="3"/>
      <c r="J293" s="39"/>
      <c r="K293" s="3"/>
      <c r="L293" s="3"/>
      <c r="M293" s="3"/>
      <c r="N293" s="3"/>
      <c r="O293" s="3"/>
      <c r="P293" s="3"/>
      <c r="Q293" s="3"/>
      <c r="R293" s="3"/>
    </row>
    <row r="294" spans="1:18" ht="16.149999999999999" customHeight="1" x14ac:dyDescent="0.25">
      <c r="A294" s="84"/>
      <c r="B294" s="3"/>
      <c r="D294" s="3"/>
      <c r="F294" s="79"/>
      <c r="H294" s="39"/>
      <c r="I294" s="3"/>
      <c r="J294" s="39"/>
      <c r="K294" s="3"/>
      <c r="L294" s="3"/>
      <c r="M294" s="3"/>
      <c r="N294" s="3"/>
      <c r="O294" s="3"/>
      <c r="P294" s="3"/>
      <c r="Q294" s="3"/>
      <c r="R294" s="3"/>
    </row>
    <row r="295" spans="1:18" ht="16.149999999999999" customHeight="1" x14ac:dyDescent="0.25">
      <c r="A295" s="84"/>
      <c r="B295" s="3"/>
      <c r="D295" s="3"/>
      <c r="F295" s="79"/>
      <c r="H295" s="39"/>
      <c r="I295" s="3"/>
      <c r="J295" s="39"/>
      <c r="K295" s="3"/>
      <c r="L295" s="3"/>
      <c r="M295" s="3"/>
      <c r="N295" s="3"/>
      <c r="O295" s="3"/>
      <c r="P295" s="3"/>
      <c r="Q295" s="3"/>
      <c r="R295" s="3"/>
    </row>
    <row r="296" spans="1:18" ht="16.149999999999999" customHeight="1" x14ac:dyDescent="0.25">
      <c r="A296" s="84"/>
      <c r="B296" s="3"/>
      <c r="D296" s="3"/>
      <c r="F296" s="79"/>
      <c r="H296" s="39"/>
      <c r="I296" s="3"/>
      <c r="J296" s="39"/>
      <c r="K296" s="3"/>
      <c r="L296" s="3"/>
      <c r="M296" s="3"/>
      <c r="N296" s="3"/>
      <c r="O296" s="3"/>
      <c r="P296" s="3"/>
      <c r="Q296" s="3"/>
      <c r="R296" s="3"/>
    </row>
    <row r="297" spans="1:18" ht="16.149999999999999" customHeight="1" x14ac:dyDescent="0.25">
      <c r="A297" s="84"/>
      <c r="B297" s="3"/>
      <c r="D297" s="3"/>
      <c r="F297" s="79"/>
      <c r="H297" s="39"/>
      <c r="I297" s="3"/>
      <c r="J297" s="39"/>
      <c r="K297" s="3"/>
      <c r="L297" s="3"/>
      <c r="M297" s="3"/>
      <c r="N297" s="3"/>
      <c r="O297" s="3"/>
      <c r="P297" s="3"/>
      <c r="Q297" s="3"/>
      <c r="R297" s="3"/>
    </row>
    <row r="298" spans="1:18" ht="16.149999999999999" customHeight="1" x14ac:dyDescent="0.25">
      <c r="A298" s="84"/>
      <c r="B298" s="3"/>
      <c r="D298" s="3"/>
      <c r="F298" s="79"/>
      <c r="H298" s="39"/>
      <c r="I298" s="3"/>
      <c r="J298" s="39"/>
      <c r="K298" s="3"/>
      <c r="L298" s="3"/>
      <c r="M298" s="3"/>
      <c r="N298" s="3"/>
      <c r="O298" s="3"/>
      <c r="P298" s="3"/>
      <c r="Q298" s="3"/>
      <c r="R298" s="3"/>
    </row>
    <row r="299" spans="1:18" ht="16.149999999999999" customHeight="1" x14ac:dyDescent="0.25">
      <c r="A299" s="84"/>
      <c r="B299" s="3"/>
      <c r="D299" s="3"/>
      <c r="F299" s="79"/>
      <c r="H299" s="39"/>
      <c r="I299" s="3"/>
      <c r="J299" s="39"/>
      <c r="K299" s="3"/>
      <c r="L299" s="3"/>
      <c r="M299" s="3"/>
      <c r="N299" s="3"/>
      <c r="O299" s="3"/>
      <c r="P299" s="3"/>
      <c r="Q299" s="3"/>
      <c r="R299" s="3"/>
    </row>
    <row r="300" spans="1:18" ht="16.149999999999999" customHeight="1" x14ac:dyDescent="0.25">
      <c r="A300" s="84"/>
      <c r="B300" s="3"/>
      <c r="D300" s="3"/>
      <c r="F300" s="79"/>
      <c r="H300" s="39"/>
      <c r="I300" s="3"/>
      <c r="J300" s="39"/>
      <c r="K300" s="3"/>
      <c r="L300" s="3"/>
      <c r="M300" s="3"/>
      <c r="N300" s="3"/>
      <c r="O300" s="3"/>
      <c r="P300" s="3"/>
      <c r="Q300" s="3"/>
      <c r="R300" s="3"/>
    </row>
    <row r="301" spans="1:18" ht="16.149999999999999" customHeight="1" x14ac:dyDescent="0.25">
      <c r="A301" s="84"/>
      <c r="B301" s="3"/>
      <c r="D301" s="3"/>
      <c r="F301" s="79"/>
      <c r="H301" s="39"/>
      <c r="I301" s="3"/>
      <c r="J301" s="39"/>
      <c r="K301" s="3"/>
      <c r="L301" s="3"/>
      <c r="M301" s="3"/>
      <c r="N301" s="3"/>
      <c r="O301" s="3"/>
      <c r="P301" s="3"/>
      <c r="Q301" s="3"/>
      <c r="R301" s="3"/>
    </row>
    <row r="302" spans="1:18" ht="16.149999999999999" customHeight="1" x14ac:dyDescent="0.25">
      <c r="A302" s="84"/>
      <c r="B302" s="3"/>
      <c r="D302" s="3"/>
      <c r="F302" s="79"/>
      <c r="H302" s="39"/>
      <c r="I302" s="3"/>
      <c r="J302" s="39"/>
      <c r="K302" s="3"/>
      <c r="L302" s="3"/>
      <c r="M302" s="3"/>
      <c r="N302" s="3"/>
      <c r="O302" s="3"/>
      <c r="P302" s="3"/>
      <c r="Q302" s="3"/>
      <c r="R302" s="3"/>
    </row>
    <row r="303" spans="1:18" ht="16.149999999999999" customHeight="1" x14ac:dyDescent="0.25">
      <c r="A303" s="84"/>
      <c r="B303" s="3"/>
      <c r="D303" s="3"/>
      <c r="F303" s="79"/>
      <c r="H303" s="39"/>
      <c r="I303" s="3"/>
      <c r="J303" s="39"/>
      <c r="K303" s="3"/>
      <c r="L303" s="3"/>
      <c r="M303" s="3"/>
      <c r="N303" s="3"/>
      <c r="O303" s="3"/>
      <c r="P303" s="3"/>
      <c r="Q303" s="3"/>
      <c r="R303" s="3"/>
    </row>
    <row r="304" spans="1:18" ht="16.149999999999999" customHeight="1" x14ac:dyDescent="0.25">
      <c r="A304" s="84"/>
      <c r="B304" s="3"/>
      <c r="D304" s="3"/>
      <c r="F304" s="79"/>
      <c r="H304" s="39"/>
      <c r="I304" s="3"/>
      <c r="J304" s="39"/>
      <c r="K304" s="3"/>
      <c r="L304" s="3"/>
      <c r="M304" s="3"/>
      <c r="N304" s="3"/>
      <c r="O304" s="3"/>
      <c r="P304" s="3"/>
      <c r="Q304" s="3"/>
      <c r="R304" s="3"/>
    </row>
    <row r="305" spans="1:18" ht="16.149999999999999" customHeight="1" x14ac:dyDescent="0.25">
      <c r="A305" s="84"/>
      <c r="B305" s="3"/>
      <c r="D305" s="3"/>
      <c r="F305" s="79"/>
      <c r="H305" s="39"/>
      <c r="I305" s="3"/>
      <c r="J305" s="39"/>
      <c r="K305" s="3"/>
      <c r="L305" s="3"/>
      <c r="M305" s="3"/>
      <c r="N305" s="3"/>
      <c r="O305" s="3"/>
      <c r="P305" s="3"/>
      <c r="Q305" s="3"/>
      <c r="R305" s="3"/>
    </row>
    <row r="306" spans="1:18" ht="16.149999999999999" customHeight="1" x14ac:dyDescent="0.25">
      <c r="A306" s="84"/>
      <c r="B306" s="3"/>
      <c r="D306" s="3"/>
      <c r="F306" s="79"/>
      <c r="H306" s="39"/>
      <c r="I306" s="3"/>
      <c r="J306" s="39"/>
      <c r="K306" s="3"/>
      <c r="L306" s="3"/>
      <c r="M306" s="3"/>
      <c r="N306" s="3"/>
      <c r="O306" s="3"/>
      <c r="P306" s="3"/>
      <c r="Q306" s="3"/>
      <c r="R306" s="3"/>
    </row>
    <row r="307" spans="1:18" ht="16.149999999999999" customHeight="1" x14ac:dyDescent="0.25">
      <c r="A307" s="84"/>
      <c r="B307" s="3"/>
      <c r="D307" s="3"/>
      <c r="F307" s="79"/>
      <c r="H307" s="39"/>
      <c r="I307" s="3"/>
      <c r="J307" s="39"/>
      <c r="K307" s="3"/>
      <c r="L307" s="3"/>
      <c r="M307" s="3"/>
      <c r="N307" s="3"/>
      <c r="O307" s="3"/>
      <c r="P307" s="3"/>
      <c r="Q307" s="3"/>
      <c r="R307" s="3"/>
    </row>
    <row r="308" spans="1:18" ht="16.149999999999999" customHeight="1" x14ac:dyDescent="0.25">
      <c r="A308" s="84"/>
      <c r="B308" s="3"/>
      <c r="D308" s="3"/>
      <c r="F308" s="79"/>
      <c r="H308" s="39"/>
      <c r="I308" s="3"/>
      <c r="J308" s="39"/>
      <c r="K308" s="3"/>
      <c r="L308" s="3"/>
      <c r="M308" s="3"/>
      <c r="N308" s="3"/>
      <c r="O308" s="3"/>
      <c r="P308" s="3"/>
      <c r="Q308" s="3"/>
      <c r="R308" s="3"/>
    </row>
    <row r="309" spans="1:18" ht="16.149999999999999" customHeight="1" x14ac:dyDescent="0.25">
      <c r="A309" s="84"/>
      <c r="B309" s="3"/>
      <c r="D309" s="3"/>
      <c r="F309" s="79"/>
      <c r="H309" s="39"/>
      <c r="I309" s="3"/>
      <c r="J309" s="39"/>
      <c r="K309" s="3"/>
      <c r="L309" s="3"/>
      <c r="M309" s="3"/>
      <c r="N309" s="3"/>
      <c r="O309" s="3"/>
      <c r="P309" s="3"/>
      <c r="Q309" s="3"/>
      <c r="R309" s="3"/>
    </row>
    <row r="310" spans="1:18" ht="16.149999999999999" customHeight="1" x14ac:dyDescent="0.25">
      <c r="A310" s="84"/>
      <c r="B310" s="3"/>
      <c r="D310" s="3"/>
      <c r="F310" s="79"/>
      <c r="H310" s="39"/>
      <c r="I310" s="3"/>
      <c r="J310" s="39"/>
      <c r="K310" s="3"/>
      <c r="L310" s="3"/>
      <c r="M310" s="3"/>
      <c r="N310" s="3"/>
      <c r="O310" s="3"/>
      <c r="P310" s="3"/>
      <c r="Q310" s="3"/>
      <c r="R310" s="3"/>
    </row>
    <row r="311" spans="1:18" ht="16.149999999999999" customHeight="1" x14ac:dyDescent="0.25">
      <c r="A311" s="84"/>
      <c r="B311" s="3"/>
      <c r="D311" s="3"/>
      <c r="F311" s="79"/>
      <c r="H311" s="39"/>
      <c r="I311" s="3"/>
      <c r="J311" s="39"/>
      <c r="K311" s="3"/>
      <c r="L311" s="3"/>
      <c r="M311" s="3"/>
      <c r="N311" s="3"/>
      <c r="O311" s="3"/>
      <c r="P311" s="3"/>
      <c r="Q311" s="3"/>
      <c r="R311" s="3"/>
    </row>
    <row r="312" spans="1:18" ht="16.149999999999999" customHeight="1" x14ac:dyDescent="0.25">
      <c r="A312" s="84"/>
      <c r="B312" s="3"/>
      <c r="D312" s="3"/>
      <c r="F312" s="79"/>
      <c r="H312" s="39"/>
      <c r="I312" s="3"/>
      <c r="J312" s="39"/>
      <c r="K312" s="3"/>
      <c r="L312" s="3"/>
      <c r="M312" s="3"/>
      <c r="N312" s="3"/>
      <c r="O312" s="3"/>
      <c r="P312" s="3"/>
      <c r="Q312" s="3"/>
      <c r="R312" s="3"/>
    </row>
    <row r="313" spans="1:18" ht="16.149999999999999" customHeight="1" x14ac:dyDescent="0.25">
      <c r="A313" s="84"/>
      <c r="B313" s="3"/>
      <c r="D313" s="3"/>
      <c r="F313" s="79"/>
      <c r="H313" s="39"/>
      <c r="I313" s="3"/>
      <c r="J313" s="39"/>
      <c r="K313" s="3"/>
      <c r="L313" s="3"/>
      <c r="M313" s="3"/>
      <c r="N313" s="3"/>
      <c r="O313" s="3"/>
      <c r="P313" s="3"/>
      <c r="Q313" s="3"/>
      <c r="R313" s="3"/>
    </row>
    <row r="314" spans="1:18" ht="16.149999999999999" customHeight="1" x14ac:dyDescent="0.25">
      <c r="A314" s="84"/>
      <c r="B314" s="3"/>
      <c r="D314" s="3"/>
      <c r="F314" s="79"/>
      <c r="H314" s="39"/>
      <c r="I314" s="3"/>
      <c r="J314" s="39"/>
      <c r="K314" s="3"/>
      <c r="L314" s="3"/>
      <c r="M314" s="3"/>
      <c r="N314" s="3"/>
      <c r="O314" s="3"/>
      <c r="P314" s="3"/>
      <c r="Q314" s="3"/>
      <c r="R314" s="3"/>
    </row>
    <row r="315" spans="1:18" ht="16.149999999999999" customHeight="1" x14ac:dyDescent="0.25">
      <c r="A315" s="84"/>
      <c r="B315" s="3"/>
      <c r="D315" s="3"/>
      <c r="F315" s="79"/>
      <c r="H315" s="39"/>
      <c r="I315" s="3"/>
      <c r="J315" s="39"/>
      <c r="K315" s="3"/>
      <c r="L315" s="3"/>
      <c r="M315" s="3"/>
      <c r="N315" s="3"/>
      <c r="O315" s="3"/>
      <c r="P315" s="3"/>
      <c r="Q315" s="3"/>
      <c r="R315" s="3"/>
    </row>
    <row r="316" spans="1:18" ht="16.149999999999999" customHeight="1" x14ac:dyDescent="0.25">
      <c r="A316" s="84"/>
      <c r="B316" s="3"/>
      <c r="D316" s="3"/>
      <c r="F316" s="79"/>
      <c r="H316" s="39"/>
      <c r="I316" s="3"/>
      <c r="J316" s="39"/>
      <c r="K316" s="3"/>
      <c r="L316" s="3"/>
      <c r="M316" s="3"/>
      <c r="N316" s="3"/>
      <c r="O316" s="3"/>
      <c r="P316" s="3"/>
      <c r="Q316" s="3"/>
      <c r="R316" s="3"/>
    </row>
    <row r="317" spans="1:18" ht="16.149999999999999" customHeight="1" x14ac:dyDescent="0.25">
      <c r="A317" s="84"/>
      <c r="B317" s="3"/>
      <c r="D317" s="3"/>
      <c r="F317" s="79"/>
      <c r="H317" s="39"/>
      <c r="I317" s="3"/>
      <c r="J317" s="39"/>
      <c r="K317" s="3"/>
      <c r="L317" s="3"/>
      <c r="M317" s="3"/>
      <c r="N317" s="3"/>
      <c r="O317" s="3"/>
      <c r="P317" s="3"/>
      <c r="Q317" s="3"/>
      <c r="R317" s="3"/>
    </row>
    <row r="318" spans="1:18" ht="16.149999999999999" customHeight="1" x14ac:dyDescent="0.25">
      <c r="A318" s="84"/>
      <c r="B318" s="3"/>
      <c r="D318" s="3"/>
      <c r="F318" s="79"/>
      <c r="H318" s="39"/>
      <c r="I318" s="3"/>
      <c r="J318" s="39"/>
      <c r="K318" s="3"/>
      <c r="L318" s="3"/>
      <c r="M318" s="3"/>
      <c r="N318" s="3"/>
      <c r="O318" s="3"/>
      <c r="P318" s="3"/>
      <c r="Q318" s="3"/>
      <c r="R318" s="3"/>
    </row>
    <row r="319" spans="1:18" ht="16.149999999999999" customHeight="1" x14ac:dyDescent="0.25">
      <c r="A319" s="84"/>
      <c r="B319" s="3"/>
      <c r="D319" s="3"/>
      <c r="F319" s="79"/>
      <c r="H319" s="39"/>
      <c r="I319" s="3"/>
      <c r="J319" s="39"/>
      <c r="K319" s="3"/>
      <c r="L319" s="3"/>
      <c r="M319" s="3"/>
      <c r="N319" s="3"/>
      <c r="O319" s="3"/>
      <c r="P319" s="3"/>
      <c r="Q319" s="3"/>
      <c r="R319" s="3"/>
    </row>
    <row r="320" spans="1:18" ht="16.149999999999999" customHeight="1" x14ac:dyDescent="0.25">
      <c r="A320" s="84"/>
      <c r="B320" s="3"/>
      <c r="D320" s="3"/>
      <c r="F320" s="79"/>
      <c r="H320" s="39"/>
      <c r="I320" s="3"/>
      <c r="J320" s="39"/>
      <c r="K320" s="3"/>
      <c r="L320" s="3"/>
      <c r="M320" s="3"/>
      <c r="N320" s="3"/>
      <c r="O320" s="3"/>
      <c r="P320" s="3"/>
      <c r="Q320" s="3"/>
      <c r="R320" s="3"/>
    </row>
    <row r="321" spans="1:18" ht="16.149999999999999" customHeight="1" x14ac:dyDescent="0.25">
      <c r="A321" s="84"/>
      <c r="B321" s="3"/>
      <c r="D321" s="3"/>
      <c r="F321" s="79"/>
      <c r="H321" s="39"/>
      <c r="I321" s="3"/>
      <c r="J321" s="39"/>
      <c r="K321" s="3"/>
      <c r="L321" s="3"/>
      <c r="M321" s="3"/>
      <c r="N321" s="3"/>
      <c r="O321" s="3"/>
      <c r="P321" s="3"/>
      <c r="Q321" s="3"/>
      <c r="R321" s="3"/>
    </row>
    <row r="322" spans="1:18" ht="16.149999999999999" customHeight="1" x14ac:dyDescent="0.25">
      <c r="A322" s="84"/>
      <c r="B322" s="3"/>
      <c r="D322" s="3"/>
      <c r="F322" s="79"/>
      <c r="H322" s="39"/>
      <c r="I322" s="3"/>
      <c r="J322" s="39"/>
      <c r="K322" s="3"/>
      <c r="L322" s="3"/>
      <c r="M322" s="3"/>
      <c r="N322" s="3"/>
      <c r="O322" s="3"/>
      <c r="P322" s="3"/>
      <c r="Q322" s="3"/>
      <c r="R322" s="3"/>
    </row>
    <row r="323" spans="1:18" ht="16.149999999999999" customHeight="1" x14ac:dyDescent="0.25">
      <c r="A323" s="84"/>
      <c r="B323" s="3"/>
      <c r="D323" s="3"/>
      <c r="F323" s="79"/>
      <c r="H323" s="39"/>
      <c r="I323" s="3"/>
      <c r="J323" s="39"/>
      <c r="K323" s="3"/>
      <c r="L323" s="3"/>
      <c r="M323" s="3"/>
      <c r="N323" s="3"/>
      <c r="O323" s="3"/>
      <c r="P323" s="3"/>
      <c r="Q323" s="3"/>
      <c r="R323" s="3"/>
    </row>
    <row r="324" spans="1:18" ht="16.149999999999999" customHeight="1" x14ac:dyDescent="0.25">
      <c r="A324" s="84"/>
      <c r="B324" s="3"/>
      <c r="D324" s="3"/>
      <c r="F324" s="79"/>
      <c r="H324" s="39"/>
      <c r="I324" s="3"/>
      <c r="J324" s="39"/>
      <c r="K324" s="3"/>
      <c r="L324" s="3"/>
      <c r="M324" s="3"/>
      <c r="N324" s="3"/>
      <c r="O324" s="3"/>
      <c r="P324" s="3"/>
      <c r="Q324" s="3"/>
      <c r="R324" s="3"/>
    </row>
    <row r="325" spans="1:18" ht="16.149999999999999" customHeight="1" x14ac:dyDescent="0.25">
      <c r="A325" s="84"/>
      <c r="B325" s="3"/>
      <c r="D325" s="3"/>
      <c r="F325" s="79"/>
      <c r="H325" s="39"/>
      <c r="I325" s="3"/>
      <c r="J325" s="39"/>
      <c r="K325" s="3"/>
      <c r="L325" s="3"/>
      <c r="M325" s="3"/>
      <c r="N325" s="3"/>
      <c r="O325" s="3"/>
      <c r="P325" s="3"/>
      <c r="Q325" s="3"/>
      <c r="R325" s="3"/>
    </row>
    <row r="326" spans="1:18" ht="16.149999999999999" customHeight="1" x14ac:dyDescent="0.25">
      <c r="A326" s="84"/>
      <c r="B326" s="3"/>
      <c r="D326" s="3"/>
      <c r="F326" s="79"/>
      <c r="H326" s="39"/>
      <c r="I326" s="3"/>
      <c r="J326" s="39"/>
      <c r="K326" s="3"/>
      <c r="L326" s="3"/>
      <c r="M326" s="3"/>
      <c r="N326" s="3"/>
      <c r="O326" s="3"/>
      <c r="P326" s="3"/>
      <c r="Q326" s="3"/>
      <c r="R326" s="3"/>
    </row>
    <row r="327" spans="1:18" ht="16.149999999999999" customHeight="1" x14ac:dyDescent="0.25">
      <c r="A327" s="84"/>
      <c r="B327" s="3"/>
      <c r="D327" s="3"/>
      <c r="F327" s="79"/>
      <c r="H327" s="39"/>
      <c r="I327" s="3"/>
      <c r="J327" s="39"/>
      <c r="K327" s="3"/>
      <c r="L327" s="3"/>
      <c r="M327" s="3"/>
      <c r="N327" s="3"/>
      <c r="O327" s="3"/>
      <c r="P327" s="3"/>
      <c r="Q327" s="3"/>
      <c r="R327" s="3"/>
    </row>
    <row r="328" spans="1:18" ht="16.149999999999999" customHeight="1" x14ac:dyDescent="0.25">
      <c r="A328" s="84"/>
      <c r="B328" s="3"/>
      <c r="D328" s="3"/>
      <c r="F328" s="79"/>
      <c r="H328" s="39"/>
      <c r="I328" s="3"/>
      <c r="J328" s="39"/>
      <c r="K328" s="3"/>
      <c r="L328" s="3"/>
      <c r="M328" s="3"/>
      <c r="N328" s="3"/>
      <c r="O328" s="3"/>
      <c r="P328" s="3"/>
      <c r="Q328" s="3"/>
      <c r="R328" s="3"/>
    </row>
    <row r="329" spans="1:18" ht="16.149999999999999" customHeight="1" x14ac:dyDescent="0.25">
      <c r="A329" s="84"/>
      <c r="B329" s="3"/>
      <c r="D329" s="3"/>
      <c r="F329" s="79"/>
      <c r="H329" s="39"/>
      <c r="I329" s="3"/>
      <c r="J329" s="39"/>
      <c r="K329" s="3"/>
      <c r="L329" s="3"/>
      <c r="M329" s="3"/>
      <c r="N329" s="3"/>
      <c r="O329" s="3"/>
      <c r="P329" s="3"/>
      <c r="Q329" s="3"/>
      <c r="R329" s="3"/>
    </row>
    <row r="330" spans="1:18" ht="16.149999999999999" customHeight="1" x14ac:dyDescent="0.25">
      <c r="A330" s="84"/>
      <c r="B330" s="3"/>
      <c r="D330" s="3"/>
      <c r="F330" s="79"/>
      <c r="H330" s="39"/>
      <c r="I330" s="3"/>
      <c r="J330" s="39"/>
      <c r="K330" s="3"/>
      <c r="L330" s="3"/>
      <c r="M330" s="3"/>
      <c r="N330" s="3"/>
      <c r="O330" s="3"/>
      <c r="P330" s="3"/>
      <c r="Q330" s="3"/>
      <c r="R330" s="3"/>
    </row>
    <row r="331" spans="1:18" ht="16.149999999999999" customHeight="1" x14ac:dyDescent="0.25">
      <c r="A331" s="84"/>
      <c r="B331" s="3"/>
      <c r="D331" s="3"/>
      <c r="F331" s="79"/>
      <c r="H331" s="39"/>
      <c r="I331" s="3"/>
      <c r="J331" s="39"/>
      <c r="K331" s="3"/>
      <c r="L331" s="3"/>
      <c r="M331" s="3"/>
      <c r="N331" s="3"/>
      <c r="O331" s="3"/>
      <c r="P331" s="3"/>
      <c r="Q331" s="3"/>
      <c r="R331" s="3"/>
    </row>
    <row r="332" spans="1:18" ht="16.149999999999999" customHeight="1" x14ac:dyDescent="0.25">
      <c r="A332" s="84"/>
      <c r="B332" s="3"/>
      <c r="D332" s="3"/>
      <c r="F332" s="79"/>
      <c r="H332" s="39"/>
      <c r="I332" s="3"/>
      <c r="J332" s="39"/>
      <c r="K332" s="3"/>
      <c r="L332" s="3"/>
      <c r="M332" s="3"/>
      <c r="N332" s="3"/>
      <c r="O332" s="3"/>
      <c r="P332" s="3"/>
      <c r="Q332" s="3"/>
      <c r="R332" s="3"/>
    </row>
    <row r="333" spans="1:18" ht="16.149999999999999" customHeight="1" x14ac:dyDescent="0.25">
      <c r="A333" s="84"/>
      <c r="B333" s="3"/>
      <c r="D333" s="3"/>
      <c r="F333" s="79"/>
      <c r="H333" s="39"/>
      <c r="I333" s="3"/>
      <c r="J333" s="39"/>
      <c r="K333" s="3"/>
      <c r="L333" s="3"/>
      <c r="M333" s="3"/>
      <c r="N333" s="3"/>
      <c r="O333" s="3"/>
      <c r="P333" s="3"/>
      <c r="Q333" s="3"/>
      <c r="R333" s="3"/>
    </row>
    <row r="334" spans="1:18" ht="16.149999999999999" customHeight="1" x14ac:dyDescent="0.25">
      <c r="A334" s="84"/>
      <c r="B334" s="3"/>
      <c r="D334" s="3"/>
      <c r="F334" s="79"/>
      <c r="H334" s="39"/>
      <c r="I334" s="3"/>
      <c r="J334" s="39"/>
      <c r="K334" s="3"/>
      <c r="L334" s="3"/>
      <c r="M334" s="3"/>
      <c r="N334" s="3"/>
      <c r="O334" s="3"/>
      <c r="P334" s="3"/>
      <c r="Q334" s="3"/>
      <c r="R334" s="3"/>
    </row>
    <row r="335" spans="1:18" ht="16.149999999999999" customHeight="1" x14ac:dyDescent="0.25">
      <c r="A335" s="84"/>
      <c r="B335" s="3"/>
      <c r="D335" s="3"/>
      <c r="F335" s="79"/>
      <c r="H335" s="39"/>
      <c r="I335" s="3"/>
      <c r="J335" s="39"/>
      <c r="K335" s="3"/>
      <c r="L335" s="3"/>
      <c r="M335" s="3"/>
      <c r="N335" s="3"/>
      <c r="O335" s="3"/>
      <c r="P335" s="3"/>
      <c r="Q335" s="3"/>
      <c r="R335" s="3"/>
    </row>
    <row r="336" spans="1:18" ht="16.149999999999999" customHeight="1" x14ac:dyDescent="0.25">
      <c r="A336" s="84"/>
      <c r="B336" s="3"/>
      <c r="D336" s="3"/>
      <c r="F336" s="79"/>
      <c r="H336" s="39"/>
      <c r="I336" s="3"/>
      <c r="J336" s="39"/>
      <c r="K336" s="3"/>
      <c r="L336" s="3"/>
      <c r="M336" s="3"/>
      <c r="N336" s="3"/>
      <c r="O336" s="3"/>
      <c r="P336" s="3"/>
      <c r="Q336" s="3"/>
      <c r="R336" s="3"/>
    </row>
    <row r="337" spans="1:18" ht="16.149999999999999" customHeight="1" x14ac:dyDescent="0.25">
      <c r="A337" s="84"/>
      <c r="B337" s="3"/>
      <c r="D337" s="3"/>
      <c r="F337" s="79"/>
      <c r="H337" s="39"/>
      <c r="I337" s="3"/>
      <c r="J337" s="39"/>
      <c r="K337" s="3"/>
      <c r="L337" s="3"/>
      <c r="M337" s="3"/>
      <c r="N337" s="3"/>
      <c r="O337" s="3"/>
      <c r="P337" s="3"/>
      <c r="Q337" s="3"/>
      <c r="R337" s="3"/>
    </row>
    <row r="338" spans="1:18" ht="16.149999999999999" customHeight="1" x14ac:dyDescent="0.25">
      <c r="A338" s="84"/>
      <c r="B338" s="3"/>
      <c r="D338" s="3"/>
      <c r="F338" s="79"/>
      <c r="H338" s="39"/>
      <c r="I338" s="3"/>
      <c r="J338" s="39"/>
      <c r="K338" s="3"/>
      <c r="L338" s="3"/>
      <c r="M338" s="3"/>
      <c r="N338" s="3"/>
      <c r="O338" s="3"/>
      <c r="P338" s="3"/>
      <c r="Q338" s="3"/>
      <c r="R338" s="3"/>
    </row>
    <row r="339" spans="1:18" ht="16.149999999999999" customHeight="1" x14ac:dyDescent="0.25">
      <c r="A339" s="84"/>
      <c r="B339" s="3"/>
      <c r="D339" s="3"/>
      <c r="F339" s="79"/>
      <c r="H339" s="39"/>
      <c r="I339" s="3"/>
      <c r="J339" s="39"/>
      <c r="K339" s="3"/>
      <c r="L339" s="3"/>
      <c r="M339" s="3"/>
      <c r="N339" s="3"/>
      <c r="O339" s="3"/>
      <c r="P339" s="3"/>
      <c r="Q339" s="3"/>
      <c r="R339" s="3"/>
    </row>
    <row r="340" spans="1:18" ht="16.149999999999999" customHeight="1" x14ac:dyDescent="0.25">
      <c r="A340" s="84"/>
      <c r="B340" s="3"/>
      <c r="D340" s="3"/>
      <c r="F340" s="79"/>
      <c r="H340" s="39"/>
      <c r="I340" s="3"/>
      <c r="J340" s="39"/>
      <c r="K340" s="3"/>
      <c r="L340" s="3"/>
      <c r="M340" s="3"/>
      <c r="N340" s="3"/>
      <c r="O340" s="3"/>
      <c r="P340" s="3"/>
      <c r="Q340" s="3"/>
      <c r="R340" s="3"/>
    </row>
    <row r="341" spans="1:18" ht="16.149999999999999" customHeight="1" x14ac:dyDescent="0.25">
      <c r="A341" s="84"/>
      <c r="B341" s="3"/>
      <c r="D341" s="3"/>
      <c r="F341" s="79"/>
      <c r="H341" s="39"/>
      <c r="I341" s="3"/>
      <c r="J341" s="39"/>
      <c r="K341" s="3"/>
      <c r="L341" s="3"/>
      <c r="M341" s="3"/>
      <c r="N341" s="3"/>
      <c r="O341" s="3"/>
      <c r="P341" s="3"/>
      <c r="Q341" s="3"/>
      <c r="R341" s="3"/>
    </row>
    <row r="342" spans="1:18" ht="16.149999999999999" customHeight="1" x14ac:dyDescent="0.25">
      <c r="A342" s="84"/>
      <c r="B342" s="3"/>
      <c r="D342" s="3"/>
      <c r="F342" s="79"/>
      <c r="H342" s="39"/>
      <c r="I342" s="3"/>
      <c r="J342" s="39"/>
      <c r="K342" s="3"/>
      <c r="L342" s="3"/>
      <c r="M342" s="3"/>
      <c r="N342" s="3"/>
      <c r="O342" s="3"/>
      <c r="P342" s="3"/>
      <c r="Q342" s="3"/>
      <c r="R342" s="3"/>
    </row>
    <row r="343" spans="1:18" ht="16.149999999999999" customHeight="1" x14ac:dyDescent="0.25">
      <c r="A343" s="84"/>
      <c r="B343" s="3"/>
      <c r="D343" s="3"/>
      <c r="F343" s="79"/>
      <c r="H343" s="39"/>
      <c r="I343" s="3"/>
      <c r="J343" s="39"/>
      <c r="K343" s="3"/>
      <c r="L343" s="3"/>
      <c r="M343" s="3"/>
      <c r="N343" s="3"/>
      <c r="O343" s="3"/>
      <c r="P343" s="3"/>
      <c r="Q343" s="3"/>
      <c r="R343" s="3"/>
    </row>
    <row r="344" spans="1:18" ht="16.149999999999999" customHeight="1" x14ac:dyDescent="0.25">
      <c r="A344" s="84"/>
      <c r="B344" s="3"/>
      <c r="D344" s="3"/>
      <c r="F344" s="79"/>
      <c r="H344" s="39"/>
      <c r="I344" s="3"/>
      <c r="J344" s="39"/>
      <c r="K344" s="3"/>
      <c r="L344" s="3"/>
      <c r="M344" s="3"/>
      <c r="N344" s="3"/>
      <c r="O344" s="3"/>
      <c r="P344" s="3"/>
      <c r="Q344" s="3"/>
      <c r="R344" s="3"/>
    </row>
    <row r="345" spans="1:18" ht="16.149999999999999" customHeight="1" x14ac:dyDescent="0.25">
      <c r="A345" s="84"/>
      <c r="B345" s="3"/>
      <c r="D345" s="3"/>
      <c r="F345" s="79"/>
      <c r="H345" s="39"/>
      <c r="I345" s="3"/>
      <c r="J345" s="39"/>
      <c r="K345" s="3"/>
      <c r="L345" s="3"/>
      <c r="M345" s="3"/>
      <c r="N345" s="3"/>
      <c r="O345" s="3"/>
      <c r="P345" s="3"/>
      <c r="Q345" s="3"/>
      <c r="R345" s="3"/>
    </row>
    <row r="346" spans="1:18" ht="16.149999999999999" customHeight="1" x14ac:dyDescent="0.25">
      <c r="A346" s="84"/>
      <c r="B346" s="3"/>
      <c r="D346" s="3"/>
      <c r="F346" s="79"/>
      <c r="H346" s="39"/>
      <c r="I346" s="3"/>
      <c r="J346" s="39"/>
      <c r="K346" s="3"/>
      <c r="L346" s="3"/>
      <c r="M346" s="3"/>
      <c r="N346" s="3"/>
      <c r="O346" s="3"/>
      <c r="P346" s="3"/>
      <c r="Q346" s="3"/>
      <c r="R346" s="3"/>
    </row>
    <row r="347" spans="1:18" ht="16.149999999999999" customHeight="1" x14ac:dyDescent="0.25">
      <c r="A347" s="84"/>
      <c r="B347" s="3"/>
      <c r="D347" s="3"/>
      <c r="F347" s="79"/>
      <c r="H347" s="39"/>
      <c r="I347" s="3"/>
      <c r="J347" s="39"/>
      <c r="K347" s="3"/>
      <c r="L347" s="3"/>
      <c r="M347" s="3"/>
      <c r="N347" s="3"/>
      <c r="O347" s="3"/>
      <c r="P347" s="3"/>
      <c r="Q347" s="3"/>
      <c r="R347" s="3"/>
    </row>
    <row r="348" spans="1:18" ht="16.149999999999999" customHeight="1" x14ac:dyDescent="0.25">
      <c r="A348" s="84"/>
      <c r="B348" s="3"/>
      <c r="D348" s="3"/>
      <c r="F348" s="79"/>
      <c r="H348" s="39"/>
      <c r="I348" s="3"/>
      <c r="J348" s="39"/>
      <c r="K348" s="3"/>
      <c r="L348" s="3"/>
      <c r="M348" s="3"/>
      <c r="N348" s="3"/>
      <c r="O348" s="3"/>
      <c r="P348" s="3"/>
      <c r="Q348" s="3"/>
      <c r="R348" s="3"/>
    </row>
    <row r="349" spans="1:18" ht="16.149999999999999" customHeight="1" x14ac:dyDescent="0.25">
      <c r="A349" s="84"/>
      <c r="B349" s="3"/>
      <c r="D349" s="3"/>
      <c r="F349" s="79"/>
      <c r="H349" s="39"/>
      <c r="I349" s="3"/>
      <c r="J349" s="39"/>
      <c r="K349" s="3"/>
      <c r="L349" s="3"/>
      <c r="M349" s="3"/>
      <c r="N349" s="3"/>
      <c r="O349" s="3"/>
      <c r="P349" s="3"/>
      <c r="Q349" s="3"/>
      <c r="R349" s="3"/>
    </row>
    <row r="350" spans="1:18" ht="16.149999999999999" customHeight="1" x14ac:dyDescent="0.25">
      <c r="A350" s="84"/>
      <c r="B350" s="3"/>
      <c r="D350" s="3"/>
      <c r="F350" s="79"/>
      <c r="H350" s="39"/>
      <c r="I350" s="3"/>
      <c r="J350" s="39"/>
      <c r="K350" s="3"/>
      <c r="L350" s="3"/>
      <c r="M350" s="3"/>
      <c r="N350" s="3"/>
      <c r="O350" s="3"/>
      <c r="P350" s="3"/>
      <c r="Q350" s="3"/>
      <c r="R350" s="3"/>
    </row>
    <row r="351" spans="1:18" ht="16.149999999999999" customHeight="1" x14ac:dyDescent="0.25">
      <c r="A351" s="84"/>
      <c r="B351" s="3"/>
      <c r="D351" s="3"/>
      <c r="F351" s="79"/>
      <c r="H351" s="39"/>
      <c r="I351" s="3"/>
      <c r="J351" s="39"/>
      <c r="K351" s="3"/>
      <c r="L351" s="3"/>
      <c r="M351" s="3"/>
      <c r="N351" s="3"/>
      <c r="O351" s="3"/>
      <c r="P351" s="3"/>
      <c r="Q351" s="3"/>
      <c r="R351" s="3"/>
    </row>
    <row r="352" spans="1:18" ht="16.149999999999999" customHeight="1" x14ac:dyDescent="0.25">
      <c r="A352" s="84"/>
      <c r="B352" s="3"/>
      <c r="D352" s="3"/>
      <c r="F352" s="79"/>
      <c r="H352" s="39"/>
      <c r="I352" s="3"/>
      <c r="J352" s="39"/>
      <c r="K352" s="3"/>
      <c r="L352" s="3"/>
      <c r="M352" s="3"/>
      <c r="N352" s="3"/>
      <c r="O352" s="3"/>
      <c r="P352" s="3"/>
      <c r="Q352" s="3"/>
      <c r="R352" s="3"/>
    </row>
    <row r="353" spans="1:18" ht="16.149999999999999" customHeight="1" x14ac:dyDescent="0.25">
      <c r="A353" s="84"/>
      <c r="B353" s="3"/>
      <c r="D353" s="3"/>
      <c r="F353" s="79"/>
      <c r="H353" s="39"/>
      <c r="I353" s="3"/>
      <c r="J353" s="39"/>
      <c r="K353" s="3"/>
      <c r="L353" s="3"/>
      <c r="M353" s="3"/>
      <c r="N353" s="3"/>
      <c r="O353" s="3"/>
      <c r="P353" s="3"/>
      <c r="Q353" s="3"/>
      <c r="R353" s="3"/>
    </row>
    <row r="354" spans="1:18" ht="16.149999999999999" customHeight="1" x14ac:dyDescent="0.25">
      <c r="A354" s="84"/>
      <c r="B354" s="3"/>
      <c r="D354" s="3"/>
      <c r="F354" s="79"/>
      <c r="H354" s="39"/>
      <c r="I354" s="3"/>
      <c r="J354" s="39"/>
      <c r="K354" s="3"/>
      <c r="L354" s="3"/>
      <c r="M354" s="3"/>
      <c r="N354" s="3"/>
      <c r="O354" s="3"/>
      <c r="P354" s="3"/>
      <c r="Q354" s="3"/>
      <c r="R354" s="3"/>
    </row>
    <row r="355" spans="1:18" ht="16.149999999999999" customHeight="1" x14ac:dyDescent="0.25">
      <c r="A355" s="84"/>
      <c r="B355" s="3"/>
      <c r="D355" s="3"/>
      <c r="F355" s="79"/>
      <c r="H355" s="39"/>
      <c r="I355" s="3"/>
      <c r="J355" s="39"/>
      <c r="K355" s="3"/>
      <c r="L355" s="3"/>
      <c r="M355" s="3"/>
      <c r="N355" s="3"/>
      <c r="O355" s="3"/>
      <c r="P355" s="3"/>
      <c r="Q355" s="3"/>
      <c r="R355" s="3"/>
    </row>
    <row r="356" spans="1:18" ht="16.149999999999999" customHeight="1" x14ac:dyDescent="0.25">
      <c r="A356" s="84"/>
      <c r="B356" s="3"/>
      <c r="D356" s="3"/>
      <c r="F356" s="79"/>
      <c r="H356" s="39"/>
      <c r="I356" s="3"/>
      <c r="J356" s="39"/>
      <c r="K356" s="3"/>
      <c r="L356" s="3"/>
      <c r="M356" s="3"/>
      <c r="N356" s="3"/>
      <c r="O356" s="3"/>
      <c r="P356" s="3"/>
      <c r="Q356" s="3"/>
      <c r="R356" s="3"/>
    </row>
    <row r="357" spans="1:18" ht="16.149999999999999" customHeight="1" x14ac:dyDescent="0.25">
      <c r="A357" s="84"/>
      <c r="B357" s="3"/>
      <c r="D357" s="3"/>
      <c r="F357" s="79"/>
      <c r="H357" s="39"/>
      <c r="I357" s="3"/>
      <c r="J357" s="39"/>
      <c r="K357" s="3"/>
      <c r="L357" s="3"/>
      <c r="M357" s="3"/>
      <c r="N357" s="3"/>
      <c r="O357" s="3"/>
      <c r="P357" s="3"/>
      <c r="Q357" s="3"/>
      <c r="R357" s="3"/>
    </row>
    <row r="358" spans="1:18" ht="16.149999999999999" customHeight="1" x14ac:dyDescent="0.25">
      <c r="A358" s="84"/>
      <c r="B358" s="3"/>
      <c r="D358" s="3"/>
      <c r="F358" s="79"/>
      <c r="H358" s="39"/>
      <c r="I358" s="3"/>
      <c r="J358" s="39"/>
      <c r="K358" s="3"/>
      <c r="L358" s="3"/>
      <c r="M358" s="3"/>
      <c r="N358" s="3"/>
      <c r="O358" s="3"/>
      <c r="P358" s="3"/>
      <c r="Q358" s="3"/>
      <c r="R358" s="3"/>
    </row>
    <row r="359" spans="1:18" ht="16.149999999999999" customHeight="1" x14ac:dyDescent="0.25">
      <c r="A359" s="84"/>
      <c r="B359" s="3"/>
      <c r="D359" s="3"/>
      <c r="F359" s="79"/>
      <c r="H359" s="39"/>
      <c r="I359" s="3"/>
      <c r="J359" s="39"/>
      <c r="K359" s="3"/>
      <c r="L359" s="3"/>
      <c r="M359" s="3"/>
      <c r="N359" s="3"/>
      <c r="O359" s="3"/>
      <c r="P359" s="3"/>
      <c r="Q359" s="3"/>
      <c r="R359" s="3"/>
    </row>
    <row r="360" spans="1:18" ht="16.149999999999999" customHeight="1" x14ac:dyDescent="0.25">
      <c r="A360" s="84"/>
      <c r="B360" s="3"/>
      <c r="D360" s="3"/>
      <c r="F360" s="79"/>
      <c r="H360" s="39"/>
      <c r="I360" s="3"/>
      <c r="J360" s="39"/>
      <c r="K360" s="3"/>
      <c r="L360" s="3"/>
      <c r="M360" s="3"/>
      <c r="N360" s="3"/>
      <c r="O360" s="3"/>
      <c r="P360" s="3"/>
      <c r="Q360" s="3"/>
      <c r="R360" s="3"/>
    </row>
    <row r="361" spans="1:18" ht="16.149999999999999" customHeight="1" x14ac:dyDescent="0.25">
      <c r="A361" s="84"/>
      <c r="B361" s="3"/>
      <c r="D361" s="3"/>
      <c r="F361" s="79"/>
      <c r="H361" s="39"/>
      <c r="I361" s="3"/>
      <c r="J361" s="39"/>
      <c r="K361" s="3"/>
      <c r="L361" s="3"/>
      <c r="M361" s="3"/>
      <c r="N361" s="3"/>
      <c r="O361" s="3"/>
      <c r="P361" s="3"/>
      <c r="Q361" s="3"/>
      <c r="R361" s="3"/>
    </row>
    <row r="362" spans="1:18" ht="16.149999999999999" customHeight="1" x14ac:dyDescent="0.25">
      <c r="A362" s="84"/>
      <c r="B362" s="3"/>
      <c r="D362" s="3"/>
      <c r="F362" s="79"/>
      <c r="H362" s="39"/>
      <c r="I362" s="3"/>
      <c r="J362" s="39"/>
      <c r="K362" s="3"/>
      <c r="L362" s="3"/>
      <c r="M362" s="3"/>
      <c r="N362" s="3"/>
      <c r="O362" s="3"/>
      <c r="P362" s="3"/>
      <c r="Q362" s="3"/>
      <c r="R362" s="3"/>
    </row>
    <row r="363" spans="1:18" ht="16.149999999999999" customHeight="1" x14ac:dyDescent="0.25">
      <c r="A363" s="84"/>
      <c r="B363" s="3"/>
      <c r="D363" s="3"/>
      <c r="F363" s="79"/>
      <c r="H363" s="39"/>
      <c r="I363" s="3"/>
      <c r="J363" s="39"/>
      <c r="K363" s="3"/>
      <c r="L363" s="3"/>
      <c r="M363" s="3"/>
      <c r="N363" s="3"/>
      <c r="O363" s="3"/>
      <c r="P363" s="3"/>
      <c r="Q363" s="3"/>
      <c r="R363" s="3"/>
    </row>
    <row r="364" spans="1:18" ht="16.149999999999999" customHeight="1" x14ac:dyDescent="0.25">
      <c r="A364" s="84"/>
      <c r="B364" s="3"/>
      <c r="D364" s="3"/>
      <c r="F364" s="79"/>
      <c r="H364" s="39"/>
      <c r="I364" s="3"/>
      <c r="J364" s="39"/>
      <c r="K364" s="3"/>
      <c r="L364" s="3"/>
      <c r="M364" s="3"/>
      <c r="N364" s="3"/>
      <c r="O364" s="3"/>
      <c r="P364" s="3"/>
      <c r="Q364" s="3"/>
      <c r="R364" s="3"/>
    </row>
    <row r="365" spans="1:18" ht="16.149999999999999" customHeight="1" x14ac:dyDescent="0.25">
      <c r="A365" s="84"/>
      <c r="B365" s="3"/>
      <c r="D365" s="3"/>
      <c r="F365" s="79"/>
      <c r="H365" s="39"/>
      <c r="I365" s="3"/>
      <c r="J365" s="39"/>
      <c r="K365" s="3"/>
      <c r="L365" s="3"/>
      <c r="M365" s="3"/>
      <c r="N365" s="3"/>
      <c r="O365" s="3"/>
      <c r="P365" s="3"/>
      <c r="Q365" s="3"/>
      <c r="R365" s="3"/>
    </row>
    <row r="366" spans="1:18" ht="16.149999999999999" customHeight="1" x14ac:dyDescent="0.25">
      <c r="A366" s="84"/>
      <c r="B366" s="3"/>
      <c r="D366" s="3"/>
      <c r="F366" s="79"/>
      <c r="H366" s="39"/>
      <c r="I366" s="3"/>
      <c r="J366" s="39"/>
      <c r="K366" s="3"/>
      <c r="L366" s="3"/>
      <c r="M366" s="3"/>
      <c r="N366" s="3"/>
      <c r="O366" s="3"/>
      <c r="P366" s="3"/>
      <c r="Q366" s="3"/>
      <c r="R366" s="3"/>
    </row>
    <row r="367" spans="1:18" ht="16.149999999999999" customHeight="1" x14ac:dyDescent="0.25">
      <c r="A367" s="84"/>
      <c r="B367" s="3"/>
      <c r="D367" s="3"/>
      <c r="F367" s="79"/>
      <c r="H367" s="39"/>
      <c r="I367" s="3"/>
      <c r="J367" s="39"/>
      <c r="K367" s="3"/>
      <c r="L367" s="3"/>
      <c r="M367" s="3"/>
      <c r="N367" s="3"/>
      <c r="O367" s="3"/>
      <c r="P367" s="3"/>
      <c r="Q367" s="3"/>
      <c r="R367" s="3"/>
    </row>
    <row r="368" spans="1:18" ht="16.149999999999999" customHeight="1" x14ac:dyDescent="0.25">
      <c r="A368" s="84"/>
      <c r="B368" s="3"/>
      <c r="D368" s="3"/>
      <c r="F368" s="79"/>
      <c r="H368" s="39"/>
      <c r="I368" s="3"/>
      <c r="J368" s="39"/>
      <c r="K368" s="3"/>
      <c r="L368" s="3"/>
      <c r="M368" s="3"/>
      <c r="N368" s="3"/>
      <c r="O368" s="3"/>
      <c r="P368" s="3"/>
      <c r="Q368" s="3"/>
      <c r="R368" s="3"/>
    </row>
    <row r="369" spans="1:18" ht="16.149999999999999" customHeight="1" x14ac:dyDescent="0.25">
      <c r="A369" s="84"/>
      <c r="B369" s="3"/>
      <c r="D369" s="3"/>
      <c r="F369" s="79"/>
      <c r="H369" s="39"/>
      <c r="I369" s="3"/>
      <c r="J369" s="39"/>
      <c r="K369" s="3"/>
      <c r="L369" s="3"/>
      <c r="M369" s="3"/>
      <c r="N369" s="3"/>
      <c r="O369" s="3"/>
      <c r="P369" s="3"/>
      <c r="Q369" s="3"/>
      <c r="R369" s="3"/>
    </row>
    <row r="370" spans="1:18" ht="16.149999999999999" customHeight="1" x14ac:dyDescent="0.25">
      <c r="A370" s="84"/>
      <c r="B370" s="3"/>
      <c r="D370" s="3"/>
      <c r="F370" s="79"/>
      <c r="H370" s="39"/>
      <c r="I370" s="3"/>
      <c r="J370" s="39"/>
      <c r="K370" s="3"/>
      <c r="L370" s="3"/>
      <c r="M370" s="3"/>
      <c r="N370" s="3"/>
      <c r="O370" s="3"/>
      <c r="P370" s="3"/>
      <c r="Q370" s="3"/>
      <c r="R370" s="3"/>
    </row>
    <row r="371" spans="1:18" ht="16.149999999999999" customHeight="1" x14ac:dyDescent="0.25">
      <c r="A371" s="84"/>
      <c r="B371" s="3"/>
      <c r="D371" s="3"/>
      <c r="F371" s="79"/>
      <c r="H371" s="39"/>
      <c r="I371" s="3"/>
      <c r="J371" s="39"/>
      <c r="K371" s="3"/>
      <c r="L371" s="3"/>
      <c r="M371" s="3"/>
      <c r="N371" s="3"/>
      <c r="O371" s="3"/>
      <c r="P371" s="3"/>
      <c r="Q371" s="3"/>
      <c r="R371" s="3"/>
    </row>
    <row r="372" spans="1:18" ht="16.149999999999999" customHeight="1" x14ac:dyDescent="0.25">
      <c r="A372" s="84"/>
      <c r="B372" s="3"/>
      <c r="D372" s="3"/>
      <c r="F372" s="79"/>
      <c r="H372" s="39"/>
      <c r="I372" s="3"/>
      <c r="J372" s="39"/>
      <c r="K372" s="3"/>
      <c r="L372" s="3"/>
      <c r="M372" s="3"/>
      <c r="N372" s="3"/>
      <c r="O372" s="3"/>
      <c r="P372" s="3"/>
      <c r="Q372" s="3"/>
      <c r="R372" s="3"/>
    </row>
    <row r="373" spans="1:18" ht="16.149999999999999" customHeight="1" x14ac:dyDescent="0.25">
      <c r="A373" s="84"/>
      <c r="B373" s="3"/>
      <c r="D373" s="3"/>
      <c r="F373" s="79"/>
      <c r="H373" s="39"/>
      <c r="I373" s="3"/>
      <c r="J373" s="39"/>
      <c r="K373" s="3"/>
      <c r="L373" s="3"/>
      <c r="M373" s="3"/>
      <c r="N373" s="3"/>
      <c r="O373" s="3"/>
      <c r="P373" s="3"/>
      <c r="Q373" s="3"/>
      <c r="R373" s="3"/>
    </row>
    <row r="374" spans="1:18" ht="16.149999999999999" customHeight="1" x14ac:dyDescent="0.25">
      <c r="A374" s="84"/>
      <c r="B374" s="3"/>
      <c r="D374" s="3"/>
      <c r="F374" s="79"/>
      <c r="H374" s="39"/>
      <c r="I374" s="3"/>
      <c r="J374" s="39"/>
      <c r="K374" s="3"/>
      <c r="L374" s="3"/>
      <c r="M374" s="3"/>
      <c r="N374" s="3"/>
      <c r="O374" s="3"/>
      <c r="P374" s="3"/>
      <c r="Q374" s="3"/>
      <c r="R374" s="3"/>
    </row>
    <row r="375" spans="1:18" ht="16.149999999999999" customHeight="1" x14ac:dyDescent="0.25">
      <c r="A375" s="84"/>
      <c r="B375" s="3"/>
      <c r="D375" s="3"/>
      <c r="F375" s="79"/>
      <c r="H375" s="39"/>
      <c r="I375" s="3"/>
      <c r="J375" s="39"/>
      <c r="K375" s="3"/>
      <c r="L375" s="3"/>
      <c r="M375" s="3"/>
      <c r="N375" s="3"/>
      <c r="O375" s="3"/>
      <c r="P375" s="3"/>
      <c r="Q375" s="3"/>
      <c r="R375" s="3"/>
    </row>
    <row r="376" spans="1:18" ht="16.149999999999999" customHeight="1" x14ac:dyDescent="0.25">
      <c r="A376" s="84"/>
      <c r="B376" s="3"/>
      <c r="D376" s="3"/>
      <c r="F376" s="79"/>
      <c r="H376" s="39"/>
      <c r="I376" s="3"/>
      <c r="J376" s="39"/>
      <c r="K376" s="3"/>
      <c r="L376" s="3"/>
      <c r="M376" s="3"/>
      <c r="N376" s="3"/>
      <c r="O376" s="3"/>
      <c r="P376" s="3"/>
      <c r="Q376" s="3"/>
      <c r="R376" s="3"/>
    </row>
    <row r="377" spans="1:18" ht="16.149999999999999" customHeight="1" x14ac:dyDescent="0.25">
      <c r="A377" s="84"/>
      <c r="B377" s="3"/>
      <c r="D377" s="3"/>
      <c r="F377" s="79"/>
      <c r="H377" s="39"/>
      <c r="I377" s="3"/>
      <c r="J377" s="39"/>
      <c r="K377" s="3"/>
      <c r="L377" s="3"/>
      <c r="M377" s="3"/>
      <c r="N377" s="3"/>
      <c r="O377" s="3"/>
      <c r="P377" s="3"/>
      <c r="Q377" s="3"/>
      <c r="R377" s="3"/>
    </row>
    <row r="378" spans="1:18" ht="16.149999999999999" customHeight="1" x14ac:dyDescent="0.25">
      <c r="A378" s="84"/>
      <c r="B378" s="3"/>
      <c r="D378" s="3"/>
      <c r="F378" s="79"/>
      <c r="H378" s="39"/>
      <c r="I378" s="3"/>
      <c r="J378" s="39"/>
      <c r="K378" s="3"/>
      <c r="L378" s="3"/>
      <c r="M378" s="3"/>
      <c r="N378" s="3"/>
      <c r="O378" s="3"/>
      <c r="P378" s="3"/>
      <c r="Q378" s="3"/>
      <c r="R378" s="3"/>
    </row>
    <row r="379" spans="1:18" ht="16.149999999999999" customHeight="1" x14ac:dyDescent="0.25">
      <c r="A379" s="84"/>
      <c r="B379" s="3"/>
      <c r="D379" s="3"/>
      <c r="F379" s="79"/>
      <c r="H379" s="39"/>
      <c r="I379" s="3"/>
      <c r="J379" s="39"/>
      <c r="K379" s="3"/>
      <c r="L379" s="3"/>
      <c r="M379" s="3"/>
      <c r="N379" s="3"/>
      <c r="O379" s="3"/>
      <c r="P379" s="3"/>
      <c r="Q379" s="3"/>
      <c r="R379" s="3"/>
    </row>
    <row r="380" spans="1:18" ht="16.149999999999999" customHeight="1" x14ac:dyDescent="0.25">
      <c r="A380" s="84"/>
      <c r="B380" s="3"/>
      <c r="D380" s="3"/>
      <c r="F380" s="79"/>
      <c r="H380" s="39"/>
      <c r="I380" s="3"/>
      <c r="J380" s="39"/>
      <c r="K380" s="3"/>
      <c r="L380" s="3"/>
      <c r="M380" s="3"/>
      <c r="N380" s="3"/>
      <c r="O380" s="3"/>
      <c r="P380" s="3"/>
      <c r="Q380" s="3"/>
      <c r="R380" s="3"/>
    </row>
    <row r="381" spans="1:18" ht="16.149999999999999" customHeight="1" x14ac:dyDescent="0.25">
      <c r="A381" s="84"/>
      <c r="B381" s="3"/>
      <c r="D381" s="3"/>
      <c r="F381" s="79"/>
      <c r="H381" s="39"/>
      <c r="I381" s="3"/>
      <c r="J381" s="39"/>
      <c r="K381" s="3"/>
      <c r="L381" s="3"/>
      <c r="M381" s="3"/>
      <c r="N381" s="3"/>
      <c r="O381" s="3"/>
      <c r="P381" s="3"/>
      <c r="Q381" s="3"/>
      <c r="R381" s="3"/>
    </row>
    <row r="382" spans="1:18" ht="16.149999999999999" customHeight="1" x14ac:dyDescent="0.25">
      <c r="A382" s="84"/>
      <c r="B382" s="3"/>
      <c r="D382" s="3"/>
      <c r="F382" s="79"/>
      <c r="H382" s="39"/>
      <c r="I382" s="3"/>
      <c r="J382" s="39"/>
      <c r="K382" s="3"/>
      <c r="L382" s="3"/>
      <c r="M382" s="3"/>
      <c r="N382" s="3"/>
      <c r="O382" s="3"/>
      <c r="P382" s="3"/>
      <c r="Q382" s="3"/>
      <c r="R382" s="3"/>
    </row>
    <row r="383" spans="1:18" ht="16.149999999999999" customHeight="1" x14ac:dyDescent="0.25">
      <c r="A383" s="84"/>
      <c r="B383" s="3"/>
      <c r="D383" s="3"/>
      <c r="F383" s="79"/>
      <c r="H383" s="39"/>
      <c r="I383" s="3"/>
      <c r="J383" s="39"/>
      <c r="K383" s="3"/>
      <c r="L383" s="3"/>
      <c r="M383" s="3"/>
      <c r="N383" s="3"/>
      <c r="O383" s="3"/>
      <c r="P383" s="3"/>
      <c r="Q383" s="3"/>
      <c r="R383" s="3"/>
    </row>
    <row r="384" spans="1:18" ht="16.149999999999999" customHeight="1" x14ac:dyDescent="0.25">
      <c r="A384" s="84"/>
      <c r="B384" s="3"/>
      <c r="D384" s="3"/>
      <c r="F384" s="79"/>
      <c r="H384" s="39"/>
      <c r="I384" s="3"/>
      <c r="J384" s="39"/>
      <c r="K384" s="3"/>
      <c r="L384" s="3"/>
      <c r="M384" s="3"/>
      <c r="N384" s="3"/>
      <c r="O384" s="3"/>
      <c r="P384" s="3"/>
      <c r="Q384" s="3"/>
      <c r="R384" s="3"/>
    </row>
    <row r="385" spans="1:18" ht="16.149999999999999" customHeight="1" x14ac:dyDescent="0.25">
      <c r="A385" s="84"/>
      <c r="B385" s="3"/>
      <c r="D385" s="3"/>
      <c r="F385" s="79"/>
      <c r="H385" s="39"/>
      <c r="I385" s="3"/>
      <c r="J385" s="39"/>
      <c r="K385" s="3"/>
      <c r="L385" s="3"/>
      <c r="M385" s="3"/>
      <c r="N385" s="3"/>
      <c r="O385" s="3"/>
      <c r="P385" s="3"/>
      <c r="Q385" s="3"/>
      <c r="R385" s="3"/>
    </row>
    <row r="386" spans="1:18" ht="16.149999999999999" customHeight="1" x14ac:dyDescent="0.25">
      <c r="A386" s="84"/>
      <c r="B386" s="3"/>
      <c r="D386" s="3"/>
      <c r="F386" s="79"/>
      <c r="H386" s="39"/>
      <c r="I386" s="3"/>
      <c r="J386" s="39"/>
      <c r="K386" s="3"/>
      <c r="L386" s="3"/>
      <c r="M386" s="3"/>
      <c r="N386" s="3"/>
      <c r="O386" s="3"/>
      <c r="P386" s="3"/>
      <c r="Q386" s="3"/>
      <c r="R386" s="3"/>
    </row>
    <row r="387" spans="1:18" ht="16.149999999999999" customHeight="1" x14ac:dyDescent="0.25">
      <c r="A387" s="84"/>
      <c r="B387" s="3"/>
      <c r="D387" s="3"/>
      <c r="F387" s="79"/>
      <c r="H387" s="39"/>
      <c r="I387" s="3"/>
      <c r="J387" s="39"/>
      <c r="K387" s="3"/>
      <c r="L387" s="3"/>
      <c r="M387" s="3"/>
      <c r="N387" s="3"/>
      <c r="O387" s="3"/>
      <c r="P387" s="3"/>
      <c r="Q387" s="3"/>
      <c r="R387" s="3"/>
    </row>
    <row r="388" spans="1:18" ht="16.149999999999999" customHeight="1" x14ac:dyDescent="0.25">
      <c r="A388" s="84"/>
      <c r="B388" s="3"/>
      <c r="D388" s="3"/>
      <c r="F388" s="79"/>
      <c r="H388" s="39"/>
      <c r="I388" s="3"/>
      <c r="J388" s="39"/>
      <c r="K388" s="3"/>
      <c r="L388" s="3"/>
      <c r="M388" s="3"/>
      <c r="N388" s="3"/>
      <c r="O388" s="3"/>
      <c r="P388" s="3"/>
      <c r="Q388" s="3"/>
      <c r="R388" s="3"/>
    </row>
    <row r="389" spans="1:18" ht="16.149999999999999" customHeight="1" x14ac:dyDescent="0.25">
      <c r="A389" s="84"/>
      <c r="B389" s="3"/>
      <c r="D389" s="3"/>
      <c r="F389" s="79"/>
      <c r="H389" s="39"/>
      <c r="I389" s="3"/>
      <c r="J389" s="39"/>
      <c r="K389" s="3"/>
      <c r="L389" s="3"/>
      <c r="M389" s="3"/>
      <c r="N389" s="3"/>
      <c r="O389" s="3"/>
      <c r="P389" s="3"/>
      <c r="Q389" s="3"/>
      <c r="R389" s="3"/>
    </row>
    <row r="390" spans="1:18" ht="16.149999999999999" customHeight="1" x14ac:dyDescent="0.25">
      <c r="A390" s="84"/>
      <c r="B390" s="3"/>
      <c r="D390" s="3"/>
      <c r="F390" s="79"/>
      <c r="H390" s="39"/>
      <c r="I390" s="3"/>
      <c r="J390" s="39"/>
      <c r="K390" s="3"/>
      <c r="L390" s="3"/>
      <c r="M390" s="3"/>
      <c r="N390" s="3"/>
      <c r="O390" s="3"/>
      <c r="P390" s="3"/>
      <c r="Q390" s="3"/>
      <c r="R390" s="3"/>
    </row>
    <row r="391" spans="1:18" ht="16.149999999999999" customHeight="1" x14ac:dyDescent="0.25">
      <c r="A391" s="84"/>
      <c r="B391" s="3"/>
      <c r="D391" s="3"/>
      <c r="F391" s="79"/>
      <c r="H391" s="39"/>
      <c r="I391" s="3"/>
      <c r="J391" s="39"/>
      <c r="K391" s="3"/>
      <c r="L391" s="3"/>
      <c r="M391" s="3"/>
      <c r="N391" s="3"/>
      <c r="O391" s="3"/>
      <c r="P391" s="3"/>
      <c r="Q391" s="3"/>
      <c r="R391" s="3"/>
    </row>
    <row r="392" spans="1:18" ht="16.149999999999999" customHeight="1" x14ac:dyDescent="0.25">
      <c r="A392" s="84"/>
      <c r="B392" s="3"/>
      <c r="D392" s="3"/>
      <c r="F392" s="79"/>
      <c r="H392" s="39"/>
      <c r="I392" s="3"/>
      <c r="J392" s="39"/>
      <c r="K392" s="3"/>
      <c r="L392" s="3"/>
      <c r="M392" s="3"/>
      <c r="N392" s="3"/>
      <c r="O392" s="3"/>
      <c r="P392" s="3"/>
      <c r="Q392" s="3"/>
      <c r="R392" s="3"/>
    </row>
    <row r="393" spans="1:18" ht="16.149999999999999" customHeight="1" x14ac:dyDescent="0.25">
      <c r="A393" s="84"/>
      <c r="B393" s="3"/>
      <c r="D393" s="3"/>
      <c r="F393" s="79"/>
      <c r="H393" s="39"/>
      <c r="I393" s="3"/>
      <c r="J393" s="39"/>
      <c r="K393" s="3"/>
      <c r="L393" s="3"/>
      <c r="M393" s="3"/>
      <c r="N393" s="3"/>
      <c r="O393" s="3"/>
      <c r="P393" s="3"/>
      <c r="Q393" s="3"/>
      <c r="R393" s="3"/>
    </row>
    <row r="394" spans="1:18" ht="16.149999999999999" customHeight="1" x14ac:dyDescent="0.25">
      <c r="A394" s="84"/>
      <c r="B394" s="3"/>
      <c r="D394" s="3"/>
      <c r="F394" s="79"/>
      <c r="H394" s="39"/>
      <c r="I394" s="3"/>
      <c r="J394" s="39"/>
      <c r="K394" s="3"/>
      <c r="L394" s="3"/>
      <c r="M394" s="3"/>
      <c r="N394" s="3"/>
      <c r="O394" s="3"/>
      <c r="P394" s="3"/>
      <c r="Q394" s="3"/>
      <c r="R394" s="3"/>
    </row>
    <row r="395" spans="1:18" ht="16.149999999999999" customHeight="1" x14ac:dyDescent="0.25">
      <c r="A395" s="84"/>
      <c r="B395" s="3"/>
      <c r="D395" s="3"/>
      <c r="F395" s="79"/>
      <c r="H395" s="39"/>
      <c r="I395" s="3"/>
      <c r="J395" s="39"/>
      <c r="K395" s="3"/>
      <c r="L395" s="3"/>
      <c r="M395" s="3"/>
      <c r="N395" s="3"/>
      <c r="O395" s="3"/>
      <c r="P395" s="3"/>
      <c r="Q395" s="3"/>
      <c r="R395" s="3"/>
    </row>
    <row r="396" spans="1:18" ht="16.149999999999999" customHeight="1" x14ac:dyDescent="0.25">
      <c r="A396" s="84"/>
      <c r="B396" s="3"/>
      <c r="D396" s="3"/>
      <c r="F396" s="79"/>
      <c r="H396" s="39"/>
      <c r="I396" s="3"/>
      <c r="J396" s="39"/>
      <c r="K396" s="3"/>
      <c r="L396" s="3"/>
      <c r="M396" s="3"/>
      <c r="N396" s="3"/>
      <c r="O396" s="3"/>
      <c r="P396" s="3"/>
      <c r="Q396" s="3"/>
      <c r="R396" s="3"/>
    </row>
    <row r="397" spans="1:18" ht="16.149999999999999" customHeight="1" x14ac:dyDescent="0.25">
      <c r="A397" s="84"/>
      <c r="B397" s="3"/>
      <c r="D397" s="3"/>
      <c r="F397" s="79"/>
      <c r="H397" s="39"/>
      <c r="I397" s="3"/>
      <c r="J397" s="39"/>
      <c r="K397" s="3"/>
      <c r="L397" s="3"/>
      <c r="M397" s="3"/>
      <c r="N397" s="3"/>
      <c r="O397" s="3"/>
      <c r="P397" s="3"/>
      <c r="Q397" s="3"/>
      <c r="R397" s="3"/>
    </row>
    <row r="398" spans="1:18" ht="16.149999999999999" customHeight="1" x14ac:dyDescent="0.25">
      <c r="A398" s="84"/>
      <c r="B398" s="3"/>
      <c r="D398" s="3"/>
      <c r="F398" s="79"/>
      <c r="H398" s="39"/>
      <c r="I398" s="3"/>
      <c r="J398" s="39"/>
      <c r="K398" s="3"/>
      <c r="L398" s="3"/>
      <c r="M398" s="3"/>
      <c r="N398" s="3"/>
      <c r="O398" s="3"/>
      <c r="P398" s="3"/>
      <c r="Q398" s="3"/>
      <c r="R398" s="3"/>
    </row>
    <row r="399" spans="1:18" ht="16.149999999999999" customHeight="1" x14ac:dyDescent="0.25">
      <c r="A399" s="84"/>
      <c r="B399" s="3"/>
      <c r="D399" s="3"/>
      <c r="F399" s="79"/>
      <c r="H399" s="39"/>
      <c r="I399" s="3"/>
      <c r="J399" s="39"/>
      <c r="K399" s="3"/>
      <c r="L399" s="3"/>
      <c r="M399" s="3"/>
      <c r="N399" s="3"/>
      <c r="O399" s="3"/>
      <c r="P399" s="3"/>
      <c r="Q399" s="3"/>
      <c r="R399" s="3"/>
    </row>
    <row r="400" spans="1:18" ht="16.149999999999999" customHeight="1" x14ac:dyDescent="0.25">
      <c r="A400" s="84"/>
      <c r="B400" s="3"/>
      <c r="D400" s="3"/>
      <c r="F400" s="79"/>
      <c r="H400" s="39"/>
      <c r="I400" s="3"/>
      <c r="J400" s="39"/>
      <c r="K400" s="3"/>
      <c r="L400" s="3"/>
      <c r="M400" s="3"/>
      <c r="N400" s="3"/>
      <c r="O400" s="3"/>
      <c r="P400" s="3"/>
      <c r="Q400" s="3"/>
      <c r="R400" s="3"/>
    </row>
    <row r="401" spans="1:18" ht="16.149999999999999" customHeight="1" x14ac:dyDescent="0.25">
      <c r="A401" s="84"/>
      <c r="B401" s="3"/>
      <c r="D401" s="3"/>
      <c r="F401" s="79"/>
      <c r="H401" s="39"/>
      <c r="I401" s="3"/>
      <c r="J401" s="39"/>
      <c r="K401" s="3"/>
      <c r="L401" s="3"/>
      <c r="M401" s="3"/>
      <c r="N401" s="3"/>
      <c r="O401" s="3"/>
      <c r="P401" s="3"/>
      <c r="Q401" s="3"/>
      <c r="R401" s="3"/>
    </row>
    <row r="402" spans="1:18" ht="16.149999999999999" customHeight="1" x14ac:dyDescent="0.25">
      <c r="A402" s="84"/>
      <c r="B402" s="3"/>
      <c r="D402" s="3"/>
      <c r="F402" s="79"/>
      <c r="H402" s="39"/>
      <c r="I402" s="3"/>
      <c r="J402" s="39"/>
      <c r="K402" s="3"/>
      <c r="L402" s="3"/>
      <c r="M402" s="3"/>
      <c r="N402" s="3"/>
      <c r="O402" s="3"/>
      <c r="P402" s="3"/>
      <c r="Q402" s="3"/>
      <c r="R402" s="3"/>
    </row>
    <row r="403" spans="1:18" ht="16.149999999999999" customHeight="1" x14ac:dyDescent="0.25">
      <c r="A403" s="84"/>
      <c r="B403" s="3"/>
      <c r="D403" s="3"/>
      <c r="F403" s="79"/>
      <c r="H403" s="39"/>
      <c r="I403" s="3"/>
      <c r="J403" s="39"/>
      <c r="K403" s="3"/>
      <c r="L403" s="3"/>
      <c r="M403" s="3"/>
      <c r="N403" s="3"/>
      <c r="O403" s="3"/>
      <c r="P403" s="3"/>
      <c r="Q403" s="3"/>
      <c r="R403" s="3"/>
    </row>
    <row r="404" spans="1:18" ht="16.149999999999999" customHeight="1" x14ac:dyDescent="0.25">
      <c r="A404" s="84"/>
      <c r="B404" s="3"/>
      <c r="D404" s="3"/>
      <c r="F404" s="79"/>
      <c r="H404" s="39"/>
      <c r="I404" s="3"/>
      <c r="J404" s="39"/>
      <c r="K404" s="3"/>
      <c r="L404" s="3"/>
      <c r="M404" s="3"/>
      <c r="N404" s="3"/>
      <c r="O404" s="3"/>
      <c r="P404" s="3"/>
      <c r="Q404" s="3"/>
      <c r="R404" s="3"/>
    </row>
    <row r="405" spans="1:18" ht="16.149999999999999" customHeight="1" x14ac:dyDescent="0.25">
      <c r="A405" s="84"/>
      <c r="B405" s="3"/>
      <c r="D405" s="3"/>
      <c r="F405" s="79"/>
      <c r="H405" s="39"/>
      <c r="I405" s="3"/>
      <c r="J405" s="39"/>
      <c r="K405" s="3"/>
      <c r="L405" s="3"/>
      <c r="M405" s="3"/>
      <c r="N405" s="3"/>
      <c r="O405" s="3"/>
      <c r="P405" s="3"/>
      <c r="Q405" s="3"/>
      <c r="R405" s="3"/>
    </row>
    <row r="406" spans="1:18" ht="16.149999999999999" customHeight="1" x14ac:dyDescent="0.25">
      <c r="A406" s="84"/>
      <c r="B406" s="3"/>
      <c r="D406" s="3"/>
      <c r="F406" s="79"/>
      <c r="H406" s="39"/>
      <c r="I406" s="3"/>
      <c r="J406" s="39"/>
      <c r="K406" s="3"/>
      <c r="L406" s="3"/>
      <c r="M406" s="3"/>
      <c r="N406" s="3"/>
      <c r="O406" s="3"/>
      <c r="P406" s="3"/>
      <c r="Q406" s="3"/>
      <c r="R406" s="3"/>
    </row>
    <row r="407" spans="1:18" ht="16.149999999999999" customHeight="1" x14ac:dyDescent="0.25">
      <c r="A407" s="84"/>
      <c r="B407" s="3"/>
      <c r="D407" s="3"/>
      <c r="F407" s="79"/>
      <c r="H407" s="39"/>
      <c r="I407" s="3"/>
      <c r="J407" s="39"/>
      <c r="K407" s="3"/>
      <c r="L407" s="3"/>
      <c r="M407" s="3"/>
      <c r="N407" s="3"/>
      <c r="O407" s="3"/>
      <c r="P407" s="3"/>
      <c r="Q407" s="3"/>
      <c r="R407" s="3"/>
    </row>
    <row r="408" spans="1:18" ht="16.149999999999999" customHeight="1" x14ac:dyDescent="0.25">
      <c r="A408" s="84"/>
      <c r="B408" s="3"/>
      <c r="D408" s="3"/>
      <c r="F408" s="79"/>
      <c r="H408" s="39"/>
      <c r="I408" s="3"/>
      <c r="J408" s="39"/>
      <c r="K408" s="3"/>
      <c r="L408" s="3"/>
      <c r="M408" s="3"/>
      <c r="N408" s="3"/>
      <c r="O408" s="3"/>
      <c r="P408" s="3"/>
      <c r="Q408" s="3"/>
      <c r="R408" s="3"/>
    </row>
    <row r="409" spans="1:18" ht="16.149999999999999" customHeight="1" x14ac:dyDescent="0.25">
      <c r="A409" s="84"/>
      <c r="B409" s="3"/>
      <c r="D409" s="3"/>
      <c r="F409" s="79"/>
      <c r="H409" s="39"/>
      <c r="I409" s="3"/>
      <c r="J409" s="39"/>
      <c r="K409" s="3"/>
      <c r="L409" s="3"/>
      <c r="M409" s="3"/>
      <c r="N409" s="3"/>
      <c r="O409" s="3"/>
      <c r="P409" s="3"/>
      <c r="Q409" s="3"/>
      <c r="R409" s="3"/>
    </row>
    <row r="410" spans="1:18" ht="16.149999999999999" customHeight="1" x14ac:dyDescent="0.25">
      <c r="A410" s="84"/>
      <c r="B410" s="3"/>
      <c r="D410" s="3"/>
      <c r="F410" s="79"/>
      <c r="H410" s="39"/>
      <c r="I410" s="3"/>
      <c r="J410" s="39"/>
      <c r="K410" s="3"/>
      <c r="L410" s="3"/>
      <c r="M410" s="3"/>
      <c r="N410" s="3"/>
      <c r="O410" s="3"/>
      <c r="P410" s="3"/>
      <c r="Q410" s="3"/>
      <c r="R410" s="3"/>
    </row>
    <row r="411" spans="1:18" ht="16.149999999999999" customHeight="1" x14ac:dyDescent="0.25">
      <c r="A411" s="84"/>
      <c r="B411" s="3"/>
      <c r="D411" s="3"/>
      <c r="F411" s="79"/>
      <c r="H411" s="39"/>
      <c r="I411" s="3"/>
      <c r="J411" s="39"/>
      <c r="K411" s="3"/>
      <c r="L411" s="3"/>
      <c r="M411" s="3"/>
      <c r="N411" s="3"/>
      <c r="O411" s="3"/>
      <c r="P411" s="3"/>
      <c r="Q411" s="3"/>
      <c r="R411" s="3"/>
    </row>
    <row r="412" spans="1:18" ht="16.149999999999999" customHeight="1" x14ac:dyDescent="0.25">
      <c r="A412" s="84"/>
      <c r="B412" s="3"/>
      <c r="D412" s="3"/>
      <c r="F412" s="79"/>
      <c r="H412" s="39"/>
      <c r="I412" s="3"/>
      <c r="J412" s="39"/>
      <c r="K412" s="3"/>
      <c r="L412" s="3"/>
      <c r="M412" s="3"/>
      <c r="N412" s="3"/>
      <c r="O412" s="3"/>
      <c r="P412" s="3"/>
      <c r="Q412" s="3"/>
      <c r="R412" s="3"/>
    </row>
    <row r="413" spans="1:18" ht="16.149999999999999" customHeight="1" x14ac:dyDescent="0.25">
      <c r="A413" s="84"/>
      <c r="B413" s="3"/>
      <c r="D413" s="3"/>
      <c r="F413" s="79"/>
      <c r="H413" s="39"/>
      <c r="I413" s="3"/>
      <c r="J413" s="39"/>
      <c r="K413" s="3"/>
      <c r="L413" s="3"/>
      <c r="M413" s="3"/>
      <c r="N413" s="3"/>
      <c r="O413" s="3"/>
      <c r="P413" s="3"/>
      <c r="Q413" s="3"/>
      <c r="R413" s="3"/>
    </row>
    <row r="414" spans="1:18" ht="16.149999999999999" customHeight="1" x14ac:dyDescent="0.25">
      <c r="A414" s="84"/>
      <c r="B414" s="3"/>
      <c r="D414" s="3"/>
      <c r="F414" s="79"/>
      <c r="H414" s="39"/>
      <c r="I414" s="3"/>
      <c r="J414" s="39"/>
      <c r="K414" s="3"/>
      <c r="L414" s="3"/>
      <c r="M414" s="3"/>
      <c r="N414" s="3"/>
      <c r="O414" s="3"/>
      <c r="P414" s="3"/>
      <c r="Q414" s="3"/>
      <c r="R414" s="3"/>
    </row>
    <row r="415" spans="1:18" ht="16.149999999999999" customHeight="1" x14ac:dyDescent="0.25">
      <c r="A415" s="84"/>
      <c r="B415" s="3"/>
      <c r="D415" s="3"/>
      <c r="F415" s="79"/>
      <c r="H415" s="39"/>
      <c r="I415" s="3"/>
      <c r="J415" s="39"/>
      <c r="K415" s="3"/>
      <c r="L415" s="3"/>
      <c r="M415" s="3"/>
      <c r="N415" s="3"/>
      <c r="O415" s="3"/>
      <c r="P415" s="3"/>
      <c r="Q415" s="3"/>
      <c r="R415" s="3"/>
    </row>
    <row r="416" spans="1:18" ht="16.149999999999999" customHeight="1" x14ac:dyDescent="0.25">
      <c r="A416" s="84"/>
      <c r="B416" s="3"/>
      <c r="D416" s="3"/>
      <c r="F416" s="79"/>
      <c r="H416" s="39"/>
      <c r="I416" s="3"/>
      <c r="J416" s="39"/>
      <c r="K416" s="3"/>
      <c r="L416" s="3"/>
      <c r="M416" s="3"/>
      <c r="N416" s="3"/>
      <c r="O416" s="3"/>
      <c r="P416" s="3"/>
      <c r="Q416" s="3"/>
      <c r="R416" s="3"/>
    </row>
    <row r="417" spans="1:18" ht="16.149999999999999" customHeight="1" x14ac:dyDescent="0.25">
      <c r="A417" s="84"/>
      <c r="B417" s="3"/>
      <c r="D417" s="3"/>
      <c r="F417" s="79"/>
      <c r="H417" s="39"/>
      <c r="I417" s="3"/>
      <c r="J417" s="39"/>
      <c r="K417" s="3"/>
      <c r="L417" s="3"/>
      <c r="M417" s="3"/>
      <c r="N417" s="3"/>
      <c r="O417" s="3"/>
      <c r="P417" s="3"/>
      <c r="Q417" s="3"/>
      <c r="R417" s="3"/>
    </row>
    <row r="418" spans="1:18" ht="16.149999999999999" customHeight="1" x14ac:dyDescent="0.25">
      <c r="A418" s="84"/>
      <c r="B418" s="3"/>
      <c r="D418" s="3"/>
      <c r="F418" s="79"/>
      <c r="H418" s="39"/>
      <c r="I418" s="3"/>
      <c r="J418" s="39"/>
      <c r="K418" s="3"/>
      <c r="L418" s="3"/>
      <c r="M418" s="3"/>
      <c r="N418" s="3"/>
      <c r="O418" s="3"/>
      <c r="P418" s="3"/>
      <c r="Q418" s="3"/>
      <c r="R418" s="3"/>
    </row>
    <row r="419" spans="1:18" ht="16.149999999999999" customHeight="1" x14ac:dyDescent="0.25">
      <c r="A419" s="84"/>
      <c r="B419" s="3"/>
      <c r="D419" s="3"/>
      <c r="F419" s="79"/>
      <c r="H419" s="39"/>
      <c r="I419" s="3"/>
      <c r="J419" s="39"/>
      <c r="K419" s="3"/>
      <c r="L419" s="3"/>
      <c r="M419" s="3"/>
      <c r="N419" s="3"/>
      <c r="O419" s="3"/>
      <c r="P419" s="3"/>
      <c r="Q419" s="3"/>
      <c r="R419" s="3"/>
    </row>
    <row r="420" spans="1:18" ht="16.149999999999999" customHeight="1" x14ac:dyDescent="0.25">
      <c r="A420" s="84"/>
      <c r="B420" s="3"/>
      <c r="D420" s="3"/>
      <c r="F420" s="79"/>
      <c r="H420" s="39"/>
      <c r="I420" s="3"/>
      <c r="J420" s="39"/>
      <c r="K420" s="3"/>
      <c r="L420" s="3"/>
      <c r="M420" s="3"/>
      <c r="N420" s="3"/>
      <c r="O420" s="3"/>
      <c r="P420" s="3"/>
      <c r="Q420" s="3"/>
      <c r="R420" s="3"/>
    </row>
    <row r="421" spans="1:18" ht="16.149999999999999" customHeight="1" x14ac:dyDescent="0.25">
      <c r="A421" s="84"/>
      <c r="B421" s="3"/>
      <c r="D421" s="3"/>
      <c r="F421" s="79"/>
      <c r="H421" s="39"/>
      <c r="I421" s="3"/>
      <c r="J421" s="39"/>
      <c r="K421" s="3"/>
      <c r="L421" s="3"/>
      <c r="M421" s="3"/>
      <c r="N421" s="3"/>
      <c r="O421" s="3"/>
      <c r="P421" s="3"/>
      <c r="Q421" s="3"/>
      <c r="R421" s="3"/>
    </row>
    <row r="422" spans="1:18" ht="16.149999999999999" customHeight="1" x14ac:dyDescent="0.25">
      <c r="A422" s="84"/>
      <c r="B422" s="3"/>
      <c r="D422" s="3"/>
      <c r="F422" s="79"/>
      <c r="H422" s="39"/>
      <c r="I422" s="3"/>
      <c r="J422" s="39"/>
      <c r="K422" s="3"/>
      <c r="L422" s="3"/>
      <c r="M422" s="3"/>
      <c r="N422" s="3"/>
      <c r="O422" s="3"/>
      <c r="P422" s="3"/>
      <c r="Q422" s="3"/>
      <c r="R422" s="3"/>
    </row>
    <row r="423" spans="1:18" ht="16.149999999999999" customHeight="1" x14ac:dyDescent="0.25">
      <c r="A423" s="84"/>
      <c r="B423" s="3"/>
      <c r="D423" s="3"/>
      <c r="F423" s="79"/>
      <c r="H423" s="39"/>
      <c r="I423" s="3"/>
      <c r="J423" s="39"/>
      <c r="K423" s="3"/>
      <c r="L423" s="3"/>
      <c r="M423" s="3"/>
      <c r="N423" s="3"/>
      <c r="O423" s="3"/>
      <c r="P423" s="3"/>
      <c r="Q423" s="3"/>
      <c r="R423" s="3"/>
    </row>
    <row r="424" spans="1:18" ht="16.149999999999999" customHeight="1" x14ac:dyDescent="0.25">
      <c r="A424" s="84"/>
      <c r="B424" s="3"/>
      <c r="D424" s="3"/>
      <c r="F424" s="79"/>
      <c r="H424" s="39"/>
      <c r="I424" s="3"/>
      <c r="J424" s="39"/>
      <c r="K424" s="3"/>
      <c r="L424" s="3"/>
      <c r="M424" s="3"/>
      <c r="N424" s="3"/>
      <c r="O424" s="3"/>
      <c r="P424" s="3"/>
      <c r="Q424" s="3"/>
      <c r="R424" s="3"/>
    </row>
    <row r="425" spans="1:18" ht="16.149999999999999" customHeight="1" x14ac:dyDescent="0.25">
      <c r="A425" s="84"/>
      <c r="B425" s="3"/>
      <c r="D425" s="3"/>
      <c r="F425" s="79"/>
      <c r="H425" s="39"/>
      <c r="I425" s="3"/>
      <c r="J425" s="39"/>
      <c r="K425" s="3"/>
      <c r="L425" s="3"/>
      <c r="M425" s="3"/>
      <c r="N425" s="3"/>
      <c r="O425" s="3"/>
      <c r="P425" s="3"/>
      <c r="Q425" s="3"/>
      <c r="R425" s="3"/>
    </row>
    <row r="426" spans="1:18" ht="16.149999999999999" customHeight="1" x14ac:dyDescent="0.25">
      <c r="A426" s="84"/>
      <c r="B426" s="3"/>
      <c r="D426" s="3"/>
      <c r="F426" s="79"/>
      <c r="H426" s="39"/>
      <c r="I426" s="3"/>
      <c r="J426" s="39"/>
      <c r="K426" s="3"/>
      <c r="L426" s="3"/>
      <c r="M426" s="3"/>
      <c r="N426" s="3"/>
      <c r="O426" s="3"/>
      <c r="P426" s="3"/>
      <c r="Q426" s="3"/>
      <c r="R426" s="3"/>
    </row>
    <row r="427" spans="1:18" ht="16.149999999999999" customHeight="1" x14ac:dyDescent="0.25">
      <c r="A427" s="84"/>
      <c r="B427" s="3"/>
      <c r="D427" s="3"/>
      <c r="F427" s="79"/>
      <c r="H427" s="39"/>
      <c r="I427" s="3"/>
      <c r="J427" s="39"/>
      <c r="K427" s="3"/>
      <c r="L427" s="3"/>
      <c r="M427" s="3"/>
      <c r="N427" s="3"/>
      <c r="O427" s="3"/>
      <c r="P427" s="3"/>
      <c r="Q427" s="3"/>
      <c r="R427" s="3"/>
    </row>
    <row r="428" spans="1:18" ht="16.149999999999999" customHeight="1" x14ac:dyDescent="0.25">
      <c r="A428" s="84"/>
      <c r="B428" s="3"/>
      <c r="D428" s="3"/>
      <c r="F428" s="79"/>
      <c r="H428" s="39"/>
      <c r="I428" s="3"/>
      <c r="J428" s="39"/>
      <c r="K428" s="3"/>
      <c r="L428" s="3"/>
      <c r="M428" s="3"/>
      <c r="N428" s="3"/>
      <c r="O428" s="3"/>
      <c r="P428" s="3"/>
      <c r="Q428" s="3"/>
      <c r="R428" s="3"/>
    </row>
    <row r="429" spans="1:18" ht="16.149999999999999" customHeight="1" x14ac:dyDescent="0.25">
      <c r="A429" s="84"/>
      <c r="B429" s="3"/>
      <c r="D429" s="3"/>
      <c r="F429" s="79"/>
      <c r="H429" s="39"/>
      <c r="I429" s="3"/>
      <c r="J429" s="39"/>
      <c r="K429" s="3"/>
      <c r="L429" s="3"/>
      <c r="M429" s="3"/>
      <c r="N429" s="3"/>
      <c r="O429" s="3"/>
      <c r="P429" s="3"/>
      <c r="Q429" s="3"/>
      <c r="R429" s="3"/>
    </row>
    <row r="430" spans="1:18" ht="16.149999999999999" customHeight="1" x14ac:dyDescent="0.25">
      <c r="A430" s="84"/>
      <c r="B430" s="3"/>
      <c r="D430" s="3"/>
      <c r="F430" s="79"/>
      <c r="H430" s="39"/>
      <c r="I430" s="3"/>
      <c r="J430" s="39"/>
      <c r="K430" s="3"/>
      <c r="L430" s="3"/>
      <c r="M430" s="3"/>
      <c r="N430" s="3"/>
      <c r="O430" s="3"/>
      <c r="P430" s="3"/>
      <c r="Q430" s="3"/>
      <c r="R430" s="3"/>
    </row>
    <row r="431" spans="1:18" ht="16.149999999999999" customHeight="1" x14ac:dyDescent="0.25">
      <c r="A431" s="84"/>
      <c r="B431" s="3"/>
      <c r="D431" s="3"/>
      <c r="F431" s="79"/>
      <c r="H431" s="39"/>
      <c r="I431" s="3"/>
      <c r="J431" s="39"/>
      <c r="K431" s="3"/>
      <c r="L431" s="3"/>
      <c r="M431" s="3"/>
      <c r="N431" s="3"/>
      <c r="O431" s="3"/>
      <c r="P431" s="3"/>
      <c r="Q431" s="3"/>
      <c r="R431" s="3"/>
    </row>
    <row r="432" spans="1:18" ht="16.149999999999999" customHeight="1" x14ac:dyDescent="0.25">
      <c r="A432" s="84"/>
      <c r="B432" s="3"/>
      <c r="D432" s="3"/>
      <c r="F432" s="79"/>
      <c r="H432" s="39"/>
      <c r="I432" s="3"/>
      <c r="J432" s="39"/>
      <c r="K432" s="3"/>
      <c r="L432" s="3"/>
      <c r="M432" s="3"/>
      <c r="N432" s="3"/>
      <c r="O432" s="3"/>
      <c r="P432" s="3"/>
      <c r="Q432" s="3"/>
      <c r="R432" s="3"/>
    </row>
    <row r="433" spans="1:18" ht="16.149999999999999" customHeight="1" x14ac:dyDescent="0.25">
      <c r="A433" s="84"/>
      <c r="B433" s="3"/>
      <c r="D433" s="3"/>
      <c r="F433" s="79"/>
      <c r="H433" s="39"/>
      <c r="I433" s="3"/>
      <c r="J433" s="39"/>
      <c r="K433" s="3"/>
      <c r="L433" s="3"/>
      <c r="M433" s="3"/>
      <c r="N433" s="3"/>
      <c r="O433" s="3"/>
      <c r="P433" s="3"/>
      <c r="Q433" s="3"/>
      <c r="R433" s="3"/>
    </row>
    <row r="434" spans="1:18" ht="16.149999999999999" customHeight="1" x14ac:dyDescent="0.25">
      <c r="A434" s="84"/>
      <c r="B434" s="3"/>
      <c r="D434" s="3"/>
      <c r="F434" s="79"/>
      <c r="H434" s="39"/>
      <c r="I434" s="3"/>
      <c r="J434" s="39"/>
      <c r="K434" s="3"/>
      <c r="L434" s="3"/>
      <c r="M434" s="3"/>
      <c r="N434" s="3"/>
      <c r="O434" s="3"/>
      <c r="P434" s="3"/>
      <c r="Q434" s="3"/>
      <c r="R434" s="3"/>
    </row>
    <row r="435" spans="1:18" ht="16.149999999999999" customHeight="1" x14ac:dyDescent="0.25">
      <c r="A435" s="84"/>
      <c r="B435" s="3"/>
      <c r="D435" s="3"/>
      <c r="F435" s="79"/>
      <c r="H435" s="39"/>
      <c r="I435" s="3"/>
      <c r="J435" s="39"/>
      <c r="K435" s="3"/>
      <c r="L435" s="3"/>
      <c r="M435" s="3"/>
      <c r="N435" s="3"/>
      <c r="O435" s="3"/>
      <c r="P435" s="3"/>
      <c r="Q435" s="3"/>
      <c r="R435" s="3"/>
    </row>
    <row r="436" spans="1:18" ht="16.149999999999999" customHeight="1" x14ac:dyDescent="0.25">
      <c r="A436" s="84"/>
      <c r="B436" s="3"/>
      <c r="D436" s="3"/>
      <c r="F436" s="79"/>
      <c r="H436" s="39"/>
      <c r="I436" s="3"/>
      <c r="J436" s="39"/>
      <c r="K436" s="3"/>
      <c r="L436" s="3"/>
      <c r="M436" s="3"/>
      <c r="N436" s="3"/>
      <c r="O436" s="3"/>
      <c r="P436" s="3"/>
      <c r="Q436" s="3"/>
      <c r="R436" s="3"/>
    </row>
    <row r="437" spans="1:18" ht="16.149999999999999" customHeight="1" x14ac:dyDescent="0.25">
      <c r="A437" s="84"/>
      <c r="B437" s="3"/>
      <c r="D437" s="3"/>
      <c r="F437" s="79"/>
      <c r="H437" s="39"/>
      <c r="I437" s="3"/>
      <c r="J437" s="39"/>
      <c r="K437" s="3"/>
      <c r="L437" s="3"/>
      <c r="M437" s="3"/>
      <c r="N437" s="3"/>
      <c r="O437" s="3"/>
      <c r="P437" s="3"/>
      <c r="Q437" s="3"/>
      <c r="R437" s="3"/>
    </row>
    <row r="438" spans="1:18" ht="16.149999999999999" customHeight="1" x14ac:dyDescent="0.25">
      <c r="A438" s="84"/>
      <c r="B438" s="3"/>
      <c r="D438" s="3"/>
      <c r="F438" s="79"/>
      <c r="H438" s="39"/>
      <c r="I438" s="3"/>
      <c r="J438" s="39"/>
      <c r="K438" s="3"/>
      <c r="L438" s="3"/>
      <c r="M438" s="3"/>
      <c r="N438" s="3"/>
      <c r="O438" s="3"/>
      <c r="P438" s="3"/>
      <c r="Q438" s="3"/>
      <c r="R438" s="3"/>
    </row>
    <row r="439" spans="1:18" ht="16.149999999999999" customHeight="1" x14ac:dyDescent="0.25">
      <c r="A439" s="84"/>
      <c r="B439" s="3"/>
      <c r="D439" s="3"/>
      <c r="F439" s="79"/>
      <c r="H439" s="39"/>
      <c r="I439" s="3"/>
      <c r="J439" s="39"/>
      <c r="K439" s="3"/>
      <c r="L439" s="3"/>
      <c r="M439" s="3"/>
      <c r="N439" s="3"/>
      <c r="O439" s="3"/>
      <c r="P439" s="3"/>
      <c r="Q439" s="3"/>
      <c r="R439" s="3"/>
    </row>
    <row r="440" spans="1:18" ht="16.149999999999999" customHeight="1" x14ac:dyDescent="0.25">
      <c r="A440" s="84"/>
      <c r="B440" s="3"/>
      <c r="D440" s="3"/>
      <c r="F440" s="79"/>
      <c r="H440" s="39"/>
      <c r="I440" s="3"/>
      <c r="J440" s="39"/>
      <c r="K440" s="3"/>
      <c r="L440" s="3"/>
      <c r="M440" s="3"/>
      <c r="N440" s="3"/>
      <c r="O440" s="3"/>
      <c r="P440" s="3"/>
      <c r="Q440" s="3"/>
      <c r="R440" s="3"/>
    </row>
    <row r="441" spans="1:18" ht="16.149999999999999" customHeight="1" x14ac:dyDescent="0.25">
      <c r="A441" s="84"/>
      <c r="B441" s="3"/>
      <c r="D441" s="3"/>
      <c r="F441" s="79"/>
      <c r="H441" s="39"/>
      <c r="I441" s="3"/>
      <c r="J441" s="39"/>
      <c r="K441" s="3"/>
      <c r="L441" s="3"/>
      <c r="M441" s="3"/>
      <c r="N441" s="3"/>
      <c r="O441" s="3"/>
      <c r="P441" s="3"/>
      <c r="Q441" s="3"/>
      <c r="R441" s="3"/>
    </row>
    <row r="442" spans="1:18" ht="16.149999999999999" customHeight="1" x14ac:dyDescent="0.25">
      <c r="A442" s="84"/>
      <c r="B442" s="3"/>
      <c r="D442" s="3"/>
      <c r="F442" s="79"/>
      <c r="H442" s="39"/>
      <c r="I442" s="3"/>
      <c r="J442" s="39"/>
      <c r="K442" s="3"/>
      <c r="L442" s="3"/>
      <c r="M442" s="3"/>
      <c r="N442" s="3"/>
      <c r="O442" s="3"/>
      <c r="P442" s="3"/>
      <c r="Q442" s="3"/>
      <c r="R442" s="3"/>
    </row>
    <row r="443" spans="1:18" ht="16.149999999999999" customHeight="1" x14ac:dyDescent="0.25">
      <c r="A443" s="84"/>
      <c r="B443" s="3"/>
      <c r="D443" s="3"/>
      <c r="F443" s="79"/>
      <c r="H443" s="39"/>
      <c r="I443" s="3"/>
      <c r="J443" s="39"/>
      <c r="K443" s="3"/>
      <c r="L443" s="3"/>
      <c r="M443" s="3"/>
      <c r="N443" s="3"/>
      <c r="O443" s="3"/>
      <c r="P443" s="3"/>
      <c r="Q443" s="3"/>
      <c r="R443" s="3"/>
    </row>
    <row r="444" spans="1:18" ht="16.149999999999999" customHeight="1" x14ac:dyDescent="0.25">
      <c r="A444" s="84"/>
      <c r="B444" s="3"/>
      <c r="D444" s="3"/>
      <c r="F444" s="79"/>
      <c r="H444" s="39"/>
      <c r="I444" s="3"/>
      <c r="J444" s="39"/>
      <c r="K444" s="3"/>
      <c r="L444" s="3"/>
      <c r="M444" s="3"/>
      <c r="N444" s="3"/>
      <c r="O444" s="3"/>
      <c r="P444" s="3"/>
      <c r="Q444" s="3"/>
      <c r="R444" s="3"/>
    </row>
    <row r="445" spans="1:18" ht="16.149999999999999" customHeight="1" x14ac:dyDescent="0.25">
      <c r="A445" s="84"/>
      <c r="B445" s="3"/>
      <c r="D445" s="3"/>
      <c r="F445" s="79"/>
      <c r="H445" s="39"/>
      <c r="I445" s="3"/>
      <c r="J445" s="39"/>
      <c r="K445" s="3"/>
      <c r="L445" s="3"/>
      <c r="M445" s="3"/>
      <c r="N445" s="3"/>
      <c r="O445" s="3"/>
      <c r="P445" s="3"/>
      <c r="Q445" s="3"/>
      <c r="R445" s="3"/>
    </row>
    <row r="446" spans="1:18" ht="16.149999999999999" customHeight="1" x14ac:dyDescent="0.25">
      <c r="A446" s="84"/>
      <c r="B446" s="3"/>
      <c r="D446" s="3"/>
      <c r="F446" s="79"/>
      <c r="H446" s="39"/>
      <c r="I446" s="3"/>
      <c r="J446" s="39"/>
      <c r="K446" s="3"/>
      <c r="L446" s="3"/>
      <c r="M446" s="3"/>
      <c r="N446" s="3"/>
      <c r="O446" s="3"/>
      <c r="P446" s="3"/>
      <c r="Q446" s="3"/>
      <c r="R446" s="3"/>
    </row>
    <row r="447" spans="1:18" ht="16.149999999999999" customHeight="1" x14ac:dyDescent="0.25">
      <c r="A447" s="84"/>
      <c r="B447" s="3"/>
      <c r="D447" s="3"/>
      <c r="F447" s="79"/>
      <c r="H447" s="39"/>
      <c r="I447" s="3"/>
      <c r="J447" s="39"/>
      <c r="K447" s="3"/>
      <c r="L447" s="3"/>
      <c r="M447" s="3"/>
      <c r="N447" s="3"/>
      <c r="O447" s="3"/>
      <c r="P447" s="3"/>
      <c r="Q447" s="3"/>
      <c r="R447" s="3"/>
    </row>
    <row r="448" spans="1:18" ht="16.149999999999999" customHeight="1" x14ac:dyDescent="0.25">
      <c r="A448" s="84"/>
      <c r="B448" s="3"/>
      <c r="D448" s="3"/>
      <c r="F448" s="79"/>
      <c r="H448" s="39"/>
      <c r="I448" s="3"/>
      <c r="J448" s="39"/>
      <c r="K448" s="3"/>
      <c r="L448" s="3"/>
      <c r="M448" s="3"/>
      <c r="N448" s="3"/>
      <c r="O448" s="3"/>
      <c r="P448" s="3"/>
      <c r="Q448" s="3"/>
      <c r="R448" s="3"/>
    </row>
    <row r="449" spans="1:18" ht="16.149999999999999" customHeight="1" x14ac:dyDescent="0.25">
      <c r="A449" s="84"/>
      <c r="B449" s="3"/>
      <c r="D449" s="3"/>
      <c r="F449" s="79"/>
      <c r="H449" s="39"/>
      <c r="I449" s="3"/>
      <c r="J449" s="39"/>
      <c r="K449" s="3"/>
      <c r="L449" s="3"/>
      <c r="M449" s="3"/>
      <c r="N449" s="3"/>
      <c r="O449" s="3"/>
      <c r="P449" s="3"/>
      <c r="Q449" s="3"/>
      <c r="R449" s="3"/>
    </row>
    <row r="450" spans="1:18" ht="16.149999999999999" customHeight="1" x14ac:dyDescent="0.25">
      <c r="A450" s="84"/>
      <c r="B450" s="3"/>
      <c r="D450" s="3"/>
      <c r="F450" s="79"/>
      <c r="H450" s="39"/>
      <c r="I450" s="3"/>
      <c r="J450" s="39"/>
      <c r="K450" s="3"/>
      <c r="L450" s="3"/>
      <c r="M450" s="3"/>
      <c r="N450" s="3"/>
      <c r="O450" s="3"/>
      <c r="P450" s="3"/>
      <c r="Q450" s="3"/>
      <c r="R450" s="3"/>
    </row>
    <row r="451" spans="1:18" ht="16.149999999999999" customHeight="1" x14ac:dyDescent="0.25">
      <c r="A451" s="84"/>
      <c r="B451" s="3"/>
      <c r="D451" s="3"/>
      <c r="F451" s="79"/>
      <c r="H451" s="39"/>
      <c r="I451" s="3"/>
      <c r="J451" s="39"/>
      <c r="K451" s="3"/>
      <c r="L451" s="3"/>
      <c r="M451" s="3"/>
      <c r="N451" s="3"/>
      <c r="O451" s="3"/>
      <c r="P451" s="3"/>
      <c r="Q451" s="3"/>
      <c r="R451" s="3"/>
    </row>
    <row r="452" spans="1:18" ht="16.149999999999999" customHeight="1" x14ac:dyDescent="0.25">
      <c r="A452" s="84"/>
      <c r="B452" s="3"/>
      <c r="D452" s="3"/>
      <c r="F452" s="79"/>
      <c r="H452" s="39"/>
      <c r="I452" s="3"/>
      <c r="J452" s="39"/>
      <c r="K452" s="3"/>
      <c r="L452" s="3"/>
      <c r="M452" s="3"/>
      <c r="N452" s="3"/>
      <c r="O452" s="3"/>
      <c r="P452" s="3"/>
      <c r="Q452" s="3"/>
      <c r="R452" s="3"/>
    </row>
    <row r="453" spans="1:18" ht="16.149999999999999" customHeight="1" x14ac:dyDescent="0.25">
      <c r="A453" s="84"/>
      <c r="B453" s="3"/>
      <c r="D453" s="3"/>
      <c r="F453" s="79"/>
      <c r="H453" s="39"/>
      <c r="I453" s="3"/>
      <c r="J453" s="39"/>
      <c r="K453" s="3"/>
      <c r="L453" s="3"/>
      <c r="M453" s="3"/>
      <c r="N453" s="3"/>
      <c r="O453" s="3"/>
      <c r="P453" s="3"/>
      <c r="Q453" s="3"/>
      <c r="R453" s="3"/>
    </row>
    <row r="454" spans="1:18" ht="16.149999999999999" customHeight="1" x14ac:dyDescent="0.25">
      <c r="A454" s="84"/>
      <c r="B454" s="3"/>
      <c r="D454" s="3"/>
      <c r="F454" s="79"/>
      <c r="H454" s="39"/>
      <c r="I454" s="3"/>
      <c r="J454" s="39"/>
      <c r="K454" s="3"/>
      <c r="L454" s="3"/>
      <c r="M454" s="3"/>
      <c r="N454" s="3"/>
      <c r="O454" s="3"/>
      <c r="P454" s="3"/>
      <c r="Q454" s="3"/>
      <c r="R454" s="3"/>
    </row>
    <row r="455" spans="1:18" ht="16.149999999999999" customHeight="1" x14ac:dyDescent="0.25">
      <c r="A455" s="84"/>
      <c r="B455" s="3"/>
      <c r="D455" s="3"/>
      <c r="F455" s="79"/>
      <c r="H455" s="39"/>
      <c r="I455" s="3"/>
      <c r="J455" s="39"/>
      <c r="K455" s="3"/>
      <c r="L455" s="3"/>
      <c r="M455" s="3"/>
      <c r="N455" s="3"/>
      <c r="O455" s="3"/>
      <c r="P455" s="3"/>
      <c r="Q455" s="3"/>
      <c r="R455" s="3"/>
    </row>
    <row r="456" spans="1:18" ht="16.149999999999999" customHeight="1" x14ac:dyDescent="0.25">
      <c r="A456" s="84"/>
      <c r="B456" s="3"/>
      <c r="D456" s="3"/>
      <c r="F456" s="79"/>
      <c r="H456" s="39"/>
      <c r="I456" s="3"/>
      <c r="J456" s="39"/>
      <c r="K456" s="3"/>
      <c r="L456" s="3"/>
      <c r="M456" s="3"/>
      <c r="N456" s="3"/>
      <c r="O456" s="3"/>
      <c r="P456" s="3"/>
      <c r="Q456" s="3"/>
      <c r="R456" s="3"/>
    </row>
    <row r="457" spans="1:18" ht="16.149999999999999" customHeight="1" x14ac:dyDescent="0.25">
      <c r="A457" s="84"/>
      <c r="B457" s="3"/>
      <c r="D457" s="3"/>
      <c r="F457" s="79"/>
      <c r="H457" s="39"/>
      <c r="I457" s="3"/>
      <c r="J457" s="39"/>
      <c r="K457" s="3"/>
      <c r="L457" s="3"/>
      <c r="M457" s="3"/>
      <c r="N457" s="3"/>
      <c r="O457" s="3"/>
      <c r="P457" s="3"/>
      <c r="Q457" s="3"/>
      <c r="R457" s="3"/>
    </row>
    <row r="458" spans="1:18" ht="16.149999999999999" customHeight="1" x14ac:dyDescent="0.25">
      <c r="A458" s="84"/>
      <c r="B458" s="3"/>
      <c r="D458" s="3"/>
      <c r="F458" s="79"/>
      <c r="H458" s="39"/>
      <c r="I458" s="3"/>
      <c r="J458" s="39"/>
      <c r="K458" s="3"/>
      <c r="L458" s="3"/>
      <c r="M458" s="3"/>
      <c r="N458" s="3"/>
      <c r="O458" s="3"/>
      <c r="P458" s="3"/>
      <c r="Q458" s="3"/>
      <c r="R458" s="3"/>
    </row>
    <row r="459" spans="1:18" ht="16.149999999999999" customHeight="1" x14ac:dyDescent="0.25">
      <c r="A459" s="84"/>
      <c r="B459" s="3"/>
      <c r="D459" s="3"/>
      <c r="F459" s="79"/>
      <c r="H459" s="39"/>
      <c r="I459" s="3"/>
      <c r="J459" s="39"/>
      <c r="K459" s="3"/>
      <c r="L459" s="3"/>
      <c r="M459" s="3"/>
      <c r="N459" s="3"/>
      <c r="O459" s="3"/>
      <c r="P459" s="3"/>
      <c r="Q459" s="3"/>
      <c r="R459" s="3"/>
    </row>
    <row r="460" spans="1:18" ht="16.149999999999999" customHeight="1" x14ac:dyDescent="0.25">
      <c r="A460" s="84"/>
      <c r="B460" s="3"/>
      <c r="D460" s="3"/>
      <c r="F460" s="79"/>
      <c r="H460" s="39"/>
      <c r="I460" s="3"/>
      <c r="J460" s="39"/>
      <c r="K460" s="3"/>
      <c r="L460" s="3"/>
      <c r="M460" s="3"/>
      <c r="N460" s="3"/>
      <c r="O460" s="3"/>
      <c r="P460" s="3"/>
      <c r="Q460" s="3"/>
      <c r="R460" s="3"/>
    </row>
    <row r="461" spans="1:18" ht="16.149999999999999" customHeight="1" x14ac:dyDescent="0.25">
      <c r="A461" s="84"/>
      <c r="B461" s="3"/>
      <c r="D461" s="3"/>
      <c r="F461" s="79"/>
      <c r="H461" s="39"/>
      <c r="I461" s="3"/>
      <c r="J461" s="39"/>
      <c r="K461" s="3"/>
      <c r="L461" s="3"/>
      <c r="M461" s="3"/>
      <c r="N461" s="3"/>
      <c r="O461" s="3"/>
      <c r="P461" s="3"/>
      <c r="Q461" s="3"/>
      <c r="R461" s="3"/>
    </row>
    <row r="462" spans="1:18" ht="16.149999999999999" customHeight="1" x14ac:dyDescent="0.25">
      <c r="A462" s="84"/>
      <c r="B462" s="3"/>
      <c r="D462" s="3"/>
      <c r="F462" s="79"/>
      <c r="H462" s="39"/>
      <c r="I462" s="3"/>
      <c r="J462" s="39"/>
      <c r="K462" s="3"/>
      <c r="L462" s="3"/>
      <c r="M462" s="3"/>
      <c r="N462" s="3"/>
      <c r="O462" s="3"/>
      <c r="P462" s="3"/>
      <c r="Q462" s="3"/>
      <c r="R462" s="3"/>
    </row>
    <row r="463" spans="1:18" ht="16.149999999999999" customHeight="1" x14ac:dyDescent="0.25">
      <c r="A463" s="84"/>
      <c r="B463" s="3"/>
      <c r="D463" s="3"/>
      <c r="F463" s="79"/>
      <c r="H463" s="39"/>
      <c r="I463" s="3"/>
      <c r="J463" s="39"/>
      <c r="K463" s="3"/>
      <c r="L463" s="3"/>
      <c r="M463" s="3"/>
      <c r="N463" s="3"/>
      <c r="O463" s="3"/>
      <c r="P463" s="3"/>
      <c r="Q463" s="3"/>
      <c r="R463" s="3"/>
    </row>
    <row r="464" spans="1:18" ht="16.149999999999999" customHeight="1" x14ac:dyDescent="0.25">
      <c r="A464" s="84"/>
      <c r="B464" s="3"/>
      <c r="D464" s="3"/>
      <c r="F464" s="79"/>
      <c r="H464" s="39"/>
      <c r="I464" s="3"/>
      <c r="J464" s="39"/>
      <c r="K464" s="3"/>
      <c r="L464" s="3"/>
      <c r="M464" s="3"/>
      <c r="N464" s="3"/>
      <c r="O464" s="3"/>
      <c r="P464" s="3"/>
      <c r="Q464" s="3"/>
      <c r="R464" s="3"/>
    </row>
    <row r="465" spans="1:18" ht="16.149999999999999" customHeight="1" x14ac:dyDescent="0.25">
      <c r="A465" s="84"/>
      <c r="B465" s="3"/>
      <c r="D465" s="3"/>
      <c r="F465" s="79"/>
      <c r="H465" s="39"/>
      <c r="I465" s="3"/>
      <c r="J465" s="39"/>
      <c r="K465" s="3"/>
      <c r="L465" s="3"/>
      <c r="M465" s="3"/>
      <c r="N465" s="3"/>
      <c r="O465" s="3"/>
      <c r="P465" s="3"/>
      <c r="Q465" s="3"/>
      <c r="R465" s="3"/>
    </row>
    <row r="466" spans="1:18" ht="16.149999999999999" customHeight="1" x14ac:dyDescent="0.25">
      <c r="A466" s="84"/>
      <c r="B466" s="3"/>
      <c r="D466" s="3"/>
      <c r="F466" s="79"/>
      <c r="H466" s="39"/>
      <c r="I466" s="3"/>
      <c r="J466" s="39"/>
      <c r="K466" s="3"/>
      <c r="L466" s="3"/>
      <c r="M466" s="3"/>
      <c r="N466" s="3"/>
      <c r="O466" s="3"/>
      <c r="P466" s="3"/>
      <c r="Q466" s="3"/>
      <c r="R466" s="3"/>
    </row>
    <row r="467" spans="1:18" ht="16.149999999999999" customHeight="1" x14ac:dyDescent="0.25">
      <c r="A467" s="84"/>
      <c r="B467" s="3"/>
      <c r="D467" s="3"/>
      <c r="F467" s="79"/>
      <c r="H467" s="39"/>
      <c r="I467" s="3"/>
      <c r="J467" s="39"/>
      <c r="K467" s="3"/>
      <c r="L467" s="3"/>
      <c r="M467" s="3"/>
      <c r="N467" s="3"/>
      <c r="O467" s="3"/>
      <c r="P467" s="3"/>
      <c r="Q467" s="3"/>
      <c r="R467" s="3"/>
    </row>
    <row r="468" spans="1:18" ht="16.149999999999999" customHeight="1" x14ac:dyDescent="0.25">
      <c r="A468" s="84"/>
      <c r="B468" s="3"/>
      <c r="D468" s="3"/>
      <c r="F468" s="79"/>
      <c r="H468" s="39"/>
      <c r="I468" s="3"/>
      <c r="J468" s="39"/>
      <c r="K468" s="3"/>
      <c r="L468" s="3"/>
      <c r="M468" s="3"/>
      <c r="N468" s="3"/>
      <c r="O468" s="3"/>
      <c r="P468" s="3"/>
      <c r="Q468" s="3"/>
      <c r="R468" s="3"/>
    </row>
    <row r="469" spans="1:18" ht="16.149999999999999" customHeight="1" x14ac:dyDescent="0.25">
      <c r="A469" s="84"/>
      <c r="B469" s="3"/>
      <c r="D469" s="3"/>
      <c r="F469" s="79"/>
      <c r="H469" s="39"/>
      <c r="I469" s="3"/>
      <c r="J469" s="39"/>
      <c r="K469" s="3"/>
      <c r="L469" s="3"/>
      <c r="M469" s="3"/>
      <c r="N469" s="3"/>
      <c r="O469" s="3"/>
      <c r="P469" s="3"/>
      <c r="Q469" s="3"/>
      <c r="R469" s="3"/>
    </row>
    <row r="470" spans="1:18" ht="16.149999999999999" customHeight="1" x14ac:dyDescent="0.25">
      <c r="A470" s="84"/>
      <c r="B470" s="3"/>
      <c r="D470" s="3"/>
      <c r="F470" s="79"/>
      <c r="H470" s="39"/>
      <c r="I470" s="3"/>
      <c r="J470" s="39"/>
      <c r="K470" s="3"/>
      <c r="L470" s="3"/>
      <c r="M470" s="3"/>
      <c r="N470" s="3"/>
      <c r="O470" s="3"/>
      <c r="P470" s="3"/>
      <c r="Q470" s="3"/>
      <c r="R470" s="3"/>
    </row>
    <row r="471" spans="1:18" ht="16.149999999999999" customHeight="1" x14ac:dyDescent="0.25">
      <c r="A471" s="84"/>
      <c r="B471" s="3"/>
      <c r="D471" s="3"/>
      <c r="F471" s="79"/>
      <c r="H471" s="39"/>
      <c r="I471" s="3"/>
      <c r="J471" s="39"/>
      <c r="K471" s="3"/>
      <c r="L471" s="3"/>
      <c r="M471" s="3"/>
      <c r="N471" s="3"/>
      <c r="O471" s="3"/>
      <c r="P471" s="3"/>
      <c r="Q471" s="3"/>
      <c r="R471" s="3"/>
    </row>
    <row r="472" spans="1:18" ht="16.149999999999999" customHeight="1" x14ac:dyDescent="0.25">
      <c r="A472" s="84"/>
      <c r="B472" s="3"/>
      <c r="D472" s="3"/>
      <c r="F472" s="79"/>
      <c r="H472" s="39"/>
      <c r="I472" s="3"/>
      <c r="J472" s="39"/>
      <c r="K472" s="3"/>
      <c r="L472" s="3"/>
      <c r="M472" s="3"/>
      <c r="N472" s="3"/>
      <c r="O472" s="3"/>
      <c r="P472" s="3"/>
      <c r="Q472" s="3"/>
      <c r="R472" s="3"/>
    </row>
    <row r="473" spans="1:18" ht="16.149999999999999" customHeight="1" x14ac:dyDescent="0.25">
      <c r="A473" s="84"/>
      <c r="B473" s="3"/>
      <c r="D473" s="3"/>
      <c r="F473" s="79"/>
      <c r="H473" s="39"/>
      <c r="I473" s="3"/>
      <c r="J473" s="39"/>
      <c r="K473" s="3"/>
      <c r="L473" s="3"/>
      <c r="M473" s="3"/>
      <c r="N473" s="3"/>
      <c r="O473" s="3"/>
      <c r="P473" s="3"/>
      <c r="Q473" s="3"/>
      <c r="R473" s="3"/>
    </row>
    <row r="474" spans="1:18" ht="16.149999999999999" customHeight="1" x14ac:dyDescent="0.25">
      <c r="A474" s="84"/>
      <c r="B474" s="3"/>
      <c r="D474" s="3"/>
      <c r="F474" s="79"/>
      <c r="H474" s="39"/>
      <c r="I474" s="3"/>
      <c r="J474" s="39"/>
      <c r="K474" s="3"/>
      <c r="L474" s="3"/>
      <c r="M474" s="3"/>
      <c r="N474" s="3"/>
      <c r="O474" s="3"/>
      <c r="P474" s="3"/>
      <c r="Q474" s="3"/>
      <c r="R474" s="3"/>
    </row>
    <row r="475" spans="1:18" ht="16.149999999999999" customHeight="1" x14ac:dyDescent="0.25">
      <c r="A475" s="84"/>
      <c r="B475" s="3"/>
      <c r="D475" s="3"/>
      <c r="F475" s="79"/>
      <c r="H475" s="39"/>
      <c r="I475" s="3"/>
      <c r="J475" s="39"/>
      <c r="K475" s="3"/>
      <c r="L475" s="3"/>
      <c r="M475" s="3"/>
      <c r="N475" s="3"/>
      <c r="O475" s="3"/>
      <c r="P475" s="3"/>
      <c r="Q475" s="3"/>
      <c r="R475" s="3"/>
    </row>
    <row r="476" spans="1:18" ht="16.149999999999999" customHeight="1" x14ac:dyDescent="0.25">
      <c r="A476" s="84"/>
      <c r="B476" s="3"/>
      <c r="D476" s="3"/>
      <c r="F476" s="79"/>
      <c r="H476" s="39"/>
      <c r="I476" s="3"/>
      <c r="J476" s="39"/>
      <c r="K476" s="3"/>
      <c r="L476" s="3"/>
      <c r="M476" s="3"/>
      <c r="N476" s="3"/>
      <c r="O476" s="3"/>
      <c r="P476" s="3"/>
      <c r="Q476" s="3"/>
      <c r="R476" s="3"/>
    </row>
    <row r="477" spans="1:18" ht="16.149999999999999" customHeight="1" x14ac:dyDescent="0.25">
      <c r="A477" s="84"/>
      <c r="B477" s="3"/>
      <c r="D477" s="3"/>
      <c r="F477" s="79"/>
      <c r="H477" s="39"/>
      <c r="I477" s="3"/>
      <c r="J477" s="39"/>
      <c r="K477" s="3"/>
      <c r="L477" s="3"/>
      <c r="M477" s="3"/>
      <c r="N477" s="3"/>
      <c r="O477" s="3"/>
      <c r="P477" s="3"/>
      <c r="Q477" s="3"/>
      <c r="R477" s="3"/>
    </row>
    <row r="478" spans="1:18" ht="16.149999999999999" customHeight="1" x14ac:dyDescent="0.25">
      <c r="A478" s="84"/>
      <c r="B478" s="3"/>
      <c r="D478" s="3"/>
      <c r="F478" s="79"/>
      <c r="H478" s="39"/>
      <c r="I478" s="3"/>
      <c r="J478" s="39"/>
      <c r="K478" s="3"/>
      <c r="L478" s="3"/>
      <c r="M478" s="3"/>
      <c r="N478" s="3"/>
      <c r="O478" s="3"/>
      <c r="P478" s="3"/>
      <c r="Q478" s="3"/>
      <c r="R478" s="3"/>
    </row>
    <row r="479" spans="1:18" ht="16.149999999999999" customHeight="1" x14ac:dyDescent="0.25">
      <c r="A479" s="84"/>
      <c r="B479" s="3"/>
      <c r="D479" s="3"/>
      <c r="F479" s="79"/>
      <c r="H479" s="39"/>
      <c r="I479" s="3"/>
      <c r="J479" s="39"/>
      <c r="K479" s="3"/>
      <c r="L479" s="3"/>
      <c r="M479" s="3"/>
      <c r="N479" s="3"/>
      <c r="O479" s="3"/>
      <c r="P479" s="3"/>
      <c r="Q479" s="3"/>
      <c r="R479" s="3"/>
    </row>
    <row r="480" spans="1:18" ht="16.149999999999999" customHeight="1" x14ac:dyDescent="0.25">
      <c r="A480" s="84"/>
      <c r="B480" s="3"/>
      <c r="D480" s="3"/>
      <c r="F480" s="79"/>
      <c r="H480" s="39"/>
      <c r="I480" s="3"/>
      <c r="J480" s="39"/>
      <c r="K480" s="3"/>
      <c r="L480" s="3"/>
      <c r="M480" s="3"/>
      <c r="N480" s="3"/>
      <c r="O480" s="3"/>
      <c r="P480" s="3"/>
      <c r="Q480" s="3"/>
      <c r="R480" s="3"/>
    </row>
    <row r="481" spans="1:18" ht="16.149999999999999" customHeight="1" x14ac:dyDescent="0.25">
      <c r="A481" s="84"/>
      <c r="B481" s="3"/>
      <c r="D481" s="3"/>
      <c r="F481" s="79"/>
      <c r="H481" s="39"/>
      <c r="I481" s="3"/>
      <c r="J481" s="39"/>
      <c r="K481" s="3"/>
      <c r="L481" s="3"/>
      <c r="M481" s="3"/>
      <c r="N481" s="3"/>
      <c r="O481" s="3"/>
      <c r="P481" s="3"/>
      <c r="Q481" s="3"/>
      <c r="R481" s="3"/>
    </row>
    <row r="482" spans="1:18" ht="16.149999999999999" customHeight="1" x14ac:dyDescent="0.25">
      <c r="A482" s="84"/>
      <c r="B482" s="3"/>
      <c r="D482" s="3"/>
      <c r="F482" s="79"/>
      <c r="H482" s="39"/>
      <c r="I482" s="3"/>
      <c r="J482" s="39"/>
      <c r="K482" s="3"/>
      <c r="L482" s="3"/>
      <c r="M482" s="3"/>
      <c r="N482" s="3"/>
      <c r="O482" s="3"/>
      <c r="P482" s="3"/>
      <c r="Q482" s="3"/>
      <c r="R482" s="3"/>
    </row>
    <row r="483" spans="1:18" ht="16.149999999999999" customHeight="1" x14ac:dyDescent="0.25">
      <c r="A483" s="84"/>
      <c r="B483" s="3"/>
      <c r="D483" s="3"/>
      <c r="F483" s="79"/>
      <c r="H483" s="39"/>
      <c r="I483" s="3"/>
      <c r="J483" s="39"/>
      <c r="K483" s="3"/>
      <c r="L483" s="3"/>
      <c r="M483" s="3"/>
      <c r="N483" s="3"/>
      <c r="O483" s="3"/>
      <c r="P483" s="3"/>
      <c r="Q483" s="3"/>
      <c r="R483" s="3"/>
    </row>
    <row r="484" spans="1:18" ht="16.149999999999999" customHeight="1" x14ac:dyDescent="0.25">
      <c r="A484" s="84"/>
      <c r="B484" s="3"/>
      <c r="D484" s="3"/>
      <c r="F484" s="79"/>
      <c r="H484" s="39"/>
      <c r="I484" s="3"/>
      <c r="J484" s="39"/>
      <c r="K484" s="3"/>
      <c r="L484" s="3"/>
      <c r="M484" s="3"/>
      <c r="N484" s="3"/>
      <c r="O484" s="3"/>
      <c r="P484" s="3"/>
      <c r="Q484" s="3"/>
      <c r="R484" s="3"/>
    </row>
    <row r="485" spans="1:18" ht="16.149999999999999" customHeight="1" x14ac:dyDescent="0.25">
      <c r="A485" s="84"/>
      <c r="B485" s="3"/>
      <c r="D485" s="3"/>
      <c r="F485" s="79"/>
      <c r="H485" s="39"/>
      <c r="I485" s="3"/>
      <c r="J485" s="39"/>
      <c r="K485" s="3"/>
      <c r="L485" s="3"/>
      <c r="M485" s="3"/>
      <c r="N485" s="3"/>
      <c r="O485" s="3"/>
      <c r="P485" s="3"/>
      <c r="Q485" s="3"/>
      <c r="R485" s="3"/>
    </row>
    <row r="486" spans="1:18" ht="16.149999999999999" customHeight="1" x14ac:dyDescent="0.25">
      <c r="A486" s="84"/>
      <c r="B486" s="3"/>
      <c r="D486" s="3"/>
      <c r="F486" s="79"/>
      <c r="H486" s="39"/>
      <c r="I486" s="3"/>
      <c r="J486" s="39"/>
      <c r="K486" s="3"/>
      <c r="L486" s="3"/>
      <c r="M486" s="3"/>
      <c r="N486" s="3"/>
      <c r="O486" s="3"/>
      <c r="P486" s="3"/>
      <c r="Q486" s="3"/>
      <c r="R486" s="3"/>
    </row>
    <row r="487" spans="1:18" ht="16.149999999999999" customHeight="1" x14ac:dyDescent="0.25">
      <c r="A487" s="84"/>
      <c r="B487" s="3"/>
      <c r="D487" s="3"/>
      <c r="F487" s="79"/>
      <c r="H487" s="39"/>
      <c r="I487" s="3"/>
      <c r="J487" s="39"/>
      <c r="K487" s="3"/>
      <c r="L487" s="3"/>
      <c r="M487" s="3"/>
      <c r="N487" s="3"/>
      <c r="O487" s="3"/>
      <c r="P487" s="3"/>
      <c r="Q487" s="3"/>
      <c r="R487" s="3"/>
    </row>
    <row r="488" spans="1:18" ht="16.149999999999999" customHeight="1" x14ac:dyDescent="0.25">
      <c r="A488" s="84"/>
      <c r="B488" s="3"/>
      <c r="D488" s="3"/>
      <c r="F488" s="79"/>
      <c r="H488" s="39"/>
      <c r="I488" s="3"/>
      <c r="J488" s="39"/>
      <c r="K488" s="3"/>
      <c r="L488" s="3"/>
      <c r="M488" s="3"/>
      <c r="N488" s="3"/>
      <c r="O488" s="3"/>
      <c r="P488" s="3"/>
      <c r="Q488" s="3"/>
      <c r="R488" s="3"/>
    </row>
    <row r="489" spans="1:18" ht="16.149999999999999" customHeight="1" x14ac:dyDescent="0.25">
      <c r="A489" s="84"/>
      <c r="B489" s="3"/>
      <c r="D489" s="3"/>
      <c r="F489" s="79"/>
      <c r="H489" s="39"/>
      <c r="I489" s="3"/>
      <c r="J489" s="39"/>
      <c r="K489" s="3"/>
      <c r="L489" s="3"/>
      <c r="M489" s="3"/>
      <c r="N489" s="3"/>
      <c r="O489" s="3"/>
      <c r="P489" s="3"/>
      <c r="Q489" s="3"/>
      <c r="R489" s="3"/>
    </row>
    <row r="490" spans="1:18" ht="16.149999999999999" customHeight="1" x14ac:dyDescent="0.25">
      <c r="A490" s="84"/>
      <c r="B490" s="3"/>
      <c r="D490" s="3"/>
      <c r="F490" s="79"/>
      <c r="H490" s="39"/>
      <c r="I490" s="3"/>
      <c r="J490" s="39"/>
      <c r="K490" s="3"/>
      <c r="L490" s="3"/>
      <c r="M490" s="3"/>
      <c r="N490" s="3"/>
      <c r="O490" s="3"/>
      <c r="P490" s="3"/>
      <c r="Q490" s="3"/>
      <c r="R490" s="3"/>
    </row>
    <row r="491" spans="1:18" ht="16.149999999999999" customHeight="1" x14ac:dyDescent="0.25">
      <c r="A491" s="84"/>
      <c r="B491" s="3"/>
      <c r="D491" s="3"/>
      <c r="F491" s="79"/>
      <c r="H491" s="39"/>
      <c r="I491" s="3"/>
      <c r="J491" s="39"/>
      <c r="K491" s="3"/>
      <c r="L491" s="3"/>
      <c r="M491" s="3"/>
      <c r="N491" s="3"/>
      <c r="O491" s="3"/>
      <c r="P491" s="3"/>
      <c r="Q491" s="3"/>
      <c r="R491" s="3"/>
    </row>
    <row r="492" spans="1:18" ht="16.149999999999999" customHeight="1" x14ac:dyDescent="0.25">
      <c r="A492" s="84"/>
      <c r="B492" s="3"/>
      <c r="D492" s="3"/>
      <c r="F492" s="79"/>
      <c r="H492" s="39"/>
      <c r="I492" s="3"/>
      <c r="J492" s="39"/>
      <c r="K492" s="3"/>
      <c r="L492" s="3"/>
      <c r="M492" s="3"/>
      <c r="N492" s="3"/>
      <c r="O492" s="3"/>
      <c r="P492" s="3"/>
      <c r="Q492" s="3"/>
      <c r="R492" s="3"/>
    </row>
    <row r="493" spans="1:18" ht="16.149999999999999" customHeight="1" x14ac:dyDescent="0.25">
      <c r="A493" s="84"/>
      <c r="B493" s="3"/>
      <c r="D493" s="3"/>
      <c r="F493" s="79"/>
      <c r="H493" s="39"/>
      <c r="I493" s="3"/>
      <c r="J493" s="39"/>
      <c r="K493" s="3"/>
      <c r="L493" s="3"/>
      <c r="M493" s="3"/>
      <c r="N493" s="3"/>
      <c r="O493" s="3"/>
      <c r="P493" s="3"/>
      <c r="Q493" s="3"/>
      <c r="R493" s="3"/>
    </row>
    <row r="494" spans="1:18" ht="16.149999999999999" customHeight="1" x14ac:dyDescent="0.25">
      <c r="A494" s="84"/>
      <c r="B494" s="3"/>
      <c r="D494" s="3"/>
      <c r="F494" s="79"/>
      <c r="H494" s="39"/>
      <c r="I494" s="3"/>
      <c r="J494" s="39"/>
      <c r="K494" s="3"/>
      <c r="L494" s="3"/>
      <c r="M494" s="3"/>
      <c r="N494" s="3"/>
      <c r="O494" s="3"/>
      <c r="P494" s="3"/>
      <c r="Q494" s="3"/>
      <c r="R494" s="3"/>
    </row>
    <row r="495" spans="1:18" ht="16.149999999999999" customHeight="1" x14ac:dyDescent="0.25">
      <c r="A495" s="84"/>
      <c r="B495" s="3"/>
      <c r="D495" s="3"/>
      <c r="F495" s="79"/>
      <c r="H495" s="39"/>
      <c r="I495" s="3"/>
      <c r="J495" s="39"/>
      <c r="K495" s="3"/>
      <c r="L495" s="3"/>
      <c r="M495" s="3"/>
      <c r="N495" s="3"/>
      <c r="O495" s="3"/>
      <c r="P495" s="3"/>
      <c r="Q495" s="3"/>
      <c r="R495" s="3"/>
    </row>
    <row r="496" spans="1:18" ht="16.149999999999999" customHeight="1" x14ac:dyDescent="0.25">
      <c r="A496" s="84"/>
      <c r="B496" s="3"/>
      <c r="D496" s="3"/>
      <c r="F496" s="79"/>
      <c r="H496" s="39"/>
      <c r="I496" s="3"/>
      <c r="J496" s="39"/>
      <c r="K496" s="3"/>
      <c r="L496" s="3"/>
      <c r="M496" s="3"/>
      <c r="N496" s="3"/>
      <c r="O496" s="3"/>
      <c r="P496" s="3"/>
      <c r="Q496" s="3"/>
      <c r="R496" s="3"/>
    </row>
    <row r="497" spans="1:18" ht="16.149999999999999" customHeight="1" x14ac:dyDescent="0.25">
      <c r="A497" s="84"/>
      <c r="B497" s="3"/>
      <c r="D497" s="3"/>
      <c r="F497" s="79"/>
      <c r="H497" s="39"/>
      <c r="I497" s="3"/>
      <c r="J497" s="39"/>
      <c r="K497" s="3"/>
      <c r="L497" s="3"/>
      <c r="M497" s="3"/>
      <c r="N497" s="3"/>
      <c r="O497" s="3"/>
      <c r="P497" s="3"/>
      <c r="Q497" s="3"/>
      <c r="R497" s="3"/>
    </row>
    <row r="498" spans="1:18" ht="16.149999999999999" customHeight="1" x14ac:dyDescent="0.25">
      <c r="A498" s="84"/>
      <c r="B498" s="3"/>
      <c r="D498" s="3"/>
      <c r="F498" s="79"/>
      <c r="H498" s="39"/>
      <c r="I498" s="3"/>
      <c r="J498" s="39"/>
      <c r="K498" s="3"/>
      <c r="L498" s="3"/>
      <c r="M498" s="3"/>
      <c r="N498" s="3"/>
      <c r="O498" s="3"/>
      <c r="P498" s="3"/>
      <c r="Q498" s="3"/>
      <c r="R498" s="3"/>
    </row>
    <row r="499" spans="1:18" ht="16.149999999999999" customHeight="1" x14ac:dyDescent="0.25">
      <c r="A499" s="84"/>
      <c r="B499" s="3"/>
      <c r="D499" s="3"/>
      <c r="F499" s="79"/>
      <c r="H499" s="39"/>
      <c r="I499" s="3"/>
      <c r="J499" s="39"/>
      <c r="K499" s="3"/>
      <c r="L499" s="3"/>
      <c r="M499" s="3"/>
      <c r="N499" s="3"/>
      <c r="O499" s="3"/>
      <c r="P499" s="3"/>
      <c r="Q499" s="3"/>
      <c r="R499" s="3"/>
    </row>
    <row r="500" spans="1:18" ht="16.149999999999999" customHeight="1" x14ac:dyDescent="0.25">
      <c r="A500" s="84"/>
      <c r="B500" s="3"/>
      <c r="D500" s="3"/>
      <c r="F500" s="79"/>
      <c r="H500" s="39"/>
      <c r="I500" s="3"/>
      <c r="J500" s="39"/>
      <c r="K500" s="3"/>
      <c r="L500" s="3"/>
      <c r="M500" s="3"/>
      <c r="N500" s="3"/>
      <c r="O500" s="3"/>
      <c r="P500" s="3"/>
      <c r="Q500" s="3"/>
      <c r="R500" s="3"/>
    </row>
    <row r="501" spans="1:18" ht="16.149999999999999" customHeight="1" x14ac:dyDescent="0.25">
      <c r="A501" s="84"/>
      <c r="B501" s="3"/>
      <c r="D501" s="3"/>
      <c r="F501" s="79"/>
      <c r="H501" s="39"/>
      <c r="I501" s="3"/>
      <c r="J501" s="39"/>
      <c r="K501" s="3"/>
      <c r="L501" s="3"/>
      <c r="M501" s="3"/>
      <c r="N501" s="3"/>
      <c r="O501" s="3"/>
      <c r="P501" s="3"/>
      <c r="Q501" s="3"/>
      <c r="R501" s="3"/>
    </row>
    <row r="502" spans="1:18" ht="16.149999999999999" customHeight="1" x14ac:dyDescent="0.25">
      <c r="A502" s="84"/>
      <c r="B502" s="3"/>
      <c r="D502" s="3"/>
      <c r="F502" s="79"/>
      <c r="H502" s="39"/>
      <c r="I502" s="3"/>
      <c r="J502" s="39"/>
      <c r="K502" s="3"/>
      <c r="L502" s="3"/>
      <c r="M502" s="3"/>
      <c r="N502" s="3"/>
      <c r="O502" s="3"/>
      <c r="P502" s="3"/>
      <c r="Q502" s="3"/>
      <c r="R502" s="3"/>
    </row>
    <row r="503" spans="1:18" ht="16.149999999999999" customHeight="1" x14ac:dyDescent="0.25">
      <c r="A503" s="84"/>
      <c r="B503" s="3"/>
      <c r="D503" s="3"/>
      <c r="F503" s="79"/>
      <c r="H503" s="39"/>
      <c r="I503" s="3"/>
      <c r="J503" s="39"/>
      <c r="K503" s="3"/>
      <c r="L503" s="3"/>
      <c r="M503" s="3"/>
      <c r="N503" s="3"/>
      <c r="O503" s="3"/>
      <c r="P503" s="3"/>
      <c r="Q503" s="3"/>
      <c r="R503" s="3"/>
    </row>
    <row r="504" spans="1:18" ht="16.149999999999999" customHeight="1" x14ac:dyDescent="0.25">
      <c r="A504" s="84"/>
      <c r="B504" s="3"/>
      <c r="D504" s="3"/>
      <c r="F504" s="79"/>
      <c r="H504" s="39"/>
      <c r="I504" s="3"/>
      <c r="J504" s="39"/>
      <c r="K504" s="3"/>
      <c r="L504" s="3"/>
      <c r="M504" s="3"/>
      <c r="N504" s="3"/>
      <c r="O504" s="3"/>
      <c r="P504" s="3"/>
      <c r="Q504" s="3"/>
      <c r="R504" s="3"/>
    </row>
    <row r="505" spans="1:18" ht="16.149999999999999" customHeight="1" x14ac:dyDescent="0.25">
      <c r="A505" s="84"/>
      <c r="B505" s="3"/>
      <c r="D505" s="3"/>
      <c r="F505" s="79"/>
      <c r="H505" s="39"/>
      <c r="I505" s="3"/>
      <c r="J505" s="39"/>
      <c r="K505" s="3"/>
      <c r="L505" s="3"/>
      <c r="M505" s="3"/>
      <c r="N505" s="3"/>
      <c r="O505" s="3"/>
      <c r="P505" s="3"/>
      <c r="Q505" s="3"/>
      <c r="R505" s="3"/>
    </row>
    <row r="506" spans="1:18" ht="16.149999999999999" customHeight="1" x14ac:dyDescent="0.25">
      <c r="A506" s="84"/>
      <c r="B506" s="3"/>
      <c r="D506" s="3"/>
      <c r="F506" s="79"/>
      <c r="H506" s="39"/>
      <c r="I506" s="3"/>
      <c r="J506" s="39"/>
      <c r="K506" s="3"/>
      <c r="L506" s="3"/>
      <c r="M506" s="3"/>
      <c r="N506" s="3"/>
      <c r="O506" s="3"/>
      <c r="P506" s="3"/>
      <c r="Q506" s="3"/>
      <c r="R506" s="3"/>
    </row>
    <row r="507" spans="1:18" ht="16.149999999999999" customHeight="1" x14ac:dyDescent="0.25">
      <c r="A507" s="84"/>
      <c r="B507" s="3"/>
      <c r="D507" s="3"/>
      <c r="F507" s="79"/>
      <c r="H507" s="39"/>
      <c r="I507" s="3"/>
      <c r="J507" s="39"/>
      <c r="K507" s="3"/>
      <c r="L507" s="3"/>
      <c r="M507" s="3"/>
      <c r="N507" s="3"/>
      <c r="O507" s="3"/>
      <c r="P507" s="3"/>
      <c r="Q507" s="3"/>
      <c r="R507" s="3"/>
    </row>
    <row r="508" spans="1:18" ht="16.149999999999999" customHeight="1" x14ac:dyDescent="0.25">
      <c r="A508" s="84"/>
      <c r="B508" s="3"/>
      <c r="D508" s="3"/>
      <c r="F508" s="79"/>
      <c r="H508" s="39"/>
      <c r="I508" s="3"/>
      <c r="J508" s="39"/>
      <c r="K508" s="3"/>
      <c r="L508" s="3"/>
      <c r="M508" s="3"/>
      <c r="N508" s="3"/>
      <c r="O508" s="3"/>
      <c r="P508" s="3"/>
      <c r="Q508" s="3"/>
      <c r="R508" s="3"/>
    </row>
    <row r="509" spans="1:18" ht="16.149999999999999" customHeight="1" x14ac:dyDescent="0.25">
      <c r="A509" s="84"/>
      <c r="B509" s="3"/>
      <c r="D509" s="3"/>
      <c r="F509" s="79"/>
      <c r="H509" s="39"/>
      <c r="I509" s="3"/>
      <c r="J509" s="39"/>
      <c r="K509" s="3"/>
      <c r="L509" s="3"/>
      <c r="M509" s="3"/>
      <c r="N509" s="3"/>
      <c r="O509" s="3"/>
      <c r="P509" s="3"/>
      <c r="Q509" s="3"/>
      <c r="R509" s="3"/>
    </row>
    <row r="510" spans="1:18" ht="16.149999999999999" customHeight="1" x14ac:dyDescent="0.25">
      <c r="A510" s="84"/>
      <c r="B510" s="3"/>
      <c r="D510" s="3"/>
      <c r="F510" s="79"/>
      <c r="H510" s="39"/>
      <c r="I510" s="3"/>
      <c r="J510" s="39"/>
      <c r="K510" s="3"/>
      <c r="L510" s="3"/>
      <c r="M510" s="3"/>
      <c r="N510" s="3"/>
      <c r="O510" s="3"/>
      <c r="P510" s="3"/>
      <c r="Q510" s="3"/>
      <c r="R510" s="3"/>
    </row>
    <row r="511" spans="1:18" ht="16.149999999999999" customHeight="1" x14ac:dyDescent="0.25">
      <c r="A511" s="84"/>
      <c r="B511" s="3"/>
      <c r="D511" s="3"/>
      <c r="F511" s="79"/>
      <c r="H511" s="39"/>
      <c r="I511" s="3"/>
      <c r="J511" s="39"/>
      <c r="K511" s="3"/>
      <c r="L511" s="3"/>
      <c r="M511" s="3"/>
      <c r="N511" s="3"/>
      <c r="O511" s="3"/>
      <c r="P511" s="3"/>
      <c r="Q511" s="3"/>
      <c r="R511" s="3"/>
    </row>
    <row r="512" spans="1:18" ht="16.149999999999999" customHeight="1" x14ac:dyDescent="0.25">
      <c r="A512" s="84"/>
      <c r="B512" s="3"/>
      <c r="D512" s="3"/>
      <c r="F512" s="79"/>
      <c r="H512" s="39"/>
      <c r="I512" s="3"/>
      <c r="J512" s="39"/>
      <c r="K512" s="3"/>
      <c r="L512" s="3"/>
      <c r="M512" s="3"/>
      <c r="N512" s="3"/>
      <c r="O512" s="3"/>
      <c r="P512" s="3"/>
      <c r="Q512" s="3"/>
      <c r="R512" s="3"/>
    </row>
    <row r="513" spans="1:18" ht="16.149999999999999" customHeight="1" x14ac:dyDescent="0.25">
      <c r="A513" s="84"/>
      <c r="B513" s="3"/>
      <c r="D513" s="3"/>
      <c r="F513" s="79"/>
      <c r="H513" s="39"/>
      <c r="I513" s="3"/>
      <c r="J513" s="39"/>
      <c r="K513" s="3"/>
      <c r="L513" s="3"/>
      <c r="M513" s="3"/>
      <c r="N513" s="3"/>
      <c r="O513" s="3"/>
      <c r="P513" s="3"/>
      <c r="Q513" s="3"/>
      <c r="R513" s="3"/>
    </row>
    <row r="514" spans="1:18" ht="16.149999999999999" customHeight="1" x14ac:dyDescent="0.25">
      <c r="A514" s="84"/>
      <c r="B514" s="3"/>
      <c r="D514" s="3"/>
      <c r="F514" s="79"/>
      <c r="H514" s="39"/>
      <c r="I514" s="3"/>
      <c r="J514" s="39"/>
      <c r="K514" s="3"/>
      <c r="L514" s="3"/>
      <c r="M514" s="3"/>
      <c r="N514" s="3"/>
      <c r="O514" s="3"/>
      <c r="P514" s="3"/>
      <c r="Q514" s="3"/>
      <c r="R514" s="3"/>
    </row>
    <row r="515" spans="1:18" ht="16.149999999999999" customHeight="1" x14ac:dyDescent="0.25">
      <c r="A515" s="84"/>
      <c r="B515" s="3"/>
      <c r="D515" s="3"/>
      <c r="F515" s="79"/>
      <c r="H515" s="39"/>
      <c r="I515" s="3"/>
      <c r="J515" s="39"/>
      <c r="K515" s="3"/>
      <c r="L515" s="3"/>
      <c r="M515" s="3"/>
      <c r="N515" s="3"/>
      <c r="O515" s="3"/>
      <c r="P515" s="3"/>
      <c r="Q515" s="3"/>
      <c r="R515" s="3"/>
    </row>
    <row r="516" spans="1:18" ht="16.149999999999999" customHeight="1" x14ac:dyDescent="0.25">
      <c r="A516" s="84"/>
      <c r="B516" s="3"/>
      <c r="D516" s="3"/>
      <c r="F516" s="79"/>
      <c r="H516" s="39"/>
      <c r="I516" s="3"/>
      <c r="J516" s="39"/>
      <c r="K516" s="3"/>
      <c r="L516" s="3"/>
      <c r="M516" s="3"/>
      <c r="N516" s="3"/>
      <c r="O516" s="3"/>
      <c r="P516" s="3"/>
      <c r="Q516" s="3"/>
      <c r="R516" s="3"/>
    </row>
    <row r="517" spans="1:18" ht="16.149999999999999" customHeight="1" x14ac:dyDescent="0.25">
      <c r="A517" s="84"/>
      <c r="B517" s="3"/>
      <c r="D517" s="3"/>
      <c r="F517" s="79"/>
      <c r="H517" s="39"/>
      <c r="I517" s="3"/>
      <c r="J517" s="39"/>
      <c r="K517" s="3"/>
      <c r="L517" s="3"/>
      <c r="M517" s="3"/>
      <c r="N517" s="3"/>
      <c r="O517" s="3"/>
      <c r="P517" s="3"/>
      <c r="Q517" s="3"/>
      <c r="R517" s="3"/>
    </row>
    <row r="518" spans="1:18" ht="16.149999999999999" customHeight="1" x14ac:dyDescent="0.25">
      <c r="A518" s="84"/>
      <c r="B518" s="3"/>
      <c r="D518" s="3"/>
      <c r="F518" s="79"/>
      <c r="H518" s="39"/>
      <c r="I518" s="3"/>
      <c r="J518" s="39"/>
      <c r="K518" s="3"/>
      <c r="L518" s="3"/>
      <c r="M518" s="3"/>
      <c r="N518" s="3"/>
      <c r="O518" s="3"/>
      <c r="P518" s="3"/>
      <c r="Q518" s="3"/>
      <c r="R518" s="3"/>
    </row>
    <row r="519" spans="1:18" ht="16.149999999999999" customHeight="1" x14ac:dyDescent="0.25">
      <c r="A519" s="84"/>
      <c r="B519" s="3"/>
      <c r="D519" s="3"/>
      <c r="F519" s="79"/>
      <c r="H519" s="39"/>
      <c r="I519" s="3"/>
      <c r="J519" s="39"/>
      <c r="K519" s="3"/>
      <c r="L519" s="3"/>
      <c r="M519" s="3"/>
      <c r="N519" s="3"/>
      <c r="O519" s="3"/>
      <c r="P519" s="3"/>
      <c r="Q519" s="3"/>
      <c r="R519" s="3"/>
    </row>
    <row r="520" spans="1:18" ht="16.149999999999999" customHeight="1" x14ac:dyDescent="0.25">
      <c r="A520" s="84"/>
      <c r="B520" s="3"/>
      <c r="D520" s="3"/>
      <c r="F520" s="79"/>
      <c r="H520" s="39"/>
      <c r="I520" s="3"/>
      <c r="J520" s="39"/>
      <c r="K520" s="3"/>
      <c r="L520" s="3"/>
      <c r="M520" s="3"/>
      <c r="N520" s="3"/>
      <c r="O520" s="3"/>
      <c r="P520" s="3"/>
      <c r="Q520" s="3"/>
      <c r="R520" s="3"/>
    </row>
    <row r="521" spans="1:18" ht="16.149999999999999" customHeight="1" x14ac:dyDescent="0.25">
      <c r="A521" s="84"/>
      <c r="B521" s="3"/>
      <c r="D521" s="3"/>
      <c r="F521" s="79"/>
      <c r="H521" s="39"/>
      <c r="I521" s="3"/>
      <c r="J521" s="39"/>
      <c r="K521" s="3"/>
      <c r="L521" s="3"/>
      <c r="M521" s="3"/>
      <c r="N521" s="3"/>
      <c r="O521" s="3"/>
      <c r="P521" s="3"/>
      <c r="Q521" s="3"/>
      <c r="R521" s="3"/>
    </row>
    <row r="522" spans="1:18" ht="16.149999999999999" customHeight="1" x14ac:dyDescent="0.25">
      <c r="A522" s="84"/>
      <c r="B522" s="3"/>
      <c r="D522" s="3"/>
      <c r="F522" s="79"/>
      <c r="H522" s="39"/>
      <c r="I522" s="3"/>
      <c r="J522" s="39"/>
      <c r="K522" s="3"/>
      <c r="L522" s="3"/>
      <c r="M522" s="3"/>
      <c r="N522" s="3"/>
      <c r="O522" s="3"/>
      <c r="P522" s="3"/>
      <c r="Q522" s="3"/>
      <c r="R522" s="3"/>
    </row>
    <row r="523" spans="1:18" ht="16.149999999999999" customHeight="1" x14ac:dyDescent="0.25">
      <c r="A523" s="84"/>
      <c r="B523" s="3"/>
      <c r="D523" s="3"/>
      <c r="F523" s="79"/>
      <c r="H523" s="39"/>
      <c r="I523" s="3"/>
      <c r="J523" s="39"/>
      <c r="K523" s="3"/>
      <c r="L523" s="3"/>
      <c r="M523" s="3"/>
      <c r="N523" s="3"/>
      <c r="O523" s="3"/>
      <c r="P523" s="3"/>
      <c r="Q523" s="3"/>
      <c r="R523" s="3"/>
    </row>
    <row r="524" spans="1:18" ht="16.149999999999999" customHeight="1" x14ac:dyDescent="0.25">
      <c r="A524" s="84"/>
      <c r="B524" s="3"/>
      <c r="D524" s="3"/>
      <c r="F524" s="79"/>
      <c r="H524" s="39"/>
      <c r="I524" s="3"/>
      <c r="J524" s="39"/>
      <c r="K524" s="3"/>
      <c r="L524" s="3"/>
      <c r="M524" s="3"/>
      <c r="N524" s="3"/>
      <c r="O524" s="3"/>
      <c r="P524" s="3"/>
      <c r="Q524" s="3"/>
      <c r="R524" s="3"/>
    </row>
    <row r="525" spans="1:18" ht="16.149999999999999" customHeight="1" x14ac:dyDescent="0.25">
      <c r="A525" s="84"/>
      <c r="B525" s="3"/>
      <c r="D525" s="3"/>
      <c r="F525" s="79"/>
      <c r="H525" s="39"/>
      <c r="I525" s="3"/>
      <c r="J525" s="39"/>
      <c r="K525" s="3"/>
      <c r="L525" s="3"/>
      <c r="M525" s="3"/>
      <c r="N525" s="3"/>
      <c r="O525" s="3"/>
      <c r="P525" s="3"/>
      <c r="Q525" s="3"/>
      <c r="R525" s="3"/>
    </row>
    <row r="526" spans="1:18" ht="16.149999999999999" customHeight="1" x14ac:dyDescent="0.25">
      <c r="A526" s="84"/>
      <c r="B526" s="3"/>
      <c r="D526" s="3"/>
      <c r="F526" s="79"/>
      <c r="H526" s="39"/>
      <c r="I526" s="3"/>
      <c r="J526" s="39"/>
      <c r="K526" s="3"/>
      <c r="L526" s="3"/>
      <c r="M526" s="3"/>
      <c r="N526" s="3"/>
      <c r="O526" s="3"/>
      <c r="P526" s="3"/>
      <c r="Q526" s="3"/>
      <c r="R526" s="3"/>
    </row>
    <row r="527" spans="1:18" ht="16.149999999999999" customHeight="1" x14ac:dyDescent="0.25">
      <c r="A527" s="84"/>
      <c r="B527" s="3"/>
      <c r="D527" s="3"/>
      <c r="F527" s="79"/>
      <c r="H527" s="39"/>
      <c r="I527" s="3"/>
      <c r="J527" s="39"/>
      <c r="K527" s="3"/>
      <c r="L527" s="3"/>
      <c r="M527" s="3"/>
      <c r="N527" s="3"/>
      <c r="O527" s="3"/>
      <c r="P527" s="3"/>
      <c r="Q527" s="3"/>
      <c r="R527" s="3"/>
    </row>
    <row r="528" spans="1:18" ht="16.149999999999999" customHeight="1" x14ac:dyDescent="0.25">
      <c r="A528" s="84"/>
      <c r="B528" s="3"/>
      <c r="D528" s="3"/>
      <c r="F528" s="79"/>
      <c r="H528" s="39"/>
      <c r="I528" s="3"/>
      <c r="J528" s="39"/>
      <c r="K528" s="3"/>
      <c r="L528" s="3"/>
      <c r="M528" s="3"/>
      <c r="N528" s="3"/>
      <c r="O528" s="3"/>
      <c r="P528" s="3"/>
      <c r="Q528" s="3"/>
      <c r="R528" s="3"/>
    </row>
    <row r="529" spans="1:18" ht="16.149999999999999" customHeight="1" x14ac:dyDescent="0.25">
      <c r="A529" s="84"/>
      <c r="B529" s="3"/>
      <c r="D529" s="3"/>
      <c r="F529" s="79"/>
      <c r="H529" s="39"/>
      <c r="I529" s="3"/>
      <c r="J529" s="39"/>
      <c r="K529" s="3"/>
      <c r="L529" s="3"/>
      <c r="M529" s="3"/>
      <c r="N529" s="3"/>
      <c r="O529" s="3"/>
      <c r="P529" s="3"/>
      <c r="Q529" s="3"/>
      <c r="R529" s="3"/>
    </row>
    <row r="530" spans="1:18" ht="16.149999999999999" customHeight="1" x14ac:dyDescent="0.25">
      <c r="A530" s="84"/>
      <c r="B530" s="3"/>
      <c r="D530" s="3"/>
      <c r="F530" s="79"/>
      <c r="H530" s="39"/>
      <c r="I530" s="3"/>
      <c r="J530" s="39"/>
      <c r="K530" s="3"/>
      <c r="L530" s="3"/>
      <c r="M530" s="3"/>
      <c r="N530" s="3"/>
      <c r="O530" s="3"/>
      <c r="P530" s="3"/>
      <c r="Q530" s="3"/>
      <c r="R530" s="3"/>
    </row>
    <row r="531" spans="1:18" ht="16.149999999999999" customHeight="1" x14ac:dyDescent="0.25">
      <c r="A531" s="84"/>
      <c r="B531" s="3"/>
      <c r="D531" s="3"/>
      <c r="F531" s="79"/>
      <c r="H531" s="39"/>
      <c r="I531" s="3"/>
      <c r="J531" s="39"/>
      <c r="K531" s="3"/>
      <c r="L531" s="3"/>
      <c r="M531" s="3"/>
      <c r="N531" s="3"/>
      <c r="O531" s="3"/>
      <c r="P531" s="3"/>
      <c r="Q531" s="3"/>
      <c r="R531" s="3"/>
    </row>
    <row r="532" spans="1:18" ht="16.149999999999999" customHeight="1" x14ac:dyDescent="0.25">
      <c r="A532" s="84"/>
      <c r="B532" s="3"/>
      <c r="D532" s="3"/>
      <c r="F532" s="79"/>
      <c r="H532" s="39"/>
      <c r="I532" s="3"/>
      <c r="J532" s="39"/>
      <c r="K532" s="3"/>
      <c r="L532" s="3"/>
      <c r="M532" s="3"/>
      <c r="N532" s="3"/>
      <c r="O532" s="3"/>
      <c r="P532" s="3"/>
      <c r="Q532" s="3"/>
      <c r="R532" s="3"/>
    </row>
    <row r="533" spans="1:18" ht="16.149999999999999" customHeight="1" x14ac:dyDescent="0.25">
      <c r="A533" s="84"/>
      <c r="B533" s="3"/>
      <c r="D533" s="3"/>
      <c r="F533" s="79"/>
      <c r="H533" s="39"/>
      <c r="I533" s="3"/>
      <c r="J533" s="39"/>
      <c r="K533" s="3"/>
      <c r="L533" s="3"/>
      <c r="M533" s="3"/>
      <c r="N533" s="3"/>
      <c r="O533" s="3"/>
      <c r="P533" s="3"/>
      <c r="Q533" s="3"/>
      <c r="R533" s="3"/>
    </row>
    <row r="534" spans="1:18" ht="16.149999999999999" customHeight="1" x14ac:dyDescent="0.25">
      <c r="A534" s="84"/>
      <c r="B534" s="3"/>
      <c r="D534" s="3"/>
      <c r="F534" s="79"/>
      <c r="H534" s="39"/>
      <c r="I534" s="3"/>
      <c r="J534" s="39"/>
      <c r="K534" s="3"/>
      <c r="L534" s="3"/>
      <c r="M534" s="3"/>
      <c r="N534" s="3"/>
      <c r="O534" s="3"/>
      <c r="P534" s="3"/>
      <c r="Q534" s="3"/>
      <c r="R534" s="3"/>
    </row>
    <row r="535" spans="1:18" ht="16.149999999999999" customHeight="1" x14ac:dyDescent="0.25">
      <c r="A535" s="84"/>
      <c r="B535" s="3"/>
      <c r="D535" s="3"/>
      <c r="F535" s="79"/>
      <c r="H535" s="39"/>
      <c r="I535" s="3"/>
      <c r="J535" s="39"/>
      <c r="K535" s="3"/>
      <c r="L535" s="3"/>
      <c r="M535" s="3"/>
      <c r="N535" s="3"/>
      <c r="O535" s="3"/>
      <c r="P535" s="3"/>
      <c r="Q535" s="3"/>
      <c r="R535" s="3"/>
    </row>
    <row r="536" spans="1:18" ht="16.149999999999999" customHeight="1" x14ac:dyDescent="0.25">
      <c r="A536" s="84"/>
      <c r="B536" s="3"/>
      <c r="D536" s="3"/>
      <c r="F536" s="79"/>
      <c r="H536" s="39"/>
      <c r="I536" s="3"/>
      <c r="J536" s="39"/>
      <c r="K536" s="3"/>
      <c r="L536" s="3"/>
      <c r="M536" s="3"/>
      <c r="N536" s="3"/>
      <c r="O536" s="3"/>
      <c r="P536" s="3"/>
      <c r="Q536" s="3"/>
      <c r="R536" s="3"/>
    </row>
    <row r="537" spans="1:18" ht="16.149999999999999" customHeight="1" x14ac:dyDescent="0.25">
      <c r="A537" s="84"/>
      <c r="B537" s="3"/>
      <c r="D537" s="3"/>
      <c r="F537" s="79"/>
      <c r="H537" s="39"/>
      <c r="I537" s="3"/>
      <c r="J537" s="39"/>
      <c r="K537" s="3"/>
      <c r="L537" s="3"/>
      <c r="M537" s="3"/>
      <c r="N537" s="3"/>
      <c r="O537" s="3"/>
      <c r="P537" s="3"/>
      <c r="Q537" s="3"/>
      <c r="R537" s="3"/>
    </row>
    <row r="538" spans="1:18" ht="16.149999999999999" customHeight="1" x14ac:dyDescent="0.25">
      <c r="A538" s="84"/>
      <c r="B538" s="3"/>
      <c r="D538" s="3"/>
      <c r="F538" s="79"/>
      <c r="H538" s="39"/>
      <c r="I538" s="3"/>
      <c r="J538" s="39"/>
      <c r="K538" s="3"/>
      <c r="L538" s="3"/>
      <c r="M538" s="3"/>
      <c r="N538" s="3"/>
      <c r="O538" s="3"/>
      <c r="P538" s="3"/>
      <c r="Q538" s="3"/>
      <c r="R538" s="3"/>
    </row>
    <row r="539" spans="1:18" ht="16.149999999999999" customHeight="1" x14ac:dyDescent="0.25">
      <c r="A539" s="84"/>
      <c r="B539" s="3"/>
      <c r="D539" s="3"/>
      <c r="F539" s="79"/>
      <c r="H539" s="39"/>
      <c r="I539" s="3"/>
      <c r="J539" s="39"/>
      <c r="K539" s="3"/>
      <c r="L539" s="3"/>
      <c r="M539" s="3"/>
      <c r="N539" s="3"/>
      <c r="O539" s="3"/>
      <c r="P539" s="3"/>
      <c r="Q539" s="3"/>
      <c r="R539" s="3"/>
    </row>
    <row r="540" spans="1:18" ht="16.149999999999999" customHeight="1" x14ac:dyDescent="0.25">
      <c r="A540" s="84"/>
      <c r="B540" s="3"/>
      <c r="D540" s="3"/>
      <c r="F540" s="79"/>
      <c r="H540" s="39"/>
      <c r="I540" s="3"/>
      <c r="J540" s="39"/>
      <c r="K540" s="3"/>
      <c r="L540" s="3"/>
      <c r="M540" s="3"/>
      <c r="N540" s="3"/>
      <c r="O540" s="3"/>
      <c r="P540" s="3"/>
      <c r="Q540" s="3"/>
      <c r="R540" s="3"/>
    </row>
    <row r="541" spans="1:18" ht="16.149999999999999" customHeight="1" x14ac:dyDescent="0.25">
      <c r="A541" s="84"/>
      <c r="B541" s="3"/>
      <c r="D541" s="3"/>
      <c r="F541" s="79"/>
      <c r="H541" s="39"/>
      <c r="I541" s="3"/>
      <c r="J541" s="39"/>
      <c r="K541" s="3"/>
      <c r="L541" s="3"/>
      <c r="M541" s="3"/>
      <c r="N541" s="3"/>
      <c r="O541" s="3"/>
      <c r="P541" s="3"/>
      <c r="Q541" s="3"/>
      <c r="R541" s="3"/>
    </row>
    <row r="542" spans="1:18" ht="16.149999999999999" customHeight="1" x14ac:dyDescent="0.25">
      <c r="A542" s="84"/>
      <c r="B542" s="3"/>
      <c r="D542" s="3"/>
      <c r="F542" s="79"/>
      <c r="H542" s="39"/>
      <c r="I542" s="3"/>
      <c r="J542" s="39"/>
      <c r="K542" s="3"/>
      <c r="L542" s="3"/>
      <c r="M542" s="3"/>
      <c r="N542" s="3"/>
      <c r="O542" s="3"/>
      <c r="P542" s="3"/>
      <c r="Q542" s="3"/>
      <c r="R542" s="3"/>
    </row>
    <row r="543" spans="1:18" ht="16.149999999999999" customHeight="1" x14ac:dyDescent="0.25">
      <c r="A543" s="84"/>
      <c r="B543" s="3"/>
      <c r="D543" s="3"/>
      <c r="F543" s="79"/>
      <c r="H543" s="39"/>
      <c r="I543" s="3"/>
      <c r="J543" s="39"/>
      <c r="K543" s="3"/>
      <c r="L543" s="3"/>
      <c r="M543" s="3"/>
      <c r="N543" s="3"/>
      <c r="O543" s="3"/>
      <c r="P543" s="3"/>
      <c r="Q543" s="3"/>
      <c r="R543" s="3"/>
    </row>
    <row r="544" spans="1:18" ht="16.149999999999999" customHeight="1" x14ac:dyDescent="0.25">
      <c r="A544" s="84"/>
      <c r="B544" s="3"/>
      <c r="D544" s="3"/>
      <c r="F544" s="79"/>
      <c r="H544" s="39"/>
      <c r="I544" s="3"/>
      <c r="J544" s="39"/>
      <c r="K544" s="3"/>
      <c r="L544" s="3"/>
      <c r="M544" s="3"/>
      <c r="N544" s="3"/>
      <c r="O544" s="3"/>
      <c r="P544" s="3"/>
      <c r="Q544" s="3"/>
      <c r="R544" s="3"/>
    </row>
    <row r="545" spans="1:18" ht="16.149999999999999" customHeight="1" x14ac:dyDescent="0.25">
      <c r="A545" s="84"/>
      <c r="B545" s="3"/>
      <c r="D545" s="3"/>
      <c r="F545" s="79"/>
      <c r="H545" s="39"/>
      <c r="I545" s="3"/>
      <c r="J545" s="39"/>
      <c r="K545" s="3"/>
      <c r="L545" s="3"/>
      <c r="M545" s="3"/>
      <c r="N545" s="3"/>
      <c r="O545" s="3"/>
      <c r="P545" s="3"/>
      <c r="Q545" s="3"/>
      <c r="R545" s="3"/>
    </row>
    <row r="546" spans="1:18" ht="16.149999999999999" customHeight="1" x14ac:dyDescent="0.25">
      <c r="A546" s="84"/>
      <c r="B546" s="3"/>
      <c r="D546" s="3"/>
      <c r="F546" s="79"/>
      <c r="H546" s="39"/>
      <c r="I546" s="3"/>
      <c r="J546" s="39"/>
      <c r="K546" s="3"/>
      <c r="L546" s="3"/>
      <c r="M546" s="3"/>
      <c r="N546" s="3"/>
      <c r="O546" s="3"/>
      <c r="P546" s="3"/>
      <c r="Q546" s="3"/>
      <c r="R546" s="3"/>
    </row>
    <row r="547" spans="1:18" ht="16.149999999999999" customHeight="1" x14ac:dyDescent="0.25">
      <c r="A547" s="84"/>
      <c r="B547" s="3"/>
      <c r="D547" s="3"/>
      <c r="F547" s="79"/>
      <c r="H547" s="39"/>
      <c r="I547" s="3"/>
      <c r="J547" s="39"/>
      <c r="K547" s="3"/>
      <c r="L547" s="3"/>
      <c r="M547" s="3"/>
      <c r="N547" s="3"/>
      <c r="O547" s="3"/>
      <c r="P547" s="3"/>
      <c r="Q547" s="3"/>
      <c r="R547" s="3"/>
    </row>
    <row r="548" spans="1:18" ht="16.149999999999999" customHeight="1" x14ac:dyDescent="0.25">
      <c r="A548" s="84"/>
      <c r="B548" s="3"/>
      <c r="D548" s="3"/>
      <c r="F548" s="79"/>
      <c r="H548" s="39"/>
      <c r="I548" s="3"/>
      <c r="J548" s="39"/>
      <c r="K548" s="3"/>
      <c r="L548" s="3"/>
      <c r="M548" s="3"/>
      <c r="N548" s="3"/>
      <c r="O548" s="3"/>
      <c r="P548" s="3"/>
      <c r="Q548" s="3"/>
      <c r="R548" s="3"/>
    </row>
    <row r="549" spans="1:18" ht="16.149999999999999" customHeight="1" x14ac:dyDescent="0.25">
      <c r="A549" s="84"/>
      <c r="B549" s="3"/>
      <c r="D549" s="3"/>
      <c r="F549" s="79"/>
      <c r="H549" s="39"/>
      <c r="I549" s="3"/>
      <c r="J549" s="39"/>
      <c r="K549" s="3"/>
      <c r="L549" s="3"/>
      <c r="M549" s="3"/>
      <c r="N549" s="3"/>
      <c r="O549" s="3"/>
      <c r="P549" s="3"/>
      <c r="Q549" s="3"/>
      <c r="R549" s="3"/>
    </row>
    <row r="550" spans="1:18" ht="16.149999999999999" customHeight="1" x14ac:dyDescent="0.25">
      <c r="A550" s="84"/>
      <c r="B550" s="3"/>
      <c r="D550" s="3"/>
      <c r="F550" s="79"/>
      <c r="H550" s="39"/>
      <c r="I550" s="3"/>
      <c r="J550" s="39"/>
      <c r="K550" s="3"/>
      <c r="L550" s="3"/>
      <c r="M550" s="3"/>
      <c r="N550" s="3"/>
      <c r="O550" s="3"/>
      <c r="P550" s="3"/>
      <c r="Q550" s="3"/>
      <c r="R550" s="3"/>
    </row>
    <row r="551" spans="1:18" ht="16.149999999999999" customHeight="1" x14ac:dyDescent="0.25">
      <c r="A551" s="84"/>
      <c r="B551" s="3"/>
      <c r="D551" s="3"/>
      <c r="F551" s="79"/>
      <c r="H551" s="39"/>
      <c r="I551" s="3"/>
      <c r="J551" s="39"/>
      <c r="K551" s="3"/>
      <c r="L551" s="3"/>
      <c r="M551" s="3"/>
      <c r="N551" s="3"/>
      <c r="O551" s="3"/>
      <c r="P551" s="3"/>
      <c r="Q551" s="3"/>
      <c r="R551" s="3"/>
    </row>
    <row r="552" spans="1:18" ht="16.149999999999999" customHeight="1" x14ac:dyDescent="0.25">
      <c r="A552" s="84"/>
      <c r="B552" s="3"/>
      <c r="D552" s="3"/>
      <c r="F552" s="79"/>
      <c r="H552" s="39"/>
      <c r="I552" s="3"/>
      <c r="J552" s="39"/>
      <c r="K552" s="3"/>
      <c r="L552" s="3"/>
      <c r="M552" s="3"/>
      <c r="N552" s="3"/>
      <c r="O552" s="3"/>
      <c r="P552" s="3"/>
      <c r="Q552" s="3"/>
      <c r="R552" s="3"/>
    </row>
    <row r="553" spans="1:18" ht="16.149999999999999" customHeight="1" x14ac:dyDescent="0.25">
      <c r="A553" s="84"/>
      <c r="B553" s="3"/>
      <c r="D553" s="3"/>
      <c r="F553" s="79"/>
      <c r="H553" s="39"/>
      <c r="I553" s="3"/>
      <c r="J553" s="39"/>
      <c r="K553" s="3"/>
      <c r="L553" s="3"/>
      <c r="M553" s="3"/>
      <c r="N553" s="3"/>
      <c r="O553" s="3"/>
      <c r="P553" s="3"/>
      <c r="Q553" s="3"/>
      <c r="R553" s="3"/>
    </row>
    <row r="554" spans="1:18" ht="16.149999999999999" customHeight="1" x14ac:dyDescent="0.25">
      <c r="A554" s="84"/>
      <c r="B554" s="3"/>
      <c r="D554" s="3"/>
      <c r="F554" s="79"/>
      <c r="H554" s="39"/>
      <c r="I554" s="3"/>
      <c r="J554" s="39"/>
      <c r="K554" s="3"/>
      <c r="L554" s="3"/>
      <c r="M554" s="3"/>
      <c r="N554" s="3"/>
      <c r="O554" s="3"/>
      <c r="P554" s="3"/>
      <c r="Q554" s="3"/>
      <c r="R554" s="3"/>
    </row>
    <row r="555" spans="1:18" ht="16.149999999999999" customHeight="1" x14ac:dyDescent="0.25">
      <c r="A555" s="84"/>
      <c r="B555" s="3"/>
      <c r="D555" s="3"/>
      <c r="F555" s="79"/>
      <c r="H555" s="39"/>
      <c r="I555" s="3"/>
      <c r="J555" s="39"/>
      <c r="K555" s="3"/>
      <c r="L555" s="3"/>
      <c r="M555" s="3"/>
      <c r="N555" s="3"/>
      <c r="O555" s="3"/>
      <c r="P555" s="3"/>
      <c r="Q555" s="3"/>
      <c r="R555" s="3"/>
    </row>
    <row r="556" spans="1:18" ht="16.149999999999999" customHeight="1" x14ac:dyDescent="0.25">
      <c r="A556" s="84"/>
      <c r="B556" s="3"/>
      <c r="D556" s="3"/>
      <c r="F556" s="79"/>
      <c r="H556" s="39"/>
      <c r="I556" s="3"/>
      <c r="J556" s="39"/>
      <c r="K556" s="3"/>
      <c r="L556" s="3"/>
      <c r="M556" s="3"/>
      <c r="N556" s="3"/>
      <c r="O556" s="3"/>
      <c r="P556" s="3"/>
      <c r="Q556" s="3"/>
      <c r="R556" s="3"/>
    </row>
    <row r="557" spans="1:18" ht="16.149999999999999" customHeight="1" x14ac:dyDescent="0.25">
      <c r="A557" s="84"/>
      <c r="B557" s="3"/>
      <c r="D557" s="3"/>
      <c r="F557" s="79"/>
      <c r="H557" s="39"/>
      <c r="I557" s="3"/>
      <c r="J557" s="39"/>
      <c r="K557" s="3"/>
      <c r="L557" s="3"/>
      <c r="M557" s="3"/>
      <c r="N557" s="3"/>
      <c r="O557" s="3"/>
      <c r="P557" s="3"/>
      <c r="Q557" s="3"/>
      <c r="R557" s="3"/>
    </row>
    <row r="558" spans="1:18" ht="16.149999999999999" customHeight="1" x14ac:dyDescent="0.25">
      <c r="A558" s="84"/>
      <c r="B558" s="3"/>
      <c r="D558" s="3"/>
      <c r="F558" s="79"/>
      <c r="H558" s="39"/>
      <c r="I558" s="3"/>
      <c r="J558" s="39"/>
      <c r="K558" s="3"/>
      <c r="L558" s="3"/>
      <c r="M558" s="3"/>
      <c r="N558" s="3"/>
      <c r="O558" s="3"/>
      <c r="P558" s="3"/>
      <c r="Q558" s="3"/>
      <c r="R558" s="3"/>
    </row>
    <row r="559" spans="1:18" ht="16.149999999999999" customHeight="1" x14ac:dyDescent="0.25">
      <c r="A559" s="84"/>
      <c r="B559" s="3"/>
      <c r="D559" s="3"/>
      <c r="F559" s="79"/>
      <c r="H559" s="39"/>
      <c r="I559" s="3"/>
      <c r="J559" s="39"/>
      <c r="K559" s="3"/>
      <c r="L559" s="3"/>
      <c r="M559" s="3"/>
      <c r="N559" s="3"/>
      <c r="O559" s="3"/>
      <c r="P559" s="3"/>
      <c r="Q559" s="3"/>
      <c r="R559" s="3"/>
    </row>
    <row r="560" spans="1:18" ht="16.149999999999999" customHeight="1" x14ac:dyDescent="0.25">
      <c r="A560" s="84"/>
      <c r="B560" s="3"/>
      <c r="D560" s="3"/>
      <c r="F560" s="79"/>
      <c r="H560" s="39"/>
      <c r="I560" s="3"/>
      <c r="J560" s="39"/>
      <c r="K560" s="3"/>
      <c r="L560" s="3"/>
      <c r="M560" s="3"/>
      <c r="N560" s="3"/>
      <c r="O560" s="3"/>
      <c r="P560" s="3"/>
      <c r="Q560" s="3"/>
      <c r="R560" s="3"/>
    </row>
    <row r="561" spans="1:18" ht="16.149999999999999" customHeight="1" x14ac:dyDescent="0.25">
      <c r="A561" s="84"/>
      <c r="B561" s="3"/>
      <c r="D561" s="3"/>
      <c r="F561" s="79"/>
      <c r="H561" s="39"/>
      <c r="I561" s="3"/>
      <c r="J561" s="39"/>
      <c r="K561" s="3"/>
      <c r="L561" s="3"/>
      <c r="M561" s="3"/>
      <c r="N561" s="3"/>
      <c r="O561" s="3"/>
      <c r="P561" s="3"/>
      <c r="Q561" s="3"/>
      <c r="R561" s="3"/>
    </row>
    <row r="562" spans="1:18" ht="16.149999999999999" customHeight="1" x14ac:dyDescent="0.25">
      <c r="A562" s="84"/>
      <c r="B562" s="3"/>
      <c r="D562" s="3"/>
      <c r="F562" s="79"/>
      <c r="H562" s="39"/>
      <c r="I562" s="3"/>
      <c r="J562" s="39"/>
      <c r="K562" s="3"/>
      <c r="L562" s="3"/>
      <c r="M562" s="3"/>
      <c r="N562" s="3"/>
      <c r="O562" s="3"/>
      <c r="P562" s="3"/>
      <c r="Q562" s="3"/>
      <c r="R562" s="3"/>
    </row>
    <row r="563" spans="1:18" ht="16.149999999999999" customHeight="1" x14ac:dyDescent="0.25">
      <c r="A563" s="84"/>
      <c r="B563" s="3"/>
      <c r="D563" s="3"/>
      <c r="F563" s="79"/>
      <c r="H563" s="39"/>
      <c r="I563" s="3"/>
      <c r="J563" s="39"/>
      <c r="K563" s="3"/>
      <c r="L563" s="3"/>
      <c r="M563" s="3"/>
      <c r="N563" s="3"/>
      <c r="O563" s="3"/>
      <c r="P563" s="3"/>
      <c r="Q563" s="3"/>
      <c r="R563" s="3"/>
    </row>
    <row r="564" spans="1:18" ht="16.149999999999999" customHeight="1" x14ac:dyDescent="0.25">
      <c r="A564" s="84"/>
      <c r="B564" s="3"/>
      <c r="D564" s="3"/>
      <c r="F564" s="79"/>
      <c r="H564" s="39"/>
      <c r="I564" s="3"/>
      <c r="J564" s="39"/>
      <c r="K564" s="3"/>
      <c r="L564" s="3"/>
      <c r="M564" s="3"/>
      <c r="N564" s="3"/>
      <c r="O564" s="3"/>
      <c r="P564" s="3"/>
      <c r="Q564" s="3"/>
      <c r="R564" s="3"/>
    </row>
    <row r="565" spans="1:18" ht="16.149999999999999" customHeight="1" x14ac:dyDescent="0.25">
      <c r="A565" s="84"/>
      <c r="B565" s="3"/>
      <c r="D565" s="3"/>
      <c r="F565" s="79"/>
      <c r="H565" s="39"/>
      <c r="I565" s="3"/>
      <c r="J565" s="39"/>
      <c r="K565" s="3"/>
      <c r="L565" s="3"/>
      <c r="M565" s="3"/>
      <c r="N565" s="3"/>
      <c r="O565" s="3"/>
      <c r="P565" s="3"/>
      <c r="Q565" s="3"/>
      <c r="R565" s="3"/>
    </row>
    <row r="566" spans="1:18" ht="16.149999999999999" customHeight="1" x14ac:dyDescent="0.25">
      <c r="A566" s="84"/>
      <c r="B566" s="3"/>
      <c r="D566" s="3"/>
      <c r="F566" s="79"/>
      <c r="H566" s="39"/>
      <c r="I566" s="3"/>
      <c r="J566" s="39"/>
      <c r="K566" s="3"/>
      <c r="L566" s="3"/>
      <c r="M566" s="3"/>
      <c r="N566" s="3"/>
      <c r="O566" s="3"/>
      <c r="P566" s="3"/>
      <c r="Q566" s="3"/>
      <c r="R566" s="3"/>
    </row>
    <row r="567" spans="1:18" ht="16.149999999999999" customHeight="1" x14ac:dyDescent="0.25">
      <c r="A567" s="84"/>
      <c r="B567" s="3"/>
      <c r="D567" s="3"/>
      <c r="F567" s="79"/>
      <c r="H567" s="39"/>
      <c r="I567" s="3"/>
      <c r="J567" s="39"/>
      <c r="K567" s="3"/>
      <c r="L567" s="3"/>
      <c r="M567" s="3"/>
      <c r="N567" s="3"/>
      <c r="O567" s="3"/>
      <c r="P567" s="3"/>
      <c r="Q567" s="3"/>
      <c r="R567" s="3"/>
    </row>
    <row r="568" spans="1:18" ht="16.149999999999999" customHeight="1" x14ac:dyDescent="0.25">
      <c r="A568" s="84"/>
      <c r="B568" s="3"/>
      <c r="D568" s="3"/>
      <c r="F568" s="79"/>
      <c r="H568" s="39"/>
      <c r="I568" s="3"/>
      <c r="J568" s="39"/>
      <c r="K568" s="3"/>
      <c r="L568" s="3"/>
      <c r="M568" s="3"/>
      <c r="N568" s="3"/>
      <c r="O568" s="3"/>
      <c r="P568" s="3"/>
      <c r="Q568" s="3"/>
      <c r="R568" s="3"/>
    </row>
    <row r="569" spans="1:18" ht="16.149999999999999" customHeight="1" x14ac:dyDescent="0.25">
      <c r="A569" s="84"/>
      <c r="B569" s="3"/>
      <c r="D569" s="3"/>
      <c r="F569" s="79"/>
      <c r="H569" s="39"/>
      <c r="I569" s="3"/>
      <c r="J569" s="39"/>
      <c r="K569" s="3"/>
      <c r="L569" s="3"/>
      <c r="M569" s="3"/>
      <c r="N569" s="3"/>
      <c r="O569" s="3"/>
      <c r="P569" s="3"/>
      <c r="Q569" s="3"/>
      <c r="R569" s="3"/>
    </row>
    <row r="570" spans="1:18" ht="16.149999999999999" customHeight="1" x14ac:dyDescent="0.25">
      <c r="A570" s="84"/>
      <c r="B570" s="3"/>
      <c r="D570" s="3"/>
      <c r="F570" s="79"/>
      <c r="H570" s="39"/>
      <c r="I570" s="3"/>
      <c r="J570" s="39"/>
      <c r="K570" s="3"/>
      <c r="L570" s="3"/>
      <c r="M570" s="3"/>
      <c r="N570" s="3"/>
      <c r="O570" s="3"/>
      <c r="P570" s="3"/>
      <c r="Q570" s="3"/>
      <c r="R570" s="3"/>
    </row>
    <row r="571" spans="1:18" ht="16.149999999999999" customHeight="1" x14ac:dyDescent="0.25">
      <c r="A571" s="84"/>
      <c r="B571" s="3"/>
      <c r="D571" s="3"/>
      <c r="F571" s="79"/>
      <c r="H571" s="39"/>
      <c r="I571" s="3"/>
      <c r="J571" s="39"/>
      <c r="K571" s="3"/>
      <c r="L571" s="3"/>
      <c r="M571" s="3"/>
      <c r="N571" s="3"/>
      <c r="O571" s="3"/>
      <c r="P571" s="3"/>
      <c r="Q571" s="3"/>
      <c r="R571" s="3"/>
    </row>
    <row r="572" spans="1:18" ht="16.149999999999999" customHeight="1" x14ac:dyDescent="0.25">
      <c r="A572" s="84"/>
      <c r="B572" s="3"/>
      <c r="D572" s="3"/>
      <c r="F572" s="79"/>
      <c r="H572" s="39"/>
      <c r="I572" s="3"/>
      <c r="J572" s="39"/>
      <c r="K572" s="3"/>
      <c r="L572" s="3"/>
      <c r="M572" s="3"/>
      <c r="N572" s="3"/>
      <c r="O572" s="3"/>
      <c r="P572" s="3"/>
      <c r="Q572" s="3"/>
      <c r="R572" s="3"/>
    </row>
    <row r="573" spans="1:18" ht="16.149999999999999" customHeight="1" x14ac:dyDescent="0.25">
      <c r="A573" s="84"/>
      <c r="B573" s="3"/>
      <c r="D573" s="3"/>
      <c r="F573" s="79"/>
      <c r="H573" s="39"/>
      <c r="I573" s="3"/>
      <c r="J573" s="39"/>
      <c r="K573" s="3"/>
      <c r="L573" s="3"/>
      <c r="M573" s="3"/>
      <c r="N573" s="3"/>
      <c r="O573" s="3"/>
      <c r="P573" s="3"/>
      <c r="Q573" s="3"/>
      <c r="R573" s="3"/>
    </row>
    <row r="574" spans="1:18" ht="16.149999999999999" customHeight="1" x14ac:dyDescent="0.25">
      <c r="A574" s="84"/>
      <c r="B574" s="3"/>
      <c r="D574" s="3"/>
      <c r="F574" s="79"/>
      <c r="H574" s="39"/>
      <c r="I574" s="3"/>
      <c r="J574" s="39"/>
      <c r="K574" s="3"/>
      <c r="L574" s="3"/>
      <c r="M574" s="3"/>
      <c r="N574" s="3"/>
      <c r="O574" s="3"/>
      <c r="P574" s="3"/>
      <c r="Q574" s="3"/>
      <c r="R574" s="3"/>
    </row>
    <row r="575" spans="1:18" ht="16.149999999999999" customHeight="1" x14ac:dyDescent="0.25">
      <c r="A575" s="84"/>
      <c r="B575" s="3"/>
      <c r="D575" s="3"/>
      <c r="F575" s="79"/>
      <c r="H575" s="39"/>
      <c r="I575" s="3"/>
      <c r="J575" s="39"/>
      <c r="K575" s="3"/>
      <c r="L575" s="3"/>
      <c r="M575" s="3"/>
      <c r="N575" s="3"/>
      <c r="O575" s="3"/>
      <c r="P575" s="3"/>
      <c r="Q575" s="3"/>
      <c r="R575" s="3"/>
    </row>
    <row r="576" spans="1:18" ht="16.149999999999999" customHeight="1" x14ac:dyDescent="0.25">
      <c r="A576" s="84"/>
      <c r="B576" s="3"/>
      <c r="D576" s="3"/>
      <c r="F576" s="79"/>
      <c r="H576" s="39"/>
      <c r="I576" s="3"/>
      <c r="J576" s="39"/>
      <c r="K576" s="3"/>
      <c r="L576" s="3"/>
      <c r="M576" s="3"/>
      <c r="N576" s="3"/>
      <c r="O576" s="3"/>
      <c r="P576" s="3"/>
      <c r="Q576" s="3"/>
      <c r="R576" s="3"/>
    </row>
    <row r="577" spans="1:18" ht="16.149999999999999" customHeight="1" x14ac:dyDescent="0.25">
      <c r="A577" s="84"/>
      <c r="B577" s="3"/>
      <c r="D577" s="3"/>
      <c r="F577" s="79"/>
      <c r="H577" s="39"/>
      <c r="I577" s="3"/>
      <c r="J577" s="39"/>
      <c r="K577" s="3"/>
      <c r="L577" s="3"/>
      <c r="M577" s="3"/>
      <c r="N577" s="3"/>
      <c r="O577" s="3"/>
      <c r="P577" s="3"/>
      <c r="Q577" s="3"/>
      <c r="R577" s="3"/>
    </row>
    <row r="578" spans="1:18" ht="16.149999999999999" customHeight="1" x14ac:dyDescent="0.25">
      <c r="A578" s="84"/>
      <c r="B578" s="3"/>
      <c r="D578" s="3"/>
      <c r="F578" s="79"/>
      <c r="H578" s="39"/>
      <c r="I578" s="3"/>
      <c r="J578" s="39"/>
      <c r="K578" s="3"/>
      <c r="L578" s="3"/>
      <c r="M578" s="3"/>
      <c r="N578" s="3"/>
      <c r="O578" s="3"/>
      <c r="P578" s="3"/>
      <c r="Q578" s="3"/>
      <c r="R578" s="3"/>
    </row>
    <row r="579" spans="1:18" ht="16.149999999999999" customHeight="1" x14ac:dyDescent="0.25">
      <c r="A579" s="84"/>
      <c r="B579" s="3"/>
      <c r="D579" s="3"/>
      <c r="F579" s="79"/>
      <c r="H579" s="39"/>
      <c r="I579" s="3"/>
      <c r="J579" s="39"/>
      <c r="K579" s="3"/>
      <c r="L579" s="3"/>
      <c r="M579" s="3"/>
      <c r="N579" s="3"/>
      <c r="O579" s="3"/>
      <c r="P579" s="3"/>
      <c r="Q579" s="3"/>
      <c r="R579" s="3"/>
    </row>
    <row r="580" spans="1:18" ht="16.149999999999999" customHeight="1" x14ac:dyDescent="0.25">
      <c r="A580" s="84"/>
      <c r="B580" s="3"/>
      <c r="D580" s="3"/>
      <c r="F580" s="79"/>
      <c r="H580" s="39"/>
      <c r="I580" s="3"/>
      <c r="J580" s="39"/>
      <c r="K580" s="3"/>
      <c r="L580" s="3"/>
      <c r="M580" s="3"/>
      <c r="N580" s="3"/>
      <c r="O580" s="3"/>
      <c r="P580" s="3"/>
      <c r="Q580" s="3"/>
      <c r="R580" s="3"/>
    </row>
    <row r="581" spans="1:18" ht="16.149999999999999" customHeight="1" x14ac:dyDescent="0.25">
      <c r="A581" s="84"/>
      <c r="B581" s="3"/>
      <c r="D581" s="3"/>
      <c r="F581" s="79"/>
      <c r="H581" s="39"/>
      <c r="I581" s="3"/>
      <c r="J581" s="39"/>
      <c r="K581" s="3"/>
      <c r="L581" s="3"/>
      <c r="M581" s="3"/>
      <c r="N581" s="3"/>
      <c r="O581" s="3"/>
      <c r="P581" s="3"/>
      <c r="Q581" s="3"/>
      <c r="R581" s="3"/>
    </row>
    <row r="582" spans="1:18" ht="16.149999999999999" customHeight="1" x14ac:dyDescent="0.25">
      <c r="A582" s="84"/>
      <c r="B582" s="3"/>
      <c r="D582" s="3"/>
      <c r="F582" s="79"/>
      <c r="H582" s="39"/>
      <c r="I582" s="3"/>
      <c r="J582" s="39"/>
      <c r="K582" s="3"/>
      <c r="L582" s="3"/>
      <c r="M582" s="3"/>
      <c r="N582" s="3"/>
      <c r="O582" s="3"/>
      <c r="P582" s="3"/>
      <c r="Q582" s="3"/>
      <c r="R582" s="3"/>
    </row>
    <row r="583" spans="1:18" ht="16.149999999999999" customHeight="1" x14ac:dyDescent="0.25">
      <c r="A583" s="84"/>
      <c r="B583" s="3"/>
      <c r="D583" s="3"/>
      <c r="F583" s="79"/>
      <c r="H583" s="39"/>
      <c r="I583" s="3"/>
      <c r="J583" s="39"/>
      <c r="K583" s="3"/>
      <c r="L583" s="3"/>
      <c r="M583" s="3"/>
      <c r="N583" s="3"/>
      <c r="O583" s="3"/>
      <c r="P583" s="3"/>
      <c r="Q583" s="3"/>
      <c r="R583" s="3"/>
    </row>
    <row r="584" spans="1:18" ht="16.149999999999999" customHeight="1" x14ac:dyDescent="0.25">
      <c r="A584" s="84"/>
      <c r="B584" s="3"/>
      <c r="D584" s="3"/>
      <c r="F584" s="79"/>
      <c r="H584" s="39"/>
      <c r="I584" s="3"/>
      <c r="J584" s="39"/>
      <c r="K584" s="3"/>
      <c r="L584" s="3"/>
      <c r="M584" s="3"/>
      <c r="N584" s="3"/>
      <c r="O584" s="3"/>
      <c r="P584" s="3"/>
      <c r="Q584" s="3"/>
      <c r="R584" s="3"/>
    </row>
    <row r="585" spans="1:18" ht="16.149999999999999" customHeight="1" x14ac:dyDescent="0.25">
      <c r="A585" s="84"/>
      <c r="B585" s="3"/>
      <c r="D585" s="3"/>
      <c r="F585" s="79"/>
      <c r="H585" s="39"/>
      <c r="I585" s="3"/>
      <c r="J585" s="39"/>
      <c r="K585" s="3"/>
      <c r="L585" s="3"/>
      <c r="M585" s="3"/>
      <c r="N585" s="3"/>
      <c r="O585" s="3"/>
      <c r="P585" s="3"/>
      <c r="Q585" s="3"/>
      <c r="R585" s="3"/>
    </row>
    <row r="586" spans="1:18" ht="16.149999999999999" customHeight="1" x14ac:dyDescent="0.25">
      <c r="A586" s="84"/>
      <c r="B586" s="3"/>
      <c r="D586" s="3"/>
      <c r="F586" s="79"/>
      <c r="H586" s="39"/>
      <c r="I586" s="3"/>
      <c r="J586" s="39"/>
      <c r="K586" s="3"/>
      <c r="L586" s="3"/>
      <c r="M586" s="3"/>
      <c r="N586" s="3"/>
      <c r="O586" s="3"/>
      <c r="P586" s="3"/>
      <c r="Q586" s="3"/>
      <c r="R586" s="3"/>
    </row>
    <row r="587" spans="1:18" ht="16.149999999999999" customHeight="1" x14ac:dyDescent="0.25">
      <c r="A587" s="84"/>
      <c r="B587" s="3"/>
      <c r="D587" s="3"/>
      <c r="F587" s="79"/>
      <c r="H587" s="39"/>
      <c r="I587" s="3"/>
      <c r="J587" s="39"/>
      <c r="K587" s="3"/>
      <c r="L587" s="3"/>
      <c r="M587" s="3"/>
      <c r="N587" s="3"/>
      <c r="O587" s="3"/>
      <c r="P587" s="3"/>
      <c r="Q587" s="3"/>
      <c r="R587" s="3"/>
    </row>
    <row r="588" spans="1:18" ht="16.149999999999999" customHeight="1" x14ac:dyDescent="0.25">
      <c r="A588" s="84"/>
      <c r="B588" s="3"/>
      <c r="D588" s="3"/>
      <c r="F588" s="79"/>
      <c r="H588" s="39"/>
      <c r="I588" s="3"/>
      <c r="J588" s="39"/>
      <c r="K588" s="3"/>
      <c r="L588" s="3"/>
      <c r="M588" s="3"/>
      <c r="N588" s="3"/>
      <c r="O588" s="3"/>
      <c r="P588" s="3"/>
      <c r="Q588" s="3"/>
      <c r="R588" s="3"/>
    </row>
    <row r="589" spans="1:18" ht="16.149999999999999" customHeight="1" x14ac:dyDescent="0.25">
      <c r="A589" s="84"/>
      <c r="B589" s="3"/>
      <c r="D589" s="3"/>
      <c r="F589" s="79"/>
      <c r="H589" s="39"/>
      <c r="I589" s="3"/>
      <c r="J589" s="39"/>
      <c r="K589" s="3"/>
      <c r="L589" s="3"/>
      <c r="M589" s="3"/>
      <c r="N589" s="3"/>
      <c r="O589" s="3"/>
      <c r="P589" s="3"/>
      <c r="Q589" s="3"/>
      <c r="R589" s="3"/>
    </row>
    <row r="590" spans="1:18" ht="16.149999999999999" customHeight="1" x14ac:dyDescent="0.25">
      <c r="A590" s="84"/>
      <c r="B590" s="3"/>
      <c r="D590" s="3"/>
      <c r="F590" s="79"/>
      <c r="H590" s="39"/>
      <c r="I590" s="3"/>
      <c r="J590" s="39"/>
      <c r="K590" s="3"/>
      <c r="L590" s="3"/>
      <c r="M590" s="3"/>
      <c r="N590" s="3"/>
      <c r="O590" s="3"/>
      <c r="P590" s="3"/>
      <c r="Q590" s="3"/>
      <c r="R590" s="3"/>
    </row>
    <row r="591" spans="1:18" ht="16.149999999999999" customHeight="1" x14ac:dyDescent="0.25">
      <c r="A591" s="84"/>
      <c r="B591" s="3"/>
      <c r="D591" s="3"/>
      <c r="F591" s="79"/>
      <c r="H591" s="39"/>
      <c r="I591" s="3"/>
      <c r="J591" s="39"/>
      <c r="K591" s="3"/>
      <c r="L591" s="3"/>
      <c r="M591" s="3"/>
      <c r="N591" s="3"/>
      <c r="O591" s="3"/>
      <c r="P591" s="3"/>
      <c r="Q591" s="3"/>
      <c r="R591" s="3"/>
    </row>
    <row r="592" spans="1:18" ht="16.149999999999999" customHeight="1" x14ac:dyDescent="0.25">
      <c r="A592" s="84"/>
      <c r="B592" s="3"/>
      <c r="D592" s="3"/>
      <c r="F592" s="79"/>
      <c r="H592" s="39"/>
      <c r="I592" s="3"/>
      <c r="J592" s="39"/>
      <c r="K592" s="3"/>
      <c r="L592" s="3"/>
      <c r="M592" s="3"/>
      <c r="N592" s="3"/>
      <c r="O592" s="3"/>
      <c r="P592" s="3"/>
      <c r="Q592" s="3"/>
      <c r="R592" s="3"/>
    </row>
    <row r="593" spans="1:18" ht="16.149999999999999" customHeight="1" x14ac:dyDescent="0.25">
      <c r="A593" s="84"/>
      <c r="B593" s="3"/>
      <c r="D593" s="3"/>
      <c r="F593" s="79"/>
      <c r="H593" s="39"/>
      <c r="I593" s="3"/>
      <c r="J593" s="39"/>
      <c r="K593" s="3"/>
      <c r="L593" s="3"/>
      <c r="M593" s="3"/>
      <c r="N593" s="3"/>
      <c r="O593" s="3"/>
      <c r="P593" s="3"/>
      <c r="Q593" s="3"/>
      <c r="R593" s="3"/>
    </row>
    <row r="594" spans="1:18" ht="16.149999999999999" customHeight="1" x14ac:dyDescent="0.25">
      <c r="A594" s="84"/>
      <c r="B594" s="3"/>
      <c r="D594" s="3"/>
      <c r="F594" s="79"/>
      <c r="H594" s="39"/>
      <c r="I594" s="3"/>
      <c r="J594" s="39"/>
      <c r="K594" s="3"/>
      <c r="L594" s="3"/>
      <c r="M594" s="3"/>
      <c r="N594" s="3"/>
      <c r="O594" s="3"/>
      <c r="P594" s="3"/>
      <c r="Q594" s="3"/>
      <c r="R594" s="3"/>
    </row>
    <row r="595" spans="1:18" ht="16.149999999999999" customHeight="1" x14ac:dyDescent="0.25">
      <c r="A595" s="84"/>
      <c r="B595" s="3"/>
      <c r="D595" s="3"/>
      <c r="F595" s="79"/>
      <c r="H595" s="39"/>
      <c r="I595" s="3"/>
      <c r="J595" s="39"/>
      <c r="K595" s="3"/>
      <c r="L595" s="3"/>
      <c r="M595" s="3"/>
      <c r="N595" s="3"/>
      <c r="O595" s="3"/>
      <c r="P595" s="3"/>
      <c r="Q595" s="3"/>
      <c r="R595" s="3"/>
    </row>
    <row r="596" spans="1:18" ht="16.149999999999999" customHeight="1" x14ac:dyDescent="0.25">
      <c r="A596" s="84"/>
      <c r="B596" s="3"/>
      <c r="D596" s="3"/>
      <c r="F596" s="79"/>
      <c r="H596" s="39"/>
      <c r="I596" s="3"/>
      <c r="J596" s="39"/>
      <c r="K596" s="3"/>
      <c r="L596" s="3"/>
      <c r="M596" s="3"/>
      <c r="N596" s="3"/>
      <c r="O596" s="3"/>
      <c r="P596" s="3"/>
      <c r="Q596" s="3"/>
      <c r="R596" s="3"/>
    </row>
    <row r="597" spans="1:18" ht="16.149999999999999" customHeight="1" x14ac:dyDescent="0.25">
      <c r="A597" s="84"/>
      <c r="B597" s="3"/>
      <c r="D597" s="3"/>
      <c r="F597" s="79"/>
      <c r="H597" s="39"/>
      <c r="I597" s="3"/>
      <c r="J597" s="39"/>
      <c r="K597" s="3"/>
      <c r="L597" s="3"/>
      <c r="M597" s="3"/>
      <c r="N597" s="3"/>
      <c r="O597" s="3"/>
      <c r="P597" s="3"/>
      <c r="Q597" s="3"/>
      <c r="R597" s="3"/>
    </row>
    <row r="598" spans="1:18" ht="16.149999999999999" customHeight="1" x14ac:dyDescent="0.25">
      <c r="A598" s="84"/>
      <c r="B598" s="3"/>
      <c r="D598" s="3"/>
      <c r="F598" s="79"/>
      <c r="H598" s="39"/>
      <c r="I598" s="3"/>
      <c r="J598" s="39"/>
      <c r="K598" s="3"/>
      <c r="L598" s="3"/>
      <c r="M598" s="3"/>
      <c r="N598" s="3"/>
      <c r="O598" s="3"/>
      <c r="P598" s="3"/>
      <c r="Q598" s="3"/>
      <c r="R598" s="3"/>
    </row>
    <row r="599" spans="1:18" ht="16.149999999999999" customHeight="1" x14ac:dyDescent="0.25">
      <c r="A599" s="84"/>
      <c r="B599" s="3"/>
      <c r="D599" s="3"/>
      <c r="F599" s="79"/>
      <c r="H599" s="39"/>
      <c r="I599" s="3"/>
      <c r="J599" s="39"/>
      <c r="K599" s="3"/>
      <c r="L599" s="3"/>
      <c r="M599" s="3"/>
      <c r="N599" s="3"/>
      <c r="O599" s="3"/>
      <c r="P599" s="3"/>
      <c r="Q599" s="3"/>
      <c r="R599" s="3"/>
    </row>
    <row r="600" spans="1:18" ht="16.149999999999999" customHeight="1" x14ac:dyDescent="0.25">
      <c r="A600" s="84"/>
      <c r="B600" s="3"/>
      <c r="D600" s="3"/>
      <c r="F600" s="79"/>
      <c r="H600" s="39"/>
      <c r="I600" s="3"/>
      <c r="J600" s="39"/>
      <c r="K600" s="3"/>
      <c r="L600" s="3"/>
      <c r="M600" s="3"/>
      <c r="N600" s="3"/>
      <c r="O600" s="3"/>
      <c r="P600" s="3"/>
      <c r="Q600" s="3"/>
      <c r="R600" s="3"/>
    </row>
    <row r="601" spans="1:18" ht="16.149999999999999" customHeight="1" x14ac:dyDescent="0.25">
      <c r="A601" s="84"/>
      <c r="B601" s="3"/>
      <c r="D601" s="3"/>
      <c r="F601" s="79"/>
      <c r="H601" s="39"/>
      <c r="I601" s="3"/>
      <c r="J601" s="39"/>
      <c r="K601" s="3"/>
      <c r="L601" s="3"/>
      <c r="M601" s="3"/>
      <c r="N601" s="3"/>
      <c r="O601" s="3"/>
      <c r="P601" s="3"/>
      <c r="Q601" s="3"/>
      <c r="R601" s="3"/>
    </row>
    <row r="602" spans="1:18" ht="16.149999999999999" customHeight="1" x14ac:dyDescent="0.25">
      <c r="A602" s="84"/>
      <c r="B602" s="3"/>
      <c r="D602" s="3"/>
      <c r="F602" s="79"/>
      <c r="H602" s="39"/>
      <c r="I602" s="3"/>
      <c r="J602" s="39"/>
      <c r="K602" s="3"/>
      <c r="L602" s="3"/>
      <c r="M602" s="3"/>
      <c r="N602" s="3"/>
      <c r="O602" s="3"/>
      <c r="P602" s="3"/>
      <c r="Q602" s="3"/>
      <c r="R602" s="3"/>
    </row>
    <row r="603" spans="1:18" ht="16.149999999999999" customHeight="1" x14ac:dyDescent="0.25">
      <c r="A603" s="84"/>
      <c r="B603" s="3"/>
      <c r="D603" s="3"/>
      <c r="F603" s="79"/>
      <c r="H603" s="39"/>
      <c r="I603" s="3"/>
      <c r="J603" s="39"/>
      <c r="K603" s="3"/>
      <c r="L603" s="3"/>
      <c r="M603" s="3"/>
      <c r="N603" s="3"/>
      <c r="O603" s="3"/>
      <c r="P603" s="3"/>
      <c r="Q603" s="3"/>
      <c r="R603" s="3"/>
    </row>
    <row r="604" spans="1:18" ht="16.149999999999999" customHeight="1" x14ac:dyDescent="0.25">
      <c r="A604" s="84"/>
      <c r="B604" s="3"/>
      <c r="D604" s="3"/>
      <c r="F604" s="79"/>
      <c r="H604" s="39"/>
      <c r="I604" s="3"/>
      <c r="J604" s="39"/>
      <c r="K604" s="3"/>
      <c r="L604" s="3"/>
      <c r="M604" s="3"/>
      <c r="N604" s="3"/>
      <c r="O604" s="3"/>
      <c r="P604" s="3"/>
      <c r="Q604" s="3"/>
      <c r="R604" s="3"/>
    </row>
    <row r="605" spans="1:18" ht="16.149999999999999" customHeight="1" x14ac:dyDescent="0.25">
      <c r="A605" s="84"/>
      <c r="B605" s="3"/>
      <c r="D605" s="3"/>
      <c r="F605" s="79"/>
      <c r="H605" s="39"/>
      <c r="I605" s="3"/>
      <c r="J605" s="39"/>
      <c r="K605" s="3"/>
      <c r="L605" s="3"/>
      <c r="M605" s="3"/>
      <c r="N605" s="3"/>
      <c r="O605" s="3"/>
      <c r="P605" s="3"/>
      <c r="Q605" s="3"/>
      <c r="R605" s="3"/>
    </row>
    <row r="606" spans="1:18" ht="16.149999999999999" customHeight="1" x14ac:dyDescent="0.25">
      <c r="A606" s="84"/>
      <c r="B606" s="3"/>
      <c r="D606" s="3"/>
      <c r="F606" s="79"/>
      <c r="H606" s="39"/>
      <c r="I606" s="3"/>
      <c r="J606" s="39"/>
      <c r="K606" s="3"/>
      <c r="L606" s="3"/>
      <c r="M606" s="3"/>
      <c r="N606" s="3"/>
      <c r="O606" s="3"/>
      <c r="P606" s="3"/>
      <c r="Q606" s="3"/>
      <c r="R606" s="3"/>
    </row>
    <row r="607" spans="1:18" ht="16.149999999999999" customHeight="1" x14ac:dyDescent="0.25">
      <c r="A607" s="84"/>
      <c r="B607" s="3"/>
      <c r="D607" s="3"/>
      <c r="F607" s="79"/>
      <c r="H607" s="39"/>
      <c r="I607" s="3"/>
      <c r="J607" s="39"/>
      <c r="K607" s="3"/>
      <c r="L607" s="3"/>
      <c r="M607" s="3"/>
      <c r="N607" s="3"/>
      <c r="O607" s="3"/>
      <c r="P607" s="3"/>
      <c r="Q607" s="3"/>
      <c r="R607" s="3"/>
    </row>
    <row r="608" spans="1:18" ht="16.149999999999999" customHeight="1" x14ac:dyDescent="0.25">
      <c r="A608" s="84"/>
      <c r="B608" s="3"/>
      <c r="D608" s="3"/>
      <c r="F608" s="79"/>
      <c r="H608" s="39"/>
      <c r="I608" s="3"/>
      <c r="J608" s="39"/>
      <c r="K608" s="3"/>
      <c r="L608" s="3"/>
      <c r="M608" s="3"/>
      <c r="N608" s="3"/>
      <c r="O608" s="3"/>
      <c r="P608" s="3"/>
      <c r="Q608" s="3"/>
      <c r="R608" s="3"/>
    </row>
    <row r="609" spans="1:18" ht="16.149999999999999" customHeight="1" x14ac:dyDescent="0.25">
      <c r="A609" s="84"/>
      <c r="B609" s="3"/>
      <c r="D609" s="3"/>
      <c r="F609" s="79"/>
      <c r="H609" s="39"/>
      <c r="I609" s="3"/>
      <c r="J609" s="39"/>
      <c r="K609" s="3"/>
      <c r="L609" s="3"/>
      <c r="M609" s="3"/>
      <c r="N609" s="3"/>
      <c r="O609" s="3"/>
      <c r="P609" s="3"/>
      <c r="Q609" s="3"/>
      <c r="R609" s="3"/>
    </row>
    <row r="610" spans="1:18" ht="16.149999999999999" customHeight="1" x14ac:dyDescent="0.25">
      <c r="A610" s="84"/>
      <c r="B610" s="3"/>
      <c r="D610" s="3"/>
      <c r="F610" s="79"/>
      <c r="H610" s="39"/>
      <c r="I610" s="3"/>
      <c r="J610" s="39"/>
      <c r="K610" s="3"/>
      <c r="L610" s="3"/>
      <c r="M610" s="3"/>
      <c r="N610" s="3"/>
      <c r="O610" s="3"/>
      <c r="P610" s="3"/>
      <c r="Q610" s="3"/>
      <c r="R610" s="3"/>
    </row>
    <row r="611" spans="1:18" ht="16.149999999999999" customHeight="1" x14ac:dyDescent="0.25">
      <c r="A611" s="84"/>
      <c r="B611" s="3"/>
      <c r="D611" s="3"/>
      <c r="F611" s="79"/>
      <c r="H611" s="39"/>
      <c r="I611" s="3"/>
      <c r="J611" s="39"/>
      <c r="K611" s="3"/>
      <c r="L611" s="3"/>
      <c r="M611" s="3"/>
      <c r="N611" s="3"/>
      <c r="O611" s="3"/>
      <c r="P611" s="3"/>
      <c r="Q611" s="3"/>
      <c r="R611" s="3"/>
    </row>
    <row r="612" spans="1:18" ht="16.149999999999999" customHeight="1" x14ac:dyDescent="0.25">
      <c r="A612" s="84"/>
      <c r="B612" s="3"/>
      <c r="D612" s="3"/>
      <c r="F612" s="79"/>
      <c r="H612" s="39"/>
      <c r="I612" s="3"/>
      <c r="J612" s="39"/>
      <c r="K612" s="3"/>
      <c r="L612" s="3"/>
      <c r="M612" s="3"/>
      <c r="N612" s="3"/>
      <c r="O612" s="3"/>
      <c r="P612" s="3"/>
      <c r="Q612" s="3"/>
      <c r="R612" s="3"/>
    </row>
    <row r="613" spans="1:18" ht="16.149999999999999" customHeight="1" x14ac:dyDescent="0.25">
      <c r="A613" s="84"/>
      <c r="B613" s="3"/>
      <c r="D613" s="3"/>
      <c r="F613" s="79"/>
      <c r="H613" s="39"/>
      <c r="I613" s="3"/>
      <c r="J613" s="39"/>
      <c r="K613" s="3"/>
      <c r="L613" s="3"/>
      <c r="M613" s="3"/>
      <c r="N613" s="3"/>
      <c r="O613" s="3"/>
      <c r="P613" s="3"/>
      <c r="Q613" s="3"/>
      <c r="R613" s="3"/>
    </row>
    <row r="614" spans="1:18" ht="16.149999999999999" customHeight="1" x14ac:dyDescent="0.25">
      <c r="A614" s="84"/>
      <c r="B614" s="3"/>
      <c r="D614" s="3"/>
      <c r="F614" s="79"/>
      <c r="H614" s="39"/>
      <c r="I614" s="3"/>
      <c r="J614" s="39"/>
      <c r="K614" s="3"/>
      <c r="L614" s="3"/>
      <c r="M614" s="3"/>
      <c r="N614" s="3"/>
      <c r="O614" s="3"/>
      <c r="P614" s="3"/>
      <c r="Q614" s="3"/>
      <c r="R614" s="3"/>
    </row>
    <row r="615" spans="1:18" ht="16.149999999999999" customHeight="1" x14ac:dyDescent="0.25">
      <c r="A615" s="84"/>
      <c r="B615" s="3"/>
      <c r="D615" s="3"/>
      <c r="F615" s="79"/>
      <c r="H615" s="39"/>
      <c r="I615" s="3"/>
      <c r="J615" s="39"/>
      <c r="K615" s="3"/>
      <c r="L615" s="3"/>
      <c r="M615" s="3"/>
      <c r="N615" s="3"/>
      <c r="O615" s="3"/>
      <c r="P615" s="3"/>
      <c r="Q615" s="3"/>
      <c r="R615" s="3"/>
    </row>
    <row r="616" spans="1:18" ht="16.149999999999999" customHeight="1" x14ac:dyDescent="0.25">
      <c r="A616" s="84"/>
      <c r="B616" s="3"/>
      <c r="D616" s="3"/>
      <c r="F616" s="79"/>
      <c r="H616" s="39"/>
      <c r="I616" s="3"/>
      <c r="J616" s="39"/>
      <c r="K616" s="3"/>
      <c r="L616" s="3"/>
      <c r="M616" s="3"/>
      <c r="N616" s="3"/>
      <c r="O616" s="3"/>
      <c r="P616" s="3"/>
      <c r="Q616" s="3"/>
      <c r="R616" s="3"/>
    </row>
    <row r="617" spans="1:18" ht="16.149999999999999" customHeight="1" x14ac:dyDescent="0.25">
      <c r="A617" s="84"/>
      <c r="B617" s="3"/>
      <c r="D617" s="3"/>
      <c r="F617" s="79"/>
      <c r="H617" s="39"/>
      <c r="I617" s="3"/>
      <c r="J617" s="39"/>
      <c r="K617" s="3"/>
      <c r="L617" s="3"/>
      <c r="M617" s="3"/>
      <c r="N617" s="3"/>
      <c r="O617" s="3"/>
      <c r="P617" s="3"/>
      <c r="Q617" s="3"/>
      <c r="R617" s="3"/>
    </row>
    <row r="618" spans="1:18" ht="16.149999999999999" customHeight="1" x14ac:dyDescent="0.25">
      <c r="A618" s="84"/>
      <c r="B618" s="3"/>
      <c r="D618" s="3"/>
      <c r="F618" s="79"/>
      <c r="H618" s="39"/>
      <c r="I618" s="3"/>
      <c r="J618" s="39"/>
      <c r="K618" s="3"/>
      <c r="L618" s="3"/>
      <c r="M618" s="3"/>
      <c r="N618" s="3"/>
      <c r="O618" s="3"/>
      <c r="P618" s="3"/>
      <c r="Q618" s="3"/>
      <c r="R618" s="3"/>
    </row>
    <row r="619" spans="1:18" ht="16.149999999999999" customHeight="1" x14ac:dyDescent="0.25">
      <c r="A619" s="84"/>
      <c r="B619" s="3"/>
      <c r="D619" s="3"/>
      <c r="F619" s="79"/>
      <c r="H619" s="39"/>
      <c r="I619" s="3"/>
      <c r="J619" s="39"/>
      <c r="K619" s="3"/>
      <c r="L619" s="3"/>
      <c r="M619" s="3"/>
      <c r="N619" s="3"/>
      <c r="O619" s="3"/>
      <c r="P619" s="3"/>
      <c r="Q619" s="3"/>
      <c r="R619" s="3"/>
    </row>
    <row r="620" spans="1:18" ht="16.149999999999999" customHeight="1" x14ac:dyDescent="0.25">
      <c r="A620" s="84"/>
      <c r="B620" s="3"/>
      <c r="D620" s="3"/>
      <c r="F620" s="79"/>
      <c r="H620" s="39"/>
      <c r="I620" s="3"/>
      <c r="J620" s="39"/>
      <c r="K620" s="3"/>
      <c r="L620" s="3"/>
      <c r="M620" s="3"/>
      <c r="N620" s="3"/>
      <c r="O620" s="3"/>
      <c r="P620" s="3"/>
      <c r="Q620" s="3"/>
      <c r="R620" s="3"/>
    </row>
    <row r="621" spans="1:18" ht="16.149999999999999" customHeight="1" x14ac:dyDescent="0.25">
      <c r="A621" s="84"/>
      <c r="B621" s="3"/>
      <c r="D621" s="3"/>
      <c r="F621" s="79"/>
      <c r="H621" s="39"/>
      <c r="I621" s="3"/>
      <c r="J621" s="39"/>
      <c r="K621" s="3"/>
      <c r="L621" s="3"/>
      <c r="M621" s="3"/>
      <c r="N621" s="3"/>
      <c r="O621" s="3"/>
      <c r="P621" s="3"/>
      <c r="Q621" s="3"/>
      <c r="R621" s="3"/>
    </row>
    <row r="622" spans="1:18" ht="16.149999999999999" customHeight="1" x14ac:dyDescent="0.25">
      <c r="A622" s="84"/>
      <c r="B622" s="3"/>
      <c r="D622" s="3"/>
      <c r="F622" s="79"/>
      <c r="H622" s="39"/>
      <c r="I622" s="3"/>
      <c r="J622" s="39"/>
      <c r="K622" s="3"/>
      <c r="L622" s="3"/>
      <c r="M622" s="3"/>
      <c r="N622" s="3"/>
      <c r="O622" s="3"/>
      <c r="P622" s="3"/>
      <c r="Q622" s="3"/>
      <c r="R622" s="3"/>
    </row>
    <row r="623" spans="1:18" ht="16.149999999999999" customHeight="1" x14ac:dyDescent="0.25">
      <c r="A623" s="84"/>
      <c r="B623" s="3"/>
      <c r="D623" s="3"/>
      <c r="F623" s="79"/>
      <c r="H623" s="39"/>
      <c r="I623" s="3"/>
      <c r="J623" s="39"/>
      <c r="K623" s="3"/>
      <c r="L623" s="3"/>
      <c r="M623" s="3"/>
      <c r="N623" s="3"/>
      <c r="O623" s="3"/>
      <c r="P623" s="3"/>
      <c r="Q623" s="3"/>
      <c r="R623" s="3"/>
    </row>
    <row r="624" spans="1:18" ht="16.149999999999999" customHeight="1" x14ac:dyDescent="0.25">
      <c r="A624" s="84"/>
      <c r="B624" s="3"/>
      <c r="D624" s="3"/>
      <c r="F624" s="79"/>
      <c r="H624" s="39"/>
      <c r="I624" s="3"/>
      <c r="J624" s="39"/>
      <c r="K624" s="3"/>
      <c r="L624" s="3"/>
      <c r="M624" s="3"/>
      <c r="N624" s="3"/>
      <c r="O624" s="3"/>
      <c r="P624" s="3"/>
      <c r="Q624" s="3"/>
      <c r="R624" s="3"/>
    </row>
    <row r="625" spans="1:18" ht="16.149999999999999" customHeight="1" x14ac:dyDescent="0.25">
      <c r="A625" s="84"/>
      <c r="B625" s="3"/>
      <c r="D625" s="3"/>
      <c r="F625" s="79"/>
      <c r="H625" s="39"/>
      <c r="I625" s="3"/>
      <c r="J625" s="39"/>
      <c r="K625" s="3"/>
      <c r="L625" s="3"/>
      <c r="M625" s="3"/>
      <c r="N625" s="3"/>
      <c r="O625" s="3"/>
      <c r="P625" s="3"/>
      <c r="Q625" s="3"/>
      <c r="R625" s="3"/>
    </row>
    <row r="626" spans="1:18" ht="16.149999999999999" customHeight="1" x14ac:dyDescent="0.25">
      <c r="A626" s="84"/>
      <c r="B626" s="3"/>
      <c r="D626" s="3"/>
      <c r="F626" s="79"/>
      <c r="H626" s="39"/>
      <c r="I626" s="3"/>
      <c r="J626" s="39"/>
      <c r="K626" s="3"/>
      <c r="L626" s="3"/>
      <c r="M626" s="3"/>
      <c r="N626" s="3"/>
      <c r="O626" s="3"/>
      <c r="P626" s="3"/>
      <c r="Q626" s="3"/>
      <c r="R626" s="3"/>
    </row>
    <row r="627" spans="1:18" ht="16.149999999999999" customHeight="1" x14ac:dyDescent="0.25">
      <c r="A627" s="84"/>
      <c r="B627" s="3"/>
      <c r="D627" s="3"/>
      <c r="F627" s="79"/>
      <c r="H627" s="39"/>
      <c r="I627" s="3"/>
      <c r="J627" s="39"/>
      <c r="K627" s="3"/>
      <c r="L627" s="3"/>
      <c r="M627" s="3"/>
      <c r="N627" s="3"/>
      <c r="O627" s="3"/>
      <c r="P627" s="3"/>
      <c r="Q627" s="3"/>
      <c r="R627" s="3"/>
    </row>
    <row r="628" spans="1:18" ht="16.149999999999999" customHeight="1" x14ac:dyDescent="0.25">
      <c r="A628" s="84"/>
      <c r="B628" s="3"/>
      <c r="D628" s="3"/>
      <c r="F628" s="79"/>
      <c r="H628" s="39"/>
      <c r="I628" s="3"/>
      <c r="J628" s="39"/>
      <c r="K628" s="3"/>
      <c r="L628" s="3"/>
      <c r="M628" s="3"/>
      <c r="N628" s="3"/>
      <c r="O628" s="3"/>
      <c r="P628" s="3"/>
      <c r="Q628" s="3"/>
      <c r="R628" s="3"/>
    </row>
    <row r="629" spans="1:18" ht="16.149999999999999" customHeight="1" x14ac:dyDescent="0.25">
      <c r="A629" s="84"/>
      <c r="B629" s="3"/>
      <c r="D629" s="3"/>
      <c r="F629" s="79"/>
      <c r="H629" s="39"/>
      <c r="I629" s="3"/>
      <c r="J629" s="39"/>
      <c r="K629" s="3"/>
      <c r="L629" s="3"/>
      <c r="M629" s="3"/>
      <c r="N629" s="3"/>
      <c r="O629" s="3"/>
      <c r="P629" s="3"/>
      <c r="Q629" s="3"/>
      <c r="R629" s="3"/>
    </row>
    <row r="630" spans="1:18" ht="16.149999999999999" customHeight="1" x14ac:dyDescent="0.25">
      <c r="A630" s="84"/>
      <c r="B630" s="3"/>
      <c r="D630" s="3"/>
      <c r="F630" s="79"/>
      <c r="H630" s="39"/>
      <c r="I630" s="3"/>
      <c r="J630" s="39"/>
      <c r="K630" s="3"/>
      <c r="L630" s="3"/>
      <c r="M630" s="3"/>
      <c r="N630" s="3"/>
      <c r="O630" s="3"/>
      <c r="P630" s="3"/>
      <c r="Q630" s="3"/>
      <c r="R630" s="3"/>
    </row>
    <row r="631" spans="1:18" ht="16.149999999999999" customHeight="1" x14ac:dyDescent="0.25">
      <c r="A631" s="84"/>
      <c r="B631" s="3"/>
      <c r="D631" s="3"/>
      <c r="F631" s="79"/>
      <c r="H631" s="39"/>
      <c r="I631" s="3"/>
      <c r="J631" s="39"/>
      <c r="K631" s="3"/>
      <c r="L631" s="3"/>
      <c r="M631" s="3"/>
      <c r="N631" s="3"/>
      <c r="O631" s="3"/>
      <c r="P631" s="3"/>
      <c r="Q631" s="3"/>
      <c r="R631" s="3"/>
    </row>
    <row r="632" spans="1:18" ht="16.149999999999999" customHeight="1" x14ac:dyDescent="0.25">
      <c r="A632" s="84"/>
      <c r="B632" s="3"/>
      <c r="D632" s="3"/>
      <c r="F632" s="79"/>
      <c r="H632" s="39"/>
      <c r="I632" s="3"/>
      <c r="J632" s="39"/>
      <c r="K632" s="3"/>
      <c r="L632" s="3"/>
      <c r="M632" s="3"/>
      <c r="N632" s="3"/>
      <c r="O632" s="3"/>
      <c r="P632" s="3"/>
      <c r="Q632" s="3"/>
      <c r="R632" s="3"/>
    </row>
    <row r="633" spans="1:18" ht="16.149999999999999" customHeight="1" x14ac:dyDescent="0.25">
      <c r="A633" s="84"/>
      <c r="B633" s="3"/>
      <c r="D633" s="3"/>
      <c r="F633" s="79"/>
      <c r="H633" s="39"/>
      <c r="I633" s="3"/>
      <c r="J633" s="39"/>
      <c r="K633" s="3"/>
      <c r="L633" s="3"/>
      <c r="M633" s="3"/>
      <c r="N633" s="3"/>
      <c r="O633" s="3"/>
      <c r="P633" s="3"/>
      <c r="Q633" s="3"/>
      <c r="R633" s="3"/>
    </row>
    <row r="634" spans="1:18" ht="16.149999999999999" customHeight="1" x14ac:dyDescent="0.25">
      <c r="A634" s="84"/>
      <c r="B634" s="3"/>
      <c r="D634" s="3"/>
      <c r="F634" s="79"/>
      <c r="H634" s="39"/>
      <c r="I634" s="3"/>
      <c r="J634" s="39"/>
      <c r="K634" s="3"/>
      <c r="L634" s="3"/>
      <c r="M634" s="3"/>
      <c r="N634" s="3"/>
      <c r="O634" s="3"/>
      <c r="P634" s="3"/>
      <c r="Q634" s="3"/>
      <c r="R634" s="3"/>
    </row>
    <row r="635" spans="1:18" ht="16.149999999999999" customHeight="1" x14ac:dyDescent="0.25">
      <c r="A635" s="84"/>
      <c r="B635" s="3"/>
      <c r="D635" s="3"/>
      <c r="F635" s="79"/>
      <c r="H635" s="39"/>
      <c r="I635" s="3"/>
      <c r="J635" s="39"/>
      <c r="K635" s="3"/>
      <c r="L635" s="3"/>
      <c r="M635" s="3"/>
      <c r="N635" s="3"/>
      <c r="O635" s="3"/>
      <c r="P635" s="3"/>
      <c r="Q635" s="3"/>
      <c r="R635" s="3"/>
    </row>
    <row r="636" spans="1:18" ht="16.149999999999999" customHeight="1" x14ac:dyDescent="0.25">
      <c r="A636" s="84"/>
      <c r="B636" s="3"/>
      <c r="D636" s="3"/>
      <c r="F636" s="79"/>
      <c r="H636" s="39"/>
      <c r="I636" s="3"/>
      <c r="J636" s="39"/>
      <c r="K636" s="3"/>
      <c r="L636" s="3"/>
      <c r="M636" s="3"/>
      <c r="N636" s="3"/>
      <c r="O636" s="3"/>
      <c r="P636" s="3"/>
      <c r="Q636" s="3"/>
      <c r="R636" s="3"/>
    </row>
    <row r="637" spans="1:18" ht="16.149999999999999" customHeight="1" x14ac:dyDescent="0.25">
      <c r="A637" s="84"/>
      <c r="B637" s="3"/>
      <c r="D637" s="3"/>
      <c r="F637" s="79"/>
      <c r="H637" s="39"/>
      <c r="I637" s="3"/>
      <c r="J637" s="39"/>
      <c r="K637" s="3"/>
      <c r="L637" s="3"/>
      <c r="M637" s="3"/>
      <c r="N637" s="3"/>
      <c r="O637" s="3"/>
      <c r="P637" s="3"/>
      <c r="Q637" s="3"/>
      <c r="R637" s="3"/>
    </row>
    <row r="638" spans="1:18" ht="16.149999999999999" customHeight="1" x14ac:dyDescent="0.25">
      <c r="A638" s="84"/>
      <c r="B638" s="3"/>
      <c r="D638" s="3"/>
      <c r="F638" s="79"/>
      <c r="H638" s="39"/>
      <c r="I638" s="3"/>
      <c r="J638" s="39"/>
      <c r="K638" s="3"/>
      <c r="L638" s="3"/>
      <c r="M638" s="3"/>
      <c r="N638" s="3"/>
      <c r="O638" s="3"/>
      <c r="P638" s="3"/>
      <c r="Q638" s="3"/>
      <c r="R638" s="3"/>
    </row>
    <row r="639" spans="1:18" ht="16.149999999999999" customHeight="1" x14ac:dyDescent="0.25">
      <c r="A639" s="84"/>
      <c r="B639" s="3"/>
      <c r="D639" s="3"/>
      <c r="F639" s="79"/>
      <c r="H639" s="39"/>
      <c r="I639" s="3"/>
      <c r="J639" s="39"/>
      <c r="K639" s="3"/>
      <c r="L639" s="3"/>
      <c r="M639" s="3"/>
      <c r="N639" s="3"/>
      <c r="O639" s="3"/>
      <c r="P639" s="3"/>
      <c r="Q639" s="3"/>
      <c r="R639" s="3"/>
    </row>
    <row r="640" spans="1:18" ht="16.149999999999999" customHeight="1" x14ac:dyDescent="0.25">
      <c r="A640" s="84"/>
      <c r="B640" s="3"/>
      <c r="D640" s="3"/>
      <c r="F640" s="79"/>
      <c r="H640" s="39"/>
      <c r="I640" s="3"/>
      <c r="J640" s="39"/>
      <c r="K640" s="3"/>
      <c r="L640" s="3"/>
      <c r="M640" s="3"/>
      <c r="N640" s="3"/>
      <c r="O640" s="3"/>
      <c r="P640" s="3"/>
      <c r="Q640" s="3"/>
      <c r="R640" s="3"/>
    </row>
    <row r="641" spans="1:18" ht="16.149999999999999" customHeight="1" x14ac:dyDescent="0.25">
      <c r="A641" s="84"/>
      <c r="B641" s="3"/>
      <c r="D641" s="3"/>
      <c r="F641" s="79"/>
      <c r="H641" s="39"/>
      <c r="I641" s="3"/>
      <c r="J641" s="39"/>
      <c r="K641" s="3"/>
      <c r="L641" s="3"/>
      <c r="M641" s="3"/>
      <c r="N641" s="3"/>
      <c r="O641" s="3"/>
      <c r="P641" s="3"/>
      <c r="Q641" s="3"/>
      <c r="R641" s="3"/>
    </row>
    <row r="642" spans="1:18" ht="16.149999999999999" customHeight="1" x14ac:dyDescent="0.25">
      <c r="A642" s="84"/>
      <c r="B642" s="3"/>
      <c r="D642" s="3"/>
      <c r="F642" s="79"/>
      <c r="H642" s="39"/>
      <c r="I642" s="3"/>
      <c r="J642" s="39"/>
      <c r="K642" s="3"/>
      <c r="L642" s="3"/>
      <c r="M642" s="3"/>
      <c r="N642" s="3"/>
      <c r="O642" s="3"/>
      <c r="P642" s="3"/>
      <c r="Q642" s="3"/>
      <c r="R642" s="3"/>
    </row>
    <row r="643" spans="1:18" ht="16.149999999999999" customHeight="1" x14ac:dyDescent="0.25">
      <c r="A643" s="84"/>
      <c r="B643" s="3"/>
      <c r="D643" s="3"/>
      <c r="F643" s="79"/>
      <c r="H643" s="39"/>
      <c r="I643" s="3"/>
      <c r="J643" s="39"/>
      <c r="K643" s="3"/>
      <c r="L643" s="3"/>
      <c r="M643" s="3"/>
      <c r="N643" s="3"/>
      <c r="O643" s="3"/>
      <c r="P643" s="3"/>
      <c r="Q643" s="3"/>
      <c r="R643" s="3"/>
    </row>
    <row r="644" spans="1:18" ht="16.149999999999999" customHeight="1" x14ac:dyDescent="0.25">
      <c r="A644" s="84"/>
      <c r="B644" s="3"/>
      <c r="D644" s="3"/>
      <c r="F644" s="79"/>
      <c r="H644" s="39"/>
      <c r="I644" s="3"/>
      <c r="J644" s="39"/>
      <c r="K644" s="3"/>
      <c r="L644" s="3"/>
      <c r="M644" s="3"/>
      <c r="N644" s="3"/>
      <c r="O644" s="3"/>
      <c r="P644" s="3"/>
      <c r="Q644" s="3"/>
      <c r="R644" s="3"/>
    </row>
    <row r="645" spans="1:18" ht="16.149999999999999" customHeight="1" x14ac:dyDescent="0.25">
      <c r="A645" s="84"/>
      <c r="B645" s="3"/>
      <c r="D645" s="3"/>
      <c r="F645" s="79"/>
      <c r="H645" s="39"/>
      <c r="I645" s="3"/>
      <c r="J645" s="39"/>
      <c r="K645" s="3"/>
      <c r="L645" s="3"/>
      <c r="M645" s="3"/>
      <c r="N645" s="3"/>
      <c r="O645" s="3"/>
      <c r="P645" s="3"/>
      <c r="Q645" s="3"/>
      <c r="R645" s="3"/>
    </row>
    <row r="646" spans="1:18" ht="16.149999999999999" customHeight="1" x14ac:dyDescent="0.25">
      <c r="A646" s="84"/>
      <c r="B646" s="3"/>
      <c r="D646" s="3"/>
      <c r="F646" s="79"/>
      <c r="H646" s="39"/>
      <c r="I646" s="3"/>
      <c r="J646" s="39"/>
      <c r="K646" s="3"/>
      <c r="L646" s="3"/>
      <c r="M646" s="3"/>
      <c r="N646" s="3"/>
      <c r="O646" s="3"/>
      <c r="P646" s="3"/>
      <c r="Q646" s="3"/>
      <c r="R646" s="3"/>
    </row>
    <row r="647" spans="1:18" ht="16.149999999999999" customHeight="1" x14ac:dyDescent="0.25">
      <c r="A647" s="84"/>
      <c r="B647" s="3"/>
      <c r="D647" s="3"/>
      <c r="F647" s="79"/>
      <c r="H647" s="39"/>
      <c r="I647" s="3"/>
      <c r="J647" s="39"/>
      <c r="K647" s="3"/>
      <c r="L647" s="3"/>
      <c r="M647" s="3"/>
      <c r="N647" s="3"/>
      <c r="O647" s="3"/>
      <c r="P647" s="3"/>
      <c r="Q647" s="3"/>
      <c r="R647" s="3"/>
    </row>
    <row r="648" spans="1:18" ht="16.149999999999999" customHeight="1" x14ac:dyDescent="0.25">
      <c r="A648" s="84"/>
      <c r="B648" s="3"/>
      <c r="D648" s="3"/>
      <c r="F648" s="79"/>
      <c r="H648" s="39"/>
      <c r="I648" s="3"/>
      <c r="J648" s="39"/>
      <c r="K648" s="3"/>
      <c r="L648" s="3"/>
      <c r="M648" s="3"/>
      <c r="N648" s="3"/>
      <c r="O648" s="3"/>
      <c r="P648" s="3"/>
      <c r="Q648" s="3"/>
      <c r="R648" s="3"/>
    </row>
    <row r="649" spans="1:18" ht="16.149999999999999" customHeight="1" x14ac:dyDescent="0.25">
      <c r="A649" s="84"/>
      <c r="B649" s="3"/>
      <c r="D649" s="3"/>
      <c r="F649" s="79"/>
      <c r="H649" s="39"/>
      <c r="I649" s="3"/>
      <c r="J649" s="39"/>
      <c r="K649" s="3"/>
      <c r="L649" s="3"/>
      <c r="M649" s="3"/>
      <c r="N649" s="3"/>
      <c r="O649" s="3"/>
      <c r="P649" s="3"/>
      <c r="Q649" s="3"/>
      <c r="R649" s="3"/>
    </row>
    <row r="650" spans="1:18" ht="16.149999999999999" customHeight="1" x14ac:dyDescent="0.25">
      <c r="A650" s="84"/>
      <c r="B650" s="3"/>
      <c r="D650" s="3"/>
      <c r="F650" s="79"/>
      <c r="H650" s="39"/>
      <c r="I650" s="3"/>
      <c r="J650" s="39"/>
      <c r="K650" s="3"/>
      <c r="L650" s="3"/>
      <c r="M650" s="3"/>
      <c r="N650" s="3"/>
      <c r="O650" s="3"/>
      <c r="P650" s="3"/>
      <c r="Q650" s="3"/>
      <c r="R650" s="3"/>
    </row>
    <row r="651" spans="1:18" ht="16.149999999999999" customHeight="1" x14ac:dyDescent="0.25">
      <c r="A651" s="84"/>
      <c r="B651" s="3"/>
      <c r="D651" s="3"/>
      <c r="F651" s="79"/>
      <c r="H651" s="39"/>
      <c r="I651" s="3"/>
      <c r="J651" s="39"/>
      <c r="K651" s="3"/>
      <c r="L651" s="3"/>
      <c r="M651" s="3"/>
      <c r="N651" s="3"/>
      <c r="O651" s="3"/>
      <c r="P651" s="3"/>
      <c r="Q651" s="3"/>
      <c r="R651" s="3"/>
    </row>
    <row r="652" spans="1:18" ht="16.149999999999999" customHeight="1" x14ac:dyDescent="0.25">
      <c r="A652" s="84"/>
      <c r="B652" s="3"/>
      <c r="D652" s="3"/>
      <c r="F652" s="79"/>
      <c r="H652" s="39"/>
      <c r="I652" s="3"/>
      <c r="J652" s="39"/>
      <c r="K652" s="3"/>
      <c r="L652" s="3"/>
      <c r="M652" s="3"/>
      <c r="N652" s="3"/>
      <c r="O652" s="3"/>
      <c r="P652" s="3"/>
      <c r="Q652" s="3"/>
      <c r="R652" s="3"/>
    </row>
    <row r="653" spans="1:18" ht="16.149999999999999" customHeight="1" x14ac:dyDescent="0.25">
      <c r="A653" s="84"/>
      <c r="B653" s="3"/>
      <c r="D653" s="3"/>
      <c r="F653" s="79"/>
      <c r="H653" s="39"/>
      <c r="I653" s="3"/>
      <c r="J653" s="39"/>
      <c r="K653" s="3"/>
      <c r="L653" s="3"/>
      <c r="M653" s="3"/>
      <c r="N653" s="3"/>
      <c r="O653" s="3"/>
      <c r="P653" s="3"/>
      <c r="Q653" s="3"/>
      <c r="R653" s="3"/>
    </row>
    <row r="654" spans="1:18" ht="16.149999999999999" customHeight="1" x14ac:dyDescent="0.25">
      <c r="A654" s="84"/>
      <c r="B654" s="3"/>
      <c r="D654" s="3"/>
      <c r="F654" s="79"/>
      <c r="H654" s="39"/>
      <c r="I654" s="3"/>
      <c r="J654" s="39"/>
      <c r="K654" s="3"/>
      <c r="L654" s="3"/>
      <c r="M654" s="3"/>
      <c r="N654" s="3"/>
      <c r="O654" s="3"/>
      <c r="P654" s="3"/>
      <c r="Q654" s="3"/>
      <c r="R654" s="3"/>
    </row>
    <row r="655" spans="1:18" ht="16.149999999999999" customHeight="1" x14ac:dyDescent="0.25">
      <c r="A655" s="84"/>
      <c r="B655" s="3"/>
      <c r="D655" s="3"/>
      <c r="F655" s="79"/>
      <c r="H655" s="39"/>
      <c r="I655" s="3"/>
      <c r="J655" s="39"/>
      <c r="K655" s="3"/>
      <c r="L655" s="3"/>
      <c r="M655" s="3"/>
      <c r="N655" s="3"/>
      <c r="O655" s="3"/>
      <c r="P655" s="3"/>
      <c r="Q655" s="3"/>
      <c r="R655" s="3"/>
    </row>
    <row r="656" spans="1:18" ht="16.149999999999999" customHeight="1" x14ac:dyDescent="0.25">
      <c r="A656" s="84"/>
      <c r="B656" s="3"/>
      <c r="D656" s="3"/>
      <c r="F656" s="79"/>
      <c r="H656" s="39"/>
      <c r="I656" s="3"/>
      <c r="J656" s="39"/>
      <c r="K656" s="3"/>
      <c r="L656" s="3"/>
      <c r="M656" s="3"/>
      <c r="N656" s="3"/>
      <c r="O656" s="3"/>
      <c r="P656" s="3"/>
      <c r="Q656" s="3"/>
      <c r="R656" s="3"/>
    </row>
    <row r="657" spans="1:18" ht="16.149999999999999" customHeight="1" x14ac:dyDescent="0.25">
      <c r="A657" s="84"/>
      <c r="B657" s="3"/>
      <c r="D657" s="3"/>
      <c r="F657" s="79"/>
      <c r="H657" s="39"/>
      <c r="I657" s="3"/>
      <c r="J657" s="39"/>
      <c r="K657" s="3"/>
      <c r="L657" s="3"/>
      <c r="M657" s="3"/>
      <c r="N657" s="3"/>
      <c r="O657" s="3"/>
      <c r="P657" s="3"/>
      <c r="Q657" s="3"/>
      <c r="R657" s="3"/>
    </row>
    <row r="658" spans="1:18" ht="16.149999999999999" customHeight="1" x14ac:dyDescent="0.25">
      <c r="A658" s="84"/>
      <c r="B658" s="3"/>
      <c r="D658" s="3"/>
      <c r="F658" s="79"/>
      <c r="H658" s="39"/>
      <c r="I658" s="3"/>
      <c r="J658" s="39"/>
      <c r="K658" s="3"/>
      <c r="L658" s="3"/>
      <c r="M658" s="3"/>
      <c r="N658" s="3"/>
      <c r="O658" s="3"/>
      <c r="P658" s="3"/>
      <c r="Q658" s="3"/>
      <c r="R658" s="3"/>
    </row>
    <row r="659" spans="1:18" ht="16.149999999999999" customHeight="1" x14ac:dyDescent="0.25">
      <c r="A659" s="84"/>
      <c r="B659" s="3"/>
      <c r="D659" s="3"/>
      <c r="F659" s="79"/>
      <c r="H659" s="39"/>
      <c r="I659" s="3"/>
      <c r="J659" s="39"/>
      <c r="K659" s="3"/>
      <c r="L659" s="3"/>
      <c r="M659" s="3"/>
      <c r="N659" s="3"/>
      <c r="O659" s="3"/>
      <c r="P659" s="3"/>
      <c r="Q659" s="3"/>
      <c r="R659" s="3"/>
    </row>
    <row r="660" spans="1:18" ht="16.149999999999999" customHeight="1" x14ac:dyDescent="0.25">
      <c r="A660" s="84"/>
      <c r="B660" s="3"/>
      <c r="D660" s="3"/>
      <c r="F660" s="79"/>
      <c r="H660" s="39"/>
      <c r="I660" s="3"/>
      <c r="J660" s="39"/>
      <c r="K660" s="3"/>
      <c r="L660" s="3"/>
      <c r="M660" s="3"/>
      <c r="N660" s="3"/>
      <c r="O660" s="3"/>
      <c r="P660" s="3"/>
      <c r="Q660" s="3"/>
      <c r="R660" s="3"/>
    </row>
    <row r="661" spans="1:18" ht="16.149999999999999" customHeight="1" x14ac:dyDescent="0.25">
      <c r="A661" s="84"/>
      <c r="B661" s="3"/>
      <c r="D661" s="3"/>
      <c r="F661" s="79"/>
      <c r="H661" s="39"/>
      <c r="I661" s="3"/>
      <c r="J661" s="39"/>
      <c r="K661" s="3"/>
      <c r="L661" s="3"/>
      <c r="M661" s="3"/>
      <c r="N661" s="3"/>
      <c r="O661" s="3"/>
      <c r="P661" s="3"/>
      <c r="Q661" s="3"/>
      <c r="R661" s="3"/>
    </row>
    <row r="662" spans="1:18" ht="16.149999999999999" customHeight="1" x14ac:dyDescent="0.25">
      <c r="A662" s="84"/>
      <c r="B662" s="3"/>
      <c r="D662" s="3"/>
      <c r="F662" s="79"/>
      <c r="H662" s="39"/>
      <c r="I662" s="3"/>
      <c r="J662" s="39"/>
      <c r="K662" s="3"/>
      <c r="L662" s="3"/>
      <c r="M662" s="3"/>
      <c r="N662" s="3"/>
      <c r="O662" s="3"/>
      <c r="P662" s="3"/>
      <c r="Q662" s="3"/>
      <c r="R662" s="3"/>
    </row>
    <row r="663" spans="1:18" ht="16.149999999999999" customHeight="1" x14ac:dyDescent="0.25">
      <c r="A663" s="84"/>
      <c r="B663" s="3"/>
      <c r="D663" s="3"/>
      <c r="F663" s="79"/>
      <c r="H663" s="39"/>
      <c r="I663" s="3"/>
      <c r="J663" s="39"/>
      <c r="K663" s="3"/>
      <c r="L663" s="3"/>
      <c r="M663" s="3"/>
      <c r="N663" s="3"/>
      <c r="O663" s="3"/>
      <c r="P663" s="3"/>
      <c r="Q663" s="3"/>
      <c r="R663" s="3"/>
    </row>
    <row r="664" spans="1:18" ht="16.149999999999999" customHeight="1" x14ac:dyDescent="0.25">
      <c r="A664" s="84"/>
      <c r="B664" s="3"/>
      <c r="D664" s="3"/>
      <c r="F664" s="79"/>
      <c r="H664" s="39"/>
      <c r="I664" s="3"/>
      <c r="J664" s="39"/>
      <c r="K664" s="3"/>
      <c r="L664" s="3"/>
      <c r="M664" s="3"/>
      <c r="N664" s="3"/>
      <c r="O664" s="3"/>
      <c r="P664" s="3"/>
      <c r="Q664" s="3"/>
      <c r="R664" s="3"/>
    </row>
    <row r="665" spans="1:18" ht="16.149999999999999" customHeight="1" x14ac:dyDescent="0.25">
      <c r="A665" s="84"/>
      <c r="B665" s="3"/>
      <c r="D665" s="3"/>
      <c r="F665" s="79"/>
      <c r="H665" s="39"/>
      <c r="I665" s="3"/>
      <c r="J665" s="39"/>
      <c r="K665" s="3"/>
      <c r="L665" s="3"/>
      <c r="M665" s="3"/>
      <c r="N665" s="3"/>
      <c r="O665" s="3"/>
      <c r="P665" s="3"/>
      <c r="Q665" s="3"/>
      <c r="R665" s="3"/>
    </row>
    <row r="666" spans="1:18" ht="16.149999999999999" customHeight="1" x14ac:dyDescent="0.25">
      <c r="A666" s="84"/>
      <c r="B666" s="3"/>
      <c r="D666" s="3"/>
      <c r="F666" s="79"/>
      <c r="H666" s="39"/>
      <c r="I666" s="3"/>
      <c r="J666" s="39"/>
      <c r="K666" s="3"/>
      <c r="L666" s="3"/>
      <c r="M666" s="3"/>
      <c r="N666" s="3"/>
      <c r="O666" s="3"/>
      <c r="P666" s="3"/>
      <c r="Q666" s="3"/>
      <c r="R666" s="3"/>
    </row>
    <row r="667" spans="1:18" ht="16.149999999999999" customHeight="1" x14ac:dyDescent="0.25">
      <c r="A667" s="84"/>
      <c r="B667" s="3"/>
      <c r="D667" s="3"/>
      <c r="F667" s="79"/>
      <c r="H667" s="39"/>
      <c r="I667" s="3"/>
      <c r="J667" s="39"/>
      <c r="K667" s="3"/>
      <c r="L667" s="3"/>
      <c r="M667" s="3"/>
      <c r="N667" s="3"/>
      <c r="O667" s="3"/>
      <c r="P667" s="3"/>
      <c r="Q667" s="3"/>
      <c r="R667" s="3"/>
    </row>
    <row r="668" spans="1:18" ht="16.149999999999999" customHeight="1" x14ac:dyDescent="0.25">
      <c r="A668" s="84"/>
      <c r="B668" s="3"/>
      <c r="D668" s="3"/>
      <c r="F668" s="79"/>
      <c r="H668" s="39"/>
      <c r="I668" s="3"/>
      <c r="J668" s="39"/>
      <c r="K668" s="3"/>
      <c r="L668" s="3"/>
      <c r="M668" s="3"/>
      <c r="N668" s="3"/>
      <c r="O668" s="3"/>
      <c r="P668" s="3"/>
      <c r="Q668" s="3"/>
      <c r="R668" s="3"/>
    </row>
    <row r="669" spans="1:18" ht="16.149999999999999" customHeight="1" x14ac:dyDescent="0.25">
      <c r="A669" s="84"/>
      <c r="B669" s="3"/>
      <c r="D669" s="3"/>
      <c r="F669" s="79"/>
      <c r="H669" s="39"/>
      <c r="I669" s="3"/>
      <c r="J669" s="39"/>
      <c r="K669" s="3"/>
      <c r="L669" s="3"/>
      <c r="M669" s="3"/>
      <c r="N669" s="3"/>
      <c r="O669" s="3"/>
      <c r="P669" s="3"/>
      <c r="Q669" s="3"/>
      <c r="R669" s="3"/>
    </row>
    <row r="670" spans="1:18" ht="16.149999999999999" customHeight="1" x14ac:dyDescent="0.25">
      <c r="A670" s="84"/>
      <c r="B670" s="3"/>
      <c r="D670" s="3"/>
      <c r="F670" s="79"/>
      <c r="H670" s="39"/>
      <c r="I670" s="3"/>
      <c r="J670" s="39"/>
      <c r="K670" s="3"/>
      <c r="L670" s="3"/>
      <c r="M670" s="3"/>
      <c r="N670" s="3"/>
      <c r="O670" s="3"/>
      <c r="P670" s="3"/>
      <c r="Q670" s="3"/>
      <c r="R670" s="3"/>
    </row>
    <row r="671" spans="1:18" ht="16.149999999999999" customHeight="1" x14ac:dyDescent="0.25">
      <c r="A671" s="84"/>
      <c r="B671" s="3"/>
      <c r="D671" s="3"/>
      <c r="F671" s="79"/>
      <c r="H671" s="39"/>
      <c r="I671" s="3"/>
      <c r="J671" s="39"/>
      <c r="K671" s="3"/>
      <c r="L671" s="3"/>
      <c r="M671" s="3"/>
      <c r="N671" s="3"/>
      <c r="O671" s="3"/>
      <c r="P671" s="3"/>
      <c r="Q671" s="3"/>
      <c r="R671" s="3"/>
    </row>
    <row r="672" spans="1:18" ht="16.149999999999999" customHeight="1" x14ac:dyDescent="0.25">
      <c r="A672" s="84"/>
      <c r="B672" s="3"/>
      <c r="D672" s="3"/>
      <c r="F672" s="79"/>
      <c r="H672" s="39"/>
      <c r="I672" s="3"/>
      <c r="J672" s="39"/>
      <c r="K672" s="3"/>
      <c r="L672" s="3"/>
      <c r="M672" s="3"/>
      <c r="N672" s="3"/>
      <c r="O672" s="3"/>
      <c r="P672" s="3"/>
      <c r="Q672" s="3"/>
      <c r="R672" s="3"/>
    </row>
    <row r="673" spans="1:18" ht="16.149999999999999" customHeight="1" x14ac:dyDescent="0.25">
      <c r="A673" s="84"/>
      <c r="B673" s="3"/>
      <c r="D673" s="3"/>
      <c r="F673" s="79"/>
      <c r="H673" s="39"/>
      <c r="I673" s="3"/>
      <c r="J673" s="39"/>
      <c r="K673" s="3"/>
      <c r="L673" s="3"/>
      <c r="M673" s="3"/>
      <c r="N673" s="3"/>
      <c r="O673" s="3"/>
      <c r="P673" s="3"/>
      <c r="Q673" s="3"/>
      <c r="R673" s="3"/>
    </row>
    <row r="674" spans="1:18" ht="16.149999999999999" customHeight="1" x14ac:dyDescent="0.25">
      <c r="A674" s="84"/>
      <c r="B674" s="3"/>
      <c r="D674" s="3"/>
      <c r="F674" s="79"/>
      <c r="H674" s="39"/>
      <c r="I674" s="3"/>
      <c r="J674" s="39"/>
      <c r="K674" s="3"/>
      <c r="L674" s="3"/>
      <c r="M674" s="3"/>
      <c r="N674" s="3"/>
      <c r="O674" s="3"/>
      <c r="P674" s="3"/>
      <c r="Q674" s="3"/>
      <c r="R674" s="3"/>
    </row>
    <row r="675" spans="1:18" ht="16.149999999999999" customHeight="1" x14ac:dyDescent="0.25">
      <c r="A675" s="84"/>
      <c r="B675" s="3"/>
      <c r="D675" s="3"/>
      <c r="F675" s="79"/>
      <c r="H675" s="39"/>
      <c r="I675" s="3"/>
      <c r="J675" s="39"/>
      <c r="K675" s="3"/>
      <c r="L675" s="3"/>
      <c r="M675" s="3"/>
      <c r="N675" s="3"/>
      <c r="O675" s="3"/>
      <c r="P675" s="3"/>
      <c r="Q675" s="3"/>
      <c r="R675" s="3"/>
    </row>
    <row r="676" spans="1:18" ht="16.149999999999999" customHeight="1" x14ac:dyDescent="0.25">
      <c r="A676" s="84"/>
      <c r="B676" s="3"/>
      <c r="D676" s="3"/>
      <c r="F676" s="79"/>
      <c r="H676" s="39"/>
      <c r="I676" s="3"/>
      <c r="J676" s="39"/>
      <c r="K676" s="3"/>
      <c r="L676" s="3"/>
      <c r="M676" s="3"/>
      <c r="N676" s="3"/>
      <c r="O676" s="3"/>
      <c r="P676" s="3"/>
      <c r="Q676" s="3"/>
      <c r="R676" s="3"/>
    </row>
    <row r="677" spans="1:18" ht="16.149999999999999" customHeight="1" x14ac:dyDescent="0.25">
      <c r="A677" s="84"/>
      <c r="B677" s="3"/>
      <c r="D677" s="3"/>
      <c r="F677" s="79"/>
      <c r="H677" s="39"/>
      <c r="I677" s="3"/>
      <c r="J677" s="39"/>
      <c r="K677" s="3"/>
      <c r="L677" s="3"/>
      <c r="M677" s="3"/>
      <c r="N677" s="3"/>
      <c r="O677" s="3"/>
      <c r="P677" s="3"/>
      <c r="Q677" s="3"/>
      <c r="R677" s="3"/>
    </row>
    <row r="678" spans="1:18" ht="16.149999999999999" customHeight="1" x14ac:dyDescent="0.25">
      <c r="A678" s="84"/>
      <c r="B678" s="3"/>
      <c r="D678" s="3"/>
      <c r="F678" s="79"/>
      <c r="H678" s="39"/>
      <c r="I678" s="3"/>
      <c r="J678" s="39"/>
      <c r="K678" s="3"/>
      <c r="L678" s="3"/>
      <c r="M678" s="3"/>
      <c r="N678" s="3"/>
      <c r="O678" s="3"/>
      <c r="P678" s="3"/>
      <c r="Q678" s="3"/>
      <c r="R678" s="3"/>
    </row>
    <row r="679" spans="1:18" ht="16.149999999999999" customHeight="1" x14ac:dyDescent="0.25">
      <c r="A679" s="84"/>
      <c r="B679" s="3"/>
      <c r="D679" s="3"/>
      <c r="F679" s="79"/>
      <c r="H679" s="39"/>
      <c r="I679" s="3"/>
      <c r="J679" s="39"/>
      <c r="K679" s="3"/>
      <c r="L679" s="3"/>
      <c r="M679" s="3"/>
      <c r="N679" s="3"/>
      <c r="O679" s="3"/>
      <c r="P679" s="3"/>
      <c r="Q679" s="3"/>
      <c r="R679" s="3"/>
    </row>
    <row r="680" spans="1:18" ht="16.149999999999999" customHeight="1" x14ac:dyDescent="0.25">
      <c r="A680" s="84"/>
      <c r="B680" s="3"/>
      <c r="D680" s="3"/>
      <c r="F680" s="79"/>
      <c r="H680" s="39"/>
      <c r="I680" s="3"/>
      <c r="J680" s="39"/>
      <c r="K680" s="3"/>
      <c r="L680" s="3"/>
      <c r="M680" s="3"/>
      <c r="N680" s="3"/>
      <c r="O680" s="3"/>
      <c r="P680" s="3"/>
      <c r="Q680" s="3"/>
      <c r="R680" s="3"/>
    </row>
    <row r="681" spans="1:18" ht="16.149999999999999" customHeight="1" x14ac:dyDescent="0.25">
      <c r="A681" s="84"/>
      <c r="B681" s="3"/>
      <c r="D681" s="3"/>
      <c r="F681" s="79"/>
      <c r="H681" s="39"/>
      <c r="I681" s="3"/>
      <c r="J681" s="39"/>
      <c r="K681" s="3"/>
      <c r="L681" s="3"/>
      <c r="M681" s="3"/>
      <c r="N681" s="3"/>
      <c r="O681" s="3"/>
      <c r="P681" s="3"/>
      <c r="Q681" s="3"/>
      <c r="R681" s="3"/>
    </row>
    <row r="682" spans="1:18" ht="16.149999999999999" customHeight="1" x14ac:dyDescent="0.25">
      <c r="A682" s="84"/>
      <c r="B682" s="3"/>
      <c r="D682" s="3"/>
      <c r="F682" s="79"/>
      <c r="H682" s="39"/>
      <c r="I682" s="3"/>
      <c r="J682" s="39"/>
      <c r="K682" s="3"/>
      <c r="L682" s="3"/>
      <c r="M682" s="3"/>
      <c r="N682" s="3"/>
      <c r="O682" s="3"/>
      <c r="P682" s="3"/>
      <c r="Q682" s="3"/>
      <c r="R682" s="3"/>
    </row>
    <row r="683" spans="1:18" ht="16.149999999999999" customHeight="1" x14ac:dyDescent="0.25">
      <c r="A683" s="84"/>
      <c r="B683" s="3"/>
      <c r="D683" s="3"/>
      <c r="F683" s="79"/>
      <c r="H683" s="39"/>
      <c r="I683" s="3"/>
      <c r="J683" s="39"/>
      <c r="K683" s="3"/>
      <c r="L683" s="3"/>
      <c r="M683" s="3"/>
      <c r="N683" s="3"/>
      <c r="O683" s="3"/>
      <c r="P683" s="3"/>
      <c r="Q683" s="3"/>
      <c r="R683" s="3"/>
    </row>
    <row r="684" spans="1:18" ht="16.149999999999999" customHeight="1" x14ac:dyDescent="0.25">
      <c r="A684" s="84"/>
      <c r="B684" s="3"/>
      <c r="D684" s="3"/>
      <c r="F684" s="79"/>
      <c r="H684" s="39"/>
      <c r="I684" s="3"/>
      <c r="J684" s="39"/>
      <c r="K684" s="3"/>
      <c r="L684" s="3"/>
      <c r="M684" s="3"/>
      <c r="N684" s="3"/>
      <c r="O684" s="3"/>
      <c r="P684" s="3"/>
      <c r="Q684" s="3"/>
      <c r="R684" s="3"/>
    </row>
    <row r="685" spans="1:18" ht="16.149999999999999" customHeight="1" x14ac:dyDescent="0.25">
      <c r="A685" s="84"/>
      <c r="B685" s="3"/>
      <c r="D685" s="3"/>
      <c r="F685" s="79"/>
      <c r="H685" s="39"/>
      <c r="I685" s="3"/>
      <c r="J685" s="39"/>
      <c r="K685" s="3"/>
      <c r="L685" s="3"/>
      <c r="M685" s="3"/>
      <c r="N685" s="3"/>
      <c r="O685" s="3"/>
      <c r="P685" s="3"/>
      <c r="Q685" s="3"/>
      <c r="R685" s="3"/>
    </row>
    <row r="686" spans="1:18" ht="16.149999999999999" customHeight="1" x14ac:dyDescent="0.25">
      <c r="A686" s="84"/>
      <c r="B686" s="3"/>
      <c r="D686" s="3"/>
      <c r="F686" s="79"/>
      <c r="H686" s="39"/>
      <c r="I686" s="3"/>
      <c r="J686" s="39"/>
      <c r="K686" s="3"/>
      <c r="L686" s="3"/>
      <c r="M686" s="3"/>
      <c r="N686" s="3"/>
      <c r="O686" s="3"/>
      <c r="P686" s="3"/>
      <c r="Q686" s="3"/>
      <c r="R686" s="3"/>
    </row>
    <row r="687" spans="1:18" ht="16.149999999999999" customHeight="1" x14ac:dyDescent="0.25">
      <c r="A687" s="84"/>
      <c r="B687" s="3"/>
      <c r="D687" s="3"/>
      <c r="F687" s="79"/>
      <c r="H687" s="39"/>
      <c r="I687" s="3"/>
      <c r="J687" s="39"/>
      <c r="K687" s="3"/>
      <c r="L687" s="3"/>
      <c r="M687" s="3"/>
      <c r="N687" s="3"/>
      <c r="O687" s="3"/>
      <c r="P687" s="3"/>
      <c r="Q687" s="3"/>
      <c r="R687" s="3"/>
    </row>
    <row r="688" spans="1:18" ht="16.149999999999999" customHeight="1" x14ac:dyDescent="0.25">
      <c r="A688" s="84"/>
      <c r="B688" s="3"/>
      <c r="D688" s="3"/>
      <c r="F688" s="79"/>
      <c r="H688" s="39"/>
      <c r="I688" s="3"/>
      <c r="J688" s="39"/>
      <c r="K688" s="3"/>
      <c r="L688" s="3"/>
      <c r="M688" s="3"/>
      <c r="N688" s="3"/>
      <c r="O688" s="3"/>
      <c r="P688" s="3"/>
      <c r="Q688" s="3"/>
      <c r="R688" s="3"/>
    </row>
    <row r="689" spans="1:18" ht="16.149999999999999" customHeight="1" x14ac:dyDescent="0.25">
      <c r="A689" s="84"/>
      <c r="B689" s="3"/>
      <c r="D689" s="3"/>
      <c r="F689" s="79"/>
      <c r="H689" s="39"/>
      <c r="I689" s="3"/>
      <c r="J689" s="39"/>
      <c r="K689" s="3"/>
      <c r="L689" s="3"/>
      <c r="M689" s="3"/>
      <c r="N689" s="3"/>
      <c r="O689" s="3"/>
      <c r="P689" s="3"/>
      <c r="Q689" s="3"/>
      <c r="R689" s="3"/>
    </row>
    <row r="690" spans="1:18" ht="16.149999999999999" customHeight="1" x14ac:dyDescent="0.25">
      <c r="A690" s="84"/>
      <c r="B690" s="3"/>
      <c r="D690" s="3"/>
      <c r="F690" s="79"/>
      <c r="H690" s="39"/>
      <c r="I690" s="3"/>
      <c r="J690" s="39"/>
      <c r="K690" s="3"/>
      <c r="L690" s="3"/>
      <c r="M690" s="3"/>
      <c r="N690" s="3"/>
      <c r="O690" s="3"/>
      <c r="P690" s="3"/>
      <c r="Q690" s="3"/>
      <c r="R690" s="3"/>
    </row>
    <row r="691" spans="1:18" ht="16.149999999999999" customHeight="1" x14ac:dyDescent="0.25">
      <c r="A691" s="84"/>
      <c r="B691" s="3"/>
      <c r="D691" s="3"/>
      <c r="F691" s="79"/>
      <c r="H691" s="39"/>
      <c r="I691" s="3"/>
      <c r="J691" s="39"/>
      <c r="K691" s="3"/>
      <c r="L691" s="3"/>
      <c r="M691" s="3"/>
      <c r="N691" s="3"/>
      <c r="O691" s="3"/>
      <c r="P691" s="3"/>
      <c r="Q691" s="3"/>
      <c r="R691" s="3"/>
    </row>
    <row r="692" spans="1:18" ht="16.149999999999999" customHeight="1" x14ac:dyDescent="0.25">
      <c r="A692" s="84"/>
      <c r="B692" s="3"/>
      <c r="D692" s="3"/>
      <c r="F692" s="79"/>
      <c r="H692" s="39"/>
      <c r="I692" s="3"/>
      <c r="J692" s="39"/>
      <c r="K692" s="3"/>
      <c r="L692" s="3"/>
      <c r="M692" s="3"/>
      <c r="N692" s="3"/>
      <c r="O692" s="3"/>
      <c r="P692" s="3"/>
      <c r="Q692" s="3"/>
      <c r="R692" s="3"/>
    </row>
    <row r="693" spans="1:18" ht="16.149999999999999" customHeight="1" x14ac:dyDescent="0.25">
      <c r="A693" s="84"/>
      <c r="B693" s="3"/>
      <c r="D693" s="3"/>
      <c r="F693" s="79"/>
      <c r="H693" s="39"/>
      <c r="I693" s="3"/>
      <c r="J693" s="39"/>
      <c r="K693" s="3"/>
      <c r="L693" s="3"/>
      <c r="M693" s="3"/>
      <c r="N693" s="3"/>
      <c r="O693" s="3"/>
      <c r="P693" s="3"/>
      <c r="Q693" s="3"/>
      <c r="R693" s="3"/>
    </row>
    <row r="694" spans="1:18" ht="16.149999999999999" customHeight="1" x14ac:dyDescent="0.25">
      <c r="A694" s="84"/>
      <c r="B694" s="3"/>
      <c r="D694" s="3"/>
      <c r="F694" s="79"/>
      <c r="H694" s="39"/>
      <c r="I694" s="3"/>
      <c r="J694" s="39"/>
      <c r="K694" s="3"/>
      <c r="L694" s="3"/>
      <c r="M694" s="3"/>
      <c r="N694" s="3"/>
      <c r="O694" s="3"/>
      <c r="P694" s="3"/>
      <c r="Q694" s="3"/>
      <c r="R694" s="3"/>
    </row>
    <row r="695" spans="1:18" ht="16.149999999999999" customHeight="1" x14ac:dyDescent="0.25">
      <c r="A695" s="84"/>
      <c r="B695" s="3"/>
      <c r="D695" s="3"/>
      <c r="F695" s="79"/>
      <c r="H695" s="39"/>
      <c r="I695" s="3"/>
      <c r="J695" s="39"/>
      <c r="K695" s="3"/>
      <c r="L695" s="3"/>
      <c r="M695" s="3"/>
      <c r="N695" s="3"/>
      <c r="O695" s="3"/>
      <c r="P695" s="3"/>
      <c r="Q695" s="3"/>
      <c r="R695" s="3"/>
    </row>
    <row r="696" spans="1:18" ht="16.149999999999999" customHeight="1" x14ac:dyDescent="0.25">
      <c r="A696" s="84"/>
      <c r="B696" s="3"/>
      <c r="D696" s="3"/>
      <c r="F696" s="79"/>
      <c r="H696" s="39"/>
      <c r="I696" s="3"/>
      <c r="J696" s="39"/>
      <c r="K696" s="3"/>
      <c r="L696" s="3"/>
      <c r="M696" s="3"/>
      <c r="N696" s="3"/>
      <c r="O696" s="3"/>
      <c r="P696" s="3"/>
      <c r="Q696" s="3"/>
      <c r="R696" s="3"/>
    </row>
    <row r="697" spans="1:18" ht="16.149999999999999" customHeight="1" x14ac:dyDescent="0.25">
      <c r="A697" s="84"/>
      <c r="B697" s="3"/>
      <c r="D697" s="3"/>
      <c r="F697" s="79"/>
      <c r="H697" s="39"/>
      <c r="I697" s="3"/>
      <c r="J697" s="39"/>
      <c r="K697" s="3"/>
      <c r="L697" s="3"/>
      <c r="M697" s="3"/>
      <c r="N697" s="3"/>
      <c r="O697" s="3"/>
      <c r="P697" s="3"/>
      <c r="Q697" s="3"/>
      <c r="R697" s="3"/>
    </row>
    <row r="698" spans="1:18" ht="16.149999999999999" customHeight="1" x14ac:dyDescent="0.25">
      <c r="A698" s="84"/>
      <c r="B698" s="3"/>
      <c r="D698" s="3"/>
      <c r="F698" s="79"/>
      <c r="H698" s="39"/>
      <c r="I698" s="3"/>
      <c r="J698" s="39"/>
      <c r="K698" s="3"/>
      <c r="L698" s="3"/>
      <c r="M698" s="3"/>
      <c r="N698" s="3"/>
      <c r="O698" s="3"/>
      <c r="P698" s="3"/>
      <c r="Q698" s="3"/>
      <c r="R698" s="3"/>
    </row>
    <row r="699" spans="1:18" ht="16.149999999999999" customHeight="1" x14ac:dyDescent="0.25">
      <c r="A699" s="84"/>
      <c r="B699" s="3"/>
      <c r="D699" s="3"/>
      <c r="F699" s="79"/>
      <c r="H699" s="39"/>
      <c r="I699" s="3"/>
      <c r="J699" s="39"/>
      <c r="K699" s="3"/>
      <c r="L699" s="3"/>
      <c r="M699" s="3"/>
      <c r="N699" s="3"/>
      <c r="O699" s="3"/>
      <c r="P699" s="3"/>
      <c r="Q699" s="3"/>
      <c r="R699" s="3"/>
    </row>
    <row r="700" spans="1:18" ht="16.149999999999999" customHeight="1" x14ac:dyDescent="0.25">
      <c r="A700" s="84"/>
      <c r="B700" s="3"/>
      <c r="D700" s="3"/>
      <c r="F700" s="79"/>
      <c r="H700" s="39"/>
      <c r="I700" s="3"/>
      <c r="J700" s="39"/>
      <c r="K700" s="3"/>
      <c r="L700" s="3"/>
      <c r="M700" s="3"/>
      <c r="N700" s="3"/>
      <c r="O700" s="3"/>
      <c r="P700" s="3"/>
      <c r="Q700" s="3"/>
      <c r="R700" s="3"/>
    </row>
    <row r="701" spans="1:18" ht="16.149999999999999" customHeight="1" x14ac:dyDescent="0.25">
      <c r="A701" s="84"/>
      <c r="B701" s="3"/>
      <c r="D701" s="3"/>
      <c r="F701" s="79"/>
      <c r="H701" s="39"/>
      <c r="I701" s="3"/>
      <c r="J701" s="39"/>
      <c r="K701" s="3"/>
      <c r="L701" s="3"/>
      <c r="M701" s="3"/>
      <c r="N701" s="3"/>
      <c r="O701" s="3"/>
      <c r="P701" s="3"/>
      <c r="Q701" s="3"/>
      <c r="R701" s="3"/>
    </row>
    <row r="702" spans="1:18" ht="16.149999999999999" customHeight="1" x14ac:dyDescent="0.25">
      <c r="A702" s="84"/>
      <c r="B702" s="3"/>
      <c r="D702" s="3"/>
      <c r="F702" s="79"/>
      <c r="H702" s="39"/>
      <c r="I702" s="3"/>
      <c r="J702" s="39"/>
      <c r="K702" s="3"/>
      <c r="L702" s="3"/>
      <c r="M702" s="3"/>
      <c r="N702" s="3"/>
      <c r="O702" s="3"/>
      <c r="P702" s="3"/>
      <c r="Q702" s="3"/>
      <c r="R702" s="3"/>
    </row>
    <row r="703" spans="1:18" ht="16.149999999999999" customHeight="1" x14ac:dyDescent="0.25">
      <c r="A703" s="84"/>
      <c r="B703" s="3"/>
      <c r="D703" s="3"/>
      <c r="F703" s="79"/>
      <c r="H703" s="39"/>
      <c r="I703" s="3"/>
      <c r="J703" s="39"/>
      <c r="K703" s="3"/>
      <c r="L703" s="3"/>
      <c r="M703" s="3"/>
      <c r="N703" s="3"/>
      <c r="O703" s="3"/>
      <c r="P703" s="3"/>
      <c r="Q703" s="3"/>
      <c r="R703" s="3"/>
    </row>
    <row r="704" spans="1:18" ht="16.149999999999999" customHeight="1" x14ac:dyDescent="0.25">
      <c r="A704" s="84"/>
      <c r="B704" s="3"/>
      <c r="D704" s="3"/>
      <c r="F704" s="79"/>
      <c r="H704" s="39"/>
      <c r="I704" s="3"/>
      <c r="J704" s="39"/>
      <c r="K704" s="3"/>
      <c r="L704" s="3"/>
      <c r="M704" s="3"/>
      <c r="N704" s="3"/>
      <c r="O704" s="3"/>
      <c r="P704" s="3"/>
      <c r="Q704" s="3"/>
      <c r="R704" s="3"/>
    </row>
    <row r="705" spans="1:18" ht="16.149999999999999" customHeight="1" x14ac:dyDescent="0.25">
      <c r="A705" s="84"/>
      <c r="B705" s="3"/>
      <c r="D705" s="3"/>
      <c r="F705" s="79"/>
      <c r="H705" s="39"/>
      <c r="I705" s="3"/>
      <c r="J705" s="39"/>
      <c r="K705" s="3"/>
      <c r="L705" s="3"/>
      <c r="M705" s="3"/>
      <c r="N705" s="3"/>
      <c r="O705" s="3"/>
      <c r="P705" s="3"/>
      <c r="Q705" s="3"/>
      <c r="R705" s="3"/>
    </row>
    <row r="706" spans="1:18" ht="16.149999999999999" customHeight="1" x14ac:dyDescent="0.25">
      <c r="A706" s="84"/>
      <c r="B706" s="3"/>
      <c r="D706" s="3"/>
      <c r="F706" s="79"/>
      <c r="H706" s="39"/>
      <c r="I706" s="3"/>
      <c r="J706" s="39"/>
      <c r="K706" s="3"/>
      <c r="L706" s="3"/>
      <c r="M706" s="3"/>
      <c r="N706" s="3"/>
      <c r="O706" s="3"/>
      <c r="P706" s="3"/>
      <c r="Q706" s="3"/>
      <c r="R706" s="3"/>
    </row>
    <row r="707" spans="1:18" ht="16.149999999999999" customHeight="1" x14ac:dyDescent="0.25">
      <c r="A707" s="84"/>
      <c r="B707" s="3"/>
      <c r="D707" s="3"/>
      <c r="F707" s="79"/>
      <c r="H707" s="39"/>
      <c r="I707" s="3"/>
      <c r="J707" s="39"/>
      <c r="K707" s="3"/>
      <c r="L707" s="3"/>
      <c r="M707" s="3"/>
      <c r="N707" s="3"/>
      <c r="O707" s="3"/>
      <c r="P707" s="3"/>
      <c r="Q707" s="3"/>
      <c r="R707" s="3"/>
    </row>
    <row r="708" spans="1:18" ht="16.149999999999999" customHeight="1" x14ac:dyDescent="0.25">
      <c r="A708" s="84"/>
      <c r="B708" s="3"/>
      <c r="D708" s="3"/>
      <c r="F708" s="79"/>
      <c r="H708" s="39"/>
      <c r="I708" s="3"/>
      <c r="J708" s="39"/>
      <c r="K708" s="3"/>
      <c r="L708" s="3"/>
      <c r="M708" s="3"/>
      <c r="N708" s="3"/>
      <c r="O708" s="3"/>
      <c r="P708" s="3"/>
      <c r="Q708" s="3"/>
      <c r="R708" s="3"/>
    </row>
    <row r="709" spans="1:18" ht="16.149999999999999" customHeight="1" x14ac:dyDescent="0.25">
      <c r="A709" s="84"/>
      <c r="B709" s="3"/>
      <c r="D709" s="3"/>
      <c r="F709" s="79"/>
      <c r="H709" s="39"/>
      <c r="I709" s="3"/>
      <c r="J709" s="39"/>
      <c r="K709" s="3"/>
      <c r="L709" s="3"/>
      <c r="M709" s="3"/>
      <c r="N709" s="3"/>
      <c r="O709" s="3"/>
      <c r="P709" s="3"/>
      <c r="Q709" s="3"/>
      <c r="R709" s="3"/>
    </row>
    <row r="710" spans="1:18" ht="16.149999999999999" customHeight="1" x14ac:dyDescent="0.25">
      <c r="A710" s="84"/>
      <c r="B710" s="3"/>
      <c r="D710" s="3"/>
      <c r="F710" s="79"/>
      <c r="H710" s="39"/>
      <c r="I710" s="3"/>
      <c r="J710" s="39"/>
      <c r="K710" s="3"/>
      <c r="L710" s="3"/>
      <c r="M710" s="3"/>
      <c r="N710" s="3"/>
      <c r="O710" s="3"/>
      <c r="P710" s="3"/>
      <c r="Q710" s="3"/>
      <c r="R710" s="3"/>
    </row>
    <row r="711" spans="1:18" ht="16.149999999999999" customHeight="1" x14ac:dyDescent="0.25">
      <c r="A711" s="84"/>
      <c r="B711" s="3"/>
      <c r="D711" s="3"/>
      <c r="F711" s="79"/>
      <c r="H711" s="39"/>
      <c r="I711" s="3"/>
      <c r="J711" s="39"/>
      <c r="K711" s="3"/>
      <c r="L711" s="3"/>
      <c r="M711" s="3"/>
      <c r="N711" s="3"/>
      <c r="O711" s="3"/>
      <c r="P711" s="3"/>
      <c r="Q711" s="3"/>
      <c r="R711" s="3"/>
    </row>
    <row r="712" spans="1:18" ht="16.149999999999999" customHeight="1" x14ac:dyDescent="0.25">
      <c r="A712" s="84"/>
      <c r="B712" s="3"/>
      <c r="D712" s="3"/>
      <c r="F712" s="79"/>
      <c r="H712" s="39"/>
      <c r="I712" s="3"/>
      <c r="J712" s="39"/>
      <c r="K712" s="3"/>
      <c r="L712" s="3"/>
      <c r="M712" s="3"/>
      <c r="N712" s="3"/>
      <c r="O712" s="3"/>
      <c r="P712" s="3"/>
      <c r="Q712" s="3"/>
      <c r="R712" s="3"/>
    </row>
    <row r="713" spans="1:18" ht="16.149999999999999" customHeight="1" x14ac:dyDescent="0.25">
      <c r="A713" s="84"/>
      <c r="B713" s="3"/>
      <c r="D713" s="3"/>
      <c r="F713" s="79"/>
      <c r="H713" s="39"/>
      <c r="I713" s="3"/>
      <c r="J713" s="39"/>
      <c r="K713" s="3"/>
      <c r="L713" s="3"/>
      <c r="M713" s="3"/>
      <c r="N713" s="3"/>
      <c r="O713" s="3"/>
      <c r="P713" s="3"/>
      <c r="Q713" s="3"/>
      <c r="R713" s="3"/>
    </row>
    <row r="714" spans="1:18" ht="16.149999999999999" customHeight="1" x14ac:dyDescent="0.25">
      <c r="A714" s="84"/>
      <c r="B714" s="3"/>
      <c r="D714" s="3"/>
      <c r="F714" s="79"/>
      <c r="H714" s="39"/>
      <c r="I714" s="3"/>
      <c r="J714" s="39"/>
      <c r="K714" s="3"/>
      <c r="L714" s="3"/>
      <c r="M714" s="3"/>
      <c r="N714" s="3"/>
      <c r="O714" s="3"/>
      <c r="P714" s="3"/>
      <c r="Q714" s="3"/>
      <c r="R714" s="3"/>
    </row>
    <row r="715" spans="1:18" ht="16.149999999999999" customHeight="1" x14ac:dyDescent="0.25">
      <c r="A715" s="84"/>
      <c r="B715" s="3"/>
      <c r="D715" s="3"/>
      <c r="F715" s="79"/>
      <c r="H715" s="39"/>
      <c r="I715" s="3"/>
      <c r="J715" s="39"/>
      <c r="K715" s="3"/>
      <c r="L715" s="3"/>
      <c r="M715" s="3"/>
      <c r="N715" s="3"/>
      <c r="O715" s="3"/>
      <c r="P715" s="3"/>
      <c r="Q715" s="3"/>
      <c r="R715" s="3"/>
    </row>
    <row r="716" spans="1:18" ht="16.149999999999999" customHeight="1" x14ac:dyDescent="0.25">
      <c r="A716" s="84"/>
      <c r="B716" s="3"/>
      <c r="D716" s="3"/>
      <c r="F716" s="79"/>
      <c r="H716" s="39"/>
      <c r="I716" s="3"/>
      <c r="J716" s="39"/>
      <c r="K716" s="3"/>
      <c r="L716" s="3"/>
      <c r="M716" s="3"/>
      <c r="N716" s="3"/>
      <c r="O716" s="3"/>
      <c r="P716" s="3"/>
      <c r="Q716" s="3"/>
      <c r="R716" s="3"/>
    </row>
    <row r="717" spans="1:18" ht="16.149999999999999" customHeight="1" x14ac:dyDescent="0.25">
      <c r="A717" s="84"/>
      <c r="B717" s="3"/>
      <c r="D717" s="3"/>
      <c r="F717" s="79"/>
      <c r="H717" s="39"/>
      <c r="I717" s="3"/>
      <c r="J717" s="39"/>
      <c r="K717" s="3"/>
      <c r="L717" s="3"/>
      <c r="M717" s="3"/>
      <c r="N717" s="3"/>
      <c r="O717" s="3"/>
      <c r="P717" s="3"/>
      <c r="Q717" s="3"/>
      <c r="R717" s="3"/>
    </row>
    <row r="718" spans="1:18" ht="16.149999999999999" customHeight="1" x14ac:dyDescent="0.25">
      <c r="A718" s="84"/>
      <c r="B718" s="3"/>
      <c r="D718" s="3"/>
      <c r="F718" s="79"/>
      <c r="H718" s="39"/>
      <c r="I718" s="3"/>
      <c r="J718" s="39"/>
      <c r="K718" s="3"/>
      <c r="L718" s="3"/>
      <c r="M718" s="3"/>
      <c r="N718" s="3"/>
      <c r="O718" s="3"/>
      <c r="P718" s="3"/>
      <c r="Q718" s="3"/>
      <c r="R718" s="3"/>
    </row>
    <row r="719" spans="1:18" ht="16.149999999999999" customHeight="1" x14ac:dyDescent="0.25">
      <c r="A719" s="84"/>
      <c r="B719" s="3"/>
      <c r="D719" s="3"/>
      <c r="F719" s="79"/>
      <c r="H719" s="39"/>
      <c r="I719" s="3"/>
      <c r="J719" s="39"/>
      <c r="K719" s="3"/>
      <c r="L719" s="3"/>
      <c r="M719" s="3"/>
      <c r="N719" s="3"/>
      <c r="O719" s="3"/>
      <c r="P719" s="3"/>
      <c r="Q719" s="3"/>
      <c r="R719" s="3"/>
    </row>
    <row r="720" spans="1:18" ht="16.149999999999999" customHeight="1" x14ac:dyDescent="0.25">
      <c r="A720" s="84"/>
      <c r="B720" s="3"/>
      <c r="D720" s="3"/>
      <c r="F720" s="79"/>
      <c r="H720" s="39"/>
      <c r="I720" s="3"/>
      <c r="J720" s="39"/>
      <c r="K720" s="3"/>
      <c r="L720" s="3"/>
      <c r="M720" s="3"/>
      <c r="N720" s="3"/>
      <c r="O720" s="3"/>
      <c r="P720" s="3"/>
      <c r="Q720" s="3"/>
      <c r="R720" s="3"/>
    </row>
    <row r="721" spans="1:18" ht="16.149999999999999" customHeight="1" x14ac:dyDescent="0.25">
      <c r="A721" s="84"/>
      <c r="B721" s="3"/>
      <c r="D721" s="3"/>
      <c r="F721" s="79"/>
      <c r="H721" s="39"/>
      <c r="I721" s="3"/>
      <c r="J721" s="39"/>
      <c r="K721" s="3"/>
      <c r="L721" s="3"/>
      <c r="M721" s="3"/>
      <c r="N721" s="3"/>
      <c r="O721" s="3"/>
      <c r="P721" s="3"/>
      <c r="Q721" s="3"/>
      <c r="R721" s="3"/>
    </row>
    <row r="722" spans="1:18" ht="16.149999999999999" customHeight="1" x14ac:dyDescent="0.25">
      <c r="A722" s="84"/>
      <c r="B722" s="3"/>
      <c r="D722" s="3"/>
      <c r="F722" s="79"/>
      <c r="H722" s="39"/>
      <c r="I722" s="3"/>
      <c r="J722" s="39"/>
      <c r="K722" s="3"/>
      <c r="L722" s="3"/>
      <c r="M722" s="3"/>
      <c r="N722" s="3"/>
      <c r="O722" s="3"/>
      <c r="P722" s="3"/>
      <c r="Q722" s="3"/>
      <c r="R722" s="3"/>
    </row>
    <row r="723" spans="1:18" ht="16.149999999999999" customHeight="1" x14ac:dyDescent="0.25">
      <c r="A723" s="84"/>
      <c r="B723" s="3"/>
      <c r="D723" s="3"/>
      <c r="F723" s="79"/>
      <c r="H723" s="39"/>
      <c r="I723" s="3"/>
      <c r="J723" s="39"/>
      <c r="K723" s="3"/>
      <c r="L723" s="3"/>
      <c r="M723" s="3"/>
      <c r="N723" s="3"/>
      <c r="O723" s="3"/>
      <c r="P723" s="3"/>
      <c r="Q723" s="3"/>
      <c r="R723" s="3"/>
    </row>
    <row r="724" spans="1:18" ht="16.149999999999999" customHeight="1" x14ac:dyDescent="0.25">
      <c r="A724" s="84"/>
      <c r="B724" s="3"/>
      <c r="D724" s="3"/>
      <c r="F724" s="79"/>
      <c r="H724" s="39"/>
      <c r="I724" s="3"/>
      <c r="J724" s="39"/>
      <c r="K724" s="3"/>
      <c r="L724" s="3"/>
      <c r="M724" s="3"/>
      <c r="N724" s="3"/>
      <c r="O724" s="3"/>
      <c r="P724" s="3"/>
      <c r="Q724" s="3"/>
      <c r="R724" s="3"/>
    </row>
    <row r="725" spans="1:18" ht="16.149999999999999" customHeight="1" x14ac:dyDescent="0.25">
      <c r="A725" s="84"/>
      <c r="B725" s="3"/>
      <c r="D725" s="3"/>
      <c r="F725" s="79"/>
      <c r="H725" s="39"/>
      <c r="I725" s="3"/>
      <c r="J725" s="39"/>
      <c r="K725" s="3"/>
      <c r="L725" s="3"/>
      <c r="M725" s="3"/>
      <c r="N725" s="3"/>
      <c r="O725" s="3"/>
      <c r="P725" s="3"/>
      <c r="Q725" s="3"/>
      <c r="R725" s="3"/>
    </row>
    <row r="726" spans="1:18" ht="16.149999999999999" customHeight="1" x14ac:dyDescent="0.25">
      <c r="A726" s="84"/>
      <c r="B726" s="3"/>
      <c r="D726" s="3"/>
      <c r="F726" s="79"/>
      <c r="H726" s="39"/>
      <c r="I726" s="3"/>
      <c r="J726" s="39"/>
      <c r="K726" s="3"/>
      <c r="L726" s="3"/>
      <c r="M726" s="3"/>
      <c r="N726" s="3"/>
      <c r="O726" s="3"/>
      <c r="P726" s="3"/>
      <c r="Q726" s="3"/>
      <c r="R726" s="3"/>
    </row>
    <row r="727" spans="1:18" ht="16.149999999999999" customHeight="1" x14ac:dyDescent="0.25">
      <c r="A727" s="84"/>
      <c r="B727" s="3"/>
      <c r="D727" s="3"/>
      <c r="F727" s="79"/>
      <c r="H727" s="39"/>
      <c r="I727" s="3"/>
      <c r="J727" s="39"/>
      <c r="K727" s="3"/>
      <c r="L727" s="3"/>
      <c r="M727" s="3"/>
      <c r="N727" s="3"/>
      <c r="O727" s="3"/>
      <c r="P727" s="3"/>
      <c r="Q727" s="3"/>
      <c r="R727" s="3"/>
    </row>
    <row r="728" spans="1:18" ht="16.149999999999999" customHeight="1" x14ac:dyDescent="0.25">
      <c r="A728" s="84"/>
      <c r="B728" s="3"/>
      <c r="D728" s="3"/>
      <c r="F728" s="79"/>
      <c r="H728" s="39"/>
      <c r="I728" s="3"/>
      <c r="J728" s="39"/>
      <c r="K728" s="3"/>
      <c r="L728" s="3"/>
      <c r="M728" s="3"/>
      <c r="N728" s="3"/>
      <c r="O728" s="3"/>
      <c r="P728" s="3"/>
      <c r="Q728" s="3"/>
      <c r="R728" s="3"/>
    </row>
    <row r="729" spans="1:18" ht="16.149999999999999" customHeight="1" x14ac:dyDescent="0.25">
      <c r="A729" s="84"/>
      <c r="B729" s="3"/>
      <c r="D729" s="3"/>
      <c r="F729" s="79"/>
      <c r="H729" s="39"/>
      <c r="I729" s="3"/>
      <c r="J729" s="39"/>
      <c r="K729" s="3"/>
      <c r="L729" s="3"/>
      <c r="M729" s="3"/>
      <c r="N729" s="3"/>
      <c r="O729" s="3"/>
      <c r="P729" s="3"/>
      <c r="Q729" s="3"/>
      <c r="R729" s="3"/>
    </row>
    <row r="730" spans="1:18" ht="16.149999999999999" customHeight="1" x14ac:dyDescent="0.25">
      <c r="A730" s="84"/>
      <c r="B730" s="3"/>
      <c r="D730" s="3"/>
      <c r="F730" s="79"/>
      <c r="H730" s="39"/>
      <c r="I730" s="3"/>
      <c r="J730" s="39"/>
      <c r="K730" s="3"/>
      <c r="L730" s="3"/>
      <c r="M730" s="3"/>
      <c r="N730" s="3"/>
      <c r="O730" s="3"/>
      <c r="P730" s="3"/>
      <c r="Q730" s="3"/>
      <c r="R730" s="3"/>
    </row>
    <row r="731" spans="1:18" ht="16.149999999999999" customHeight="1" x14ac:dyDescent="0.25">
      <c r="A731" s="84"/>
      <c r="B731" s="3"/>
      <c r="D731" s="3"/>
      <c r="F731" s="79"/>
      <c r="H731" s="39"/>
      <c r="I731" s="3"/>
      <c r="J731" s="39"/>
      <c r="K731" s="3"/>
      <c r="L731" s="3"/>
      <c r="M731" s="3"/>
      <c r="N731" s="3"/>
      <c r="O731" s="3"/>
      <c r="P731" s="3"/>
      <c r="Q731" s="3"/>
      <c r="R731" s="3"/>
    </row>
    <row r="732" spans="1:18" ht="16.149999999999999" customHeight="1" x14ac:dyDescent="0.25">
      <c r="A732" s="84"/>
      <c r="B732" s="3"/>
      <c r="D732" s="3"/>
      <c r="F732" s="79"/>
      <c r="H732" s="39"/>
      <c r="I732" s="3"/>
      <c r="J732" s="39"/>
      <c r="K732" s="3"/>
      <c r="L732" s="3"/>
      <c r="M732" s="3"/>
      <c r="N732" s="3"/>
      <c r="O732" s="3"/>
      <c r="P732" s="3"/>
      <c r="Q732" s="3"/>
      <c r="R732" s="3"/>
    </row>
    <row r="733" spans="1:18" ht="16.149999999999999" customHeight="1" x14ac:dyDescent="0.25">
      <c r="A733" s="84"/>
      <c r="B733" s="3"/>
      <c r="D733" s="3"/>
      <c r="F733" s="79"/>
      <c r="H733" s="39"/>
      <c r="I733" s="3"/>
      <c r="J733" s="39"/>
      <c r="K733" s="3"/>
      <c r="L733" s="3"/>
      <c r="M733" s="3"/>
      <c r="N733" s="3"/>
      <c r="O733" s="3"/>
      <c r="P733" s="3"/>
      <c r="Q733" s="3"/>
      <c r="R733" s="3"/>
    </row>
    <row r="734" spans="1:18" ht="16.149999999999999" customHeight="1" x14ac:dyDescent="0.25">
      <c r="A734" s="84"/>
      <c r="B734" s="3"/>
      <c r="D734" s="3"/>
      <c r="F734" s="79"/>
      <c r="H734" s="39"/>
      <c r="I734" s="3"/>
      <c r="J734" s="39"/>
      <c r="K734" s="3"/>
      <c r="L734" s="3"/>
      <c r="M734" s="3"/>
      <c r="N734" s="3"/>
      <c r="O734" s="3"/>
      <c r="P734" s="3"/>
      <c r="Q734" s="3"/>
      <c r="R734" s="3"/>
    </row>
    <row r="735" spans="1:18" ht="16.149999999999999" customHeight="1" x14ac:dyDescent="0.25">
      <c r="A735" s="84"/>
      <c r="B735" s="3"/>
      <c r="D735" s="3"/>
      <c r="F735" s="79"/>
      <c r="H735" s="39"/>
      <c r="I735" s="3"/>
      <c r="J735" s="39"/>
      <c r="K735" s="3"/>
      <c r="L735" s="3"/>
      <c r="M735" s="3"/>
      <c r="N735" s="3"/>
      <c r="O735" s="3"/>
      <c r="P735" s="3"/>
      <c r="Q735" s="3"/>
      <c r="R735" s="3"/>
    </row>
    <row r="736" spans="1:18" ht="16.149999999999999" customHeight="1" x14ac:dyDescent="0.25">
      <c r="A736" s="84"/>
      <c r="B736" s="3"/>
      <c r="D736" s="3"/>
      <c r="F736" s="79"/>
      <c r="H736" s="39"/>
      <c r="I736" s="3"/>
      <c r="J736" s="39"/>
      <c r="K736" s="3"/>
      <c r="L736" s="3"/>
      <c r="M736" s="3"/>
      <c r="N736" s="3"/>
      <c r="O736" s="3"/>
      <c r="P736" s="3"/>
      <c r="Q736" s="3"/>
      <c r="R736" s="3"/>
    </row>
    <row r="737" spans="1:18" ht="16.149999999999999" customHeight="1" x14ac:dyDescent="0.25">
      <c r="A737" s="84"/>
      <c r="B737" s="3"/>
      <c r="D737" s="3"/>
      <c r="F737" s="79"/>
      <c r="H737" s="39"/>
      <c r="I737" s="3"/>
      <c r="J737" s="39"/>
      <c r="K737" s="3"/>
      <c r="L737" s="3"/>
      <c r="M737" s="3"/>
      <c r="N737" s="3"/>
      <c r="O737" s="3"/>
      <c r="P737" s="3"/>
      <c r="Q737" s="3"/>
      <c r="R737" s="3"/>
    </row>
    <row r="738" spans="1:18" ht="16.149999999999999" customHeight="1" x14ac:dyDescent="0.25">
      <c r="A738" s="84"/>
      <c r="B738" s="3"/>
      <c r="D738" s="3"/>
      <c r="F738" s="79"/>
      <c r="H738" s="39"/>
      <c r="I738" s="3"/>
      <c r="J738" s="39"/>
      <c r="K738" s="3"/>
      <c r="L738" s="3"/>
      <c r="M738" s="3"/>
      <c r="N738" s="3"/>
      <c r="O738" s="3"/>
      <c r="P738" s="3"/>
      <c r="Q738" s="3"/>
      <c r="R738" s="3"/>
    </row>
    <row r="739" spans="1:18" ht="16.149999999999999" customHeight="1" x14ac:dyDescent="0.25">
      <c r="A739" s="84"/>
      <c r="B739" s="3"/>
      <c r="D739" s="3"/>
      <c r="F739" s="79"/>
      <c r="H739" s="39"/>
      <c r="I739" s="3"/>
      <c r="J739" s="39"/>
      <c r="K739" s="3"/>
      <c r="L739" s="3"/>
      <c r="M739" s="3"/>
      <c r="N739" s="3"/>
      <c r="O739" s="3"/>
      <c r="P739" s="3"/>
      <c r="Q739" s="3"/>
      <c r="R739" s="3"/>
    </row>
    <row r="740" spans="1:18" ht="16.149999999999999" customHeight="1" x14ac:dyDescent="0.25">
      <c r="A740" s="84"/>
      <c r="B740" s="3"/>
      <c r="D740" s="3"/>
      <c r="F740" s="79"/>
      <c r="H740" s="39"/>
      <c r="I740" s="3"/>
      <c r="J740" s="39"/>
      <c r="K740" s="3"/>
      <c r="L740" s="3"/>
      <c r="M740" s="3"/>
      <c r="N740" s="3"/>
      <c r="O740" s="3"/>
      <c r="P740" s="3"/>
      <c r="Q740" s="3"/>
      <c r="R740" s="3"/>
    </row>
    <row r="741" spans="1:18" ht="16.149999999999999" customHeight="1" x14ac:dyDescent="0.25">
      <c r="A741" s="84"/>
      <c r="B741" s="3"/>
      <c r="D741" s="3"/>
      <c r="F741" s="79"/>
      <c r="H741" s="39"/>
      <c r="I741" s="3"/>
      <c r="J741" s="39"/>
      <c r="K741" s="3"/>
      <c r="L741" s="3"/>
      <c r="M741" s="3"/>
      <c r="N741" s="3"/>
      <c r="O741" s="3"/>
      <c r="P741" s="3"/>
      <c r="Q741" s="3"/>
      <c r="R741" s="3"/>
    </row>
    <row r="742" spans="1:18" ht="16.149999999999999" customHeight="1" x14ac:dyDescent="0.25">
      <c r="A742" s="84"/>
      <c r="B742" s="3"/>
      <c r="D742" s="3"/>
      <c r="F742" s="79"/>
      <c r="H742" s="39"/>
      <c r="I742" s="3"/>
      <c r="J742" s="39"/>
      <c r="K742" s="3"/>
      <c r="L742" s="3"/>
      <c r="M742" s="3"/>
      <c r="N742" s="3"/>
      <c r="O742" s="3"/>
      <c r="P742" s="3"/>
      <c r="Q742" s="3"/>
      <c r="R742" s="3"/>
    </row>
    <row r="743" spans="1:18" ht="16.149999999999999" customHeight="1" x14ac:dyDescent="0.25">
      <c r="A743" s="84"/>
      <c r="B743" s="3"/>
      <c r="D743" s="3"/>
      <c r="F743" s="79"/>
      <c r="H743" s="39"/>
      <c r="I743" s="3"/>
      <c r="J743" s="39"/>
      <c r="K743" s="3"/>
      <c r="L743" s="3"/>
      <c r="M743" s="3"/>
      <c r="N743" s="3"/>
      <c r="O743" s="3"/>
      <c r="P743" s="3"/>
      <c r="Q743" s="3"/>
      <c r="R743" s="3"/>
    </row>
    <row r="744" spans="1:18" ht="16.149999999999999" customHeight="1" x14ac:dyDescent="0.25">
      <c r="A744" s="84"/>
      <c r="B744" s="3"/>
      <c r="D744" s="3"/>
      <c r="F744" s="79"/>
      <c r="H744" s="39"/>
      <c r="I744" s="3"/>
      <c r="J744" s="39"/>
      <c r="K744" s="3"/>
      <c r="L744" s="3"/>
      <c r="M744" s="3"/>
      <c r="N744" s="3"/>
      <c r="O744" s="3"/>
      <c r="P744" s="3"/>
      <c r="Q744" s="3"/>
      <c r="R744" s="3"/>
    </row>
    <row r="745" spans="1:18" ht="16.149999999999999" customHeight="1" x14ac:dyDescent="0.25">
      <c r="A745" s="84"/>
      <c r="B745" s="3"/>
      <c r="D745" s="3"/>
      <c r="F745" s="79"/>
      <c r="H745" s="39"/>
      <c r="I745" s="3"/>
      <c r="J745" s="39"/>
      <c r="K745" s="3"/>
      <c r="L745" s="3"/>
      <c r="M745" s="3"/>
      <c r="N745" s="3"/>
      <c r="O745" s="3"/>
      <c r="P745" s="3"/>
      <c r="Q745" s="3"/>
      <c r="R745" s="3"/>
    </row>
    <row r="746" spans="1:18" ht="16.149999999999999" customHeight="1" x14ac:dyDescent="0.25">
      <c r="A746" s="84"/>
      <c r="B746" s="3"/>
      <c r="D746" s="3"/>
      <c r="F746" s="79"/>
      <c r="H746" s="39"/>
      <c r="I746" s="3"/>
      <c r="J746" s="39"/>
      <c r="K746" s="3"/>
      <c r="L746" s="3"/>
      <c r="M746" s="3"/>
      <c r="N746" s="3"/>
      <c r="O746" s="3"/>
      <c r="P746" s="3"/>
      <c r="Q746" s="3"/>
      <c r="R746" s="3"/>
    </row>
    <row r="747" spans="1:18" ht="16.149999999999999" customHeight="1" x14ac:dyDescent="0.25">
      <c r="A747" s="84"/>
      <c r="B747" s="3"/>
      <c r="D747" s="3"/>
      <c r="F747" s="79"/>
      <c r="H747" s="39"/>
      <c r="I747" s="3"/>
      <c r="J747" s="39"/>
      <c r="K747" s="3"/>
      <c r="L747" s="3"/>
      <c r="M747" s="3"/>
      <c r="N747" s="3"/>
      <c r="O747" s="3"/>
      <c r="P747" s="3"/>
      <c r="Q747" s="3"/>
      <c r="R747" s="3"/>
    </row>
    <row r="748" spans="1:18" ht="16.149999999999999" customHeight="1" x14ac:dyDescent="0.25">
      <c r="A748" s="84"/>
      <c r="B748" s="3"/>
      <c r="D748" s="3"/>
      <c r="F748" s="79"/>
      <c r="H748" s="39"/>
      <c r="I748" s="3"/>
      <c r="J748" s="39"/>
      <c r="K748" s="3"/>
      <c r="L748" s="3"/>
      <c r="M748" s="3"/>
      <c r="N748" s="3"/>
      <c r="O748" s="3"/>
      <c r="P748" s="3"/>
      <c r="Q748" s="3"/>
      <c r="R748" s="3"/>
    </row>
    <row r="749" spans="1:18" ht="16.149999999999999" customHeight="1" x14ac:dyDescent="0.25">
      <c r="A749" s="84"/>
      <c r="B749" s="3"/>
      <c r="D749" s="3"/>
      <c r="F749" s="79"/>
      <c r="H749" s="39"/>
      <c r="I749" s="3"/>
      <c r="J749" s="39"/>
      <c r="K749" s="3"/>
      <c r="L749" s="3"/>
      <c r="M749" s="3"/>
      <c r="N749" s="3"/>
      <c r="O749" s="3"/>
      <c r="P749" s="3"/>
      <c r="Q749" s="3"/>
      <c r="R749" s="3"/>
    </row>
    <row r="750" spans="1:18" ht="16.149999999999999" customHeight="1" x14ac:dyDescent="0.25">
      <c r="A750" s="84"/>
      <c r="B750" s="3"/>
      <c r="D750" s="3"/>
      <c r="F750" s="79"/>
      <c r="H750" s="39"/>
      <c r="I750" s="3"/>
      <c r="J750" s="39"/>
      <c r="K750" s="3"/>
      <c r="L750" s="3"/>
      <c r="M750" s="3"/>
      <c r="N750" s="3"/>
      <c r="O750" s="3"/>
      <c r="P750" s="3"/>
      <c r="Q750" s="3"/>
      <c r="R750" s="3"/>
    </row>
    <row r="751" spans="1:18" ht="16.149999999999999" customHeight="1" x14ac:dyDescent="0.25">
      <c r="A751" s="84"/>
      <c r="B751" s="3"/>
      <c r="D751" s="3"/>
      <c r="F751" s="79"/>
      <c r="H751" s="39"/>
      <c r="I751" s="3"/>
      <c r="J751" s="39"/>
      <c r="K751" s="3"/>
      <c r="L751" s="3"/>
      <c r="M751" s="3"/>
      <c r="N751" s="3"/>
      <c r="O751" s="3"/>
      <c r="P751" s="3"/>
      <c r="Q751" s="3"/>
      <c r="R751" s="3"/>
    </row>
    <row r="752" spans="1:18" ht="16.149999999999999" customHeight="1" x14ac:dyDescent="0.25">
      <c r="A752" s="84"/>
      <c r="B752" s="3"/>
      <c r="D752" s="3"/>
      <c r="F752" s="79"/>
      <c r="H752" s="39"/>
      <c r="I752" s="3"/>
      <c r="J752" s="39"/>
      <c r="K752" s="3"/>
      <c r="L752" s="3"/>
      <c r="M752" s="3"/>
      <c r="N752" s="3"/>
      <c r="O752" s="3"/>
      <c r="P752" s="3"/>
      <c r="Q752" s="3"/>
      <c r="R752" s="3"/>
    </row>
    <row r="753" spans="1:18" ht="16.149999999999999" customHeight="1" x14ac:dyDescent="0.25">
      <c r="A753" s="84"/>
      <c r="B753" s="3"/>
      <c r="D753" s="3"/>
      <c r="F753" s="79"/>
      <c r="H753" s="39"/>
      <c r="I753" s="3"/>
      <c r="J753" s="39"/>
      <c r="K753" s="3"/>
      <c r="L753" s="3"/>
      <c r="M753" s="3"/>
      <c r="N753" s="3"/>
      <c r="O753" s="3"/>
      <c r="P753" s="3"/>
      <c r="Q753" s="3"/>
      <c r="R753" s="3"/>
    </row>
    <row r="754" spans="1:18" ht="16.149999999999999" customHeight="1" x14ac:dyDescent="0.25">
      <c r="A754" s="84"/>
      <c r="B754" s="3"/>
      <c r="D754" s="3"/>
      <c r="F754" s="79"/>
      <c r="H754" s="39"/>
      <c r="I754" s="3"/>
      <c r="J754" s="39"/>
      <c r="K754" s="3"/>
      <c r="L754" s="3"/>
      <c r="M754" s="3"/>
      <c r="N754" s="3"/>
      <c r="O754" s="3"/>
      <c r="P754" s="3"/>
      <c r="Q754" s="3"/>
      <c r="R754" s="3"/>
    </row>
    <row r="755" spans="1:18" ht="16.149999999999999" customHeight="1" x14ac:dyDescent="0.25">
      <c r="A755" s="84"/>
      <c r="B755" s="3"/>
      <c r="D755" s="3"/>
      <c r="F755" s="79"/>
      <c r="H755" s="39"/>
      <c r="I755" s="3"/>
      <c r="J755" s="39"/>
      <c r="K755" s="3"/>
      <c r="L755" s="3"/>
      <c r="M755" s="3"/>
      <c r="N755" s="3"/>
      <c r="O755" s="3"/>
      <c r="P755" s="3"/>
      <c r="Q755" s="3"/>
      <c r="R755" s="3"/>
    </row>
    <row r="756" spans="1:18" ht="16.149999999999999" customHeight="1" x14ac:dyDescent="0.25">
      <c r="A756" s="84"/>
      <c r="B756" s="3"/>
      <c r="D756" s="3"/>
      <c r="F756" s="79"/>
      <c r="H756" s="39"/>
      <c r="I756" s="3"/>
      <c r="J756" s="39"/>
      <c r="K756" s="3"/>
      <c r="L756" s="3"/>
      <c r="M756" s="3"/>
      <c r="N756" s="3"/>
      <c r="O756" s="3"/>
      <c r="P756" s="3"/>
      <c r="Q756" s="3"/>
      <c r="R756" s="3"/>
    </row>
    <row r="757" spans="1:18" ht="16.149999999999999" customHeight="1" x14ac:dyDescent="0.25">
      <c r="A757" s="84"/>
      <c r="B757" s="3"/>
      <c r="D757" s="3"/>
      <c r="F757" s="79"/>
      <c r="H757" s="39"/>
      <c r="I757" s="3"/>
      <c r="J757" s="39"/>
      <c r="K757" s="3"/>
      <c r="L757" s="3"/>
      <c r="M757" s="3"/>
      <c r="N757" s="3"/>
      <c r="O757" s="3"/>
      <c r="P757" s="3"/>
      <c r="Q757" s="3"/>
      <c r="R757" s="3"/>
    </row>
    <row r="758" spans="1:18" ht="16.149999999999999" customHeight="1" x14ac:dyDescent="0.25">
      <c r="A758" s="84"/>
      <c r="B758" s="3"/>
      <c r="D758" s="3"/>
      <c r="F758" s="79"/>
      <c r="H758" s="39"/>
      <c r="I758" s="3"/>
      <c r="J758" s="39"/>
      <c r="K758" s="3"/>
      <c r="L758" s="3"/>
      <c r="M758" s="3"/>
      <c r="N758" s="3"/>
      <c r="O758" s="3"/>
      <c r="P758" s="3"/>
      <c r="Q758" s="3"/>
      <c r="R758" s="3"/>
    </row>
    <row r="759" spans="1:18" ht="16.149999999999999" customHeight="1" x14ac:dyDescent="0.25">
      <c r="A759" s="84"/>
      <c r="B759" s="3"/>
      <c r="D759" s="3"/>
      <c r="F759" s="79"/>
      <c r="H759" s="39"/>
      <c r="I759" s="3"/>
      <c r="J759" s="39"/>
      <c r="K759" s="3"/>
      <c r="L759" s="3"/>
      <c r="M759" s="3"/>
      <c r="N759" s="3"/>
      <c r="O759" s="3"/>
      <c r="P759" s="3"/>
      <c r="Q759" s="3"/>
      <c r="R759" s="3"/>
    </row>
    <row r="760" spans="1:18" ht="16.149999999999999" customHeight="1" x14ac:dyDescent="0.25">
      <c r="A760" s="84"/>
      <c r="B760" s="3"/>
      <c r="D760" s="3"/>
      <c r="F760" s="79"/>
      <c r="H760" s="39"/>
      <c r="I760" s="3"/>
      <c r="J760" s="39"/>
      <c r="K760" s="3"/>
      <c r="L760" s="3"/>
      <c r="M760" s="3"/>
      <c r="N760" s="3"/>
      <c r="O760" s="3"/>
      <c r="P760" s="3"/>
      <c r="Q760" s="3"/>
      <c r="R760" s="3"/>
    </row>
    <row r="761" spans="1:18" ht="16.149999999999999" customHeight="1" x14ac:dyDescent="0.25">
      <c r="A761" s="84"/>
      <c r="B761" s="3"/>
      <c r="D761" s="3"/>
      <c r="F761" s="79"/>
      <c r="H761" s="39"/>
      <c r="I761" s="3"/>
      <c r="J761" s="39"/>
      <c r="K761" s="3"/>
      <c r="L761" s="3"/>
      <c r="M761" s="3"/>
      <c r="N761" s="3"/>
      <c r="O761" s="3"/>
      <c r="P761" s="3"/>
      <c r="Q761" s="3"/>
      <c r="R761" s="3"/>
    </row>
    <row r="762" spans="1:18" ht="16.149999999999999" customHeight="1" x14ac:dyDescent="0.25">
      <c r="A762" s="84"/>
      <c r="B762" s="3"/>
      <c r="D762" s="3"/>
      <c r="F762" s="79"/>
      <c r="H762" s="39"/>
      <c r="I762" s="3"/>
      <c r="J762" s="39"/>
      <c r="K762" s="3"/>
      <c r="L762" s="3"/>
      <c r="M762" s="3"/>
      <c r="N762" s="3"/>
      <c r="O762" s="3"/>
      <c r="P762" s="3"/>
      <c r="Q762" s="3"/>
      <c r="R762" s="3"/>
    </row>
    <row r="763" spans="1:18" ht="16.149999999999999" customHeight="1" x14ac:dyDescent="0.25">
      <c r="A763" s="84"/>
      <c r="B763" s="3"/>
      <c r="D763" s="3"/>
      <c r="F763" s="79"/>
      <c r="H763" s="39"/>
      <c r="I763" s="3"/>
      <c r="J763" s="39"/>
      <c r="K763" s="3"/>
      <c r="L763" s="3"/>
      <c r="M763" s="3"/>
      <c r="N763" s="3"/>
      <c r="O763" s="3"/>
      <c r="P763" s="3"/>
      <c r="Q763" s="3"/>
      <c r="R763" s="3"/>
    </row>
    <row r="764" spans="1:18" ht="16.149999999999999" customHeight="1" x14ac:dyDescent="0.25">
      <c r="A764" s="84"/>
      <c r="B764" s="3"/>
      <c r="D764" s="3"/>
      <c r="F764" s="79"/>
      <c r="H764" s="39"/>
      <c r="I764" s="3"/>
      <c r="J764" s="39"/>
      <c r="K764" s="3"/>
      <c r="L764" s="3"/>
      <c r="M764" s="3"/>
      <c r="N764" s="3"/>
      <c r="O764" s="3"/>
      <c r="P764" s="3"/>
      <c r="Q764" s="3"/>
      <c r="R764" s="3"/>
    </row>
    <row r="765" spans="1:18" ht="16.149999999999999" customHeight="1" x14ac:dyDescent="0.25">
      <c r="A765" s="84"/>
      <c r="B765" s="3"/>
      <c r="D765" s="3"/>
      <c r="F765" s="79"/>
      <c r="H765" s="39"/>
      <c r="I765" s="3"/>
      <c r="J765" s="39"/>
      <c r="K765" s="3"/>
      <c r="L765" s="3"/>
      <c r="M765" s="3"/>
      <c r="N765" s="3"/>
      <c r="O765" s="3"/>
      <c r="P765" s="3"/>
      <c r="Q765" s="3"/>
      <c r="R765" s="3"/>
    </row>
    <row r="766" spans="1:18" ht="16.149999999999999" customHeight="1" x14ac:dyDescent="0.25">
      <c r="A766" s="84"/>
      <c r="B766" s="3"/>
      <c r="D766" s="3"/>
      <c r="F766" s="79"/>
      <c r="H766" s="39"/>
      <c r="I766" s="3"/>
      <c r="J766" s="39"/>
      <c r="K766" s="3"/>
      <c r="L766" s="3"/>
      <c r="M766" s="3"/>
      <c r="N766" s="3"/>
      <c r="O766" s="3"/>
      <c r="P766" s="3"/>
      <c r="Q766" s="3"/>
      <c r="R766" s="3"/>
    </row>
    <row r="767" spans="1:18" ht="16.149999999999999" customHeight="1" x14ac:dyDescent="0.25">
      <c r="A767" s="84"/>
      <c r="B767" s="3"/>
      <c r="D767" s="3"/>
      <c r="F767" s="79"/>
      <c r="H767" s="39"/>
      <c r="I767" s="3"/>
      <c r="J767" s="39"/>
      <c r="K767" s="3"/>
      <c r="L767" s="3"/>
      <c r="M767" s="3"/>
      <c r="N767" s="3"/>
      <c r="O767" s="3"/>
      <c r="P767" s="3"/>
      <c r="Q767" s="3"/>
      <c r="R767" s="3"/>
    </row>
    <row r="768" spans="1:18" ht="16.149999999999999" customHeight="1" x14ac:dyDescent="0.25">
      <c r="A768" s="84"/>
      <c r="B768" s="3"/>
      <c r="D768" s="3"/>
      <c r="F768" s="79"/>
      <c r="H768" s="39"/>
      <c r="I768" s="3"/>
      <c r="J768" s="39"/>
      <c r="K768" s="3"/>
      <c r="L768" s="3"/>
      <c r="M768" s="3"/>
      <c r="N768" s="3"/>
      <c r="O768" s="3"/>
      <c r="P768" s="3"/>
      <c r="Q768" s="3"/>
      <c r="R768" s="3"/>
    </row>
    <row r="769" spans="1:18" ht="16.149999999999999" customHeight="1" x14ac:dyDescent="0.25">
      <c r="A769" s="84"/>
      <c r="B769" s="3"/>
      <c r="D769" s="3"/>
      <c r="F769" s="79"/>
      <c r="H769" s="39"/>
      <c r="I769" s="3"/>
      <c r="J769" s="39"/>
      <c r="K769" s="3"/>
      <c r="L769" s="3"/>
      <c r="M769" s="3"/>
      <c r="N769" s="3"/>
      <c r="O769" s="3"/>
      <c r="P769" s="3"/>
      <c r="Q769" s="3"/>
      <c r="R769" s="3"/>
    </row>
    <row r="770" spans="1:18" ht="16.149999999999999" customHeight="1" x14ac:dyDescent="0.25">
      <c r="A770" s="84"/>
      <c r="B770" s="3"/>
      <c r="D770" s="3"/>
      <c r="F770" s="79"/>
      <c r="H770" s="39"/>
      <c r="I770" s="3"/>
      <c r="J770" s="39"/>
      <c r="K770" s="3"/>
      <c r="L770" s="3"/>
      <c r="M770" s="3"/>
      <c r="N770" s="3"/>
      <c r="O770" s="3"/>
      <c r="P770" s="3"/>
      <c r="Q770" s="3"/>
      <c r="R770" s="3"/>
    </row>
    <row r="771" spans="1:18" ht="16.149999999999999" customHeight="1" x14ac:dyDescent="0.25">
      <c r="A771" s="84"/>
      <c r="B771" s="3"/>
      <c r="D771" s="3"/>
      <c r="F771" s="79"/>
      <c r="H771" s="39"/>
      <c r="I771" s="3"/>
      <c r="J771" s="39"/>
      <c r="K771" s="3"/>
      <c r="L771" s="3"/>
      <c r="M771" s="3"/>
      <c r="N771" s="3"/>
      <c r="O771" s="3"/>
      <c r="P771" s="3"/>
      <c r="Q771" s="3"/>
      <c r="R771" s="3"/>
    </row>
    <row r="772" spans="1:18" ht="16.149999999999999" customHeight="1" x14ac:dyDescent="0.25">
      <c r="A772" s="84"/>
      <c r="B772" s="3"/>
      <c r="D772" s="3"/>
      <c r="F772" s="79"/>
      <c r="H772" s="39"/>
      <c r="I772" s="3"/>
      <c r="J772" s="39"/>
      <c r="K772" s="3"/>
      <c r="L772" s="3"/>
      <c r="M772" s="3"/>
      <c r="N772" s="3"/>
      <c r="O772" s="3"/>
      <c r="P772" s="3"/>
      <c r="Q772" s="3"/>
      <c r="R772" s="3"/>
    </row>
    <row r="773" spans="1:18" ht="16.149999999999999" customHeight="1" x14ac:dyDescent="0.25">
      <c r="A773" s="84"/>
      <c r="B773" s="3"/>
      <c r="D773" s="3"/>
      <c r="F773" s="79"/>
      <c r="H773" s="39"/>
      <c r="I773" s="3"/>
      <c r="J773" s="39"/>
      <c r="K773" s="3"/>
      <c r="L773" s="3"/>
      <c r="M773" s="3"/>
      <c r="N773" s="3"/>
      <c r="O773" s="3"/>
      <c r="P773" s="3"/>
      <c r="Q773" s="3"/>
      <c r="R773" s="3"/>
    </row>
    <row r="774" spans="1:18" ht="16.149999999999999" customHeight="1" x14ac:dyDescent="0.25">
      <c r="A774" s="84"/>
      <c r="B774" s="3"/>
      <c r="D774" s="3"/>
      <c r="F774" s="79"/>
      <c r="H774" s="39"/>
      <c r="I774" s="3"/>
      <c r="J774" s="39"/>
      <c r="K774" s="3"/>
      <c r="L774" s="3"/>
      <c r="M774" s="3"/>
      <c r="N774" s="3"/>
      <c r="O774" s="3"/>
      <c r="P774" s="3"/>
      <c r="Q774" s="3"/>
      <c r="R774" s="3"/>
    </row>
    <row r="775" spans="1:18" ht="16.149999999999999" customHeight="1" x14ac:dyDescent="0.25">
      <c r="A775" s="84"/>
      <c r="B775" s="3"/>
      <c r="D775" s="3"/>
      <c r="F775" s="79"/>
      <c r="H775" s="39"/>
      <c r="I775" s="3"/>
      <c r="J775" s="39"/>
      <c r="K775" s="3"/>
      <c r="L775" s="3"/>
      <c r="M775" s="3"/>
      <c r="N775" s="3"/>
      <c r="O775" s="3"/>
      <c r="P775" s="3"/>
      <c r="Q775" s="3"/>
      <c r="R775" s="3"/>
    </row>
    <row r="776" spans="1:18" ht="16.149999999999999" customHeight="1" x14ac:dyDescent="0.25">
      <c r="A776" s="84"/>
      <c r="B776" s="3"/>
      <c r="D776" s="3"/>
      <c r="F776" s="79"/>
      <c r="H776" s="39"/>
      <c r="I776" s="3"/>
      <c r="J776" s="39"/>
      <c r="K776" s="3"/>
      <c r="L776" s="3"/>
      <c r="M776" s="3"/>
      <c r="N776" s="3"/>
      <c r="O776" s="3"/>
      <c r="P776" s="3"/>
      <c r="Q776" s="3"/>
      <c r="R776" s="3"/>
    </row>
    <row r="777" spans="1:18" ht="16.149999999999999" customHeight="1" x14ac:dyDescent="0.25">
      <c r="A777" s="84"/>
      <c r="B777" s="3"/>
      <c r="D777" s="3"/>
      <c r="F777" s="79"/>
      <c r="H777" s="39"/>
      <c r="I777" s="3"/>
      <c r="J777" s="39"/>
      <c r="K777" s="3"/>
      <c r="L777" s="3"/>
      <c r="M777" s="3"/>
      <c r="N777" s="3"/>
      <c r="O777" s="3"/>
      <c r="P777" s="3"/>
      <c r="Q777" s="3"/>
      <c r="R777" s="3"/>
    </row>
    <row r="778" spans="1:18" ht="16.149999999999999" customHeight="1" x14ac:dyDescent="0.25">
      <c r="A778" s="84"/>
      <c r="B778" s="3"/>
      <c r="D778" s="3"/>
      <c r="F778" s="79"/>
      <c r="H778" s="39"/>
      <c r="I778" s="3"/>
      <c r="J778" s="39"/>
      <c r="K778" s="3"/>
      <c r="L778" s="3"/>
      <c r="M778" s="3"/>
      <c r="N778" s="3"/>
      <c r="O778" s="3"/>
      <c r="P778" s="3"/>
      <c r="Q778" s="3"/>
      <c r="R778" s="3"/>
    </row>
    <row r="779" spans="1:18" ht="16.149999999999999" customHeight="1" x14ac:dyDescent="0.25">
      <c r="A779" s="84"/>
      <c r="B779" s="3"/>
      <c r="D779" s="3"/>
      <c r="F779" s="79"/>
      <c r="H779" s="39"/>
      <c r="I779" s="3"/>
      <c r="J779" s="39"/>
      <c r="K779" s="3"/>
      <c r="L779" s="3"/>
      <c r="M779" s="3"/>
      <c r="N779" s="3"/>
      <c r="O779" s="3"/>
      <c r="P779" s="3"/>
      <c r="Q779" s="3"/>
      <c r="R779" s="3"/>
    </row>
    <row r="780" spans="1:18" ht="16.149999999999999" customHeight="1" x14ac:dyDescent="0.25">
      <c r="A780" s="84"/>
      <c r="B780" s="3"/>
      <c r="D780" s="3"/>
      <c r="F780" s="79"/>
      <c r="H780" s="39"/>
      <c r="I780" s="3"/>
      <c r="J780" s="39"/>
      <c r="K780" s="3"/>
      <c r="L780" s="3"/>
      <c r="M780" s="3"/>
      <c r="N780" s="3"/>
      <c r="O780" s="3"/>
      <c r="P780" s="3"/>
      <c r="Q780" s="3"/>
      <c r="R780" s="3"/>
    </row>
    <row r="781" spans="1:18" ht="16.149999999999999" customHeight="1" x14ac:dyDescent="0.25">
      <c r="A781" s="84"/>
      <c r="B781" s="3"/>
      <c r="D781" s="3"/>
      <c r="F781" s="79"/>
      <c r="H781" s="39"/>
      <c r="I781" s="3"/>
      <c r="J781" s="39"/>
      <c r="K781" s="3"/>
      <c r="L781" s="3"/>
      <c r="M781" s="3"/>
      <c r="N781" s="3"/>
      <c r="O781" s="3"/>
      <c r="P781" s="3"/>
      <c r="Q781" s="3"/>
      <c r="R781" s="3"/>
    </row>
    <row r="782" spans="1:18" ht="16.149999999999999" customHeight="1" x14ac:dyDescent="0.25">
      <c r="A782" s="84"/>
      <c r="B782" s="3"/>
      <c r="D782" s="3"/>
      <c r="F782" s="79"/>
      <c r="H782" s="39"/>
      <c r="I782" s="3"/>
      <c r="J782" s="39"/>
      <c r="K782" s="3"/>
      <c r="L782" s="3"/>
      <c r="M782" s="3"/>
      <c r="N782" s="3"/>
      <c r="O782" s="3"/>
      <c r="P782" s="3"/>
      <c r="Q782" s="3"/>
      <c r="R782" s="3"/>
    </row>
    <row r="783" spans="1:18" ht="16.149999999999999" customHeight="1" x14ac:dyDescent="0.25">
      <c r="A783" s="84"/>
      <c r="B783" s="3"/>
      <c r="D783" s="3"/>
      <c r="F783" s="79"/>
      <c r="H783" s="39"/>
      <c r="I783" s="3"/>
      <c r="J783" s="39"/>
      <c r="K783" s="3"/>
      <c r="L783" s="3"/>
      <c r="M783" s="3"/>
      <c r="N783" s="3"/>
      <c r="O783" s="3"/>
      <c r="P783" s="3"/>
      <c r="Q783" s="3"/>
      <c r="R783" s="3"/>
    </row>
    <row r="784" spans="1:18" ht="16.149999999999999" customHeight="1" x14ac:dyDescent="0.25">
      <c r="A784" s="84"/>
      <c r="B784" s="3"/>
      <c r="D784" s="3"/>
      <c r="F784" s="79"/>
      <c r="H784" s="39"/>
      <c r="I784" s="3"/>
      <c r="J784" s="39"/>
      <c r="K784" s="3"/>
      <c r="L784" s="3"/>
      <c r="M784" s="3"/>
      <c r="N784" s="3"/>
      <c r="O784" s="3"/>
      <c r="P784" s="3"/>
      <c r="Q784" s="3"/>
      <c r="R784" s="3"/>
    </row>
    <row r="785" spans="1:18" ht="16.149999999999999" customHeight="1" x14ac:dyDescent="0.25">
      <c r="A785" s="84"/>
      <c r="B785" s="3"/>
      <c r="D785" s="3"/>
      <c r="F785" s="79"/>
      <c r="H785" s="39"/>
      <c r="I785" s="3"/>
      <c r="J785" s="39"/>
      <c r="K785" s="3"/>
      <c r="L785" s="3"/>
      <c r="M785" s="3"/>
      <c r="N785" s="3"/>
      <c r="O785" s="3"/>
      <c r="P785" s="3"/>
      <c r="Q785" s="3"/>
      <c r="R785" s="3"/>
    </row>
    <row r="786" spans="1:18" ht="16.149999999999999" customHeight="1" x14ac:dyDescent="0.25">
      <c r="A786" s="84"/>
      <c r="B786" s="3"/>
      <c r="D786" s="3"/>
      <c r="F786" s="79"/>
      <c r="H786" s="39"/>
      <c r="I786" s="3"/>
      <c r="J786" s="39"/>
      <c r="K786" s="3"/>
      <c r="L786" s="3"/>
      <c r="M786" s="3"/>
      <c r="N786" s="3"/>
      <c r="O786" s="3"/>
      <c r="P786" s="3"/>
      <c r="Q786" s="3"/>
      <c r="R786" s="3"/>
    </row>
    <row r="787" spans="1:18" ht="16.149999999999999" customHeight="1" x14ac:dyDescent="0.25">
      <c r="A787" s="84"/>
      <c r="B787" s="3"/>
      <c r="D787" s="3"/>
      <c r="F787" s="79"/>
      <c r="H787" s="39"/>
      <c r="I787" s="3"/>
      <c r="J787" s="39"/>
      <c r="K787" s="3"/>
      <c r="L787" s="3"/>
      <c r="M787" s="3"/>
      <c r="N787" s="3"/>
      <c r="O787" s="3"/>
      <c r="P787" s="3"/>
      <c r="Q787" s="3"/>
      <c r="R787" s="3"/>
    </row>
    <row r="788" spans="1:18" ht="16.149999999999999" customHeight="1" x14ac:dyDescent="0.25">
      <c r="A788" s="84"/>
      <c r="B788" s="3"/>
      <c r="D788" s="3"/>
      <c r="F788" s="79"/>
      <c r="H788" s="39"/>
      <c r="I788" s="3"/>
      <c r="J788" s="39"/>
      <c r="K788" s="3"/>
      <c r="L788" s="3"/>
      <c r="M788" s="3"/>
      <c r="N788" s="3"/>
      <c r="O788" s="3"/>
      <c r="P788" s="3"/>
      <c r="Q788" s="3"/>
      <c r="R788" s="3"/>
    </row>
    <row r="789" spans="1:18" ht="16.149999999999999" customHeight="1" x14ac:dyDescent="0.25">
      <c r="A789" s="84"/>
      <c r="B789" s="3"/>
      <c r="D789" s="3"/>
      <c r="F789" s="79"/>
      <c r="H789" s="39"/>
      <c r="I789" s="3"/>
      <c r="J789" s="39"/>
      <c r="K789" s="3"/>
      <c r="L789" s="3"/>
      <c r="M789" s="3"/>
      <c r="N789" s="3"/>
      <c r="O789" s="3"/>
      <c r="P789" s="3"/>
      <c r="Q789" s="3"/>
      <c r="R789" s="3"/>
    </row>
    <row r="790" spans="1:18" ht="16.149999999999999" customHeight="1" x14ac:dyDescent="0.25">
      <c r="A790" s="84"/>
      <c r="B790" s="3"/>
      <c r="D790" s="3"/>
      <c r="F790" s="79"/>
      <c r="H790" s="39"/>
      <c r="I790" s="3"/>
      <c r="J790" s="39"/>
      <c r="K790" s="3"/>
      <c r="L790" s="3"/>
      <c r="M790" s="3"/>
      <c r="N790" s="3"/>
      <c r="O790" s="3"/>
      <c r="P790" s="3"/>
      <c r="Q790" s="3"/>
      <c r="R790" s="3"/>
    </row>
    <row r="791" spans="1:18" ht="16.149999999999999" customHeight="1" x14ac:dyDescent="0.25">
      <c r="A791" s="84"/>
      <c r="B791" s="3"/>
      <c r="D791" s="3"/>
      <c r="F791" s="79"/>
      <c r="H791" s="39"/>
      <c r="I791" s="3"/>
      <c r="J791" s="39"/>
      <c r="K791" s="3"/>
      <c r="L791" s="3"/>
      <c r="M791" s="3"/>
      <c r="N791" s="3"/>
      <c r="O791" s="3"/>
      <c r="P791" s="3"/>
      <c r="Q791" s="3"/>
      <c r="R791" s="3"/>
    </row>
    <row r="792" spans="1:18" ht="16.149999999999999" customHeight="1" x14ac:dyDescent="0.25">
      <c r="A792" s="84"/>
      <c r="B792" s="3"/>
      <c r="D792" s="3"/>
      <c r="F792" s="79"/>
      <c r="H792" s="39"/>
      <c r="I792" s="3"/>
      <c r="J792" s="39"/>
      <c r="K792" s="3"/>
      <c r="L792" s="3"/>
      <c r="M792" s="3"/>
      <c r="N792" s="3"/>
      <c r="O792" s="3"/>
      <c r="P792" s="3"/>
      <c r="Q792" s="3"/>
      <c r="R792" s="3"/>
    </row>
    <row r="793" spans="1:18" ht="16.149999999999999" customHeight="1" x14ac:dyDescent="0.25">
      <c r="A793" s="84"/>
      <c r="B793" s="3"/>
      <c r="D793" s="3"/>
      <c r="F793" s="79"/>
      <c r="H793" s="39"/>
      <c r="I793" s="3"/>
      <c r="J793" s="39"/>
      <c r="K793" s="3"/>
      <c r="L793" s="3"/>
      <c r="M793" s="3"/>
      <c r="N793" s="3"/>
      <c r="O793" s="3"/>
      <c r="P793" s="3"/>
      <c r="Q793" s="3"/>
      <c r="R793" s="3"/>
    </row>
    <row r="794" spans="1:18" ht="16.149999999999999" customHeight="1" x14ac:dyDescent="0.25">
      <c r="A794" s="84"/>
      <c r="B794" s="3"/>
      <c r="D794" s="3"/>
      <c r="F794" s="79"/>
      <c r="H794" s="39"/>
      <c r="I794" s="3"/>
      <c r="J794" s="39"/>
      <c r="K794" s="3"/>
      <c r="L794" s="3"/>
      <c r="M794" s="3"/>
      <c r="N794" s="3"/>
      <c r="O794" s="3"/>
      <c r="P794" s="3"/>
      <c r="Q794" s="3"/>
      <c r="R794" s="3"/>
    </row>
    <row r="795" spans="1:18" ht="16.149999999999999" customHeight="1" x14ac:dyDescent="0.25">
      <c r="A795" s="84"/>
      <c r="B795" s="3"/>
      <c r="D795" s="3"/>
      <c r="F795" s="79"/>
      <c r="H795" s="39"/>
      <c r="I795" s="3"/>
      <c r="J795" s="39"/>
      <c r="K795" s="3"/>
      <c r="L795" s="3"/>
      <c r="M795" s="3"/>
      <c r="N795" s="3"/>
      <c r="O795" s="3"/>
      <c r="P795" s="3"/>
      <c r="Q795" s="3"/>
      <c r="R795" s="3"/>
    </row>
    <row r="796" spans="1:18" ht="16.149999999999999" customHeight="1" x14ac:dyDescent="0.25">
      <c r="A796" s="84"/>
      <c r="B796" s="3"/>
      <c r="D796" s="3"/>
      <c r="F796" s="79"/>
      <c r="H796" s="39"/>
      <c r="I796" s="3"/>
      <c r="J796" s="39"/>
      <c r="K796" s="3"/>
      <c r="L796" s="3"/>
      <c r="M796" s="3"/>
      <c r="N796" s="3"/>
      <c r="O796" s="3"/>
      <c r="P796" s="3"/>
      <c r="Q796" s="3"/>
      <c r="R796" s="3"/>
    </row>
    <row r="797" spans="1:18" ht="16.149999999999999" customHeight="1" x14ac:dyDescent="0.25">
      <c r="A797" s="84"/>
      <c r="B797" s="3"/>
      <c r="D797" s="3"/>
      <c r="F797" s="79"/>
      <c r="H797" s="39"/>
      <c r="I797" s="3"/>
      <c r="J797" s="39"/>
      <c r="K797" s="3"/>
      <c r="L797" s="3"/>
      <c r="M797" s="3"/>
      <c r="N797" s="3"/>
      <c r="O797" s="3"/>
      <c r="P797" s="3"/>
      <c r="Q797" s="3"/>
      <c r="R797" s="3"/>
    </row>
    <row r="798" spans="1:18" ht="16.149999999999999" customHeight="1" x14ac:dyDescent="0.25">
      <c r="A798" s="84"/>
      <c r="B798" s="3"/>
      <c r="D798" s="3"/>
      <c r="F798" s="79"/>
      <c r="H798" s="39"/>
      <c r="I798" s="3"/>
      <c r="J798" s="39"/>
      <c r="K798" s="3"/>
      <c r="L798" s="3"/>
      <c r="M798" s="3"/>
      <c r="N798" s="3"/>
      <c r="O798" s="3"/>
      <c r="P798" s="3"/>
      <c r="Q798" s="3"/>
      <c r="R798" s="3"/>
    </row>
    <row r="799" spans="1:18" ht="16.149999999999999" customHeight="1" x14ac:dyDescent="0.25">
      <c r="A799" s="84"/>
      <c r="B799" s="3"/>
      <c r="D799" s="3"/>
      <c r="F799" s="79"/>
      <c r="H799" s="39"/>
      <c r="I799" s="3"/>
      <c r="J799" s="39"/>
      <c r="K799" s="3"/>
      <c r="L799" s="3"/>
      <c r="M799" s="3"/>
      <c r="N799" s="3"/>
      <c r="O799" s="3"/>
      <c r="P799" s="3"/>
      <c r="Q799" s="3"/>
      <c r="R799" s="3"/>
    </row>
    <row r="800" spans="1:18" ht="16.149999999999999" customHeight="1" x14ac:dyDescent="0.25">
      <c r="A800" s="84"/>
      <c r="B800" s="3"/>
      <c r="D800" s="3"/>
      <c r="F800" s="79"/>
      <c r="H800" s="39"/>
      <c r="I800" s="3"/>
      <c r="J800" s="39"/>
      <c r="K800" s="3"/>
      <c r="L800" s="3"/>
      <c r="M800" s="3"/>
      <c r="N800" s="3"/>
      <c r="O800" s="3"/>
      <c r="P800" s="3"/>
      <c r="Q800" s="3"/>
      <c r="R800" s="3"/>
    </row>
    <row r="801" spans="1:18" ht="16.149999999999999" customHeight="1" x14ac:dyDescent="0.25">
      <c r="A801" s="84"/>
      <c r="B801" s="3"/>
      <c r="D801" s="3"/>
      <c r="F801" s="79"/>
      <c r="H801" s="39"/>
      <c r="I801" s="3"/>
      <c r="J801" s="39"/>
      <c r="K801" s="3"/>
      <c r="L801" s="3"/>
      <c r="M801" s="3"/>
      <c r="N801" s="3"/>
      <c r="O801" s="3"/>
      <c r="P801" s="3"/>
      <c r="Q801" s="3"/>
      <c r="R801" s="3"/>
    </row>
    <row r="802" spans="1:18" ht="16.149999999999999" customHeight="1" x14ac:dyDescent="0.25">
      <c r="A802" s="84"/>
      <c r="B802" s="3"/>
      <c r="D802" s="3"/>
      <c r="F802" s="79"/>
      <c r="H802" s="39"/>
      <c r="I802" s="3"/>
      <c r="J802" s="39"/>
      <c r="K802" s="3"/>
      <c r="L802" s="3"/>
      <c r="M802" s="3"/>
      <c r="N802" s="3"/>
      <c r="O802" s="3"/>
      <c r="P802" s="3"/>
      <c r="Q802" s="3"/>
      <c r="R802" s="3"/>
    </row>
    <row r="803" spans="1:18" ht="16.149999999999999" customHeight="1" x14ac:dyDescent="0.25">
      <c r="A803" s="84"/>
      <c r="B803" s="3"/>
      <c r="D803" s="3"/>
      <c r="F803" s="79"/>
      <c r="H803" s="39"/>
      <c r="I803" s="3"/>
      <c r="J803" s="39"/>
      <c r="K803" s="3"/>
      <c r="L803" s="3"/>
      <c r="M803" s="3"/>
      <c r="N803" s="3"/>
      <c r="O803" s="3"/>
      <c r="P803" s="3"/>
      <c r="Q803" s="3"/>
      <c r="R803" s="3"/>
    </row>
    <row r="804" spans="1:18" ht="16.149999999999999" customHeight="1" x14ac:dyDescent="0.25">
      <c r="A804" s="84"/>
      <c r="B804" s="3"/>
      <c r="D804" s="3"/>
      <c r="F804" s="79"/>
      <c r="H804" s="39"/>
      <c r="I804" s="3"/>
      <c r="J804" s="39"/>
      <c r="K804" s="3"/>
      <c r="L804" s="3"/>
      <c r="M804" s="3"/>
      <c r="N804" s="3"/>
      <c r="O804" s="3"/>
      <c r="P804" s="3"/>
      <c r="Q804" s="3"/>
      <c r="R804" s="3"/>
    </row>
    <row r="805" spans="1:18" ht="16.149999999999999" customHeight="1" x14ac:dyDescent="0.25">
      <c r="A805" s="84"/>
      <c r="B805" s="3"/>
      <c r="D805" s="3"/>
      <c r="F805" s="79"/>
      <c r="H805" s="39"/>
      <c r="I805" s="3"/>
      <c r="J805" s="39"/>
      <c r="K805" s="3"/>
      <c r="L805" s="3"/>
      <c r="M805" s="3"/>
      <c r="N805" s="3"/>
      <c r="O805" s="3"/>
      <c r="P805" s="3"/>
      <c r="Q805" s="3"/>
      <c r="R805" s="3"/>
    </row>
    <row r="806" spans="1:18" ht="16.149999999999999" customHeight="1" x14ac:dyDescent="0.25">
      <c r="A806" s="84"/>
      <c r="B806" s="3"/>
      <c r="D806" s="3"/>
      <c r="F806" s="79"/>
      <c r="H806" s="39"/>
      <c r="I806" s="3"/>
      <c r="J806" s="39"/>
      <c r="K806" s="3"/>
      <c r="L806" s="3"/>
      <c r="M806" s="3"/>
      <c r="N806" s="3"/>
      <c r="O806" s="3"/>
      <c r="P806" s="3"/>
      <c r="Q806" s="3"/>
      <c r="R806" s="3"/>
    </row>
    <row r="807" spans="1:18" ht="16.149999999999999" customHeight="1" x14ac:dyDescent="0.25">
      <c r="A807" s="84"/>
      <c r="B807" s="3"/>
      <c r="D807" s="3"/>
      <c r="F807" s="79"/>
      <c r="H807" s="39"/>
      <c r="I807" s="3"/>
      <c r="J807" s="39"/>
      <c r="K807" s="3"/>
      <c r="L807" s="3"/>
      <c r="M807" s="3"/>
      <c r="N807" s="3"/>
      <c r="O807" s="3"/>
      <c r="P807" s="3"/>
      <c r="Q807" s="3"/>
      <c r="R807" s="3"/>
    </row>
    <row r="808" spans="1:18" ht="16.149999999999999" customHeight="1" x14ac:dyDescent="0.25">
      <c r="A808" s="84"/>
      <c r="B808" s="3"/>
      <c r="D808" s="3"/>
      <c r="F808" s="79"/>
      <c r="H808" s="39"/>
      <c r="I808" s="3"/>
      <c r="J808" s="39"/>
      <c r="K808" s="3"/>
      <c r="L808" s="3"/>
      <c r="M808" s="3"/>
      <c r="N808" s="3"/>
      <c r="O808" s="3"/>
      <c r="P808" s="3"/>
      <c r="Q808" s="3"/>
      <c r="R808" s="3"/>
    </row>
    <row r="809" spans="1:18" ht="16.149999999999999" customHeight="1" x14ac:dyDescent="0.25">
      <c r="A809" s="84"/>
      <c r="B809" s="3"/>
      <c r="D809" s="3"/>
      <c r="F809" s="79"/>
      <c r="H809" s="39"/>
      <c r="I809" s="3"/>
      <c r="J809" s="39"/>
      <c r="K809" s="3"/>
      <c r="L809" s="3"/>
      <c r="M809" s="3"/>
      <c r="N809" s="3"/>
      <c r="O809" s="3"/>
      <c r="P809" s="3"/>
      <c r="Q809" s="3"/>
      <c r="R809" s="3"/>
    </row>
    <row r="810" spans="1:18" ht="16.149999999999999" customHeight="1" x14ac:dyDescent="0.25">
      <c r="A810" s="84"/>
      <c r="B810" s="3"/>
      <c r="D810" s="3"/>
      <c r="F810" s="79"/>
      <c r="H810" s="39"/>
      <c r="I810" s="3"/>
      <c r="J810" s="39"/>
      <c r="K810" s="3"/>
      <c r="L810" s="3"/>
      <c r="M810" s="3"/>
      <c r="N810" s="3"/>
      <c r="O810" s="3"/>
      <c r="P810" s="3"/>
      <c r="Q810" s="3"/>
      <c r="R810" s="3"/>
    </row>
    <row r="811" spans="1:18" ht="16.149999999999999" customHeight="1" x14ac:dyDescent="0.25">
      <c r="A811" s="84"/>
      <c r="B811" s="3"/>
      <c r="D811" s="3"/>
      <c r="F811" s="79"/>
      <c r="H811" s="39"/>
      <c r="I811" s="3"/>
      <c r="J811" s="39"/>
      <c r="K811" s="3"/>
      <c r="L811" s="3"/>
      <c r="M811" s="3"/>
      <c r="N811" s="3"/>
      <c r="O811" s="3"/>
      <c r="P811" s="3"/>
      <c r="Q811" s="3"/>
      <c r="R811" s="3"/>
    </row>
    <row r="812" spans="1:18" ht="16.149999999999999" customHeight="1" x14ac:dyDescent="0.25">
      <c r="A812" s="84"/>
      <c r="B812" s="3"/>
      <c r="D812" s="3"/>
      <c r="F812" s="79"/>
      <c r="H812" s="39"/>
      <c r="I812" s="3"/>
      <c r="J812" s="39"/>
      <c r="K812" s="3"/>
      <c r="L812" s="3"/>
      <c r="M812" s="3"/>
      <c r="N812" s="3"/>
      <c r="O812" s="3"/>
      <c r="P812" s="3"/>
      <c r="Q812" s="3"/>
      <c r="R812" s="3"/>
    </row>
    <row r="813" spans="1:18" ht="16.149999999999999" customHeight="1" x14ac:dyDescent="0.25">
      <c r="A813" s="84"/>
      <c r="B813" s="3"/>
      <c r="D813" s="3"/>
      <c r="F813" s="79"/>
      <c r="H813" s="39"/>
      <c r="I813" s="3"/>
      <c r="J813" s="39"/>
      <c r="K813" s="3"/>
      <c r="L813" s="3"/>
      <c r="M813" s="3"/>
      <c r="N813" s="3"/>
      <c r="O813" s="3"/>
      <c r="P813" s="3"/>
      <c r="Q813" s="3"/>
      <c r="R813" s="3"/>
    </row>
    <row r="814" spans="1:18" ht="16.149999999999999" customHeight="1" x14ac:dyDescent="0.25">
      <c r="A814" s="84"/>
      <c r="B814" s="3"/>
      <c r="D814" s="3"/>
      <c r="F814" s="79"/>
      <c r="H814" s="39"/>
      <c r="I814" s="3"/>
      <c r="J814" s="39"/>
      <c r="K814" s="3"/>
      <c r="L814" s="3"/>
      <c r="M814" s="3"/>
      <c r="N814" s="3"/>
      <c r="O814" s="3"/>
      <c r="P814" s="3"/>
      <c r="Q814" s="3"/>
      <c r="R814" s="3"/>
    </row>
    <row r="815" spans="1:18" ht="16.149999999999999" customHeight="1" x14ac:dyDescent="0.25">
      <c r="A815" s="84"/>
      <c r="B815" s="3"/>
      <c r="D815" s="3"/>
      <c r="F815" s="79"/>
      <c r="H815" s="39"/>
      <c r="I815" s="3"/>
      <c r="J815" s="39"/>
      <c r="K815" s="3"/>
      <c r="L815" s="3"/>
      <c r="M815" s="3"/>
      <c r="N815" s="3"/>
      <c r="O815" s="3"/>
      <c r="P815" s="3"/>
      <c r="Q815" s="3"/>
      <c r="R815" s="3"/>
    </row>
    <row r="816" spans="1:18" ht="16.149999999999999" customHeight="1" x14ac:dyDescent="0.25">
      <c r="A816" s="84"/>
      <c r="B816" s="3"/>
      <c r="D816" s="3"/>
      <c r="F816" s="79"/>
      <c r="H816" s="39"/>
      <c r="I816" s="3"/>
      <c r="J816" s="39"/>
      <c r="K816" s="3"/>
      <c r="L816" s="3"/>
      <c r="M816" s="3"/>
      <c r="N816" s="3"/>
      <c r="O816" s="3"/>
      <c r="P816" s="3"/>
      <c r="Q816" s="3"/>
      <c r="R816" s="3"/>
    </row>
    <row r="817" spans="1:18" ht="16.149999999999999" customHeight="1" x14ac:dyDescent="0.25">
      <c r="A817" s="84"/>
      <c r="B817" s="3"/>
      <c r="D817" s="3"/>
      <c r="F817" s="79"/>
      <c r="H817" s="39"/>
      <c r="I817" s="3"/>
      <c r="J817" s="39"/>
      <c r="K817" s="3"/>
      <c r="L817" s="3"/>
      <c r="M817" s="3"/>
      <c r="N817" s="3"/>
      <c r="O817" s="3"/>
      <c r="P817" s="3"/>
      <c r="Q817" s="3"/>
      <c r="R817" s="3"/>
    </row>
    <row r="818" spans="1:18" ht="16.149999999999999" customHeight="1" x14ac:dyDescent="0.25">
      <c r="A818" s="84"/>
      <c r="B818" s="3"/>
      <c r="D818" s="3"/>
      <c r="F818" s="79"/>
      <c r="H818" s="39"/>
      <c r="I818" s="3"/>
      <c r="J818" s="39"/>
      <c r="K818" s="3"/>
      <c r="L818" s="3"/>
      <c r="M818" s="3"/>
      <c r="N818" s="3"/>
      <c r="O818" s="3"/>
      <c r="P818" s="3"/>
      <c r="Q818" s="3"/>
      <c r="R818" s="3"/>
    </row>
    <row r="819" spans="1:18" ht="16.149999999999999" customHeight="1" x14ac:dyDescent="0.25">
      <c r="A819" s="84"/>
      <c r="B819" s="3"/>
      <c r="D819" s="3"/>
      <c r="F819" s="79"/>
      <c r="H819" s="39"/>
      <c r="I819" s="3"/>
      <c r="J819" s="39"/>
      <c r="K819" s="3"/>
      <c r="L819" s="3"/>
      <c r="M819" s="3"/>
      <c r="N819" s="3"/>
      <c r="O819" s="3"/>
      <c r="P819" s="3"/>
      <c r="Q819" s="3"/>
      <c r="R819" s="3"/>
    </row>
    <row r="820" spans="1:18" ht="16.149999999999999" customHeight="1" x14ac:dyDescent="0.25">
      <c r="A820" s="84"/>
      <c r="B820" s="3"/>
      <c r="D820" s="3"/>
      <c r="F820" s="79"/>
      <c r="H820" s="39"/>
      <c r="I820" s="3"/>
      <c r="J820" s="39"/>
      <c r="K820" s="3"/>
      <c r="L820" s="3"/>
      <c r="M820" s="3"/>
      <c r="N820" s="3"/>
      <c r="O820" s="3"/>
      <c r="P820" s="3"/>
      <c r="Q820" s="3"/>
      <c r="R820" s="3"/>
    </row>
    <row r="821" spans="1:18" ht="16.149999999999999" customHeight="1" x14ac:dyDescent="0.25">
      <c r="A821" s="84"/>
      <c r="B821" s="3"/>
      <c r="D821" s="3"/>
      <c r="F821" s="79"/>
      <c r="H821" s="39"/>
      <c r="I821" s="3"/>
      <c r="J821" s="39"/>
      <c r="K821" s="3"/>
      <c r="L821" s="3"/>
      <c r="M821" s="3"/>
      <c r="N821" s="3"/>
      <c r="O821" s="3"/>
      <c r="P821" s="3"/>
      <c r="Q821" s="3"/>
      <c r="R821" s="3"/>
    </row>
    <row r="822" spans="1:18" ht="16.149999999999999" customHeight="1" x14ac:dyDescent="0.25">
      <c r="A822" s="84"/>
      <c r="B822" s="3"/>
      <c r="D822" s="3"/>
      <c r="F822" s="79"/>
      <c r="H822" s="39"/>
      <c r="I822" s="3"/>
      <c r="J822" s="39"/>
      <c r="K822" s="3"/>
      <c r="L822" s="3"/>
      <c r="M822" s="3"/>
      <c r="N822" s="3"/>
      <c r="O822" s="3"/>
      <c r="P822" s="3"/>
      <c r="Q822" s="3"/>
      <c r="R822" s="3"/>
    </row>
    <row r="823" spans="1:18" ht="16.149999999999999" customHeight="1" x14ac:dyDescent="0.25">
      <c r="A823" s="84"/>
      <c r="B823" s="3"/>
      <c r="D823" s="3"/>
      <c r="F823" s="79"/>
      <c r="H823" s="39"/>
      <c r="I823" s="3"/>
      <c r="J823" s="39"/>
      <c r="K823" s="3"/>
      <c r="L823" s="3"/>
      <c r="M823" s="3"/>
      <c r="N823" s="3"/>
      <c r="O823" s="3"/>
      <c r="P823" s="3"/>
      <c r="Q823" s="3"/>
      <c r="R823" s="3"/>
    </row>
    <row r="824" spans="1:18" ht="16.149999999999999" customHeight="1" x14ac:dyDescent="0.25">
      <c r="A824" s="84"/>
      <c r="B824" s="3"/>
      <c r="D824" s="3"/>
      <c r="F824" s="79"/>
      <c r="H824" s="39"/>
      <c r="I824" s="3"/>
      <c r="J824" s="39"/>
      <c r="K824" s="3"/>
      <c r="L824" s="3"/>
      <c r="M824" s="3"/>
      <c r="N824" s="3"/>
      <c r="O824" s="3"/>
      <c r="P824" s="3"/>
      <c r="Q824" s="3"/>
      <c r="R824" s="3"/>
    </row>
    <row r="825" spans="1:18" ht="16.149999999999999" customHeight="1" x14ac:dyDescent="0.25">
      <c r="A825" s="84"/>
      <c r="B825" s="3"/>
      <c r="D825" s="3"/>
      <c r="F825" s="79"/>
      <c r="H825" s="39"/>
      <c r="I825" s="3"/>
      <c r="J825" s="39"/>
      <c r="K825" s="3"/>
      <c r="L825" s="3"/>
      <c r="M825" s="3"/>
      <c r="N825" s="3"/>
      <c r="O825" s="3"/>
      <c r="P825" s="3"/>
      <c r="Q825" s="3"/>
      <c r="R825" s="3"/>
    </row>
    <row r="826" spans="1:18" ht="16.149999999999999" customHeight="1" x14ac:dyDescent="0.25">
      <c r="A826" s="84"/>
      <c r="B826" s="3"/>
      <c r="D826" s="3"/>
      <c r="F826" s="79"/>
      <c r="H826" s="39"/>
      <c r="I826" s="3"/>
      <c r="J826" s="39"/>
      <c r="K826" s="3"/>
      <c r="L826" s="3"/>
      <c r="M826" s="3"/>
      <c r="N826" s="3"/>
      <c r="O826" s="3"/>
      <c r="P826" s="3"/>
      <c r="Q826" s="3"/>
      <c r="R826" s="3"/>
    </row>
    <row r="827" spans="1:18" ht="16.149999999999999" customHeight="1" x14ac:dyDescent="0.25">
      <c r="A827" s="84"/>
      <c r="B827" s="3"/>
      <c r="D827" s="3"/>
      <c r="F827" s="79"/>
      <c r="H827" s="39"/>
      <c r="I827" s="3"/>
      <c r="J827" s="39"/>
      <c r="K827" s="3"/>
      <c r="L827" s="3"/>
      <c r="M827" s="3"/>
      <c r="N827" s="3"/>
      <c r="O827" s="3"/>
      <c r="P827" s="3"/>
      <c r="Q827" s="3"/>
      <c r="R827" s="3"/>
    </row>
    <row r="828" spans="1:18" ht="16.149999999999999" customHeight="1" x14ac:dyDescent="0.25">
      <c r="A828" s="84"/>
      <c r="B828" s="3"/>
      <c r="D828" s="3"/>
      <c r="F828" s="79"/>
      <c r="H828" s="39"/>
      <c r="I828" s="3"/>
      <c r="J828" s="39"/>
      <c r="K828" s="3"/>
      <c r="L828" s="3"/>
      <c r="M828" s="3"/>
      <c r="N828" s="3"/>
      <c r="O828" s="3"/>
      <c r="P828" s="3"/>
      <c r="Q828" s="3"/>
      <c r="R828" s="3"/>
    </row>
    <row r="829" spans="1:18" ht="16.149999999999999" customHeight="1" x14ac:dyDescent="0.25">
      <c r="A829" s="84"/>
      <c r="B829" s="3"/>
      <c r="D829" s="3"/>
      <c r="F829" s="79"/>
      <c r="H829" s="39"/>
      <c r="I829" s="3"/>
      <c r="J829" s="39"/>
      <c r="K829" s="3"/>
      <c r="L829" s="3"/>
      <c r="M829" s="3"/>
      <c r="N829" s="3"/>
      <c r="O829" s="3"/>
      <c r="P829" s="3"/>
      <c r="Q829" s="3"/>
      <c r="R829" s="3"/>
    </row>
    <row r="830" spans="1:18" ht="16.149999999999999" customHeight="1" x14ac:dyDescent="0.25">
      <c r="A830" s="84"/>
      <c r="B830" s="3"/>
      <c r="D830" s="3"/>
      <c r="F830" s="79"/>
      <c r="H830" s="39"/>
      <c r="I830" s="3"/>
      <c r="J830" s="39"/>
      <c r="K830" s="3"/>
      <c r="L830" s="3"/>
      <c r="M830" s="3"/>
      <c r="N830" s="3"/>
      <c r="O830" s="3"/>
      <c r="P830" s="3"/>
      <c r="Q830" s="3"/>
      <c r="R830" s="3"/>
    </row>
    <row r="831" spans="1:18" ht="16.149999999999999" customHeight="1" x14ac:dyDescent="0.25">
      <c r="A831" s="84"/>
      <c r="B831" s="3"/>
      <c r="D831" s="3"/>
      <c r="F831" s="79"/>
      <c r="H831" s="39"/>
      <c r="I831" s="3"/>
      <c r="J831" s="39"/>
      <c r="K831" s="3"/>
      <c r="L831" s="3"/>
      <c r="M831" s="3"/>
      <c r="N831" s="3"/>
      <c r="O831" s="3"/>
      <c r="P831" s="3"/>
      <c r="Q831" s="3"/>
      <c r="R831" s="3"/>
    </row>
    <row r="832" spans="1:18" ht="16.149999999999999" customHeight="1" x14ac:dyDescent="0.25">
      <c r="A832" s="84"/>
      <c r="B832" s="3"/>
      <c r="D832" s="3"/>
      <c r="F832" s="79"/>
      <c r="H832" s="39"/>
      <c r="I832" s="3"/>
      <c r="J832" s="39"/>
      <c r="K832" s="3"/>
      <c r="L832" s="3"/>
      <c r="M832" s="3"/>
      <c r="N832" s="3"/>
      <c r="O832" s="3"/>
      <c r="P832" s="3"/>
      <c r="Q832" s="3"/>
      <c r="R832" s="3"/>
    </row>
    <row r="833" spans="1:18" ht="16.149999999999999" customHeight="1" x14ac:dyDescent="0.25">
      <c r="A833" s="84"/>
      <c r="B833" s="3"/>
      <c r="D833" s="3"/>
      <c r="F833" s="79"/>
      <c r="H833" s="39"/>
      <c r="I833" s="3"/>
      <c r="J833" s="39"/>
      <c r="K833" s="3"/>
      <c r="L833" s="3"/>
      <c r="M833" s="3"/>
      <c r="N833" s="3"/>
      <c r="O833" s="3"/>
      <c r="P833" s="3"/>
      <c r="Q833" s="3"/>
      <c r="R833" s="3"/>
    </row>
    <row r="834" spans="1:18" ht="16.149999999999999" customHeight="1" x14ac:dyDescent="0.25">
      <c r="A834" s="84"/>
      <c r="B834" s="3"/>
      <c r="D834" s="3"/>
      <c r="F834" s="79"/>
      <c r="H834" s="39"/>
      <c r="I834" s="3"/>
      <c r="J834" s="39"/>
      <c r="K834" s="3"/>
      <c r="L834" s="3"/>
      <c r="M834" s="3"/>
      <c r="N834" s="3"/>
      <c r="O834" s="3"/>
      <c r="P834" s="3"/>
      <c r="Q834" s="3"/>
      <c r="R834" s="3"/>
    </row>
    <row r="835" spans="1:18" ht="16.149999999999999" customHeight="1" x14ac:dyDescent="0.25">
      <c r="A835" s="84"/>
      <c r="B835" s="3"/>
      <c r="D835" s="3"/>
      <c r="F835" s="79"/>
      <c r="H835" s="39"/>
      <c r="I835" s="3"/>
      <c r="J835" s="39"/>
      <c r="K835" s="3"/>
      <c r="L835" s="3"/>
      <c r="M835" s="3"/>
      <c r="N835" s="3"/>
      <c r="O835" s="3"/>
      <c r="P835" s="3"/>
      <c r="Q835" s="3"/>
      <c r="R835" s="3"/>
    </row>
    <row r="836" spans="1:18" ht="16.149999999999999" customHeight="1" x14ac:dyDescent="0.25">
      <c r="A836" s="84"/>
      <c r="B836" s="3"/>
      <c r="D836" s="3"/>
      <c r="F836" s="79"/>
      <c r="H836" s="39"/>
      <c r="I836" s="3"/>
      <c r="J836" s="39"/>
      <c r="K836" s="3"/>
      <c r="L836" s="3"/>
      <c r="M836" s="3"/>
      <c r="N836" s="3"/>
      <c r="O836" s="3"/>
      <c r="P836" s="3"/>
      <c r="Q836" s="3"/>
      <c r="R836" s="3"/>
    </row>
    <row r="837" spans="1:18" ht="16.149999999999999" customHeight="1" x14ac:dyDescent="0.25">
      <c r="A837" s="84"/>
      <c r="B837" s="3"/>
      <c r="D837" s="3"/>
      <c r="F837" s="79"/>
      <c r="H837" s="39"/>
      <c r="I837" s="3"/>
      <c r="J837" s="39"/>
      <c r="K837" s="3"/>
      <c r="L837" s="3"/>
      <c r="M837" s="3"/>
      <c r="N837" s="3"/>
      <c r="O837" s="3"/>
      <c r="P837" s="3"/>
      <c r="Q837" s="3"/>
      <c r="R837" s="3"/>
    </row>
    <row r="838" spans="1:18" ht="16.149999999999999" customHeight="1" x14ac:dyDescent="0.25">
      <c r="A838" s="84"/>
      <c r="B838" s="3"/>
      <c r="D838" s="3"/>
      <c r="F838" s="79"/>
      <c r="H838" s="39"/>
      <c r="I838" s="3"/>
      <c r="J838" s="39"/>
      <c r="K838" s="3"/>
      <c r="L838" s="3"/>
      <c r="M838" s="3"/>
      <c r="N838" s="3"/>
      <c r="O838" s="3"/>
      <c r="P838" s="3"/>
      <c r="Q838" s="3"/>
      <c r="R838" s="3"/>
    </row>
    <row r="839" spans="1:18" ht="16.149999999999999" customHeight="1" x14ac:dyDescent="0.25">
      <c r="A839" s="84"/>
      <c r="B839" s="3"/>
      <c r="D839" s="3"/>
      <c r="F839" s="79"/>
      <c r="H839" s="39"/>
      <c r="I839" s="3"/>
      <c r="J839" s="39"/>
      <c r="K839" s="3"/>
      <c r="L839" s="3"/>
      <c r="M839" s="3"/>
      <c r="N839" s="3"/>
      <c r="O839" s="3"/>
      <c r="P839" s="3"/>
      <c r="Q839" s="3"/>
      <c r="R839" s="3"/>
    </row>
    <row r="840" spans="1:18" ht="16.149999999999999" customHeight="1" x14ac:dyDescent="0.25">
      <c r="A840" s="84"/>
      <c r="B840" s="3"/>
      <c r="D840" s="3"/>
      <c r="F840" s="79"/>
      <c r="H840" s="39"/>
      <c r="I840" s="3"/>
      <c r="J840" s="39"/>
      <c r="K840" s="3"/>
      <c r="L840" s="3"/>
      <c r="M840" s="3"/>
      <c r="N840" s="3"/>
      <c r="O840" s="3"/>
      <c r="P840" s="3"/>
      <c r="Q840" s="3"/>
      <c r="R840" s="3"/>
    </row>
    <row r="841" spans="1:18" ht="16.149999999999999" customHeight="1" x14ac:dyDescent="0.25">
      <c r="A841" s="84"/>
      <c r="B841" s="3"/>
      <c r="D841" s="3"/>
      <c r="F841" s="79"/>
      <c r="H841" s="39"/>
      <c r="I841" s="3"/>
      <c r="J841" s="39"/>
      <c r="K841" s="3"/>
      <c r="L841" s="3"/>
      <c r="M841" s="3"/>
      <c r="N841" s="3"/>
      <c r="O841" s="3"/>
      <c r="P841" s="3"/>
      <c r="Q841" s="3"/>
      <c r="R841" s="3"/>
    </row>
    <row r="842" spans="1:18" ht="16.149999999999999" customHeight="1" x14ac:dyDescent="0.25">
      <c r="A842" s="84"/>
      <c r="B842" s="3"/>
      <c r="D842" s="3"/>
      <c r="F842" s="79"/>
      <c r="H842" s="39"/>
      <c r="I842" s="3"/>
      <c r="J842" s="39"/>
      <c r="K842" s="3"/>
      <c r="L842" s="3"/>
      <c r="M842" s="3"/>
      <c r="N842" s="3"/>
      <c r="O842" s="3"/>
      <c r="P842" s="3"/>
      <c r="Q842" s="3"/>
      <c r="R842" s="3"/>
    </row>
    <row r="843" spans="1:18" ht="16.149999999999999" customHeight="1" x14ac:dyDescent="0.25">
      <c r="A843" s="84"/>
      <c r="B843" s="3"/>
      <c r="D843" s="3"/>
      <c r="F843" s="79"/>
      <c r="H843" s="39"/>
      <c r="I843" s="3"/>
      <c r="J843" s="39"/>
      <c r="K843" s="3"/>
      <c r="L843" s="3"/>
      <c r="M843" s="3"/>
      <c r="N843" s="3"/>
      <c r="O843" s="3"/>
      <c r="P843" s="3"/>
      <c r="Q843" s="3"/>
      <c r="R843" s="3"/>
    </row>
    <row r="844" spans="1:18" ht="16.149999999999999" customHeight="1" x14ac:dyDescent="0.25">
      <c r="A844" s="84"/>
      <c r="B844" s="3"/>
      <c r="D844" s="3"/>
      <c r="F844" s="79"/>
      <c r="H844" s="39"/>
      <c r="I844" s="3"/>
      <c r="J844" s="39"/>
      <c r="K844" s="3"/>
      <c r="L844" s="3"/>
      <c r="M844" s="3"/>
      <c r="N844" s="3"/>
      <c r="O844" s="3"/>
      <c r="P844" s="3"/>
      <c r="Q844" s="3"/>
      <c r="R844" s="3"/>
    </row>
    <row r="845" spans="1:18" ht="16.149999999999999" customHeight="1" x14ac:dyDescent="0.25">
      <c r="A845" s="84"/>
      <c r="B845" s="3"/>
      <c r="D845" s="3"/>
      <c r="F845" s="79"/>
      <c r="H845" s="39"/>
      <c r="I845" s="3"/>
      <c r="J845" s="39"/>
      <c r="K845" s="3"/>
      <c r="L845" s="3"/>
      <c r="M845" s="3"/>
      <c r="N845" s="3"/>
      <c r="O845" s="3"/>
      <c r="P845" s="3"/>
      <c r="Q845" s="3"/>
      <c r="R845" s="3"/>
    </row>
    <row r="846" spans="1:18" ht="16.149999999999999" customHeight="1" x14ac:dyDescent="0.25">
      <c r="A846" s="84"/>
      <c r="B846" s="3"/>
      <c r="D846" s="3"/>
      <c r="F846" s="79"/>
      <c r="H846" s="39"/>
      <c r="I846" s="3"/>
      <c r="J846" s="39"/>
      <c r="K846" s="3"/>
      <c r="L846" s="3"/>
      <c r="M846" s="3"/>
      <c r="N846" s="3"/>
      <c r="O846" s="3"/>
      <c r="P846" s="3"/>
      <c r="Q846" s="3"/>
      <c r="R846" s="3"/>
    </row>
    <row r="847" spans="1:18" ht="16.149999999999999" customHeight="1" x14ac:dyDescent="0.25">
      <c r="A847" s="84"/>
      <c r="B847" s="3"/>
      <c r="D847" s="3"/>
      <c r="F847" s="79"/>
      <c r="H847" s="39"/>
      <c r="I847" s="3"/>
      <c r="J847" s="39"/>
      <c r="K847" s="3"/>
      <c r="L847" s="3"/>
      <c r="M847" s="3"/>
      <c r="N847" s="3"/>
      <c r="O847" s="3"/>
      <c r="P847" s="3"/>
      <c r="Q847" s="3"/>
      <c r="R847" s="3"/>
    </row>
    <row r="848" spans="1:18" ht="16.149999999999999" customHeight="1" x14ac:dyDescent="0.25">
      <c r="A848" s="84"/>
      <c r="B848" s="3"/>
      <c r="D848" s="3"/>
      <c r="F848" s="79"/>
      <c r="H848" s="39"/>
      <c r="I848" s="3"/>
      <c r="J848" s="39"/>
      <c r="K848" s="3"/>
      <c r="L848" s="3"/>
      <c r="M848" s="3"/>
      <c r="N848" s="3"/>
      <c r="O848" s="3"/>
      <c r="P848" s="3"/>
      <c r="Q848" s="3"/>
      <c r="R848" s="3"/>
    </row>
    <row r="849" spans="1:18" ht="16.149999999999999" customHeight="1" x14ac:dyDescent="0.25">
      <c r="A849" s="84"/>
      <c r="B849" s="3"/>
      <c r="D849" s="3"/>
      <c r="F849" s="79"/>
      <c r="H849" s="39"/>
      <c r="I849" s="3"/>
      <c r="J849" s="39"/>
      <c r="K849" s="3"/>
      <c r="L849" s="3"/>
      <c r="M849" s="3"/>
      <c r="N849" s="3"/>
      <c r="O849" s="3"/>
      <c r="P849" s="3"/>
      <c r="Q849" s="3"/>
      <c r="R849" s="3"/>
    </row>
    <row r="850" spans="1:18" ht="16.149999999999999" customHeight="1" x14ac:dyDescent="0.25">
      <c r="A850" s="84"/>
      <c r="B850" s="3"/>
      <c r="D850" s="3"/>
      <c r="F850" s="79"/>
      <c r="H850" s="39"/>
      <c r="I850" s="3"/>
      <c r="J850" s="39"/>
      <c r="K850" s="3"/>
      <c r="L850" s="3"/>
      <c r="M850" s="3"/>
      <c r="N850" s="3"/>
      <c r="O850" s="3"/>
      <c r="P850" s="3"/>
      <c r="Q850" s="3"/>
      <c r="R850" s="3"/>
    </row>
    <row r="851" spans="1:18" ht="16.149999999999999" customHeight="1" x14ac:dyDescent="0.25">
      <c r="A851" s="84"/>
      <c r="B851" s="3"/>
      <c r="D851" s="3"/>
      <c r="F851" s="79"/>
      <c r="H851" s="39"/>
      <c r="I851" s="3"/>
      <c r="J851" s="39"/>
      <c r="K851" s="3"/>
      <c r="L851" s="3"/>
      <c r="M851" s="3"/>
      <c r="N851" s="3"/>
      <c r="O851" s="3"/>
      <c r="P851" s="3"/>
      <c r="Q851" s="3"/>
      <c r="R851" s="3"/>
    </row>
    <row r="852" spans="1:18" ht="16.149999999999999" customHeight="1" x14ac:dyDescent="0.25">
      <c r="A852" s="84"/>
      <c r="B852" s="3"/>
      <c r="D852" s="3"/>
      <c r="F852" s="79"/>
      <c r="H852" s="39"/>
      <c r="I852" s="3"/>
      <c r="J852" s="39"/>
      <c r="K852" s="3"/>
      <c r="L852" s="3"/>
      <c r="M852" s="3"/>
      <c r="N852" s="3"/>
      <c r="O852" s="3"/>
      <c r="P852" s="3"/>
      <c r="Q852" s="3"/>
      <c r="R852" s="3"/>
    </row>
    <row r="853" spans="1:18" ht="16.149999999999999" customHeight="1" x14ac:dyDescent="0.25">
      <c r="A853" s="84"/>
      <c r="B853" s="3"/>
      <c r="D853" s="3"/>
      <c r="F853" s="79"/>
      <c r="H853" s="39"/>
      <c r="I853" s="3"/>
      <c r="J853" s="39"/>
      <c r="K853" s="3"/>
      <c r="L853" s="3"/>
      <c r="M853" s="3"/>
      <c r="N853" s="3"/>
      <c r="O853" s="3"/>
      <c r="P853" s="3"/>
      <c r="Q853" s="3"/>
      <c r="R853" s="3"/>
    </row>
    <row r="854" spans="1:18" ht="16.149999999999999" customHeight="1" x14ac:dyDescent="0.25">
      <c r="A854" s="84"/>
      <c r="B854" s="3"/>
      <c r="D854" s="3"/>
      <c r="F854" s="79"/>
      <c r="H854" s="39"/>
      <c r="I854" s="3"/>
      <c r="J854" s="39"/>
      <c r="K854" s="3"/>
      <c r="L854" s="3"/>
      <c r="M854" s="3"/>
      <c r="N854" s="3"/>
      <c r="O854" s="3"/>
      <c r="P854" s="3"/>
      <c r="Q854" s="3"/>
      <c r="R854" s="3"/>
    </row>
    <row r="855" spans="1:18" ht="16.149999999999999" customHeight="1" x14ac:dyDescent="0.25">
      <c r="A855" s="84"/>
      <c r="B855" s="3"/>
      <c r="D855" s="3"/>
      <c r="F855" s="79"/>
      <c r="H855" s="39"/>
      <c r="I855" s="3"/>
      <c r="J855" s="39"/>
      <c r="K855" s="3"/>
      <c r="L855" s="3"/>
      <c r="M855" s="3"/>
      <c r="N855" s="3"/>
      <c r="O855" s="3"/>
      <c r="P855" s="3"/>
      <c r="Q855" s="3"/>
      <c r="R855" s="3"/>
    </row>
    <row r="856" spans="1:18" ht="16.149999999999999" customHeight="1" x14ac:dyDescent="0.25">
      <c r="A856" s="84"/>
      <c r="B856" s="3"/>
      <c r="D856" s="3"/>
      <c r="F856" s="79"/>
      <c r="H856" s="39"/>
      <c r="I856" s="3"/>
      <c r="J856" s="39"/>
      <c r="K856" s="3"/>
      <c r="L856" s="3"/>
      <c r="M856" s="3"/>
      <c r="N856" s="3"/>
      <c r="O856" s="3"/>
      <c r="P856" s="3"/>
      <c r="Q856" s="3"/>
      <c r="R856" s="3"/>
    </row>
    <row r="857" spans="1:18" ht="16.149999999999999" customHeight="1" x14ac:dyDescent="0.25">
      <c r="A857" s="84"/>
      <c r="B857" s="3"/>
      <c r="D857" s="3"/>
      <c r="F857" s="79"/>
      <c r="H857" s="39"/>
      <c r="I857" s="3"/>
      <c r="J857" s="39"/>
      <c r="K857" s="3"/>
      <c r="L857" s="3"/>
      <c r="M857" s="3"/>
      <c r="N857" s="3"/>
      <c r="O857" s="3"/>
      <c r="P857" s="3"/>
      <c r="Q857" s="3"/>
      <c r="R857" s="3"/>
    </row>
    <row r="858" spans="1:18" ht="16.149999999999999" customHeight="1" x14ac:dyDescent="0.25">
      <c r="A858" s="84"/>
      <c r="B858" s="3"/>
      <c r="D858" s="3"/>
      <c r="F858" s="79"/>
      <c r="H858" s="39"/>
      <c r="I858" s="3"/>
      <c r="J858" s="39"/>
      <c r="K858" s="3"/>
      <c r="L858" s="3"/>
      <c r="M858" s="3"/>
      <c r="N858" s="3"/>
      <c r="O858" s="3"/>
      <c r="P858" s="3"/>
      <c r="Q858" s="3"/>
      <c r="R858" s="3"/>
    </row>
    <row r="859" spans="1:18" ht="16.149999999999999" customHeight="1" x14ac:dyDescent="0.25">
      <c r="A859" s="84"/>
      <c r="B859" s="3"/>
      <c r="D859" s="3"/>
      <c r="F859" s="79"/>
      <c r="H859" s="39"/>
      <c r="I859" s="3"/>
      <c r="J859" s="39"/>
      <c r="K859" s="3"/>
      <c r="L859" s="3"/>
      <c r="M859" s="3"/>
      <c r="N859" s="3"/>
      <c r="O859" s="3"/>
      <c r="P859" s="3"/>
      <c r="Q859" s="3"/>
      <c r="R859" s="3"/>
    </row>
    <row r="860" spans="1:18" ht="16.149999999999999" customHeight="1" x14ac:dyDescent="0.25">
      <c r="A860" s="84"/>
      <c r="B860" s="3"/>
      <c r="D860" s="3"/>
      <c r="F860" s="79"/>
      <c r="H860" s="39"/>
      <c r="I860" s="3"/>
      <c r="J860" s="39"/>
      <c r="K860" s="3"/>
      <c r="L860" s="3"/>
      <c r="M860" s="3"/>
      <c r="N860" s="3"/>
      <c r="O860" s="3"/>
      <c r="P860" s="3"/>
      <c r="Q860" s="3"/>
      <c r="R860" s="3"/>
    </row>
    <row r="861" spans="1:18" ht="16.149999999999999" customHeight="1" x14ac:dyDescent="0.25">
      <c r="A861" s="84"/>
      <c r="B861" s="3"/>
      <c r="D861" s="3"/>
      <c r="F861" s="79"/>
      <c r="H861" s="39"/>
      <c r="I861" s="3"/>
      <c r="J861" s="39"/>
      <c r="K861" s="3"/>
      <c r="L861" s="3"/>
      <c r="M861" s="3"/>
      <c r="N861" s="3"/>
      <c r="O861" s="3"/>
      <c r="P861" s="3"/>
      <c r="Q861" s="3"/>
      <c r="R861" s="3"/>
    </row>
    <row r="862" spans="1:18" ht="16.149999999999999" customHeight="1" x14ac:dyDescent="0.25">
      <c r="A862" s="84"/>
      <c r="B862" s="3"/>
      <c r="D862" s="3"/>
      <c r="F862" s="79"/>
      <c r="H862" s="39"/>
      <c r="I862" s="3"/>
      <c r="J862" s="39"/>
      <c r="K862" s="3"/>
      <c r="L862" s="3"/>
      <c r="M862" s="3"/>
      <c r="N862" s="3"/>
      <c r="O862" s="3"/>
      <c r="P862" s="3"/>
      <c r="Q862" s="3"/>
      <c r="R862" s="3"/>
    </row>
    <row r="863" spans="1:18" ht="16.149999999999999" customHeight="1" x14ac:dyDescent="0.25">
      <c r="A863" s="84"/>
      <c r="B863" s="3"/>
      <c r="D863" s="3"/>
      <c r="F863" s="79"/>
      <c r="H863" s="39"/>
      <c r="I863" s="3"/>
      <c r="J863" s="39"/>
      <c r="K863" s="3"/>
      <c r="L863" s="3"/>
      <c r="M863" s="3"/>
      <c r="N863" s="3"/>
      <c r="O863" s="3"/>
      <c r="P863" s="3"/>
      <c r="Q863" s="3"/>
      <c r="R863" s="3"/>
    </row>
    <row r="864" spans="1:18" ht="16.149999999999999" customHeight="1" x14ac:dyDescent="0.25">
      <c r="A864" s="84"/>
      <c r="B864" s="3"/>
      <c r="D864" s="3"/>
      <c r="F864" s="79"/>
      <c r="H864" s="39"/>
      <c r="I864" s="3"/>
      <c r="J864" s="39"/>
      <c r="K864" s="3"/>
      <c r="L864" s="3"/>
      <c r="M864" s="3"/>
      <c r="N864" s="3"/>
      <c r="O864" s="3"/>
      <c r="P864" s="3"/>
      <c r="Q864" s="3"/>
      <c r="R864" s="3"/>
    </row>
    <row r="865" spans="1:18" ht="16.149999999999999" customHeight="1" x14ac:dyDescent="0.25">
      <c r="A865" s="84"/>
      <c r="B865" s="3"/>
      <c r="D865" s="3"/>
      <c r="F865" s="79"/>
      <c r="H865" s="39"/>
      <c r="I865" s="3"/>
      <c r="J865" s="39"/>
      <c r="K865" s="3"/>
      <c r="L865" s="3"/>
      <c r="M865" s="3"/>
      <c r="N865" s="3"/>
      <c r="O865" s="3"/>
      <c r="P865" s="3"/>
      <c r="Q865" s="3"/>
      <c r="R865" s="3"/>
    </row>
    <row r="866" spans="1:18" ht="16.149999999999999" customHeight="1" x14ac:dyDescent="0.25">
      <c r="A866" s="84"/>
      <c r="B866" s="3"/>
      <c r="D866" s="3"/>
      <c r="F866" s="79"/>
      <c r="H866" s="39"/>
      <c r="I866" s="3"/>
      <c r="J866" s="39"/>
      <c r="K866" s="3"/>
      <c r="L866" s="3"/>
      <c r="M866" s="3"/>
      <c r="N866" s="3"/>
      <c r="O866" s="3"/>
      <c r="P866" s="3"/>
      <c r="Q866" s="3"/>
      <c r="R866" s="3"/>
    </row>
    <row r="867" spans="1:18" ht="16.149999999999999" customHeight="1" x14ac:dyDescent="0.25">
      <c r="A867" s="84"/>
      <c r="B867" s="3"/>
      <c r="D867" s="3"/>
      <c r="F867" s="79"/>
      <c r="H867" s="39"/>
      <c r="I867" s="3"/>
      <c r="J867" s="39"/>
      <c r="K867" s="3"/>
      <c r="L867" s="3"/>
      <c r="M867" s="3"/>
      <c r="N867" s="3"/>
      <c r="O867" s="3"/>
      <c r="P867" s="3"/>
      <c r="Q867" s="3"/>
      <c r="R867" s="3"/>
    </row>
    <row r="868" spans="1:18" ht="16.149999999999999" customHeight="1" x14ac:dyDescent="0.25">
      <c r="A868" s="84"/>
      <c r="B868" s="3"/>
      <c r="D868" s="3"/>
      <c r="F868" s="79"/>
      <c r="H868" s="39"/>
      <c r="I868" s="3"/>
      <c r="J868" s="39"/>
      <c r="K868" s="3"/>
      <c r="L868" s="3"/>
      <c r="M868" s="3"/>
      <c r="N868" s="3"/>
      <c r="O868" s="3"/>
      <c r="P868" s="3"/>
      <c r="Q868" s="3"/>
      <c r="R868" s="3"/>
    </row>
    <row r="869" spans="1:18" ht="16.149999999999999" customHeight="1" x14ac:dyDescent="0.25">
      <c r="A869" s="84"/>
      <c r="B869" s="3"/>
      <c r="D869" s="3"/>
      <c r="F869" s="79"/>
      <c r="H869" s="39"/>
      <c r="I869" s="3"/>
      <c r="J869" s="39"/>
      <c r="K869" s="3"/>
      <c r="L869" s="3"/>
      <c r="M869" s="3"/>
      <c r="N869" s="3"/>
      <c r="O869" s="3"/>
      <c r="P869" s="3"/>
      <c r="Q869" s="3"/>
      <c r="R869" s="3"/>
    </row>
    <row r="870" spans="1:18" ht="16.149999999999999" customHeight="1" x14ac:dyDescent="0.25">
      <c r="A870" s="84"/>
      <c r="B870" s="3"/>
      <c r="D870" s="3"/>
      <c r="F870" s="79"/>
      <c r="H870" s="39"/>
      <c r="I870" s="3"/>
      <c r="J870" s="39"/>
      <c r="K870" s="3"/>
      <c r="L870" s="3"/>
      <c r="M870" s="3"/>
      <c r="N870" s="3"/>
      <c r="O870" s="3"/>
      <c r="P870" s="3"/>
      <c r="Q870" s="3"/>
      <c r="R870" s="3"/>
    </row>
    <row r="871" spans="1:18" ht="16.149999999999999" customHeight="1" x14ac:dyDescent="0.25">
      <c r="A871" s="84"/>
      <c r="B871" s="3"/>
      <c r="D871" s="3"/>
      <c r="F871" s="79"/>
      <c r="H871" s="39"/>
      <c r="I871" s="3"/>
      <c r="J871" s="39"/>
      <c r="K871" s="3"/>
      <c r="L871" s="3"/>
      <c r="M871" s="3"/>
      <c r="N871" s="3"/>
      <c r="O871" s="3"/>
      <c r="P871" s="3"/>
      <c r="Q871" s="3"/>
      <c r="R871" s="3"/>
    </row>
    <row r="872" spans="1:18" ht="16.149999999999999" customHeight="1" x14ac:dyDescent="0.25">
      <c r="A872" s="84"/>
      <c r="B872" s="3"/>
      <c r="D872" s="3"/>
      <c r="F872" s="79"/>
      <c r="H872" s="39"/>
      <c r="I872" s="3"/>
      <c r="J872" s="39"/>
      <c r="K872" s="3"/>
      <c r="L872" s="3"/>
      <c r="M872" s="3"/>
      <c r="N872" s="3"/>
      <c r="O872" s="3"/>
      <c r="P872" s="3"/>
      <c r="Q872" s="3"/>
      <c r="R872" s="3"/>
    </row>
    <row r="873" spans="1:18" ht="16.149999999999999" customHeight="1" x14ac:dyDescent="0.25">
      <c r="A873" s="84"/>
      <c r="B873" s="3"/>
      <c r="D873" s="3"/>
      <c r="F873" s="79"/>
      <c r="H873" s="39"/>
      <c r="I873" s="3"/>
      <c r="J873" s="39"/>
      <c r="K873" s="3"/>
      <c r="L873" s="3"/>
      <c r="M873" s="3"/>
      <c r="N873" s="3"/>
      <c r="O873" s="3"/>
      <c r="P873" s="3"/>
      <c r="Q873" s="3"/>
      <c r="R873" s="3"/>
    </row>
    <row r="874" spans="1:18" ht="16.149999999999999" customHeight="1" x14ac:dyDescent="0.25">
      <c r="A874" s="84"/>
      <c r="B874" s="3"/>
      <c r="D874" s="3"/>
      <c r="F874" s="79"/>
      <c r="H874" s="39"/>
      <c r="I874" s="3"/>
      <c r="J874" s="39"/>
      <c r="K874" s="3"/>
      <c r="L874" s="3"/>
      <c r="M874" s="3"/>
      <c r="N874" s="3"/>
      <c r="O874" s="3"/>
      <c r="P874" s="3"/>
      <c r="Q874" s="3"/>
      <c r="R874" s="3"/>
    </row>
    <row r="875" spans="1:18" ht="16.149999999999999" customHeight="1" x14ac:dyDescent="0.25">
      <c r="A875" s="84"/>
      <c r="B875" s="3"/>
      <c r="D875" s="3"/>
      <c r="F875" s="79"/>
      <c r="H875" s="39"/>
      <c r="I875" s="3"/>
      <c r="J875" s="39"/>
      <c r="K875" s="3"/>
      <c r="L875" s="3"/>
      <c r="M875" s="3"/>
      <c r="N875" s="3"/>
      <c r="O875" s="3"/>
      <c r="P875" s="3"/>
      <c r="Q875" s="3"/>
      <c r="R875" s="3"/>
    </row>
    <row r="876" spans="1:18" ht="16.149999999999999" customHeight="1" x14ac:dyDescent="0.25">
      <c r="A876" s="84"/>
      <c r="B876" s="3"/>
      <c r="D876" s="3"/>
      <c r="F876" s="79"/>
      <c r="H876" s="39"/>
      <c r="I876" s="3"/>
      <c r="J876" s="39"/>
      <c r="K876" s="3"/>
      <c r="L876" s="3"/>
      <c r="M876" s="3"/>
      <c r="N876" s="3"/>
      <c r="O876" s="3"/>
      <c r="P876" s="3"/>
      <c r="Q876" s="3"/>
      <c r="R876" s="3"/>
    </row>
    <row r="877" spans="1:18" ht="16.149999999999999" customHeight="1" x14ac:dyDescent="0.25">
      <c r="A877" s="84"/>
      <c r="B877" s="3"/>
      <c r="D877" s="3"/>
      <c r="F877" s="79"/>
      <c r="H877" s="39"/>
      <c r="I877" s="3"/>
      <c r="J877" s="39"/>
      <c r="K877" s="3"/>
      <c r="L877" s="3"/>
      <c r="M877" s="3"/>
      <c r="N877" s="3"/>
      <c r="O877" s="3"/>
      <c r="P877" s="3"/>
      <c r="Q877" s="3"/>
      <c r="R877" s="3"/>
    </row>
    <row r="878" spans="1:18" ht="16.149999999999999" customHeight="1" x14ac:dyDescent="0.25">
      <c r="A878" s="84"/>
      <c r="B878" s="3"/>
      <c r="D878" s="3"/>
      <c r="F878" s="79"/>
      <c r="H878" s="39"/>
      <c r="I878" s="3"/>
      <c r="J878" s="39"/>
      <c r="K878" s="3"/>
      <c r="L878" s="3"/>
      <c r="M878" s="3"/>
      <c r="N878" s="3"/>
      <c r="O878" s="3"/>
      <c r="P878" s="3"/>
      <c r="Q878" s="3"/>
      <c r="R878" s="3"/>
    </row>
    <row r="879" spans="1:18" ht="16.149999999999999" customHeight="1" x14ac:dyDescent="0.25">
      <c r="A879" s="84"/>
      <c r="B879" s="3"/>
      <c r="D879" s="3"/>
      <c r="F879" s="79"/>
      <c r="H879" s="39"/>
      <c r="I879" s="3"/>
      <c r="J879" s="39"/>
      <c r="K879" s="3"/>
      <c r="L879" s="3"/>
      <c r="M879" s="3"/>
      <c r="N879" s="3"/>
      <c r="O879" s="3"/>
      <c r="P879" s="3"/>
      <c r="Q879" s="3"/>
      <c r="R879" s="3"/>
    </row>
    <row r="880" spans="1:18" ht="16.149999999999999" customHeight="1" x14ac:dyDescent="0.25">
      <c r="A880" s="84"/>
      <c r="B880" s="3"/>
      <c r="D880" s="3"/>
      <c r="F880" s="79"/>
      <c r="H880" s="39"/>
      <c r="I880" s="3"/>
      <c r="J880" s="39"/>
      <c r="K880" s="3"/>
      <c r="L880" s="3"/>
      <c r="M880" s="3"/>
      <c r="N880" s="3"/>
      <c r="O880" s="3"/>
      <c r="P880" s="3"/>
      <c r="Q880" s="3"/>
      <c r="R880" s="3"/>
    </row>
    <row r="881" spans="1:18" ht="16.149999999999999" customHeight="1" x14ac:dyDescent="0.25">
      <c r="A881" s="84"/>
      <c r="B881" s="3"/>
      <c r="D881" s="3"/>
      <c r="F881" s="79"/>
      <c r="H881" s="39"/>
      <c r="I881" s="3"/>
      <c r="J881" s="39"/>
      <c r="K881" s="3"/>
      <c r="L881" s="3"/>
      <c r="M881" s="3"/>
      <c r="N881" s="3"/>
      <c r="O881" s="3"/>
      <c r="P881" s="3"/>
      <c r="Q881" s="3"/>
      <c r="R881" s="3"/>
    </row>
    <row r="882" spans="1:18" ht="16.149999999999999" customHeight="1" x14ac:dyDescent="0.25">
      <c r="A882" s="84"/>
      <c r="B882" s="3"/>
      <c r="D882" s="3"/>
      <c r="F882" s="79"/>
      <c r="H882" s="39"/>
      <c r="I882" s="3"/>
      <c r="J882" s="39"/>
      <c r="K882" s="3"/>
      <c r="L882" s="3"/>
      <c r="M882" s="3"/>
      <c r="N882" s="3"/>
      <c r="O882" s="3"/>
      <c r="P882" s="3"/>
      <c r="Q882" s="3"/>
      <c r="R882" s="3"/>
    </row>
    <row r="883" spans="1:18" ht="16.149999999999999" customHeight="1" x14ac:dyDescent="0.25">
      <c r="A883" s="84"/>
      <c r="B883" s="3"/>
      <c r="D883" s="3"/>
      <c r="F883" s="79"/>
      <c r="H883" s="39"/>
      <c r="I883" s="3"/>
      <c r="J883" s="39"/>
      <c r="K883" s="3"/>
      <c r="L883" s="3"/>
      <c r="M883" s="3"/>
      <c r="N883" s="3"/>
      <c r="O883" s="3"/>
      <c r="P883" s="3"/>
      <c r="Q883" s="3"/>
      <c r="R883" s="3"/>
    </row>
    <row r="884" spans="1:18" ht="16.149999999999999" customHeight="1" x14ac:dyDescent="0.25">
      <c r="A884" s="84"/>
      <c r="B884" s="3"/>
      <c r="D884" s="3"/>
      <c r="F884" s="79"/>
      <c r="H884" s="39"/>
      <c r="I884" s="3"/>
      <c r="J884" s="39"/>
      <c r="K884" s="3"/>
      <c r="L884" s="3"/>
      <c r="M884" s="3"/>
      <c r="N884" s="3"/>
      <c r="O884" s="3"/>
      <c r="P884" s="3"/>
      <c r="Q884" s="3"/>
      <c r="R884" s="3"/>
    </row>
    <row r="885" spans="1:18" ht="16.149999999999999" customHeight="1" x14ac:dyDescent="0.25">
      <c r="A885" s="84"/>
      <c r="B885" s="3"/>
      <c r="D885" s="3"/>
      <c r="F885" s="79"/>
      <c r="H885" s="39"/>
      <c r="I885" s="3"/>
      <c r="J885" s="39"/>
      <c r="K885" s="3"/>
      <c r="L885" s="3"/>
      <c r="M885" s="3"/>
      <c r="N885" s="3"/>
      <c r="O885" s="3"/>
      <c r="P885" s="3"/>
      <c r="Q885" s="3"/>
      <c r="R885" s="3"/>
    </row>
    <row r="886" spans="1:18" ht="16.149999999999999" customHeight="1" x14ac:dyDescent="0.25">
      <c r="A886" s="84"/>
      <c r="B886" s="3"/>
      <c r="D886" s="3"/>
      <c r="F886" s="79"/>
      <c r="H886" s="39"/>
      <c r="I886" s="3"/>
      <c r="J886" s="39"/>
      <c r="K886" s="3"/>
      <c r="L886" s="3"/>
      <c r="M886" s="3"/>
      <c r="N886" s="3"/>
      <c r="O886" s="3"/>
      <c r="P886" s="3"/>
      <c r="Q886" s="3"/>
      <c r="R886" s="3"/>
    </row>
    <row r="887" spans="1:18" ht="16.149999999999999" customHeight="1" x14ac:dyDescent="0.25">
      <c r="A887" s="84"/>
      <c r="B887" s="3"/>
      <c r="D887" s="3"/>
      <c r="F887" s="79"/>
      <c r="H887" s="39"/>
      <c r="I887" s="3"/>
      <c r="J887" s="39"/>
      <c r="K887" s="3"/>
      <c r="L887" s="3"/>
      <c r="M887" s="3"/>
      <c r="N887" s="3"/>
      <c r="O887" s="3"/>
      <c r="P887" s="3"/>
      <c r="Q887" s="3"/>
      <c r="R887" s="3"/>
    </row>
    <row r="888" spans="1:18" ht="16.149999999999999" customHeight="1" x14ac:dyDescent="0.25">
      <c r="A888" s="84"/>
      <c r="B888" s="3"/>
      <c r="D888" s="3"/>
      <c r="F888" s="79"/>
      <c r="H888" s="39"/>
      <c r="I888" s="3"/>
      <c r="J888" s="39"/>
      <c r="K888" s="3"/>
      <c r="L888" s="3"/>
      <c r="M888" s="3"/>
      <c r="N888" s="3"/>
      <c r="O888" s="3"/>
      <c r="P888" s="3"/>
      <c r="Q888" s="3"/>
      <c r="R888" s="3"/>
    </row>
    <row r="889" spans="1:18" ht="16.149999999999999" customHeight="1" x14ac:dyDescent="0.25">
      <c r="A889" s="84"/>
      <c r="B889" s="3"/>
      <c r="D889" s="3"/>
      <c r="F889" s="79"/>
      <c r="H889" s="39"/>
      <c r="I889" s="3"/>
      <c r="J889" s="39"/>
      <c r="K889" s="3"/>
      <c r="L889" s="3"/>
      <c r="M889" s="3"/>
      <c r="N889" s="3"/>
      <c r="O889" s="3"/>
      <c r="P889" s="3"/>
      <c r="Q889" s="3"/>
      <c r="R889" s="3"/>
    </row>
    <row r="890" spans="1:18" ht="16.149999999999999" customHeight="1" x14ac:dyDescent="0.25">
      <c r="A890" s="84"/>
      <c r="B890" s="3"/>
      <c r="D890" s="3"/>
      <c r="F890" s="79"/>
      <c r="H890" s="39"/>
      <c r="I890" s="3"/>
      <c r="J890" s="39"/>
      <c r="K890" s="3"/>
      <c r="L890" s="3"/>
      <c r="M890" s="3"/>
      <c r="N890" s="3"/>
      <c r="O890" s="3"/>
      <c r="P890" s="3"/>
      <c r="Q890" s="3"/>
      <c r="R890" s="3"/>
    </row>
    <row r="891" spans="1:18" ht="16.149999999999999" customHeight="1" x14ac:dyDescent="0.25">
      <c r="A891" s="84"/>
      <c r="B891" s="3"/>
      <c r="D891" s="3"/>
      <c r="F891" s="79"/>
      <c r="H891" s="39"/>
      <c r="I891" s="3"/>
      <c r="J891" s="39"/>
      <c r="K891" s="3"/>
      <c r="L891" s="3"/>
      <c r="M891" s="3"/>
      <c r="N891" s="3"/>
      <c r="O891" s="3"/>
      <c r="P891" s="3"/>
      <c r="Q891" s="3"/>
      <c r="R891" s="3"/>
    </row>
    <row r="892" spans="1:18" ht="16.149999999999999" customHeight="1" x14ac:dyDescent="0.25">
      <c r="A892" s="84"/>
      <c r="B892" s="3"/>
      <c r="D892" s="3"/>
      <c r="F892" s="79"/>
      <c r="H892" s="39"/>
      <c r="I892" s="3"/>
      <c r="J892" s="39"/>
      <c r="K892" s="3"/>
      <c r="L892" s="3"/>
      <c r="M892" s="3"/>
      <c r="N892" s="3"/>
      <c r="O892" s="3"/>
      <c r="P892" s="3"/>
      <c r="Q892" s="3"/>
      <c r="R892" s="3"/>
    </row>
    <row r="893" spans="1:18" ht="16.149999999999999" customHeight="1" x14ac:dyDescent="0.25">
      <c r="A893" s="84"/>
      <c r="B893" s="3"/>
      <c r="D893" s="3"/>
      <c r="F893" s="79"/>
      <c r="H893" s="39"/>
      <c r="I893" s="3"/>
      <c r="J893" s="39"/>
      <c r="K893" s="3"/>
      <c r="L893" s="3"/>
      <c r="M893" s="3"/>
      <c r="N893" s="3"/>
      <c r="O893" s="3"/>
      <c r="P893" s="3"/>
      <c r="Q893" s="3"/>
      <c r="R893" s="3"/>
    </row>
    <row r="894" spans="1:18" ht="16.149999999999999" customHeight="1" x14ac:dyDescent="0.25">
      <c r="A894" s="84"/>
      <c r="B894" s="3"/>
      <c r="D894" s="3"/>
      <c r="F894" s="79"/>
      <c r="H894" s="39"/>
      <c r="I894" s="3"/>
      <c r="J894" s="39"/>
      <c r="K894" s="3"/>
      <c r="L894" s="3"/>
      <c r="M894" s="3"/>
      <c r="N894" s="3"/>
      <c r="O894" s="3"/>
      <c r="P894" s="3"/>
      <c r="Q894" s="3"/>
      <c r="R894" s="3"/>
    </row>
    <row r="895" spans="1:18" ht="16.149999999999999" customHeight="1" x14ac:dyDescent="0.25">
      <c r="A895" s="84"/>
      <c r="B895" s="3"/>
      <c r="D895" s="3"/>
      <c r="F895" s="79"/>
      <c r="H895" s="39"/>
      <c r="I895" s="3"/>
      <c r="J895" s="39"/>
      <c r="K895" s="3"/>
      <c r="L895" s="3"/>
      <c r="M895" s="3"/>
      <c r="N895" s="3"/>
      <c r="O895" s="3"/>
      <c r="P895" s="3"/>
      <c r="Q895" s="3"/>
      <c r="R895" s="3"/>
    </row>
    <row r="896" spans="1:18" ht="16.149999999999999" customHeight="1" x14ac:dyDescent="0.25">
      <c r="A896" s="84"/>
      <c r="B896" s="3"/>
      <c r="D896" s="3"/>
      <c r="F896" s="79"/>
      <c r="H896" s="39"/>
      <c r="I896" s="3"/>
      <c r="J896" s="39"/>
      <c r="K896" s="3"/>
      <c r="L896" s="3"/>
      <c r="M896" s="3"/>
      <c r="N896" s="3"/>
      <c r="O896" s="3"/>
      <c r="P896" s="3"/>
      <c r="Q896" s="3"/>
      <c r="R896" s="3"/>
    </row>
    <row r="897" spans="1:18" ht="16.149999999999999" customHeight="1" x14ac:dyDescent="0.25">
      <c r="A897" s="84"/>
      <c r="B897" s="3"/>
      <c r="D897" s="3"/>
      <c r="F897" s="79"/>
      <c r="H897" s="39"/>
      <c r="I897" s="3"/>
      <c r="J897" s="39"/>
      <c r="K897" s="3"/>
      <c r="L897" s="3"/>
      <c r="M897" s="3"/>
      <c r="N897" s="3"/>
      <c r="O897" s="3"/>
      <c r="P897" s="3"/>
      <c r="Q897" s="3"/>
      <c r="R897" s="3"/>
    </row>
    <row r="898" spans="1:18" ht="16.149999999999999" customHeight="1" x14ac:dyDescent="0.25">
      <c r="A898" s="84"/>
      <c r="B898" s="3"/>
      <c r="D898" s="3"/>
      <c r="F898" s="79"/>
      <c r="H898" s="39"/>
      <c r="I898" s="3"/>
      <c r="J898" s="39"/>
      <c r="K898" s="3"/>
      <c r="L898" s="3"/>
      <c r="M898" s="3"/>
      <c r="N898" s="3"/>
      <c r="O898" s="3"/>
      <c r="P898" s="3"/>
      <c r="Q898" s="3"/>
      <c r="R898" s="3"/>
    </row>
    <row r="899" spans="1:18" ht="16.149999999999999" customHeight="1" x14ac:dyDescent="0.25">
      <c r="A899" s="84"/>
      <c r="B899" s="3"/>
      <c r="D899" s="3"/>
      <c r="F899" s="79"/>
      <c r="H899" s="39"/>
      <c r="I899" s="3"/>
      <c r="J899" s="39"/>
      <c r="K899" s="3"/>
      <c r="L899" s="3"/>
      <c r="M899" s="3"/>
      <c r="N899" s="3"/>
      <c r="O899" s="3"/>
      <c r="P899" s="3"/>
      <c r="Q899" s="3"/>
      <c r="R899" s="3"/>
    </row>
    <row r="900" spans="1:18" ht="16.149999999999999" customHeight="1" x14ac:dyDescent="0.25">
      <c r="A900" s="84"/>
      <c r="B900" s="3"/>
      <c r="D900" s="3"/>
      <c r="F900" s="79"/>
      <c r="H900" s="39"/>
      <c r="I900" s="3"/>
      <c r="J900" s="39"/>
      <c r="K900" s="3"/>
      <c r="L900" s="3"/>
      <c r="M900" s="3"/>
      <c r="N900" s="3"/>
      <c r="O900" s="3"/>
      <c r="P900" s="3"/>
      <c r="Q900" s="3"/>
      <c r="R900" s="3"/>
    </row>
    <row r="901" spans="1:18" ht="16.149999999999999" customHeight="1" x14ac:dyDescent="0.25">
      <c r="A901" s="84"/>
      <c r="B901" s="3"/>
      <c r="D901" s="3"/>
      <c r="F901" s="79"/>
      <c r="H901" s="39"/>
      <c r="I901" s="3"/>
      <c r="J901" s="39"/>
      <c r="K901" s="3"/>
      <c r="L901" s="3"/>
      <c r="M901" s="3"/>
      <c r="N901" s="3"/>
      <c r="O901" s="3"/>
      <c r="P901" s="3"/>
      <c r="Q901" s="3"/>
      <c r="R901" s="3"/>
    </row>
    <row r="902" spans="1:18" ht="16.149999999999999" customHeight="1" x14ac:dyDescent="0.25">
      <c r="A902" s="84"/>
      <c r="B902" s="3"/>
      <c r="D902" s="3"/>
      <c r="F902" s="79"/>
      <c r="H902" s="39"/>
      <c r="I902" s="3"/>
      <c r="J902" s="39"/>
      <c r="K902" s="3"/>
      <c r="L902" s="3"/>
      <c r="M902" s="3"/>
      <c r="N902" s="3"/>
      <c r="O902" s="3"/>
      <c r="P902" s="3"/>
      <c r="Q902" s="3"/>
      <c r="R902" s="3"/>
    </row>
    <row r="903" spans="1:18" ht="16.149999999999999" customHeight="1" x14ac:dyDescent="0.25">
      <c r="A903" s="84"/>
      <c r="B903" s="3"/>
      <c r="D903" s="3"/>
      <c r="F903" s="79"/>
      <c r="H903" s="39"/>
      <c r="I903" s="3"/>
      <c r="J903" s="39"/>
      <c r="K903" s="3"/>
      <c r="L903" s="3"/>
      <c r="M903" s="3"/>
      <c r="N903" s="3"/>
      <c r="O903" s="3"/>
      <c r="P903" s="3"/>
      <c r="Q903" s="3"/>
      <c r="R903" s="3"/>
    </row>
    <row r="904" spans="1:18" ht="16.149999999999999" customHeight="1" x14ac:dyDescent="0.25">
      <c r="A904" s="84"/>
      <c r="B904" s="3"/>
      <c r="D904" s="3"/>
      <c r="F904" s="79"/>
      <c r="H904" s="39"/>
      <c r="I904" s="3"/>
      <c r="J904" s="39"/>
      <c r="K904" s="3"/>
      <c r="L904" s="3"/>
      <c r="M904" s="3"/>
      <c r="N904" s="3"/>
      <c r="O904" s="3"/>
      <c r="P904" s="3"/>
      <c r="Q904" s="3"/>
      <c r="R904" s="3"/>
    </row>
    <row r="905" spans="1:18" ht="16.149999999999999" customHeight="1" x14ac:dyDescent="0.25">
      <c r="A905" s="84"/>
      <c r="B905" s="3"/>
      <c r="D905" s="3"/>
      <c r="F905" s="79"/>
      <c r="H905" s="39"/>
      <c r="I905" s="3"/>
      <c r="J905" s="39"/>
      <c r="K905" s="3"/>
      <c r="L905" s="3"/>
      <c r="M905" s="3"/>
      <c r="N905" s="3"/>
      <c r="O905" s="3"/>
      <c r="P905" s="3"/>
      <c r="Q905" s="3"/>
      <c r="R905" s="3"/>
    </row>
    <row r="906" spans="1:18" ht="16.149999999999999" customHeight="1" x14ac:dyDescent="0.25">
      <c r="A906" s="84"/>
      <c r="B906" s="3"/>
      <c r="D906" s="3"/>
      <c r="F906" s="79"/>
      <c r="H906" s="39"/>
      <c r="I906" s="3"/>
      <c r="J906" s="39"/>
      <c r="K906" s="3"/>
      <c r="L906" s="3"/>
      <c r="M906" s="3"/>
      <c r="N906" s="3"/>
      <c r="O906" s="3"/>
      <c r="P906" s="3"/>
      <c r="Q906" s="3"/>
      <c r="R906" s="3"/>
    </row>
    <row r="907" spans="1:18" ht="16.149999999999999" customHeight="1" x14ac:dyDescent="0.25">
      <c r="A907" s="84"/>
      <c r="B907" s="3"/>
      <c r="D907" s="3"/>
      <c r="F907" s="79"/>
      <c r="H907" s="39"/>
      <c r="I907" s="3"/>
      <c r="J907" s="39"/>
      <c r="K907" s="3"/>
      <c r="L907" s="3"/>
      <c r="M907" s="3"/>
      <c r="N907" s="3"/>
      <c r="O907" s="3"/>
      <c r="P907" s="3"/>
      <c r="Q907" s="3"/>
      <c r="R907" s="3"/>
    </row>
    <row r="908" spans="1:18" ht="16.149999999999999" customHeight="1" x14ac:dyDescent="0.25">
      <c r="A908" s="84"/>
      <c r="B908" s="3"/>
      <c r="D908" s="3"/>
      <c r="F908" s="79"/>
      <c r="H908" s="39"/>
      <c r="I908" s="3"/>
      <c r="J908" s="39"/>
      <c r="K908" s="3"/>
      <c r="L908" s="3"/>
      <c r="M908" s="3"/>
      <c r="N908" s="3"/>
      <c r="O908" s="3"/>
      <c r="P908" s="3"/>
      <c r="Q908" s="3"/>
      <c r="R908" s="3"/>
    </row>
    <row r="909" spans="1:18" ht="16.149999999999999" customHeight="1" x14ac:dyDescent="0.25">
      <c r="A909" s="84"/>
      <c r="B909" s="3"/>
      <c r="D909" s="3"/>
      <c r="F909" s="79"/>
      <c r="H909" s="39"/>
      <c r="I909" s="3"/>
      <c r="J909" s="39"/>
      <c r="K909" s="3"/>
      <c r="L909" s="3"/>
      <c r="M909" s="3"/>
      <c r="N909" s="3"/>
      <c r="O909" s="3"/>
      <c r="P909" s="3"/>
      <c r="Q909" s="3"/>
      <c r="R909" s="3"/>
    </row>
    <row r="910" spans="1:18" ht="16.149999999999999" customHeight="1" x14ac:dyDescent="0.25">
      <c r="A910" s="84"/>
      <c r="B910" s="3"/>
      <c r="D910" s="3"/>
      <c r="F910" s="79"/>
      <c r="H910" s="39"/>
      <c r="I910" s="3"/>
      <c r="J910" s="39"/>
      <c r="K910" s="3"/>
      <c r="L910" s="3"/>
      <c r="M910" s="3"/>
      <c r="N910" s="3"/>
      <c r="O910" s="3"/>
      <c r="P910" s="3"/>
      <c r="Q910" s="3"/>
      <c r="R910" s="3"/>
    </row>
    <row r="911" spans="1:18" ht="16.149999999999999" customHeight="1" x14ac:dyDescent="0.25">
      <c r="A911" s="84"/>
      <c r="B911" s="3"/>
      <c r="D911" s="3"/>
      <c r="F911" s="79"/>
      <c r="H911" s="39"/>
      <c r="I911" s="3"/>
      <c r="J911" s="39"/>
      <c r="K911" s="3"/>
      <c r="L911" s="3"/>
      <c r="M911" s="3"/>
      <c r="N911" s="3"/>
      <c r="O911" s="3"/>
      <c r="P911" s="3"/>
      <c r="Q911" s="3"/>
      <c r="R911" s="3"/>
    </row>
    <row r="912" spans="1:18" ht="16.149999999999999" customHeight="1" x14ac:dyDescent="0.25">
      <c r="A912" s="84"/>
      <c r="B912" s="3"/>
      <c r="D912" s="3"/>
      <c r="F912" s="79"/>
      <c r="H912" s="39"/>
      <c r="I912" s="3"/>
      <c r="J912" s="39"/>
      <c r="K912" s="3"/>
      <c r="L912" s="3"/>
      <c r="M912" s="3"/>
      <c r="N912" s="3"/>
      <c r="O912" s="3"/>
      <c r="P912" s="3"/>
      <c r="Q912" s="3"/>
      <c r="R912" s="3"/>
    </row>
    <row r="913" spans="1:18" ht="16.149999999999999" customHeight="1" x14ac:dyDescent="0.25">
      <c r="A913" s="84"/>
      <c r="B913" s="3"/>
      <c r="D913" s="3"/>
      <c r="F913" s="79"/>
      <c r="H913" s="39"/>
      <c r="I913" s="3"/>
      <c r="J913" s="39"/>
      <c r="K913" s="3"/>
      <c r="L913" s="3"/>
      <c r="M913" s="3"/>
      <c r="N913" s="3"/>
      <c r="O913" s="3"/>
      <c r="P913" s="3"/>
      <c r="Q913" s="3"/>
      <c r="R913" s="3"/>
    </row>
    <row r="914" spans="1:18" ht="16.149999999999999" customHeight="1" x14ac:dyDescent="0.25">
      <c r="A914" s="84"/>
      <c r="B914" s="3"/>
      <c r="D914" s="3"/>
      <c r="F914" s="79"/>
      <c r="H914" s="39"/>
      <c r="I914" s="3"/>
      <c r="J914" s="39"/>
      <c r="K914" s="3"/>
      <c r="L914" s="3"/>
      <c r="M914" s="3"/>
      <c r="N914" s="3"/>
      <c r="O914" s="3"/>
      <c r="P914" s="3"/>
      <c r="Q914" s="3"/>
      <c r="R914" s="3"/>
    </row>
    <row r="915" spans="1:18" ht="16.149999999999999" customHeight="1" x14ac:dyDescent="0.25">
      <c r="A915" s="84"/>
      <c r="B915" s="3"/>
      <c r="D915" s="3"/>
      <c r="F915" s="79"/>
      <c r="H915" s="39"/>
      <c r="I915" s="3"/>
      <c r="J915" s="39"/>
      <c r="K915" s="3"/>
      <c r="L915" s="3"/>
      <c r="M915" s="3"/>
      <c r="N915" s="3"/>
      <c r="O915" s="3"/>
      <c r="P915" s="3"/>
      <c r="Q915" s="3"/>
      <c r="R915" s="3"/>
    </row>
    <row r="916" spans="1:18" ht="16.149999999999999" customHeight="1" x14ac:dyDescent="0.25">
      <c r="A916" s="84"/>
      <c r="B916" s="3"/>
      <c r="D916" s="3"/>
      <c r="F916" s="79"/>
      <c r="H916" s="39"/>
      <c r="I916" s="3"/>
      <c r="J916" s="39"/>
      <c r="K916" s="3"/>
      <c r="L916" s="3"/>
      <c r="M916" s="3"/>
      <c r="N916" s="3"/>
      <c r="O916" s="3"/>
      <c r="P916" s="3"/>
      <c r="Q916" s="3"/>
      <c r="R916" s="3"/>
    </row>
    <row r="917" spans="1:18" ht="16.149999999999999" customHeight="1" x14ac:dyDescent="0.25">
      <c r="A917" s="84"/>
      <c r="B917" s="3"/>
      <c r="D917" s="3"/>
      <c r="F917" s="79"/>
      <c r="H917" s="39"/>
      <c r="I917" s="3"/>
      <c r="J917" s="39"/>
      <c r="K917" s="3"/>
      <c r="L917" s="3"/>
      <c r="M917" s="3"/>
      <c r="N917" s="3"/>
      <c r="O917" s="3"/>
      <c r="P917" s="3"/>
      <c r="Q917" s="3"/>
      <c r="R917" s="3"/>
    </row>
    <row r="918" spans="1:18" ht="16.149999999999999" customHeight="1" x14ac:dyDescent="0.25">
      <c r="A918" s="84"/>
      <c r="B918" s="3"/>
      <c r="D918" s="3"/>
      <c r="F918" s="79"/>
      <c r="H918" s="39"/>
      <c r="I918" s="3"/>
      <c r="J918" s="39"/>
      <c r="K918" s="3"/>
      <c r="L918" s="3"/>
      <c r="M918" s="3"/>
      <c r="N918" s="3"/>
      <c r="O918" s="3"/>
      <c r="P918" s="3"/>
      <c r="Q918" s="3"/>
      <c r="R918" s="3"/>
    </row>
    <row r="919" spans="1:18" ht="16.149999999999999" customHeight="1" x14ac:dyDescent="0.25">
      <c r="A919" s="84"/>
      <c r="B919" s="3"/>
      <c r="D919" s="3"/>
      <c r="F919" s="79"/>
      <c r="H919" s="39"/>
      <c r="I919" s="3"/>
      <c r="J919" s="39"/>
      <c r="K919" s="3"/>
      <c r="L919" s="3"/>
      <c r="M919" s="3"/>
      <c r="N919" s="3"/>
      <c r="O919" s="3"/>
      <c r="P919" s="3"/>
      <c r="Q919" s="3"/>
      <c r="R919" s="3"/>
    </row>
    <row r="920" spans="1:18" ht="16.149999999999999" customHeight="1" x14ac:dyDescent="0.25">
      <c r="A920" s="84"/>
      <c r="B920" s="3"/>
      <c r="D920" s="3"/>
      <c r="F920" s="79"/>
      <c r="H920" s="39"/>
      <c r="I920" s="3"/>
      <c r="J920" s="39"/>
      <c r="K920" s="3"/>
      <c r="L920" s="3"/>
      <c r="M920" s="3"/>
      <c r="N920" s="3"/>
      <c r="O920" s="3"/>
      <c r="P920" s="3"/>
      <c r="Q920" s="3"/>
      <c r="R920" s="3"/>
    </row>
    <row r="921" spans="1:18" ht="16.149999999999999" customHeight="1" x14ac:dyDescent="0.25">
      <c r="A921" s="84"/>
      <c r="B921" s="3"/>
      <c r="D921" s="3"/>
      <c r="F921" s="79"/>
      <c r="H921" s="39"/>
      <c r="I921" s="3"/>
      <c r="J921" s="39"/>
      <c r="K921" s="3"/>
      <c r="L921" s="3"/>
      <c r="M921" s="3"/>
      <c r="N921" s="3"/>
      <c r="O921" s="3"/>
      <c r="P921" s="3"/>
      <c r="Q921" s="3"/>
      <c r="R921" s="3"/>
    </row>
    <row r="922" spans="1:18" ht="16.149999999999999" customHeight="1" x14ac:dyDescent="0.25">
      <c r="A922" s="84"/>
      <c r="B922" s="3"/>
      <c r="D922" s="3"/>
      <c r="F922" s="79"/>
      <c r="H922" s="39"/>
      <c r="I922" s="3"/>
      <c r="J922" s="39"/>
      <c r="K922" s="3"/>
      <c r="L922" s="3"/>
      <c r="M922" s="3"/>
      <c r="N922" s="3"/>
      <c r="O922" s="3"/>
      <c r="P922" s="3"/>
      <c r="Q922" s="3"/>
      <c r="R922" s="3"/>
    </row>
    <row r="923" spans="1:18" ht="16.149999999999999" customHeight="1" x14ac:dyDescent="0.25">
      <c r="A923" s="84"/>
      <c r="B923" s="3"/>
      <c r="D923" s="3"/>
      <c r="F923" s="79"/>
      <c r="H923" s="39"/>
      <c r="I923" s="3"/>
      <c r="J923" s="39"/>
      <c r="K923" s="3"/>
      <c r="L923" s="3"/>
      <c r="M923" s="3"/>
      <c r="N923" s="3"/>
      <c r="O923" s="3"/>
      <c r="P923" s="3"/>
      <c r="Q923" s="3"/>
      <c r="R923" s="3"/>
    </row>
    <row r="924" spans="1:18" ht="16.149999999999999" customHeight="1" x14ac:dyDescent="0.25">
      <c r="A924" s="84"/>
      <c r="B924" s="3"/>
      <c r="D924" s="3"/>
      <c r="F924" s="79"/>
      <c r="H924" s="39"/>
      <c r="I924" s="3"/>
      <c r="J924" s="39"/>
      <c r="K924" s="3"/>
      <c r="L924" s="3"/>
      <c r="M924" s="3"/>
      <c r="N924" s="3"/>
      <c r="O924" s="3"/>
      <c r="P924" s="3"/>
      <c r="Q924" s="3"/>
      <c r="R924" s="3"/>
    </row>
    <row r="925" spans="1:18" ht="16.149999999999999" customHeight="1" x14ac:dyDescent="0.25">
      <c r="A925" s="84"/>
      <c r="B925" s="3"/>
      <c r="D925" s="3"/>
      <c r="F925" s="79"/>
      <c r="H925" s="39"/>
      <c r="I925" s="3"/>
      <c r="J925" s="39"/>
      <c r="K925" s="3"/>
      <c r="L925" s="3"/>
      <c r="M925" s="3"/>
      <c r="N925" s="3"/>
      <c r="O925" s="3"/>
      <c r="P925" s="3"/>
      <c r="Q925" s="3"/>
      <c r="R925" s="3"/>
    </row>
    <row r="926" spans="1:18" ht="16.149999999999999" customHeight="1" x14ac:dyDescent="0.25">
      <c r="A926" s="84"/>
      <c r="B926" s="3"/>
      <c r="D926" s="3"/>
      <c r="F926" s="79"/>
      <c r="H926" s="39"/>
      <c r="I926" s="3"/>
      <c r="J926" s="39"/>
      <c r="K926" s="3"/>
      <c r="L926" s="3"/>
      <c r="M926" s="3"/>
      <c r="N926" s="3"/>
      <c r="O926" s="3"/>
      <c r="P926" s="3"/>
      <c r="Q926" s="3"/>
      <c r="R926" s="3"/>
    </row>
    <row r="927" spans="1:18" ht="16.149999999999999" customHeight="1" x14ac:dyDescent="0.25">
      <c r="A927" s="84"/>
      <c r="B927" s="3"/>
      <c r="D927" s="3"/>
      <c r="F927" s="79"/>
      <c r="H927" s="39"/>
      <c r="I927" s="3"/>
      <c r="J927" s="39"/>
      <c r="K927" s="3"/>
      <c r="L927" s="3"/>
      <c r="M927" s="3"/>
      <c r="N927" s="3"/>
      <c r="O927" s="3"/>
      <c r="P927" s="3"/>
      <c r="Q927" s="3"/>
      <c r="R927" s="3"/>
    </row>
    <row r="928" spans="1:18" ht="16.149999999999999" customHeight="1" x14ac:dyDescent="0.25">
      <c r="A928" s="84"/>
      <c r="B928" s="3"/>
      <c r="D928" s="3"/>
      <c r="F928" s="79"/>
      <c r="H928" s="39"/>
      <c r="I928" s="3"/>
      <c r="J928" s="39"/>
      <c r="K928" s="3"/>
      <c r="L928" s="3"/>
      <c r="M928" s="3"/>
      <c r="N928" s="3"/>
      <c r="O928" s="3"/>
      <c r="P928" s="3"/>
      <c r="Q928" s="3"/>
      <c r="R928" s="3"/>
    </row>
    <row r="929" spans="1:18" ht="16.149999999999999" customHeight="1" x14ac:dyDescent="0.25">
      <c r="A929" s="84"/>
      <c r="B929" s="3"/>
      <c r="D929" s="3"/>
      <c r="F929" s="79"/>
      <c r="H929" s="39"/>
      <c r="I929" s="3"/>
      <c r="J929" s="39"/>
      <c r="K929" s="3"/>
      <c r="L929" s="3"/>
      <c r="M929" s="3"/>
      <c r="N929" s="3"/>
      <c r="O929" s="3"/>
      <c r="P929" s="3"/>
      <c r="Q929" s="3"/>
      <c r="R929" s="3"/>
    </row>
    <row r="930" spans="1:18" ht="16.149999999999999" customHeight="1" x14ac:dyDescent="0.25">
      <c r="A930" s="84"/>
      <c r="B930" s="3"/>
      <c r="D930" s="3"/>
      <c r="F930" s="79"/>
      <c r="H930" s="39"/>
      <c r="I930" s="3"/>
      <c r="J930" s="39"/>
      <c r="K930" s="3"/>
      <c r="L930" s="3"/>
      <c r="M930" s="3"/>
      <c r="N930" s="3"/>
      <c r="O930" s="3"/>
      <c r="P930" s="3"/>
      <c r="Q930" s="3"/>
      <c r="R930" s="3"/>
    </row>
    <row r="931" spans="1:18" ht="16.149999999999999" customHeight="1" x14ac:dyDescent="0.25">
      <c r="A931" s="84"/>
      <c r="B931" s="3"/>
      <c r="D931" s="3"/>
      <c r="F931" s="79"/>
      <c r="H931" s="39"/>
      <c r="I931" s="3"/>
      <c r="J931" s="39"/>
      <c r="K931" s="3"/>
      <c r="L931" s="3"/>
      <c r="M931" s="3"/>
      <c r="N931" s="3"/>
      <c r="O931" s="3"/>
      <c r="P931" s="3"/>
      <c r="Q931" s="3"/>
      <c r="R931" s="3"/>
    </row>
    <row r="932" spans="1:18" ht="16.149999999999999" customHeight="1" x14ac:dyDescent="0.25">
      <c r="A932" s="84"/>
      <c r="B932" s="3"/>
      <c r="D932" s="3"/>
      <c r="F932" s="79"/>
      <c r="H932" s="39"/>
      <c r="I932" s="3"/>
      <c r="J932" s="39"/>
      <c r="K932" s="3"/>
      <c r="L932" s="3"/>
      <c r="M932" s="3"/>
      <c r="N932" s="3"/>
      <c r="O932" s="3"/>
      <c r="P932" s="3"/>
      <c r="Q932" s="3"/>
      <c r="R932" s="3"/>
    </row>
    <row r="933" spans="1:18" ht="16.149999999999999" customHeight="1" x14ac:dyDescent="0.25">
      <c r="A933" s="84"/>
      <c r="B933" s="3"/>
      <c r="D933" s="3"/>
      <c r="F933" s="79"/>
      <c r="H933" s="39"/>
      <c r="I933" s="3"/>
      <c r="J933" s="39"/>
      <c r="K933" s="3"/>
      <c r="L933" s="3"/>
      <c r="M933" s="3"/>
      <c r="N933" s="3"/>
      <c r="O933" s="3"/>
      <c r="P933" s="3"/>
      <c r="Q933" s="3"/>
      <c r="R933" s="3"/>
    </row>
    <row r="934" spans="1:18" ht="16.149999999999999" customHeight="1" x14ac:dyDescent="0.25">
      <c r="A934" s="84"/>
      <c r="B934" s="3"/>
      <c r="D934" s="3"/>
      <c r="F934" s="79"/>
      <c r="H934" s="39"/>
      <c r="I934" s="3"/>
      <c r="J934" s="39"/>
      <c r="K934" s="3"/>
      <c r="L934" s="3"/>
      <c r="M934" s="3"/>
      <c r="N934" s="3"/>
      <c r="O934" s="3"/>
      <c r="P934" s="3"/>
      <c r="Q934" s="3"/>
      <c r="R934" s="3"/>
    </row>
    <row r="935" spans="1:18" ht="16.149999999999999" customHeight="1" x14ac:dyDescent="0.25">
      <c r="A935" s="84"/>
      <c r="B935" s="3"/>
      <c r="D935" s="3"/>
      <c r="F935" s="79"/>
      <c r="H935" s="39"/>
      <c r="I935" s="3"/>
      <c r="J935" s="39"/>
      <c r="K935" s="3"/>
      <c r="L935" s="3"/>
      <c r="M935" s="3"/>
      <c r="N935" s="3"/>
      <c r="O935" s="3"/>
      <c r="P935" s="3"/>
      <c r="Q935" s="3"/>
      <c r="R935" s="3"/>
    </row>
    <row r="936" spans="1:18" ht="16.149999999999999" customHeight="1" x14ac:dyDescent="0.25">
      <c r="A936" s="84"/>
      <c r="B936" s="3"/>
      <c r="D936" s="3"/>
      <c r="F936" s="79"/>
      <c r="H936" s="39"/>
      <c r="I936" s="3"/>
      <c r="J936" s="39"/>
      <c r="K936" s="3"/>
      <c r="L936" s="3"/>
      <c r="M936" s="3"/>
      <c r="N936" s="3"/>
      <c r="O936" s="3"/>
      <c r="P936" s="3"/>
      <c r="Q936" s="3"/>
      <c r="R936" s="3"/>
    </row>
    <row r="937" spans="1:18" ht="16.149999999999999" customHeight="1" x14ac:dyDescent="0.25">
      <c r="A937" s="84"/>
      <c r="B937" s="3"/>
      <c r="D937" s="3"/>
      <c r="F937" s="79"/>
      <c r="H937" s="39"/>
      <c r="I937" s="3"/>
      <c r="J937" s="39"/>
      <c r="K937" s="3"/>
      <c r="L937" s="3"/>
      <c r="M937" s="3"/>
      <c r="N937" s="3"/>
      <c r="O937" s="3"/>
      <c r="P937" s="3"/>
      <c r="Q937" s="3"/>
      <c r="R937" s="3"/>
    </row>
    <row r="938" spans="1:18" ht="16.149999999999999" customHeight="1" x14ac:dyDescent="0.25">
      <c r="A938" s="84"/>
      <c r="B938" s="3"/>
      <c r="D938" s="3"/>
      <c r="F938" s="79"/>
      <c r="H938" s="39"/>
      <c r="I938" s="3"/>
      <c r="J938" s="39"/>
      <c r="K938" s="3"/>
      <c r="L938" s="3"/>
      <c r="M938" s="3"/>
      <c r="N938" s="3"/>
      <c r="O938" s="3"/>
      <c r="P938" s="3"/>
      <c r="Q938" s="3"/>
      <c r="R938" s="3"/>
    </row>
    <row r="939" spans="1:18" ht="16.149999999999999" customHeight="1" x14ac:dyDescent="0.25">
      <c r="A939" s="84"/>
      <c r="B939" s="3"/>
      <c r="D939" s="3"/>
      <c r="F939" s="79"/>
      <c r="H939" s="39"/>
      <c r="I939" s="3"/>
      <c r="J939" s="39"/>
      <c r="K939" s="3"/>
      <c r="L939" s="3"/>
      <c r="M939" s="3"/>
      <c r="N939" s="3"/>
      <c r="O939" s="3"/>
      <c r="P939" s="3"/>
      <c r="Q939" s="3"/>
      <c r="R939" s="3"/>
    </row>
    <row r="940" spans="1:18" ht="16.149999999999999" customHeight="1" x14ac:dyDescent="0.25">
      <c r="A940" s="84"/>
      <c r="B940" s="3"/>
      <c r="D940" s="3"/>
      <c r="F940" s="79"/>
      <c r="H940" s="39"/>
      <c r="I940" s="3"/>
      <c r="J940" s="39"/>
      <c r="K940" s="3"/>
      <c r="L940" s="3"/>
      <c r="M940" s="3"/>
      <c r="N940" s="3"/>
      <c r="O940" s="3"/>
      <c r="P940" s="3"/>
      <c r="Q940" s="3"/>
      <c r="R940" s="3"/>
    </row>
    <row r="941" spans="1:18" ht="16.149999999999999" customHeight="1" x14ac:dyDescent="0.25">
      <c r="A941" s="84"/>
      <c r="B941" s="3"/>
      <c r="D941" s="3"/>
      <c r="F941" s="79"/>
      <c r="H941" s="39"/>
      <c r="I941" s="3"/>
      <c r="J941" s="39"/>
      <c r="K941" s="3"/>
      <c r="L941" s="3"/>
      <c r="M941" s="3"/>
      <c r="N941" s="3"/>
      <c r="O941" s="3"/>
      <c r="P941" s="3"/>
      <c r="Q941" s="3"/>
      <c r="R941" s="3"/>
    </row>
    <row r="942" spans="1:18" ht="16.149999999999999" customHeight="1" x14ac:dyDescent="0.25">
      <c r="A942" s="84"/>
      <c r="B942" s="3"/>
      <c r="D942" s="3"/>
      <c r="F942" s="79"/>
      <c r="H942" s="39"/>
      <c r="I942" s="3"/>
      <c r="J942" s="39"/>
      <c r="K942" s="3"/>
      <c r="L942" s="3"/>
      <c r="M942" s="3"/>
      <c r="N942" s="3"/>
      <c r="O942" s="3"/>
      <c r="P942" s="3"/>
      <c r="Q942" s="3"/>
      <c r="R942" s="3"/>
    </row>
    <row r="943" spans="1:18" ht="16.149999999999999" customHeight="1" x14ac:dyDescent="0.25">
      <c r="A943" s="84"/>
      <c r="B943" s="3"/>
      <c r="D943" s="3"/>
      <c r="F943" s="79"/>
      <c r="H943" s="39"/>
      <c r="I943" s="3"/>
      <c r="J943" s="39"/>
      <c r="K943" s="3"/>
      <c r="L943" s="3"/>
      <c r="M943" s="3"/>
      <c r="N943" s="3"/>
      <c r="O943" s="3"/>
      <c r="P943" s="3"/>
      <c r="Q943" s="3"/>
      <c r="R943" s="3"/>
    </row>
    <row r="944" spans="1:18" ht="16.149999999999999" customHeight="1" x14ac:dyDescent="0.25">
      <c r="A944" s="84"/>
      <c r="B944" s="3"/>
      <c r="D944" s="3"/>
      <c r="F944" s="79"/>
      <c r="H944" s="39"/>
      <c r="I944" s="3"/>
      <c r="J944" s="39"/>
      <c r="K944" s="3"/>
      <c r="L944" s="3"/>
      <c r="M944" s="3"/>
      <c r="N944" s="3"/>
      <c r="O944" s="3"/>
      <c r="P944" s="3"/>
      <c r="Q944" s="3"/>
      <c r="R944" s="3"/>
    </row>
    <row r="945" spans="1:18" ht="16.149999999999999" customHeight="1" x14ac:dyDescent="0.25">
      <c r="A945" s="84"/>
      <c r="B945" s="3"/>
      <c r="D945" s="3"/>
      <c r="F945" s="79"/>
      <c r="H945" s="39"/>
      <c r="I945" s="3"/>
      <c r="J945" s="39"/>
      <c r="K945" s="3"/>
      <c r="L945" s="3"/>
      <c r="M945" s="3"/>
      <c r="N945" s="3"/>
      <c r="O945" s="3"/>
      <c r="P945" s="3"/>
      <c r="Q945" s="3"/>
      <c r="R945" s="3"/>
    </row>
    <row r="946" spans="1:18" ht="16.149999999999999" customHeight="1" x14ac:dyDescent="0.25">
      <c r="A946" s="84"/>
      <c r="B946" s="3"/>
      <c r="D946" s="3"/>
      <c r="F946" s="79"/>
      <c r="H946" s="39"/>
      <c r="I946" s="3"/>
      <c r="J946" s="39"/>
      <c r="K946" s="3"/>
      <c r="L946" s="3"/>
      <c r="M946" s="3"/>
      <c r="N946" s="3"/>
      <c r="O946" s="3"/>
      <c r="P946" s="3"/>
      <c r="Q946" s="3"/>
      <c r="R946" s="3"/>
    </row>
    <row r="947" spans="1:18" ht="16.149999999999999" customHeight="1" x14ac:dyDescent="0.25">
      <c r="A947" s="84"/>
      <c r="B947" s="3"/>
      <c r="D947" s="3"/>
      <c r="F947" s="79"/>
      <c r="H947" s="39"/>
      <c r="I947" s="3"/>
      <c r="J947" s="39"/>
      <c r="K947" s="3"/>
      <c r="L947" s="3"/>
      <c r="M947" s="3"/>
      <c r="N947" s="3"/>
      <c r="O947" s="3"/>
      <c r="P947" s="3"/>
      <c r="Q947" s="3"/>
      <c r="R947" s="3"/>
    </row>
    <row r="948" spans="1:18" ht="16.149999999999999" customHeight="1" x14ac:dyDescent="0.25">
      <c r="A948" s="84"/>
      <c r="B948" s="3"/>
      <c r="D948" s="3"/>
      <c r="F948" s="79"/>
      <c r="H948" s="39"/>
      <c r="I948" s="3"/>
      <c r="J948" s="39"/>
      <c r="K948" s="3"/>
      <c r="L948" s="3"/>
      <c r="M948" s="3"/>
      <c r="N948" s="3"/>
      <c r="O948" s="3"/>
      <c r="P948" s="3"/>
      <c r="Q948" s="3"/>
      <c r="R948" s="3"/>
    </row>
    <row r="949" spans="1:18" ht="16.149999999999999" customHeight="1" x14ac:dyDescent="0.25">
      <c r="A949" s="84"/>
      <c r="B949" s="3"/>
      <c r="D949" s="3"/>
      <c r="F949" s="79"/>
      <c r="H949" s="39"/>
      <c r="I949" s="3"/>
      <c r="J949" s="39"/>
      <c r="K949" s="3"/>
      <c r="L949" s="3"/>
      <c r="M949" s="3"/>
      <c r="N949" s="3"/>
      <c r="O949" s="3"/>
      <c r="P949" s="3"/>
      <c r="Q949" s="3"/>
      <c r="R949" s="3"/>
    </row>
    <row r="950" spans="1:18" ht="16.149999999999999" customHeight="1" x14ac:dyDescent="0.25">
      <c r="A950" s="84"/>
      <c r="B950" s="3"/>
      <c r="D950" s="3"/>
      <c r="F950" s="79"/>
      <c r="H950" s="39"/>
      <c r="I950" s="3"/>
      <c r="J950" s="39"/>
      <c r="K950" s="3"/>
      <c r="L950" s="3"/>
      <c r="M950" s="3"/>
      <c r="N950" s="3"/>
      <c r="O950" s="3"/>
      <c r="P950" s="3"/>
      <c r="Q950" s="3"/>
      <c r="R950" s="3"/>
    </row>
    <row r="951" spans="1:18" ht="16.149999999999999" customHeight="1" x14ac:dyDescent="0.25">
      <c r="A951" s="84"/>
      <c r="B951" s="3"/>
      <c r="D951" s="3"/>
      <c r="F951" s="79"/>
      <c r="H951" s="39"/>
      <c r="I951" s="3"/>
      <c r="J951" s="39"/>
      <c r="K951" s="3"/>
      <c r="L951" s="3"/>
      <c r="M951" s="3"/>
      <c r="N951" s="3"/>
      <c r="O951" s="3"/>
      <c r="P951" s="3"/>
      <c r="Q951" s="3"/>
      <c r="R951" s="3"/>
    </row>
    <row r="952" spans="1:18" ht="16.149999999999999" customHeight="1" x14ac:dyDescent="0.25">
      <c r="A952" s="84"/>
      <c r="B952" s="3"/>
      <c r="D952" s="3"/>
      <c r="F952" s="79"/>
      <c r="H952" s="39"/>
      <c r="I952" s="3"/>
      <c r="J952" s="39"/>
      <c r="K952" s="3"/>
      <c r="L952" s="3"/>
      <c r="M952" s="3"/>
      <c r="N952" s="3"/>
      <c r="O952" s="3"/>
      <c r="P952" s="3"/>
      <c r="Q952" s="3"/>
      <c r="R952" s="3"/>
    </row>
    <row r="953" spans="1:18" ht="16.149999999999999" customHeight="1" x14ac:dyDescent="0.25">
      <c r="A953" s="84"/>
      <c r="B953" s="3"/>
      <c r="D953" s="3"/>
      <c r="F953" s="79"/>
      <c r="H953" s="39"/>
      <c r="I953" s="3"/>
      <c r="J953" s="39"/>
      <c r="K953" s="3"/>
      <c r="L953" s="3"/>
      <c r="M953" s="3"/>
      <c r="N953" s="3"/>
      <c r="O953" s="3"/>
      <c r="P953" s="3"/>
      <c r="Q953" s="3"/>
      <c r="R953" s="3"/>
    </row>
    <row r="954" spans="1:18" ht="16.149999999999999" customHeight="1" x14ac:dyDescent="0.25">
      <c r="A954" s="84"/>
      <c r="B954" s="3"/>
      <c r="D954" s="3"/>
      <c r="F954" s="79"/>
      <c r="H954" s="39"/>
      <c r="I954" s="3"/>
      <c r="J954" s="39"/>
      <c r="K954" s="3"/>
      <c r="L954" s="3"/>
      <c r="M954" s="3"/>
      <c r="N954" s="3"/>
      <c r="O954" s="3"/>
      <c r="P954" s="3"/>
      <c r="Q954" s="3"/>
      <c r="R954" s="3"/>
    </row>
    <row r="955" spans="1:18" ht="16.149999999999999" customHeight="1" x14ac:dyDescent="0.25">
      <c r="A955" s="84"/>
      <c r="B955" s="3"/>
      <c r="D955" s="3"/>
      <c r="F955" s="79"/>
      <c r="H955" s="39"/>
      <c r="I955" s="3"/>
      <c r="J955" s="39"/>
      <c r="K955" s="3"/>
      <c r="L955" s="3"/>
      <c r="M955" s="3"/>
      <c r="N955" s="3"/>
      <c r="O955" s="3"/>
      <c r="P955" s="3"/>
      <c r="Q955" s="3"/>
      <c r="R955" s="3"/>
    </row>
    <row r="956" spans="1:18" ht="16.149999999999999" customHeight="1" x14ac:dyDescent="0.25">
      <c r="A956" s="84"/>
      <c r="B956" s="3"/>
      <c r="D956" s="3"/>
      <c r="F956" s="79"/>
      <c r="H956" s="39"/>
      <c r="I956" s="3"/>
      <c r="J956" s="39"/>
      <c r="K956" s="3"/>
      <c r="L956" s="3"/>
      <c r="M956" s="3"/>
      <c r="N956" s="3"/>
      <c r="O956" s="3"/>
      <c r="P956" s="3"/>
      <c r="Q956" s="3"/>
      <c r="R956" s="3"/>
    </row>
    <row r="957" spans="1:18" ht="16.149999999999999" customHeight="1" x14ac:dyDescent="0.25">
      <c r="A957" s="84"/>
      <c r="B957" s="3"/>
      <c r="D957" s="3"/>
      <c r="F957" s="79"/>
      <c r="H957" s="39"/>
      <c r="I957" s="3"/>
      <c r="J957" s="39"/>
      <c r="K957" s="3"/>
      <c r="L957" s="3"/>
      <c r="M957" s="3"/>
      <c r="N957" s="3"/>
      <c r="O957" s="3"/>
      <c r="P957" s="3"/>
      <c r="Q957" s="3"/>
      <c r="R957" s="3"/>
    </row>
    <row r="958" spans="1:18" ht="16.149999999999999" customHeight="1" x14ac:dyDescent="0.25">
      <c r="A958" s="84"/>
      <c r="B958" s="3"/>
      <c r="D958" s="3"/>
      <c r="F958" s="79"/>
      <c r="H958" s="39"/>
      <c r="I958" s="3"/>
      <c r="J958" s="39"/>
      <c r="K958" s="3"/>
      <c r="L958" s="3"/>
      <c r="M958" s="3"/>
      <c r="N958" s="3"/>
      <c r="O958" s="3"/>
      <c r="P958" s="3"/>
      <c r="Q958" s="3"/>
      <c r="R958" s="3"/>
    </row>
    <row r="959" spans="1:18" ht="16.149999999999999" customHeight="1" x14ac:dyDescent="0.25">
      <c r="A959" s="84"/>
      <c r="B959" s="3"/>
      <c r="D959" s="3"/>
      <c r="F959" s="79"/>
      <c r="H959" s="39"/>
      <c r="I959" s="3"/>
      <c r="J959" s="39"/>
      <c r="K959" s="3"/>
      <c r="L959" s="3"/>
      <c r="M959" s="3"/>
      <c r="N959" s="3"/>
      <c r="O959" s="3"/>
      <c r="P959" s="3"/>
      <c r="Q959" s="3"/>
      <c r="R959" s="3"/>
    </row>
    <row r="960" spans="1:18" ht="16.149999999999999" customHeight="1" x14ac:dyDescent="0.25">
      <c r="A960" s="84"/>
      <c r="B960" s="3"/>
      <c r="D960" s="3"/>
      <c r="F960" s="79"/>
      <c r="H960" s="39"/>
      <c r="I960" s="3"/>
      <c r="J960" s="39"/>
      <c r="K960" s="3"/>
      <c r="L960" s="3"/>
      <c r="M960" s="3"/>
      <c r="N960" s="3"/>
      <c r="O960" s="3"/>
      <c r="P960" s="3"/>
      <c r="Q960" s="3"/>
      <c r="R960" s="3"/>
    </row>
    <row r="961" spans="1:18" ht="16.149999999999999" customHeight="1" x14ac:dyDescent="0.25">
      <c r="A961" s="84"/>
      <c r="B961" s="3"/>
      <c r="D961" s="3"/>
      <c r="F961" s="79"/>
      <c r="H961" s="39"/>
      <c r="I961" s="3"/>
      <c r="J961" s="39"/>
      <c r="K961" s="3"/>
      <c r="L961" s="3"/>
      <c r="M961" s="3"/>
      <c r="N961" s="3"/>
      <c r="O961" s="3"/>
      <c r="P961" s="3"/>
      <c r="Q961" s="3"/>
      <c r="R961" s="3"/>
    </row>
    <row r="962" spans="1:18" ht="16.149999999999999" customHeight="1" x14ac:dyDescent="0.25">
      <c r="A962" s="84"/>
      <c r="B962" s="3"/>
      <c r="D962" s="3"/>
      <c r="F962" s="79"/>
      <c r="H962" s="39"/>
      <c r="I962" s="3"/>
      <c r="J962" s="39"/>
      <c r="K962" s="3"/>
      <c r="L962" s="3"/>
      <c r="M962" s="3"/>
      <c r="N962" s="3"/>
      <c r="O962" s="3"/>
      <c r="P962" s="3"/>
      <c r="Q962" s="3"/>
      <c r="R962" s="3"/>
    </row>
    <row r="963" spans="1:18" ht="16.149999999999999" customHeight="1" x14ac:dyDescent="0.25">
      <c r="A963" s="84"/>
      <c r="B963" s="3"/>
      <c r="D963" s="3"/>
      <c r="F963" s="79"/>
      <c r="H963" s="39"/>
      <c r="I963" s="3"/>
      <c r="J963" s="39"/>
      <c r="K963" s="3"/>
      <c r="L963" s="3"/>
      <c r="M963" s="3"/>
      <c r="N963" s="3"/>
      <c r="O963" s="3"/>
      <c r="P963" s="3"/>
      <c r="Q963" s="3"/>
      <c r="R963" s="3"/>
    </row>
    <row r="964" spans="1:18" ht="16.149999999999999" customHeight="1" x14ac:dyDescent="0.25">
      <c r="A964" s="84"/>
      <c r="B964" s="3"/>
      <c r="D964" s="3"/>
      <c r="F964" s="79"/>
      <c r="H964" s="39"/>
      <c r="I964" s="3"/>
      <c r="J964" s="39"/>
      <c r="K964" s="3"/>
      <c r="L964" s="3"/>
      <c r="M964" s="3"/>
      <c r="N964" s="3"/>
      <c r="O964" s="3"/>
      <c r="P964" s="3"/>
      <c r="Q964" s="3"/>
      <c r="R964" s="3"/>
    </row>
    <row r="965" spans="1:18" ht="16.149999999999999" customHeight="1" x14ac:dyDescent="0.25">
      <c r="A965" s="84"/>
      <c r="B965" s="3"/>
      <c r="D965" s="3"/>
      <c r="F965" s="79"/>
      <c r="H965" s="39"/>
      <c r="I965" s="3"/>
      <c r="J965" s="39"/>
      <c r="K965" s="3"/>
      <c r="L965" s="3"/>
      <c r="M965" s="3"/>
      <c r="N965" s="3"/>
      <c r="O965" s="3"/>
      <c r="P965" s="3"/>
      <c r="Q965" s="3"/>
      <c r="R965" s="3"/>
    </row>
    <row r="966" spans="1:18" ht="16.149999999999999" customHeight="1" x14ac:dyDescent="0.25">
      <c r="A966" s="84"/>
      <c r="B966" s="3"/>
      <c r="D966" s="3"/>
      <c r="F966" s="79"/>
      <c r="H966" s="39"/>
      <c r="I966" s="3"/>
      <c r="J966" s="39"/>
      <c r="K966" s="3"/>
      <c r="L966" s="3"/>
      <c r="M966" s="3"/>
      <c r="N966" s="3"/>
      <c r="O966" s="3"/>
      <c r="P966" s="3"/>
      <c r="Q966" s="3"/>
      <c r="R966" s="3"/>
    </row>
    <row r="967" spans="1:18" ht="16.149999999999999" customHeight="1" x14ac:dyDescent="0.25">
      <c r="A967" s="84"/>
      <c r="B967" s="3"/>
      <c r="D967" s="3"/>
      <c r="F967" s="79"/>
      <c r="H967" s="39"/>
      <c r="I967" s="3"/>
      <c r="J967" s="39"/>
      <c r="K967" s="3"/>
      <c r="L967" s="3"/>
      <c r="M967" s="3"/>
      <c r="N967" s="3"/>
      <c r="O967" s="3"/>
      <c r="P967" s="3"/>
      <c r="Q967" s="3"/>
      <c r="R967" s="3"/>
    </row>
    <row r="968" spans="1:18" ht="16.149999999999999" customHeight="1" x14ac:dyDescent="0.25">
      <c r="A968" s="84"/>
      <c r="B968" s="3"/>
      <c r="D968" s="3"/>
      <c r="F968" s="79"/>
      <c r="H968" s="39"/>
      <c r="I968" s="3"/>
      <c r="J968" s="39"/>
      <c r="K968" s="3"/>
      <c r="L968" s="3"/>
      <c r="M968" s="3"/>
      <c r="N968" s="3"/>
      <c r="O968" s="3"/>
      <c r="P968" s="3"/>
      <c r="Q968" s="3"/>
      <c r="R968" s="3"/>
    </row>
    <row r="969" spans="1:18" ht="16.149999999999999" customHeight="1" x14ac:dyDescent="0.25">
      <c r="A969" s="84"/>
      <c r="B969" s="3"/>
      <c r="D969" s="3"/>
      <c r="F969" s="79"/>
      <c r="H969" s="39"/>
      <c r="I969" s="3"/>
      <c r="J969" s="39"/>
      <c r="K969" s="3"/>
      <c r="L969" s="3"/>
      <c r="M969" s="3"/>
      <c r="N969" s="3"/>
      <c r="O969" s="3"/>
      <c r="P969" s="3"/>
      <c r="Q969" s="3"/>
      <c r="R969" s="3"/>
    </row>
    <row r="970" spans="1:18" ht="16.149999999999999" customHeight="1" x14ac:dyDescent="0.25">
      <c r="A970" s="84"/>
      <c r="B970" s="3"/>
      <c r="D970" s="3"/>
      <c r="F970" s="79"/>
      <c r="H970" s="39"/>
      <c r="I970" s="3"/>
      <c r="J970" s="39"/>
      <c r="K970" s="3"/>
      <c r="L970" s="3"/>
      <c r="M970" s="3"/>
      <c r="N970" s="3"/>
      <c r="O970" s="3"/>
      <c r="P970" s="3"/>
      <c r="Q970" s="3"/>
      <c r="R970" s="3"/>
    </row>
    <row r="971" spans="1:18" ht="16.149999999999999" customHeight="1" x14ac:dyDescent="0.25">
      <c r="A971" s="84"/>
      <c r="B971" s="3"/>
      <c r="D971" s="3"/>
      <c r="F971" s="79"/>
      <c r="H971" s="39"/>
      <c r="I971" s="3"/>
      <c r="J971" s="39"/>
      <c r="K971" s="3"/>
      <c r="L971" s="3"/>
      <c r="M971" s="3"/>
      <c r="N971" s="3"/>
      <c r="O971" s="3"/>
      <c r="P971" s="3"/>
      <c r="Q971" s="3"/>
      <c r="R971" s="3"/>
    </row>
    <row r="972" spans="1:18" ht="16.149999999999999" customHeight="1" x14ac:dyDescent="0.25">
      <c r="A972" s="84"/>
      <c r="B972" s="3"/>
      <c r="D972" s="3"/>
      <c r="F972" s="79"/>
      <c r="H972" s="39"/>
      <c r="I972" s="3"/>
      <c r="J972" s="39"/>
      <c r="K972" s="3"/>
      <c r="L972" s="3"/>
      <c r="M972" s="3"/>
      <c r="N972" s="3"/>
      <c r="O972" s="3"/>
      <c r="P972" s="3"/>
      <c r="Q972" s="3"/>
      <c r="R972" s="3"/>
    </row>
    <row r="973" spans="1:18" ht="16.149999999999999" customHeight="1" x14ac:dyDescent="0.25">
      <c r="A973" s="84"/>
      <c r="B973" s="3"/>
      <c r="D973" s="3"/>
      <c r="F973" s="79"/>
      <c r="H973" s="39"/>
      <c r="I973" s="3"/>
      <c r="J973" s="39"/>
      <c r="K973" s="3"/>
      <c r="L973" s="3"/>
      <c r="M973" s="3"/>
      <c r="N973" s="3"/>
      <c r="O973" s="3"/>
      <c r="P973" s="3"/>
      <c r="Q973" s="3"/>
      <c r="R973" s="3"/>
    </row>
    <row r="974" spans="1:18" ht="16.149999999999999" customHeight="1" x14ac:dyDescent="0.25">
      <c r="A974" s="84"/>
      <c r="B974" s="3"/>
      <c r="D974" s="3"/>
      <c r="F974" s="79"/>
      <c r="H974" s="39"/>
      <c r="I974" s="3"/>
      <c r="J974" s="39"/>
      <c r="K974" s="3"/>
      <c r="L974" s="3"/>
      <c r="M974" s="3"/>
      <c r="N974" s="3"/>
      <c r="O974" s="3"/>
      <c r="P974" s="3"/>
      <c r="Q974" s="3"/>
      <c r="R974" s="3"/>
    </row>
    <row r="975" spans="1:18" ht="16.149999999999999" customHeight="1" x14ac:dyDescent="0.25">
      <c r="A975" s="84"/>
      <c r="B975" s="3"/>
      <c r="D975" s="3"/>
      <c r="F975" s="79"/>
      <c r="H975" s="39"/>
      <c r="I975" s="3"/>
      <c r="J975" s="39"/>
      <c r="K975" s="3"/>
      <c r="L975" s="3"/>
      <c r="M975" s="3"/>
      <c r="N975" s="3"/>
      <c r="O975" s="3"/>
      <c r="P975" s="3"/>
      <c r="Q975" s="3"/>
      <c r="R975" s="3"/>
    </row>
    <row r="976" spans="1:18" ht="16.149999999999999" customHeight="1" x14ac:dyDescent="0.25">
      <c r="A976" s="84"/>
      <c r="B976" s="3"/>
      <c r="D976" s="3"/>
      <c r="F976" s="79"/>
      <c r="H976" s="39"/>
      <c r="I976" s="3"/>
      <c r="J976" s="39"/>
      <c r="K976" s="3"/>
      <c r="L976" s="3"/>
      <c r="M976" s="3"/>
      <c r="N976" s="3"/>
      <c r="O976" s="3"/>
      <c r="P976" s="3"/>
      <c r="Q976" s="3"/>
      <c r="R976" s="3"/>
    </row>
    <row r="977" spans="1:18" ht="16.149999999999999" customHeight="1" x14ac:dyDescent="0.25">
      <c r="A977" s="84"/>
      <c r="B977" s="3"/>
      <c r="D977" s="3"/>
      <c r="F977" s="79"/>
      <c r="H977" s="39"/>
      <c r="I977" s="3"/>
      <c r="J977" s="39"/>
      <c r="K977" s="3"/>
      <c r="L977" s="3"/>
      <c r="M977" s="3"/>
      <c r="N977" s="3"/>
      <c r="O977" s="3"/>
      <c r="P977" s="3"/>
      <c r="Q977" s="3"/>
      <c r="R977" s="3"/>
    </row>
    <row r="978" spans="1:18" ht="16.149999999999999" customHeight="1" x14ac:dyDescent="0.25">
      <c r="A978" s="84"/>
      <c r="B978" s="3"/>
      <c r="D978" s="3"/>
      <c r="F978" s="79"/>
      <c r="H978" s="39"/>
      <c r="I978" s="3"/>
      <c r="J978" s="39"/>
      <c r="K978" s="3"/>
      <c r="L978" s="3"/>
      <c r="M978" s="3"/>
      <c r="N978" s="3"/>
      <c r="O978" s="3"/>
      <c r="P978" s="3"/>
      <c r="Q978" s="3"/>
      <c r="R978" s="3"/>
    </row>
    <row r="979" spans="1:18" ht="16.149999999999999" customHeight="1" x14ac:dyDescent="0.25">
      <c r="A979" s="84"/>
      <c r="B979" s="3"/>
      <c r="D979" s="3"/>
      <c r="F979" s="79"/>
      <c r="H979" s="39"/>
      <c r="I979" s="3"/>
      <c r="J979" s="39"/>
      <c r="K979" s="3"/>
      <c r="L979" s="3"/>
      <c r="M979" s="3"/>
      <c r="N979" s="3"/>
      <c r="O979" s="3"/>
      <c r="P979" s="3"/>
      <c r="Q979" s="3"/>
      <c r="R979" s="3"/>
    </row>
    <row r="980" spans="1:18" ht="16.149999999999999" customHeight="1" x14ac:dyDescent="0.25">
      <c r="A980" s="84"/>
      <c r="B980" s="3"/>
      <c r="D980" s="3"/>
      <c r="F980" s="79"/>
      <c r="H980" s="39"/>
      <c r="I980" s="3"/>
      <c r="J980" s="39"/>
      <c r="K980" s="3"/>
      <c r="L980" s="3"/>
      <c r="M980" s="3"/>
      <c r="N980" s="3"/>
      <c r="O980" s="3"/>
      <c r="P980" s="3"/>
      <c r="Q980" s="3"/>
      <c r="R980" s="3"/>
    </row>
    <row r="981" spans="1:18" ht="16.149999999999999" customHeight="1" x14ac:dyDescent="0.25">
      <c r="A981" s="84"/>
      <c r="B981" s="3"/>
      <c r="D981" s="3"/>
      <c r="F981" s="79"/>
      <c r="H981" s="39"/>
      <c r="I981" s="3"/>
      <c r="J981" s="39"/>
      <c r="K981" s="3"/>
      <c r="L981" s="3"/>
      <c r="M981" s="3"/>
      <c r="N981" s="3"/>
      <c r="O981" s="3"/>
      <c r="P981" s="3"/>
      <c r="Q981" s="3"/>
      <c r="R981" s="3"/>
    </row>
    <row r="982" spans="1:18" ht="16.149999999999999" customHeight="1" x14ac:dyDescent="0.25">
      <c r="A982" s="84"/>
      <c r="B982" s="3"/>
      <c r="D982" s="3"/>
      <c r="F982" s="79"/>
      <c r="H982" s="39"/>
      <c r="I982" s="3"/>
      <c r="J982" s="39"/>
      <c r="K982" s="3"/>
      <c r="L982" s="3"/>
      <c r="M982" s="3"/>
      <c r="N982" s="3"/>
      <c r="O982" s="3"/>
      <c r="P982" s="3"/>
      <c r="Q982" s="3"/>
      <c r="R982" s="3"/>
    </row>
    <row r="983" spans="1:18" ht="16.149999999999999" customHeight="1" x14ac:dyDescent="0.25">
      <c r="A983" s="84"/>
      <c r="B983" s="3"/>
      <c r="D983" s="3"/>
      <c r="F983" s="79"/>
      <c r="H983" s="39"/>
      <c r="I983" s="3"/>
      <c r="J983" s="39"/>
      <c r="K983" s="3"/>
      <c r="L983" s="3"/>
      <c r="M983" s="3"/>
      <c r="N983" s="3"/>
      <c r="O983" s="3"/>
      <c r="P983" s="3"/>
      <c r="Q983" s="3"/>
      <c r="R983" s="3"/>
    </row>
    <row r="984" spans="1:18" ht="16.149999999999999" customHeight="1" x14ac:dyDescent="0.25">
      <c r="A984" s="84"/>
      <c r="B984" s="3"/>
      <c r="D984" s="3"/>
      <c r="F984" s="79"/>
      <c r="H984" s="39"/>
      <c r="I984" s="3"/>
      <c r="J984" s="39"/>
      <c r="K984" s="3"/>
      <c r="L984" s="3"/>
      <c r="M984" s="3"/>
      <c r="N984" s="3"/>
      <c r="O984" s="3"/>
      <c r="P984" s="3"/>
      <c r="Q984" s="3"/>
      <c r="R984" s="3"/>
    </row>
    <row r="985" spans="1:18" ht="16.149999999999999" customHeight="1" x14ac:dyDescent="0.25">
      <c r="A985" s="84"/>
      <c r="B985" s="3"/>
      <c r="D985" s="3"/>
      <c r="F985" s="79"/>
      <c r="H985" s="39"/>
      <c r="I985" s="3"/>
      <c r="J985" s="39"/>
      <c r="K985" s="3"/>
      <c r="L985" s="3"/>
      <c r="M985" s="3"/>
      <c r="N985" s="3"/>
      <c r="O985" s="3"/>
      <c r="P985" s="3"/>
      <c r="Q985" s="3"/>
      <c r="R985" s="3"/>
    </row>
    <row r="986" spans="1:18" ht="16.149999999999999" customHeight="1" x14ac:dyDescent="0.25">
      <c r="A986" s="84"/>
      <c r="B986" s="3"/>
      <c r="D986" s="3"/>
      <c r="F986" s="79"/>
      <c r="H986" s="39"/>
      <c r="I986" s="3"/>
      <c r="J986" s="39"/>
      <c r="K986" s="3"/>
      <c r="L986" s="3"/>
      <c r="M986" s="3"/>
      <c r="N986" s="3"/>
      <c r="O986" s="3"/>
      <c r="P986" s="3"/>
      <c r="Q986" s="3"/>
      <c r="R986" s="3"/>
    </row>
    <row r="987" spans="1:18" ht="16.149999999999999" customHeight="1" x14ac:dyDescent="0.25">
      <c r="A987" s="84"/>
      <c r="B987" s="3"/>
      <c r="D987" s="3"/>
      <c r="F987" s="79"/>
      <c r="H987" s="39"/>
      <c r="I987" s="3"/>
      <c r="J987" s="39"/>
      <c r="K987" s="3"/>
      <c r="L987" s="3"/>
      <c r="M987" s="3"/>
      <c r="N987" s="3"/>
      <c r="O987" s="3"/>
      <c r="P987" s="3"/>
      <c r="Q987" s="3"/>
      <c r="R987" s="3"/>
    </row>
    <row r="988" spans="1:18" ht="16.149999999999999" customHeight="1" x14ac:dyDescent="0.25">
      <c r="A988" s="84"/>
      <c r="B988" s="3"/>
      <c r="D988" s="3"/>
      <c r="F988" s="79"/>
      <c r="H988" s="39"/>
      <c r="I988" s="3"/>
      <c r="J988" s="39"/>
      <c r="K988" s="3"/>
      <c r="L988" s="3"/>
      <c r="M988" s="3"/>
      <c r="N988" s="3"/>
      <c r="O988" s="3"/>
      <c r="P988" s="3"/>
      <c r="Q988" s="3"/>
      <c r="R988" s="3"/>
    </row>
    <row r="989" spans="1:18" ht="16.149999999999999" customHeight="1" x14ac:dyDescent="0.25">
      <c r="A989" s="84"/>
      <c r="B989" s="3"/>
      <c r="D989" s="3"/>
      <c r="F989" s="79"/>
      <c r="H989" s="39"/>
      <c r="I989" s="3"/>
      <c r="J989" s="39"/>
      <c r="K989" s="3"/>
      <c r="L989" s="3"/>
      <c r="M989" s="3"/>
      <c r="N989" s="3"/>
      <c r="O989" s="3"/>
      <c r="P989" s="3"/>
      <c r="Q989" s="3"/>
      <c r="R989" s="3"/>
    </row>
    <row r="990" spans="1:18" ht="16.149999999999999" customHeight="1" x14ac:dyDescent="0.25">
      <c r="A990" s="84"/>
      <c r="B990" s="3"/>
      <c r="D990" s="3"/>
      <c r="F990" s="79"/>
      <c r="H990" s="39"/>
      <c r="I990" s="3"/>
      <c r="J990" s="39"/>
      <c r="K990" s="3"/>
      <c r="L990" s="3"/>
      <c r="M990" s="3"/>
      <c r="N990" s="3"/>
      <c r="O990" s="3"/>
      <c r="P990" s="3"/>
      <c r="Q990" s="3"/>
      <c r="R990" s="3"/>
    </row>
    <row r="991" spans="1:18" ht="16.149999999999999" customHeight="1" x14ac:dyDescent="0.25">
      <c r="A991" s="84"/>
      <c r="B991" s="3"/>
      <c r="D991" s="3"/>
      <c r="F991" s="79"/>
      <c r="H991" s="39"/>
      <c r="I991" s="3"/>
      <c r="J991" s="39"/>
      <c r="K991" s="3"/>
      <c r="L991" s="3"/>
      <c r="M991" s="3"/>
      <c r="N991" s="3"/>
      <c r="O991" s="3"/>
      <c r="P991" s="3"/>
      <c r="Q991" s="3"/>
      <c r="R991" s="3"/>
    </row>
    <row r="992" spans="1:18" ht="16.149999999999999" customHeight="1" x14ac:dyDescent="0.25">
      <c r="A992" s="84"/>
      <c r="B992" s="3"/>
      <c r="D992" s="3"/>
      <c r="F992" s="79"/>
      <c r="H992" s="39"/>
      <c r="I992" s="3"/>
      <c r="J992" s="39"/>
      <c r="K992" s="3"/>
      <c r="L992" s="3"/>
      <c r="M992" s="3"/>
      <c r="N992" s="3"/>
      <c r="O992" s="3"/>
      <c r="P992" s="3"/>
      <c r="Q992" s="3"/>
      <c r="R992" s="3"/>
    </row>
    <row r="993" spans="1:18" ht="16.149999999999999" customHeight="1" x14ac:dyDescent="0.25">
      <c r="A993" s="84"/>
      <c r="B993" s="3"/>
      <c r="D993" s="3"/>
      <c r="F993" s="79"/>
      <c r="H993" s="39"/>
      <c r="I993" s="3"/>
      <c r="J993" s="39"/>
      <c r="K993" s="3"/>
      <c r="L993" s="3"/>
      <c r="M993" s="3"/>
      <c r="N993" s="3"/>
      <c r="O993" s="3"/>
      <c r="P993" s="3"/>
      <c r="Q993" s="3"/>
      <c r="R993" s="3"/>
    </row>
    <row r="994" spans="1:18" ht="16.149999999999999" customHeight="1" x14ac:dyDescent="0.25">
      <c r="A994" s="84"/>
      <c r="B994" s="3"/>
      <c r="D994" s="3"/>
      <c r="F994" s="79"/>
      <c r="H994" s="39"/>
      <c r="I994" s="3"/>
      <c r="J994" s="39"/>
      <c r="K994" s="3"/>
      <c r="L994" s="3"/>
      <c r="M994" s="3"/>
      <c r="N994" s="3"/>
      <c r="O994" s="3"/>
      <c r="P994" s="3"/>
      <c r="Q994" s="3"/>
      <c r="R994" s="3"/>
    </row>
    <row r="995" spans="1:18" ht="16.149999999999999" customHeight="1" x14ac:dyDescent="0.25">
      <c r="A995" s="84"/>
      <c r="B995" s="3"/>
      <c r="D995" s="3"/>
      <c r="F995" s="79"/>
      <c r="H995" s="39"/>
      <c r="I995" s="3"/>
      <c r="J995" s="39"/>
      <c r="K995" s="3"/>
      <c r="L995" s="3"/>
      <c r="M995" s="3"/>
      <c r="N995" s="3"/>
      <c r="O995" s="3"/>
      <c r="P995" s="3"/>
      <c r="Q995" s="3"/>
      <c r="R995" s="3"/>
    </row>
    <row r="996" spans="1:18" ht="16.149999999999999" customHeight="1" x14ac:dyDescent="0.25">
      <c r="A996" s="84"/>
      <c r="B996" s="3"/>
      <c r="D996" s="3"/>
      <c r="F996" s="79"/>
      <c r="H996" s="39"/>
      <c r="I996" s="3"/>
      <c r="J996" s="39"/>
      <c r="K996" s="3"/>
      <c r="L996" s="3"/>
      <c r="M996" s="3"/>
      <c r="N996" s="3"/>
      <c r="O996" s="3"/>
      <c r="P996" s="3"/>
      <c r="Q996" s="3"/>
      <c r="R996" s="3"/>
    </row>
    <row r="997" spans="1:18" ht="16.149999999999999" customHeight="1" x14ac:dyDescent="0.25">
      <c r="A997" s="84"/>
      <c r="B997" s="3"/>
      <c r="D997" s="3"/>
      <c r="F997" s="79"/>
      <c r="H997" s="39"/>
      <c r="I997" s="3"/>
      <c r="J997" s="39"/>
      <c r="K997" s="3"/>
      <c r="L997" s="3"/>
      <c r="M997" s="3"/>
      <c r="N997" s="3"/>
      <c r="O997" s="3"/>
      <c r="P997" s="3"/>
      <c r="Q997" s="3"/>
      <c r="R997" s="3"/>
    </row>
    <row r="998" spans="1:18" ht="16.149999999999999" customHeight="1" x14ac:dyDescent="0.25">
      <c r="A998" s="84"/>
      <c r="B998" s="3"/>
      <c r="D998" s="3"/>
      <c r="F998" s="79"/>
      <c r="H998" s="39"/>
      <c r="I998" s="3"/>
      <c r="J998" s="39"/>
      <c r="K998" s="3"/>
      <c r="L998" s="3"/>
      <c r="M998" s="3"/>
      <c r="N998" s="3"/>
      <c r="O998" s="3"/>
      <c r="P998" s="3"/>
      <c r="Q998" s="3"/>
      <c r="R998" s="3"/>
    </row>
    <row r="999" spans="1:18" ht="16.149999999999999" customHeight="1" x14ac:dyDescent="0.25">
      <c r="A999" s="84"/>
      <c r="B999" s="3"/>
      <c r="D999" s="3"/>
      <c r="F999" s="79"/>
      <c r="H999" s="39"/>
      <c r="I999" s="3"/>
      <c r="J999" s="39"/>
      <c r="K999" s="3"/>
      <c r="L999" s="3"/>
      <c r="M999" s="3"/>
      <c r="N999" s="3"/>
      <c r="O999" s="3"/>
      <c r="P999" s="3"/>
      <c r="Q999" s="3"/>
      <c r="R999" s="3"/>
    </row>
    <row r="1000" spans="1:18" ht="16.149999999999999" customHeight="1" x14ac:dyDescent="0.25">
      <c r="A1000" s="84"/>
      <c r="B1000" s="3"/>
      <c r="D1000" s="3"/>
      <c r="F1000" s="79"/>
      <c r="H1000" s="39"/>
      <c r="I1000" s="3"/>
      <c r="J1000" s="39"/>
      <c r="K1000" s="3"/>
      <c r="L1000" s="3"/>
      <c r="M1000" s="3"/>
      <c r="N1000" s="3"/>
      <c r="O1000" s="3"/>
      <c r="P1000" s="3"/>
      <c r="Q1000" s="3"/>
      <c r="R1000" s="3"/>
    </row>
    <row r="1001" spans="1:18" ht="16.149999999999999" customHeight="1" x14ac:dyDescent="0.25">
      <c r="A1001" s="84"/>
      <c r="B1001" s="3"/>
      <c r="D1001" s="3"/>
      <c r="F1001" s="79"/>
      <c r="H1001" s="39"/>
      <c r="I1001" s="3"/>
      <c r="J1001" s="39"/>
      <c r="K1001" s="3"/>
      <c r="L1001" s="3"/>
      <c r="M1001" s="3"/>
      <c r="N1001" s="3"/>
      <c r="O1001" s="3"/>
      <c r="P1001" s="3"/>
      <c r="Q1001" s="3"/>
      <c r="R1001" s="3"/>
    </row>
    <row r="1002" spans="1:18" ht="16.149999999999999" customHeight="1" x14ac:dyDescent="0.25">
      <c r="A1002" s="84"/>
      <c r="B1002" s="3"/>
      <c r="D1002" s="3"/>
      <c r="F1002" s="79"/>
      <c r="H1002" s="39"/>
      <c r="I1002" s="3"/>
      <c r="J1002" s="39"/>
      <c r="K1002" s="3"/>
      <c r="L1002" s="3"/>
      <c r="M1002" s="3"/>
      <c r="N1002" s="3"/>
      <c r="O1002" s="3"/>
      <c r="P1002" s="3"/>
      <c r="Q1002" s="3"/>
      <c r="R1002" s="3"/>
    </row>
    <row r="1003" spans="1:18" ht="16.149999999999999" customHeight="1" x14ac:dyDescent="0.25">
      <c r="A1003" s="84"/>
      <c r="B1003" s="3"/>
      <c r="D1003" s="3"/>
      <c r="F1003" s="79"/>
      <c r="H1003" s="39"/>
      <c r="I1003" s="3"/>
      <c r="J1003" s="39"/>
      <c r="K1003" s="3"/>
      <c r="L1003" s="3"/>
      <c r="M1003" s="3"/>
      <c r="N1003" s="3"/>
      <c r="O1003" s="3"/>
      <c r="P1003" s="3"/>
      <c r="Q1003" s="3"/>
      <c r="R1003" s="3"/>
    </row>
    <row r="1004" spans="1:18" ht="16.149999999999999" customHeight="1" x14ac:dyDescent="0.25">
      <c r="A1004" s="84"/>
      <c r="B1004" s="3"/>
      <c r="D1004" s="3"/>
      <c r="F1004" s="79"/>
      <c r="H1004" s="39"/>
      <c r="I1004" s="3"/>
      <c r="J1004" s="39"/>
      <c r="K1004" s="3"/>
      <c r="L1004" s="3"/>
      <c r="M1004" s="3"/>
      <c r="N1004" s="3"/>
      <c r="O1004" s="3"/>
      <c r="P1004" s="3"/>
      <c r="Q1004" s="3"/>
      <c r="R1004" s="3"/>
    </row>
    <row r="1005" spans="1:18" ht="16.149999999999999" customHeight="1" x14ac:dyDescent="0.25">
      <c r="A1005" s="84"/>
      <c r="B1005" s="3"/>
      <c r="D1005" s="3"/>
      <c r="F1005" s="79"/>
      <c r="H1005" s="39"/>
      <c r="I1005" s="3"/>
      <c r="J1005" s="39"/>
      <c r="K1005" s="3"/>
      <c r="L1005" s="3"/>
      <c r="M1005" s="3"/>
      <c r="N1005" s="3"/>
      <c r="O1005" s="3"/>
      <c r="P1005" s="3"/>
      <c r="Q1005" s="3"/>
      <c r="R1005" s="3"/>
    </row>
    <row r="1006" spans="1:18" ht="16.149999999999999" customHeight="1" x14ac:dyDescent="0.25">
      <c r="A1006" s="84"/>
      <c r="B1006" s="3"/>
      <c r="D1006" s="3"/>
      <c r="F1006" s="79"/>
      <c r="H1006" s="39"/>
      <c r="I1006" s="3"/>
      <c r="J1006" s="39"/>
      <c r="K1006" s="3"/>
      <c r="L1006" s="3"/>
      <c r="M1006" s="3"/>
      <c r="N1006" s="3"/>
      <c r="O1006" s="3"/>
      <c r="P1006" s="3"/>
      <c r="Q1006" s="3"/>
      <c r="R1006" s="3"/>
    </row>
    <row r="1007" spans="1:18" ht="16.149999999999999" customHeight="1" x14ac:dyDescent="0.25">
      <c r="A1007" s="84"/>
      <c r="B1007" s="3"/>
      <c r="D1007" s="3"/>
      <c r="F1007" s="79"/>
      <c r="H1007" s="39"/>
      <c r="I1007" s="3"/>
      <c r="J1007" s="39"/>
      <c r="K1007" s="3"/>
      <c r="L1007" s="3"/>
      <c r="M1007" s="3"/>
      <c r="N1007" s="3"/>
      <c r="O1007" s="3"/>
      <c r="P1007" s="3"/>
      <c r="Q1007" s="3"/>
      <c r="R1007" s="3"/>
    </row>
    <row r="1008" spans="1:18" ht="16.149999999999999" customHeight="1" x14ac:dyDescent="0.25">
      <c r="A1008" s="84"/>
      <c r="B1008" s="3"/>
      <c r="D1008" s="3"/>
      <c r="F1008" s="79"/>
      <c r="H1008" s="39"/>
      <c r="I1008" s="3"/>
      <c r="J1008" s="39"/>
      <c r="K1008" s="3"/>
      <c r="L1008" s="3"/>
      <c r="M1008" s="3"/>
      <c r="N1008" s="3"/>
      <c r="O1008" s="3"/>
      <c r="P1008" s="3"/>
      <c r="Q1008" s="3"/>
      <c r="R1008" s="3"/>
    </row>
    <row r="1009" spans="1:18" ht="16.149999999999999" customHeight="1" x14ac:dyDescent="0.25">
      <c r="A1009" s="84"/>
      <c r="B1009" s="3"/>
      <c r="D1009" s="3"/>
      <c r="F1009" s="79"/>
      <c r="H1009" s="39"/>
      <c r="I1009" s="3"/>
      <c r="J1009" s="39"/>
      <c r="K1009" s="3"/>
      <c r="L1009" s="3"/>
      <c r="M1009" s="3"/>
      <c r="N1009" s="3"/>
      <c r="O1009" s="3"/>
      <c r="P1009" s="3"/>
      <c r="Q1009" s="3"/>
      <c r="R1009" s="3"/>
    </row>
    <row r="1010" spans="1:18" ht="16.149999999999999" customHeight="1" x14ac:dyDescent="0.25">
      <c r="A1010" s="84"/>
      <c r="B1010" s="3"/>
      <c r="D1010" s="3"/>
      <c r="F1010" s="79"/>
      <c r="H1010" s="39"/>
      <c r="I1010" s="3"/>
      <c r="J1010" s="39"/>
      <c r="K1010" s="3"/>
      <c r="L1010" s="3"/>
      <c r="M1010" s="3"/>
      <c r="N1010" s="3"/>
      <c r="O1010" s="3"/>
      <c r="P1010" s="3"/>
      <c r="Q1010" s="3"/>
      <c r="R1010" s="3"/>
    </row>
    <row r="1011" spans="1:18" ht="16.149999999999999" customHeight="1" x14ac:dyDescent="0.25">
      <c r="A1011" s="84"/>
      <c r="B1011" s="3"/>
      <c r="D1011" s="3"/>
      <c r="F1011" s="79"/>
      <c r="H1011" s="39"/>
      <c r="I1011" s="3"/>
      <c r="J1011" s="39"/>
      <c r="K1011" s="3"/>
      <c r="L1011" s="3"/>
      <c r="M1011" s="3"/>
      <c r="N1011" s="3"/>
      <c r="O1011" s="3"/>
      <c r="P1011" s="3"/>
      <c r="Q1011" s="3"/>
      <c r="R1011" s="3"/>
    </row>
    <row r="1012" spans="1:18" ht="16.149999999999999" customHeight="1" x14ac:dyDescent="0.25">
      <c r="A1012" s="84"/>
      <c r="B1012" s="3"/>
      <c r="D1012" s="3"/>
      <c r="F1012" s="79"/>
      <c r="H1012" s="39"/>
      <c r="I1012" s="3"/>
      <c r="J1012" s="39"/>
      <c r="K1012" s="3"/>
      <c r="L1012" s="3"/>
      <c r="M1012" s="3"/>
      <c r="N1012" s="3"/>
      <c r="O1012" s="3"/>
      <c r="P1012" s="3"/>
      <c r="Q1012" s="3"/>
      <c r="R1012" s="3"/>
    </row>
    <row r="1013" spans="1:18" ht="16.149999999999999" customHeight="1" x14ac:dyDescent="0.25">
      <c r="A1013" s="84"/>
      <c r="B1013" s="3"/>
      <c r="D1013" s="3"/>
      <c r="F1013" s="79"/>
      <c r="H1013" s="39"/>
      <c r="I1013" s="3"/>
      <c r="J1013" s="39"/>
      <c r="K1013" s="3"/>
      <c r="L1013" s="3"/>
      <c r="M1013" s="3"/>
      <c r="N1013" s="3"/>
      <c r="O1013" s="3"/>
      <c r="P1013" s="3"/>
      <c r="Q1013" s="3"/>
      <c r="R1013" s="3"/>
    </row>
    <row r="1014" spans="1:18" ht="16.149999999999999" customHeight="1" x14ac:dyDescent="0.25">
      <c r="A1014" s="84"/>
      <c r="B1014" s="3"/>
      <c r="D1014" s="3"/>
      <c r="F1014" s="79"/>
      <c r="H1014" s="39"/>
      <c r="I1014" s="3"/>
      <c r="J1014" s="39"/>
      <c r="K1014" s="3"/>
      <c r="L1014" s="3"/>
      <c r="M1014" s="3"/>
      <c r="N1014" s="3"/>
      <c r="O1014" s="3"/>
      <c r="P1014" s="3"/>
      <c r="Q1014" s="3"/>
      <c r="R1014" s="3"/>
    </row>
    <row r="1015" spans="1:18" ht="16.149999999999999" customHeight="1" x14ac:dyDescent="0.25">
      <c r="A1015" s="84"/>
      <c r="B1015" s="3"/>
      <c r="D1015" s="3"/>
      <c r="F1015" s="79"/>
      <c r="H1015" s="39"/>
      <c r="I1015" s="3"/>
      <c r="J1015" s="39"/>
      <c r="K1015" s="3"/>
      <c r="L1015" s="3"/>
      <c r="M1015" s="3"/>
      <c r="N1015" s="3"/>
      <c r="O1015" s="3"/>
      <c r="P1015" s="3"/>
      <c r="Q1015" s="3"/>
      <c r="R1015" s="3"/>
    </row>
    <row r="1016" spans="1:18" ht="16.149999999999999" customHeight="1" x14ac:dyDescent="0.25">
      <c r="A1016" s="84"/>
      <c r="B1016" s="3"/>
      <c r="D1016" s="3"/>
      <c r="F1016" s="79"/>
      <c r="H1016" s="39"/>
      <c r="I1016" s="3"/>
      <c r="J1016" s="39"/>
      <c r="K1016" s="3"/>
      <c r="L1016" s="3"/>
      <c r="M1016" s="3"/>
      <c r="N1016" s="3"/>
      <c r="O1016" s="3"/>
      <c r="P1016" s="3"/>
      <c r="Q1016" s="3"/>
      <c r="R1016" s="3"/>
    </row>
    <row r="1017" spans="1:18" ht="16.149999999999999" customHeight="1" x14ac:dyDescent="0.25">
      <c r="A1017" s="84"/>
      <c r="B1017" s="3"/>
      <c r="D1017" s="3"/>
      <c r="F1017" s="79"/>
      <c r="H1017" s="39"/>
      <c r="I1017" s="3"/>
      <c r="J1017" s="39"/>
      <c r="K1017" s="3"/>
      <c r="L1017" s="3"/>
      <c r="M1017" s="3"/>
      <c r="N1017" s="3"/>
      <c r="O1017" s="3"/>
      <c r="P1017" s="3"/>
      <c r="Q1017" s="3"/>
      <c r="R1017" s="3"/>
    </row>
    <row r="1018" spans="1:18" ht="16.149999999999999" customHeight="1" x14ac:dyDescent="0.25">
      <c r="A1018" s="84"/>
      <c r="B1018" s="3"/>
      <c r="D1018" s="3"/>
      <c r="F1018" s="79"/>
      <c r="H1018" s="39"/>
      <c r="I1018" s="3"/>
      <c r="J1018" s="39"/>
      <c r="K1018" s="3"/>
      <c r="L1018" s="3"/>
      <c r="M1018" s="3"/>
      <c r="N1018" s="3"/>
      <c r="O1018" s="3"/>
      <c r="P1018" s="3"/>
      <c r="Q1018" s="3"/>
      <c r="R1018" s="3"/>
    </row>
    <row r="1019" spans="1:18" ht="16.149999999999999" customHeight="1" x14ac:dyDescent="0.25">
      <c r="A1019" s="84"/>
      <c r="B1019" s="3"/>
      <c r="D1019" s="3"/>
      <c r="F1019" s="79"/>
      <c r="H1019" s="39"/>
      <c r="I1019" s="3"/>
      <c r="J1019" s="39"/>
      <c r="K1019" s="3"/>
      <c r="L1019" s="3"/>
      <c r="M1019" s="3"/>
      <c r="N1019" s="3"/>
      <c r="O1019" s="3"/>
      <c r="P1019" s="3"/>
      <c r="Q1019" s="3"/>
      <c r="R1019" s="3"/>
    </row>
    <row r="1020" spans="1:18" ht="16.149999999999999" customHeight="1" x14ac:dyDescent="0.25">
      <c r="A1020" s="84"/>
      <c r="B1020" s="3"/>
      <c r="D1020" s="3"/>
      <c r="F1020" s="79"/>
      <c r="H1020" s="39"/>
      <c r="I1020" s="3"/>
      <c r="J1020" s="39"/>
      <c r="K1020" s="3"/>
      <c r="L1020" s="3"/>
      <c r="M1020" s="3"/>
      <c r="N1020" s="3"/>
      <c r="O1020" s="3"/>
      <c r="P1020" s="3"/>
      <c r="Q1020" s="3"/>
      <c r="R1020" s="3"/>
    </row>
    <row r="1021" spans="1:18" ht="16.149999999999999" customHeight="1" x14ac:dyDescent="0.25">
      <c r="A1021" s="84"/>
      <c r="B1021" s="3"/>
      <c r="D1021" s="3"/>
      <c r="F1021" s="79"/>
      <c r="H1021" s="39"/>
      <c r="I1021" s="3"/>
      <c r="J1021" s="39"/>
      <c r="K1021" s="3"/>
      <c r="L1021" s="3"/>
      <c r="M1021" s="3"/>
      <c r="N1021" s="3"/>
      <c r="O1021" s="3"/>
      <c r="P1021" s="3"/>
      <c r="Q1021" s="3"/>
      <c r="R1021" s="3"/>
    </row>
    <row r="1022" spans="1:18" ht="16.149999999999999" customHeight="1" x14ac:dyDescent="0.25">
      <c r="A1022" s="84"/>
      <c r="B1022" s="3"/>
      <c r="D1022" s="3"/>
      <c r="F1022" s="79"/>
      <c r="H1022" s="39"/>
      <c r="I1022" s="3"/>
      <c r="J1022" s="39"/>
      <c r="K1022" s="3"/>
      <c r="L1022" s="3"/>
      <c r="M1022" s="3"/>
      <c r="N1022" s="3"/>
      <c r="O1022" s="3"/>
      <c r="P1022" s="3"/>
      <c r="Q1022" s="3"/>
      <c r="R1022" s="3"/>
    </row>
    <row r="1023" spans="1:18" ht="16.149999999999999" customHeight="1" x14ac:dyDescent="0.25">
      <c r="A1023" s="84"/>
      <c r="B1023" s="3"/>
      <c r="D1023" s="3"/>
      <c r="F1023" s="79"/>
      <c r="H1023" s="39"/>
      <c r="I1023" s="3"/>
      <c r="J1023" s="39"/>
      <c r="K1023" s="3"/>
      <c r="L1023" s="3"/>
      <c r="M1023" s="3"/>
      <c r="N1023" s="3"/>
      <c r="O1023" s="3"/>
      <c r="P1023" s="3"/>
      <c r="Q1023" s="3"/>
      <c r="R1023" s="3"/>
    </row>
    <row r="1024" spans="1:18" ht="16.149999999999999" customHeight="1" x14ac:dyDescent="0.25">
      <c r="A1024" s="84"/>
      <c r="B1024" s="3"/>
      <c r="D1024" s="3"/>
      <c r="F1024" s="79"/>
      <c r="H1024" s="39"/>
      <c r="I1024" s="3"/>
      <c r="J1024" s="39"/>
      <c r="K1024" s="3"/>
      <c r="L1024" s="3"/>
      <c r="M1024" s="3"/>
      <c r="N1024" s="3"/>
      <c r="O1024" s="3"/>
      <c r="P1024" s="3"/>
      <c r="Q1024" s="3"/>
      <c r="R1024" s="3"/>
    </row>
    <row r="1025" spans="1:18" ht="16.149999999999999" customHeight="1" x14ac:dyDescent="0.25">
      <c r="A1025" s="84"/>
      <c r="B1025" s="3"/>
      <c r="D1025" s="3"/>
      <c r="F1025" s="79"/>
      <c r="H1025" s="39"/>
      <c r="I1025" s="3"/>
      <c r="J1025" s="39"/>
      <c r="K1025" s="3"/>
      <c r="L1025" s="3"/>
      <c r="M1025" s="3"/>
      <c r="N1025" s="3"/>
      <c r="O1025" s="3"/>
      <c r="P1025" s="3"/>
      <c r="Q1025" s="3"/>
      <c r="R1025" s="3"/>
    </row>
    <row r="1026" spans="1:18" ht="16.149999999999999" customHeight="1" x14ac:dyDescent="0.25">
      <c r="A1026" s="84"/>
      <c r="B1026" s="3"/>
      <c r="D1026" s="3"/>
      <c r="F1026" s="79"/>
      <c r="H1026" s="39"/>
      <c r="I1026" s="3"/>
      <c r="J1026" s="39"/>
      <c r="K1026" s="3"/>
      <c r="L1026" s="3"/>
      <c r="M1026" s="3"/>
      <c r="N1026" s="3"/>
      <c r="O1026" s="3"/>
      <c r="P1026" s="3"/>
      <c r="Q1026" s="3"/>
      <c r="R1026" s="3"/>
    </row>
    <row r="1027" spans="1:18" ht="16.149999999999999" customHeight="1" x14ac:dyDescent="0.25">
      <c r="A1027" s="84"/>
      <c r="B1027" s="3"/>
      <c r="D1027" s="3"/>
      <c r="F1027" s="79"/>
      <c r="H1027" s="39"/>
      <c r="I1027" s="3"/>
      <c r="J1027" s="39"/>
      <c r="K1027" s="3"/>
      <c r="L1027" s="3"/>
      <c r="M1027" s="3"/>
      <c r="N1027" s="3"/>
      <c r="O1027" s="3"/>
      <c r="P1027" s="3"/>
      <c r="Q1027" s="3"/>
      <c r="R1027" s="3"/>
    </row>
    <row r="1028" spans="1:18" ht="16.149999999999999" customHeight="1" x14ac:dyDescent="0.25">
      <c r="A1028" s="84"/>
      <c r="B1028" s="3"/>
      <c r="D1028" s="3"/>
      <c r="F1028" s="79"/>
      <c r="H1028" s="39"/>
      <c r="I1028" s="3"/>
      <c r="J1028" s="39"/>
      <c r="K1028" s="3"/>
      <c r="L1028" s="3"/>
      <c r="M1028" s="3"/>
      <c r="N1028" s="3"/>
      <c r="O1028" s="3"/>
      <c r="P1028" s="3"/>
      <c r="Q1028" s="3"/>
      <c r="R1028" s="3"/>
    </row>
    <row r="1029" spans="1:18" ht="16.149999999999999" customHeight="1" x14ac:dyDescent="0.25">
      <c r="A1029" s="84"/>
      <c r="B1029" s="3"/>
      <c r="D1029" s="3"/>
      <c r="F1029" s="79"/>
      <c r="H1029" s="39"/>
      <c r="I1029" s="3"/>
      <c r="J1029" s="39"/>
      <c r="K1029" s="3"/>
      <c r="L1029" s="3"/>
      <c r="M1029" s="3"/>
      <c r="N1029" s="3"/>
      <c r="O1029" s="3"/>
      <c r="P1029" s="3"/>
      <c r="Q1029" s="3"/>
      <c r="R1029" s="3"/>
    </row>
    <row r="1030" spans="1:18" ht="16.149999999999999" customHeight="1" x14ac:dyDescent="0.25">
      <c r="A1030" s="84"/>
      <c r="B1030" s="3"/>
      <c r="D1030" s="3"/>
      <c r="F1030" s="79"/>
      <c r="H1030" s="39"/>
      <c r="I1030" s="3"/>
      <c r="J1030" s="39"/>
      <c r="K1030" s="3"/>
      <c r="L1030" s="3"/>
      <c r="M1030" s="3"/>
      <c r="N1030" s="3"/>
      <c r="O1030" s="3"/>
      <c r="P1030" s="3"/>
      <c r="Q1030" s="3"/>
      <c r="R1030" s="3"/>
    </row>
    <row r="1031" spans="1:18" ht="16.149999999999999" customHeight="1" x14ac:dyDescent="0.25">
      <c r="A1031" s="84"/>
      <c r="B1031" s="3"/>
      <c r="D1031" s="3"/>
      <c r="F1031" s="79"/>
      <c r="H1031" s="39"/>
      <c r="I1031" s="3"/>
      <c r="J1031" s="39"/>
      <c r="K1031" s="3"/>
      <c r="L1031" s="3"/>
      <c r="M1031" s="3"/>
      <c r="N1031" s="3"/>
      <c r="O1031" s="3"/>
      <c r="P1031" s="3"/>
      <c r="Q1031" s="3"/>
      <c r="R1031" s="3"/>
    </row>
    <row r="1032" spans="1:18" ht="16.149999999999999" customHeight="1" x14ac:dyDescent="0.25">
      <c r="A1032" s="84"/>
      <c r="B1032" s="3"/>
      <c r="D1032" s="3"/>
      <c r="F1032" s="79"/>
      <c r="H1032" s="39"/>
      <c r="I1032" s="3"/>
      <c r="J1032" s="39"/>
      <c r="K1032" s="3"/>
      <c r="L1032" s="3"/>
      <c r="M1032" s="3"/>
      <c r="N1032" s="3"/>
      <c r="O1032" s="3"/>
      <c r="P1032" s="3"/>
      <c r="Q1032" s="3"/>
      <c r="R1032" s="3"/>
    </row>
    <row r="1033" spans="1:18" ht="16.149999999999999" customHeight="1" x14ac:dyDescent="0.25">
      <c r="A1033" s="84"/>
      <c r="B1033" s="3"/>
      <c r="D1033" s="3"/>
      <c r="F1033" s="79"/>
      <c r="H1033" s="39"/>
      <c r="I1033" s="3"/>
      <c r="J1033" s="39"/>
      <c r="K1033" s="3"/>
      <c r="L1033" s="3"/>
      <c r="M1033" s="3"/>
      <c r="N1033" s="3"/>
      <c r="O1033" s="3"/>
      <c r="P1033" s="3"/>
      <c r="Q1033" s="3"/>
      <c r="R1033" s="3"/>
    </row>
    <row r="1034" spans="1:18" ht="16.149999999999999" customHeight="1" x14ac:dyDescent="0.25">
      <c r="A1034" s="84"/>
      <c r="B1034" s="3"/>
      <c r="D1034" s="3"/>
      <c r="F1034" s="79"/>
      <c r="H1034" s="39"/>
      <c r="I1034" s="3"/>
      <c r="J1034" s="39"/>
      <c r="K1034" s="3"/>
      <c r="L1034" s="3"/>
      <c r="M1034" s="3"/>
      <c r="N1034" s="3"/>
      <c r="O1034" s="3"/>
      <c r="P1034" s="3"/>
      <c r="Q1034" s="3"/>
      <c r="R1034" s="3"/>
    </row>
    <row r="1035" spans="1:18" ht="16.149999999999999" customHeight="1" x14ac:dyDescent="0.25">
      <c r="A1035" s="84"/>
      <c r="B1035" s="3"/>
      <c r="D1035" s="3"/>
      <c r="F1035" s="79"/>
      <c r="H1035" s="39"/>
      <c r="I1035" s="3"/>
      <c r="J1035" s="39"/>
      <c r="K1035" s="3"/>
      <c r="L1035" s="3"/>
      <c r="M1035" s="3"/>
      <c r="N1035" s="3"/>
      <c r="O1035" s="3"/>
      <c r="P1035" s="3"/>
      <c r="Q1035" s="3"/>
      <c r="R1035" s="3"/>
    </row>
    <row r="1036" spans="1:18" ht="16.149999999999999" customHeight="1" x14ac:dyDescent="0.25">
      <c r="A1036" s="84"/>
      <c r="B1036" s="3"/>
      <c r="D1036" s="3"/>
      <c r="F1036" s="79"/>
      <c r="H1036" s="39"/>
      <c r="I1036" s="3"/>
      <c r="J1036" s="39"/>
      <c r="K1036" s="3"/>
      <c r="L1036" s="3"/>
      <c r="M1036" s="3"/>
      <c r="N1036" s="3"/>
      <c r="O1036" s="3"/>
      <c r="P1036" s="3"/>
      <c r="Q1036" s="3"/>
      <c r="R1036" s="3"/>
    </row>
    <row r="1037" spans="1:18" ht="16.149999999999999" customHeight="1" x14ac:dyDescent="0.25">
      <c r="A1037" s="84"/>
      <c r="B1037" s="3"/>
      <c r="D1037" s="3"/>
      <c r="F1037" s="79"/>
      <c r="H1037" s="39"/>
      <c r="I1037" s="3"/>
      <c r="J1037" s="39"/>
      <c r="K1037" s="3"/>
      <c r="L1037" s="3"/>
      <c r="M1037" s="3"/>
      <c r="N1037" s="3"/>
      <c r="O1037" s="3"/>
      <c r="P1037" s="3"/>
      <c r="Q1037" s="3"/>
      <c r="R1037" s="3"/>
    </row>
    <row r="1038" spans="1:18" ht="16.149999999999999" customHeight="1" x14ac:dyDescent="0.25">
      <c r="A1038" s="84"/>
      <c r="B1038" s="3"/>
      <c r="D1038" s="3"/>
      <c r="F1038" s="79"/>
      <c r="H1038" s="39"/>
      <c r="I1038" s="3"/>
      <c r="J1038" s="39"/>
      <c r="K1038" s="3"/>
      <c r="L1038" s="3"/>
      <c r="M1038" s="3"/>
      <c r="N1038" s="3"/>
      <c r="O1038" s="3"/>
      <c r="P1038" s="3"/>
      <c r="Q1038" s="3"/>
      <c r="R1038" s="3"/>
    </row>
    <row r="1039" spans="1:18" ht="16.149999999999999" customHeight="1" x14ac:dyDescent="0.25">
      <c r="A1039" s="84"/>
      <c r="B1039" s="3"/>
      <c r="D1039" s="3"/>
      <c r="F1039" s="79"/>
      <c r="H1039" s="39"/>
      <c r="I1039" s="3"/>
      <c r="J1039" s="39"/>
      <c r="K1039" s="3"/>
      <c r="L1039" s="3"/>
      <c r="M1039" s="3"/>
      <c r="N1039" s="3"/>
      <c r="O1039" s="3"/>
      <c r="P1039" s="3"/>
      <c r="Q1039" s="3"/>
      <c r="R1039" s="3"/>
    </row>
    <row r="1040" spans="1:18" ht="16.149999999999999" customHeight="1" x14ac:dyDescent="0.25">
      <c r="A1040" s="84"/>
      <c r="B1040" s="3"/>
      <c r="D1040" s="3"/>
      <c r="F1040" s="79"/>
      <c r="H1040" s="39"/>
      <c r="I1040" s="3"/>
      <c r="J1040" s="39"/>
      <c r="K1040" s="3"/>
      <c r="L1040" s="3"/>
      <c r="M1040" s="3"/>
      <c r="N1040" s="3"/>
      <c r="O1040" s="3"/>
      <c r="P1040" s="3"/>
      <c r="Q1040" s="3"/>
      <c r="R1040" s="3"/>
    </row>
    <row r="1041" spans="1:18" ht="16.149999999999999" customHeight="1" x14ac:dyDescent="0.25">
      <c r="A1041" s="84"/>
      <c r="B1041" s="3"/>
      <c r="D1041" s="3"/>
      <c r="F1041" s="79"/>
      <c r="H1041" s="39"/>
      <c r="I1041" s="3"/>
      <c r="J1041" s="39"/>
      <c r="K1041" s="3"/>
      <c r="L1041" s="3"/>
      <c r="M1041" s="3"/>
      <c r="N1041" s="3"/>
      <c r="O1041" s="3"/>
      <c r="P1041" s="3"/>
      <c r="Q1041" s="3"/>
      <c r="R1041" s="3"/>
    </row>
    <row r="1042" spans="1:18" ht="16.149999999999999" customHeight="1" x14ac:dyDescent="0.25">
      <c r="A1042" s="84"/>
      <c r="B1042" s="3"/>
      <c r="D1042" s="3"/>
      <c r="F1042" s="79"/>
      <c r="H1042" s="39"/>
      <c r="I1042" s="3"/>
      <c r="J1042" s="39"/>
      <c r="K1042" s="3"/>
      <c r="L1042" s="3"/>
      <c r="M1042" s="3"/>
      <c r="N1042" s="3"/>
      <c r="O1042" s="3"/>
      <c r="P1042" s="3"/>
      <c r="Q1042" s="3"/>
      <c r="R1042" s="3"/>
    </row>
  </sheetData>
  <phoneticPr fontId="2" type="noConversion"/>
  <conditionalFormatting sqref="E4">
    <cfRule type="expression" dxfId="52" priority="3">
      <formula>COUNTIF(MoveError,"E2")&gt;0</formula>
    </cfRule>
  </conditionalFormatting>
  <conditionalFormatting sqref="B4">
    <cfRule type="expression" dxfId="51" priority="2">
      <formula>COUNTIF(MoveError,"E3")&gt;0</formula>
    </cfRule>
  </conditionalFormatting>
  <conditionalFormatting sqref="F4">
    <cfRule type="expression" dxfId="50" priority="1">
      <formula>COUNTIF(MoveError,"E4")&gt;0</formula>
    </cfRule>
  </conditionalFormatting>
  <dataValidations count="3">
    <dataValidation type="list" allowBlank="1" showInputMessage="1" showErrorMessage="1" errorTitle="Invalid Stock Code" error="The stock code that you entered is invalid. Stock codes need to be created on the StockCodes sheet before being available for selection." sqref="E5:E148" xr:uid="{00000000-0002-0000-0500-000000000000}">
      <formula1>StockCodeOnly</formula1>
    </dataValidation>
    <dataValidation type="list" operator="greaterThan" allowBlank="1" showInputMessage="1" showErrorMessage="1" errorTitle="Invalid Data" error="Select a valid entry from the list box." sqref="B5:B148" xr:uid="{00000000-0002-0000-0500-000001000000}">
      <formula1>"Purchase,Usage,Adjustment"</formula1>
    </dataValidation>
    <dataValidation type="date" operator="greaterThan" allowBlank="1" showInputMessage="1" showErrorMessage="1" errorTitle="Invalid Date" error="Enter a valid date in accordance with the regional date settings that are specified in your System Control Panel." sqref="A5:A148" xr:uid="{00000000-0002-0000-0500-000002000000}">
      <formula1>40179</formula1>
    </dataValidation>
  </dataValidations>
  <pageMargins left="0.55118110236220474" right="0.55118110236220474" top="0.59055118110236227" bottom="0.59055118110236227" header="0.31496062992125984" footer="0.31496062992125984"/>
  <pageSetup paperSize="9" scale="50" fitToHeight="0" orientation="landscape" r:id="rId1"/>
  <headerFooter alignWithMargins="0">
    <oddFooter>&amp;C&amp;9Page &amp;P of &amp;N</oddFooter>
  </headerFooter>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K562"/>
  <sheetViews>
    <sheetView zoomScale="95" zoomScaleNormal="95" workbookViewId="0">
      <pane ySplit="4" topLeftCell="A5" activePane="bottomLeft" state="frozen"/>
      <selection pane="bottomLeft" activeCell="K1" sqref="K1"/>
    </sheetView>
  </sheetViews>
  <sheetFormatPr defaultColWidth="9.140625" defaultRowHeight="16.149999999999999" customHeight="1" x14ac:dyDescent="0.25"/>
  <cols>
    <col min="1" max="1" width="10.7109375" style="3" customWidth="1"/>
    <col min="2" max="2" width="20.7109375" style="3" customWidth="1"/>
    <col min="3" max="3" width="12.7109375" style="39" customWidth="1"/>
    <col min="4" max="4" width="8.7109375" style="39" customWidth="1"/>
    <col min="5" max="6" width="12.7109375" style="38" customWidth="1"/>
    <col min="7" max="7" width="12.7109375" style="39" customWidth="1"/>
    <col min="8" max="8" width="12.7109375" style="3" customWidth="1"/>
    <col min="9" max="9" width="12.7109375" style="38" customWidth="1"/>
    <col min="10" max="11" width="13.7109375" style="3" customWidth="1"/>
    <col min="12" max="18" width="12.7109375" style="3" customWidth="1"/>
    <col min="19" max="16384" width="9.140625" style="3"/>
  </cols>
  <sheetData>
    <row r="1" spans="1:11" ht="16.149999999999999" customHeight="1" x14ac:dyDescent="0.25">
      <c r="A1" s="99" t="s">
        <v>12</v>
      </c>
      <c r="B1" s="2"/>
      <c r="J1" s="40" t="s">
        <v>58</v>
      </c>
      <c r="K1" s="41">
        <v>44439</v>
      </c>
    </row>
    <row r="2" spans="1:11" ht="16.149999999999999" customHeight="1" x14ac:dyDescent="0.25">
      <c r="A2" s="5" t="s">
        <v>75</v>
      </c>
      <c r="B2" s="2"/>
      <c r="J2" s="40"/>
      <c r="K2" s="42"/>
    </row>
    <row r="3" spans="1:11" s="6" customFormat="1" ht="16.149999999999999" customHeight="1" x14ac:dyDescent="0.2">
      <c r="A3" s="10" t="s">
        <v>44</v>
      </c>
      <c r="C3" s="43"/>
      <c r="D3" s="43"/>
      <c r="E3" s="44"/>
      <c r="F3" s="45">
        <f ca="1">SUBTOTAL(109,SCount[[#Data],[Count Value]])</f>
        <v>30925.991495864688</v>
      </c>
      <c r="G3" s="43"/>
      <c r="H3" s="45"/>
      <c r="I3" s="45">
        <f ca="1">SUBTOTAL(109,SCount[[#Data],[Theoretical Stock Value]])</f>
        <v>31558.063491967641</v>
      </c>
      <c r="J3" s="45"/>
      <c r="K3" s="45">
        <f ca="1">SUBTOTAL(109,SCount[[#Data],[Variance Value]])</f>
        <v>-632.07199610295118</v>
      </c>
    </row>
    <row r="4" spans="1:11" s="51" customFormat="1" ht="25.5" x14ac:dyDescent="0.2">
      <c r="A4" s="46" t="s">
        <v>51</v>
      </c>
      <c r="B4" s="47" t="s">
        <v>52</v>
      </c>
      <c r="C4" s="48" t="s">
        <v>54</v>
      </c>
      <c r="D4" s="48" t="s">
        <v>114</v>
      </c>
      <c r="E4" s="49" t="s">
        <v>59</v>
      </c>
      <c r="F4" s="50" t="s">
        <v>67</v>
      </c>
      <c r="G4" s="48" t="s">
        <v>60</v>
      </c>
      <c r="H4" s="48" t="s">
        <v>56</v>
      </c>
      <c r="I4" s="50" t="s">
        <v>61</v>
      </c>
      <c r="J4" s="48" t="s">
        <v>62</v>
      </c>
      <c r="K4" s="48" t="s">
        <v>63</v>
      </c>
    </row>
    <row r="5" spans="1:11" ht="16.149999999999999" customHeight="1" x14ac:dyDescent="0.25">
      <c r="A5" s="3" t="s">
        <v>19</v>
      </c>
      <c r="B5" s="3" t="str">
        <f>IF(ISNA(VLOOKUP($A5,StockCode[],COLUMN(StockCodes!$B$5),0))=TRUE,"Invalid Stock Code",VLOOKUP($A5,StockCode[],COLUMN(StockCodes!$B$5),0))</f>
        <v>Plastic Wrap</v>
      </c>
      <c r="C5" s="39" t="str">
        <f>IF(ISNA(VLOOKUP($A5,StockCode[],COLUMN(StockCodes!$C$5),0))=TRUE,"-",VLOOKUP($A5,StockCode[],COLUMN(StockCodes!$C$5),0))</f>
        <v>Rolls</v>
      </c>
      <c r="D5" s="39" t="str">
        <f t="shared" ref="D5:D12" si="0">IF(AND(ISBLANK(A5)=FALSE,COUNTIF(CountCode,A5)&gt;1)=TRUE,"E1",IF(AND(ISBLANK(A5)=FALSE,ISNA(VLOOKUP(A5,StockCodeOnly,1,0))=TRUE),"E2","-"))</f>
        <v>-</v>
      </c>
      <c r="E5" s="38">
        <v>8.5</v>
      </c>
      <c r="F5" s="38">
        <f t="shared" ref="F5:F12" ca="1" si="1">E5*H5</f>
        <v>174.63216489641326</v>
      </c>
      <c r="G5" s="17">
        <f ca="1">SUMIFS(StockCode[Opening Quantity],StockCode[Stock Code],$A5)+SUMIFS(MoveQty,MoveDate,"&lt;"&amp;$K$1+1,MoveCode,$A5)</f>
        <v>8.5</v>
      </c>
      <c r="H5" s="17">
        <f t="shared" ref="H5:H12" ca="1" si="2">IF($G5=0,0,I5/G5)</f>
        <v>20.54496057604862</v>
      </c>
      <c r="I5" s="38">
        <f t="shared" ref="I5:I12" ca="1" si="3">(SUMIFS(StockOpenQty,StockCodeOnly,$A5)*SUMIFS(StockOpenCost,StockCodeOnly,$A5))+SUMIFS(MoveAmount,MoveDate,"&lt;"&amp;$K$1+1,MoveCode,$A5)</f>
        <v>174.63216489641326</v>
      </c>
      <c r="J5" s="52">
        <f t="shared" ref="J5:J12" ca="1" si="4">E5-G5</f>
        <v>0</v>
      </c>
      <c r="K5" s="52">
        <f t="shared" ref="K5:K12" ca="1" si="5">J5*H5</f>
        <v>0</v>
      </c>
    </row>
    <row r="6" spans="1:11" ht="16.149999999999999" customHeight="1" x14ac:dyDescent="0.25">
      <c r="A6" s="3" t="s">
        <v>22</v>
      </c>
      <c r="B6" s="3" t="str">
        <f>IF(ISNA(VLOOKUP($A6,StockCode[],COLUMN(StockCodes!$B$5),0))=TRUE,"Invalid Stock Code",VLOOKUP($A6,StockCode[],COLUMN(StockCodes!$B$5),0))</f>
        <v>Labels</v>
      </c>
      <c r="C6" s="39">
        <f>IF(ISNA(VLOOKUP($A6,StockCode[],COLUMN(StockCodes!$C$5),0))=TRUE,"-",VLOOKUP($A6,StockCode[],COLUMN(StockCodes!$C$5),0))</f>
        <v>1000</v>
      </c>
      <c r="D6" s="39" t="str">
        <f t="shared" si="0"/>
        <v>-</v>
      </c>
      <c r="E6" s="38">
        <v>0</v>
      </c>
      <c r="F6" s="38">
        <f t="shared" ca="1" si="1"/>
        <v>0</v>
      </c>
      <c r="G6" s="17">
        <f ca="1">SUMIFS(StockCode[Opening Quantity],StockCode[Stock Code],$A6)+SUMIFS(MoveQty,MoveDate,"&lt;"&amp;$K$1+1,MoveCode,$A6)</f>
        <v>0</v>
      </c>
      <c r="H6" s="17">
        <f t="shared" ca="1" si="2"/>
        <v>0</v>
      </c>
      <c r="I6" s="38">
        <f t="shared" ca="1" si="3"/>
        <v>0</v>
      </c>
      <c r="J6" s="52">
        <f t="shared" ca="1" si="4"/>
        <v>0</v>
      </c>
      <c r="K6" s="52">
        <f t="shared" ca="1" si="5"/>
        <v>0</v>
      </c>
    </row>
    <row r="7" spans="1:11" ht="16.149999999999999" customHeight="1" x14ac:dyDescent="0.25">
      <c r="A7" s="3" t="s">
        <v>23</v>
      </c>
      <c r="B7" s="3" t="str">
        <f>IF(ISNA(VLOOKUP($A7,StockCode[],COLUMN(StockCodes!$B$5),0))=TRUE,"Invalid Stock Code",VLOOKUP($A7,StockCode[],COLUMN(StockCodes!$B$5),0))</f>
        <v>Boxes</v>
      </c>
      <c r="C7" s="39" t="str">
        <f>IF(ISNA(VLOOKUP($A7,StockCode[],COLUMN(StockCodes!$C$5),0))=TRUE,"-",VLOOKUP($A7,StockCode[],COLUMN(StockCodes!$C$5),0))</f>
        <v>Units</v>
      </c>
      <c r="D7" s="39" t="str">
        <f t="shared" si="0"/>
        <v>-</v>
      </c>
      <c r="E7" s="38">
        <v>18</v>
      </c>
      <c r="F7" s="38">
        <f t="shared" ca="1" si="1"/>
        <v>18.44606397020755</v>
      </c>
      <c r="G7" s="17">
        <f ca="1">SUMIFS(StockCode[Opening Quantity],StockCode[Stock Code],$A7)+SUMIFS(MoveQty,MoveDate,"&lt;"&amp;$K$1+1,MoveCode,$A7)</f>
        <v>17.999999999999886</v>
      </c>
      <c r="H7" s="17">
        <f t="shared" ca="1" si="2"/>
        <v>1.0247813316781973</v>
      </c>
      <c r="I7" s="38">
        <f t="shared" ca="1" si="3"/>
        <v>18.446063970207433</v>
      </c>
      <c r="J7" s="52">
        <f t="shared" ca="1" si="4"/>
        <v>1.1368683772161603E-13</v>
      </c>
      <c r="K7" s="52">
        <f t="shared" ca="1" si="5"/>
        <v>1.1650414895464079E-13</v>
      </c>
    </row>
    <row r="8" spans="1:11" ht="16.149999999999999" customHeight="1" x14ac:dyDescent="0.25">
      <c r="A8" s="3" t="s">
        <v>25</v>
      </c>
      <c r="B8" s="3" t="str">
        <f>IF(ISNA(VLOOKUP($A8,StockCode[],COLUMN(StockCodes!$B$5),0))=TRUE,"Invalid Stock Code",VLOOKUP($A8,StockCode[],COLUMN(StockCodes!$B$5),0))</f>
        <v>Meat</v>
      </c>
      <c r="C8" s="39" t="str">
        <f>IF(ISNA(VLOOKUP($A8,StockCode[],COLUMN(StockCodes!$C$5),0))=TRUE,"-",VLOOKUP($A8,StockCode[],COLUMN(StockCodes!$C$5),0))</f>
        <v>Kg</v>
      </c>
      <c r="D8" s="39" t="str">
        <f t="shared" si="0"/>
        <v>-</v>
      </c>
      <c r="E8" s="38">
        <v>600</v>
      </c>
      <c r="F8" s="38">
        <f t="shared" ca="1" si="1"/>
        <v>30270.534609323957</v>
      </c>
      <c r="G8" s="17">
        <f ca="1">SUMIFS(StockCode[Opening Quantity],StockCode[Stock Code],$A8)+SUMIFS(MoveQty,MoveDate,"&lt;"&amp;$K$1+1,MoveCode,$A8)</f>
        <v>600</v>
      </c>
      <c r="H8" s="17">
        <f t="shared" ca="1" si="2"/>
        <v>50.450891015539931</v>
      </c>
      <c r="I8" s="38">
        <f t="shared" ca="1" si="3"/>
        <v>30270.534609323957</v>
      </c>
      <c r="J8" s="52">
        <f t="shared" ca="1" si="4"/>
        <v>0</v>
      </c>
      <c r="K8" s="52">
        <f t="shared" ca="1" si="5"/>
        <v>0</v>
      </c>
    </row>
    <row r="9" spans="1:11" ht="16.149999999999999" customHeight="1" x14ac:dyDescent="0.25">
      <c r="A9" s="3" t="s">
        <v>28</v>
      </c>
      <c r="B9" s="3" t="str">
        <f>IF(ISNA(VLOOKUP($A9,StockCode[],COLUMN(StockCodes!$B$5),0))=TRUE,"Invalid Stock Code",VLOOKUP($A9,StockCode[],COLUMN(StockCodes!$B$5),0))</f>
        <v>Bread Rolls</v>
      </c>
      <c r="C9" s="39" t="str">
        <f>IF(ISNA(VLOOKUP($A9,StockCode[],COLUMN(StockCodes!$C$5),0))=TRUE,"-",VLOOKUP($A9,StockCode[],COLUMN(StockCodes!$C$5),0))</f>
        <v>Dozen</v>
      </c>
      <c r="D9" s="39" t="str">
        <f t="shared" si="0"/>
        <v>-</v>
      </c>
      <c r="E9" s="38">
        <v>10</v>
      </c>
      <c r="F9" s="38">
        <f t="shared" ca="1" si="1"/>
        <v>417.36348781687957</v>
      </c>
      <c r="G9" s="17">
        <f ca="1">SUMIFS(StockCode[Opening Quantity],StockCode[Stock Code],$A9)+SUMIFS(MoveQty,MoveDate,"&lt;"&amp;$K$1+1,MoveCode,$A9)</f>
        <v>10</v>
      </c>
      <c r="H9" s="17">
        <f t="shared" ca="1" si="2"/>
        <v>41.736348781687958</v>
      </c>
      <c r="I9" s="38">
        <f t="shared" ca="1" si="3"/>
        <v>417.36348781687957</v>
      </c>
      <c r="J9" s="52">
        <f t="shared" ca="1" si="4"/>
        <v>0</v>
      </c>
      <c r="K9" s="52">
        <f t="shared" ca="1" si="5"/>
        <v>0</v>
      </c>
    </row>
    <row r="10" spans="1:11" ht="16.149999999999999" customHeight="1" x14ac:dyDescent="0.25">
      <c r="A10" s="3" t="s">
        <v>31</v>
      </c>
      <c r="B10" s="3" t="str">
        <f>IF(ISNA(VLOOKUP($A10,StockCode[],COLUMN(StockCodes!$B$5),0))=TRUE,"Invalid Stock Code",VLOOKUP($A10,StockCode[],COLUMN(StockCodes!$B$5),0))</f>
        <v>Lettuce</v>
      </c>
      <c r="C10" s="39" t="str">
        <f>IF(ISNA(VLOOKUP($A10,StockCode[],COLUMN(StockCodes!$C$5),0))=TRUE,"-",VLOOKUP($A10,StockCode[],COLUMN(StockCodes!$C$5),0))</f>
        <v>Kg</v>
      </c>
      <c r="D10" s="39" t="str">
        <f t="shared" si="0"/>
        <v>-</v>
      </c>
      <c r="E10" s="38">
        <v>1</v>
      </c>
      <c r="F10" s="38">
        <f t="shared" ca="1" si="1"/>
        <v>5.0792173841536918</v>
      </c>
      <c r="G10" s="17">
        <f ca="1">SUMIFS(StockCode[Opening Quantity],StockCode[Stock Code],$A10)+SUMIFS(MoveQty,MoveDate,"&lt;"&amp;$K$1+1,MoveCode,$A10)</f>
        <v>1.0000000000000018</v>
      </c>
      <c r="H10" s="17">
        <f t="shared" ca="1" si="2"/>
        <v>5.0792173841536918</v>
      </c>
      <c r="I10" s="38">
        <f t="shared" ca="1" si="3"/>
        <v>5.0792173841537007</v>
      </c>
      <c r="J10" s="52">
        <f t="shared" ca="1" si="4"/>
        <v>-1.7763568394002505E-15</v>
      </c>
      <c r="K10" s="52">
        <f t="shared" ca="1" si="5"/>
        <v>-9.0225025391420598E-15</v>
      </c>
    </row>
    <row r="11" spans="1:11" ht="16.149999999999999" customHeight="1" x14ac:dyDescent="0.25">
      <c r="A11" s="3" t="s">
        <v>33</v>
      </c>
      <c r="B11" s="3" t="str">
        <f>IF(ISNA(VLOOKUP($A11,StockCode[],COLUMN(StockCodes!$B$5),0))=TRUE,"Invalid Stock Code",VLOOKUP($A11,StockCode[],COLUMN(StockCodes!$B$5),0))</f>
        <v>Gurkins</v>
      </c>
      <c r="C11" s="39" t="str">
        <f>IF(ISNA(VLOOKUP($A11,StockCode[],COLUMN(StockCodes!$C$5),0))=TRUE,"-",VLOOKUP($A11,StockCode[],COLUMN(StockCodes!$C$5),0))</f>
        <v>Kg</v>
      </c>
      <c r="D11" s="39" t="str">
        <f t="shared" si="0"/>
        <v>-</v>
      </c>
      <c r="E11" s="38">
        <v>2</v>
      </c>
      <c r="F11" s="38">
        <f t="shared" ca="1" si="1"/>
        <v>16.690572910033044</v>
      </c>
      <c r="G11" s="17">
        <f ca="1">SUMIFS(StockCode[Opening Quantity],StockCode[Stock Code],$A11)+SUMIFS(MoveQty,MoveDate,"&lt;"&amp;$K$1+1,MoveCode,$A11)</f>
        <v>77.739999999999995</v>
      </c>
      <c r="H11" s="17">
        <f t="shared" ca="1" si="2"/>
        <v>8.345286455016522</v>
      </c>
      <c r="I11" s="38">
        <f t="shared" ca="1" si="3"/>
        <v>648.76256901298439</v>
      </c>
      <c r="J11" s="52">
        <f t="shared" ca="1" si="4"/>
        <v>-75.739999999999995</v>
      </c>
      <c r="K11" s="52">
        <f t="shared" ca="1" si="5"/>
        <v>-632.07199610295129</v>
      </c>
    </row>
    <row r="12" spans="1:11" ht="16.149999999999999" customHeight="1" x14ac:dyDescent="0.25">
      <c r="A12" s="3" t="s">
        <v>35</v>
      </c>
      <c r="B12" s="3" t="str">
        <f>IF(ISNA(VLOOKUP($A12,StockCode[],COLUMN(StockCodes!$B$5),0))=TRUE,"Invalid Stock Code",VLOOKUP($A12,StockCode[],COLUMN(StockCodes!$B$5),0))</f>
        <v>Onions</v>
      </c>
      <c r="C12" s="39" t="str">
        <f>IF(ISNA(VLOOKUP($A12,StockCode[],COLUMN(StockCodes!$C$5),0))=TRUE,"-",VLOOKUP($A12,StockCode[],COLUMN(StockCodes!$C$5),0))</f>
        <v>Kg</v>
      </c>
      <c r="D12" s="39" t="str">
        <f t="shared" si="0"/>
        <v>-</v>
      </c>
      <c r="E12" s="38">
        <v>1</v>
      </c>
      <c r="F12" s="38">
        <f t="shared" ca="1" si="1"/>
        <v>23.24537956304809</v>
      </c>
      <c r="G12" s="17">
        <f ca="1">SUMIFS(StockCode[Opening Quantity],StockCode[Stock Code],$A12)+SUMIFS(MoveQty,MoveDate,"&lt;"&amp;$K$1+1,MoveCode,$A12)</f>
        <v>0.99999999999999822</v>
      </c>
      <c r="H12" s="17">
        <f t="shared" ca="1" si="2"/>
        <v>23.24537956304809</v>
      </c>
      <c r="I12" s="38">
        <f t="shared" ca="1" si="3"/>
        <v>23.245379563048047</v>
      </c>
      <c r="J12" s="52">
        <f t="shared" ca="1" si="4"/>
        <v>1.7763568394002505E-15</v>
      </c>
      <c r="K12" s="52">
        <f t="shared" ca="1" si="5"/>
        <v>4.129208897127528E-14</v>
      </c>
    </row>
    <row r="13" spans="1:11" ht="16.149999999999999" customHeight="1" x14ac:dyDescent="0.25">
      <c r="H13" s="17"/>
    </row>
    <row r="14" spans="1:11" ht="16.149999999999999" customHeight="1" x14ac:dyDescent="0.25">
      <c r="H14" s="17"/>
    </row>
    <row r="15" spans="1:11" ht="16.149999999999999" customHeight="1" x14ac:dyDescent="0.25">
      <c r="H15" s="17"/>
    </row>
    <row r="16" spans="1:11" ht="16.149999999999999" customHeight="1" x14ac:dyDescent="0.25">
      <c r="H16" s="17"/>
    </row>
    <row r="17" spans="8:8" ht="16.149999999999999" customHeight="1" x14ac:dyDescent="0.25">
      <c r="H17" s="17"/>
    </row>
    <row r="18" spans="8:8" ht="16.149999999999999" customHeight="1" x14ac:dyDescent="0.25">
      <c r="H18" s="17"/>
    </row>
    <row r="19" spans="8:8" ht="16.149999999999999" customHeight="1" x14ac:dyDescent="0.25">
      <c r="H19" s="17"/>
    </row>
    <row r="20" spans="8:8" ht="16.149999999999999" customHeight="1" x14ac:dyDescent="0.25">
      <c r="H20" s="17"/>
    </row>
    <row r="21" spans="8:8" ht="16.149999999999999" customHeight="1" x14ac:dyDescent="0.25">
      <c r="H21" s="17"/>
    </row>
    <row r="22" spans="8:8" ht="16.149999999999999" customHeight="1" x14ac:dyDescent="0.25">
      <c r="H22" s="17"/>
    </row>
    <row r="23" spans="8:8" ht="16.149999999999999" customHeight="1" x14ac:dyDescent="0.25">
      <c r="H23" s="17"/>
    </row>
    <row r="24" spans="8:8" ht="16.149999999999999" customHeight="1" x14ac:dyDescent="0.25">
      <c r="H24" s="17"/>
    </row>
    <row r="25" spans="8:8" ht="16.149999999999999" customHeight="1" x14ac:dyDescent="0.25">
      <c r="H25" s="17"/>
    </row>
    <row r="26" spans="8:8" ht="16.149999999999999" customHeight="1" x14ac:dyDescent="0.25">
      <c r="H26" s="17"/>
    </row>
    <row r="27" spans="8:8" ht="16.149999999999999" customHeight="1" x14ac:dyDescent="0.25">
      <c r="H27" s="17"/>
    </row>
    <row r="28" spans="8:8" ht="16.149999999999999" customHeight="1" x14ac:dyDescent="0.25">
      <c r="H28" s="17"/>
    </row>
    <row r="29" spans="8:8" ht="16.149999999999999" customHeight="1" x14ac:dyDescent="0.25">
      <c r="H29" s="17"/>
    </row>
    <row r="30" spans="8:8" ht="16.149999999999999" customHeight="1" x14ac:dyDescent="0.25">
      <c r="H30" s="17"/>
    </row>
    <row r="31" spans="8:8" ht="16.149999999999999" customHeight="1" x14ac:dyDescent="0.25">
      <c r="H31" s="17"/>
    </row>
    <row r="32" spans="8:8" ht="16.149999999999999" customHeight="1" x14ac:dyDescent="0.25">
      <c r="H32" s="17"/>
    </row>
    <row r="33" spans="8:8" ht="16.149999999999999" customHeight="1" x14ac:dyDescent="0.25">
      <c r="H33" s="17"/>
    </row>
    <row r="34" spans="8:8" ht="16.149999999999999" customHeight="1" x14ac:dyDescent="0.25">
      <c r="H34" s="17"/>
    </row>
    <row r="35" spans="8:8" ht="16.149999999999999" customHeight="1" x14ac:dyDescent="0.25">
      <c r="H35" s="17"/>
    </row>
    <row r="36" spans="8:8" ht="16.149999999999999" customHeight="1" x14ac:dyDescent="0.25">
      <c r="H36" s="17"/>
    </row>
    <row r="37" spans="8:8" ht="16.149999999999999" customHeight="1" x14ac:dyDescent="0.25">
      <c r="H37" s="17"/>
    </row>
    <row r="38" spans="8:8" ht="16.149999999999999" customHeight="1" x14ac:dyDescent="0.25">
      <c r="H38" s="17"/>
    </row>
    <row r="39" spans="8:8" ht="16.149999999999999" customHeight="1" x14ac:dyDescent="0.25">
      <c r="H39" s="17"/>
    </row>
    <row r="40" spans="8:8" ht="16.149999999999999" customHeight="1" x14ac:dyDescent="0.25">
      <c r="H40" s="17"/>
    </row>
    <row r="41" spans="8:8" ht="16.149999999999999" customHeight="1" x14ac:dyDescent="0.25">
      <c r="H41" s="17"/>
    </row>
    <row r="42" spans="8:8" ht="16.149999999999999" customHeight="1" x14ac:dyDescent="0.25">
      <c r="H42" s="17"/>
    </row>
    <row r="43" spans="8:8" ht="16.149999999999999" customHeight="1" x14ac:dyDescent="0.25">
      <c r="H43" s="17"/>
    </row>
    <row r="44" spans="8:8" ht="16.149999999999999" customHeight="1" x14ac:dyDescent="0.25">
      <c r="H44" s="17"/>
    </row>
    <row r="45" spans="8:8" ht="16.149999999999999" customHeight="1" x14ac:dyDescent="0.25">
      <c r="H45" s="17"/>
    </row>
    <row r="46" spans="8:8" ht="16.149999999999999" customHeight="1" x14ac:dyDescent="0.25">
      <c r="H46" s="17"/>
    </row>
    <row r="47" spans="8:8" ht="16.149999999999999" customHeight="1" x14ac:dyDescent="0.25">
      <c r="H47" s="17"/>
    </row>
    <row r="48" spans="8:8" ht="16.149999999999999" customHeight="1" x14ac:dyDescent="0.25">
      <c r="H48" s="17"/>
    </row>
    <row r="49" spans="8:8" ht="16.149999999999999" customHeight="1" x14ac:dyDescent="0.25">
      <c r="H49" s="17"/>
    </row>
    <row r="50" spans="8:8" ht="16.149999999999999" customHeight="1" x14ac:dyDescent="0.25">
      <c r="H50" s="17"/>
    </row>
    <row r="51" spans="8:8" ht="16.149999999999999" customHeight="1" x14ac:dyDescent="0.25">
      <c r="H51" s="17"/>
    </row>
    <row r="52" spans="8:8" ht="16.149999999999999" customHeight="1" x14ac:dyDescent="0.25">
      <c r="H52" s="17"/>
    </row>
    <row r="53" spans="8:8" ht="16.149999999999999" customHeight="1" x14ac:dyDescent="0.25">
      <c r="H53" s="17"/>
    </row>
    <row r="54" spans="8:8" ht="16.149999999999999" customHeight="1" x14ac:dyDescent="0.25">
      <c r="H54" s="17"/>
    </row>
    <row r="55" spans="8:8" ht="16.149999999999999" customHeight="1" x14ac:dyDescent="0.25">
      <c r="H55" s="17"/>
    </row>
    <row r="56" spans="8:8" ht="16.149999999999999" customHeight="1" x14ac:dyDescent="0.25">
      <c r="H56" s="17"/>
    </row>
    <row r="57" spans="8:8" ht="16.149999999999999" customHeight="1" x14ac:dyDescent="0.25">
      <c r="H57" s="17"/>
    </row>
    <row r="58" spans="8:8" ht="16.149999999999999" customHeight="1" x14ac:dyDescent="0.25">
      <c r="H58" s="17"/>
    </row>
    <row r="59" spans="8:8" ht="16.149999999999999" customHeight="1" x14ac:dyDescent="0.25">
      <c r="H59" s="17"/>
    </row>
    <row r="60" spans="8:8" ht="16.149999999999999" customHeight="1" x14ac:dyDescent="0.25">
      <c r="H60" s="17"/>
    </row>
    <row r="61" spans="8:8" ht="16.149999999999999" customHeight="1" x14ac:dyDescent="0.25">
      <c r="H61" s="17"/>
    </row>
    <row r="62" spans="8:8" ht="16.149999999999999" customHeight="1" x14ac:dyDescent="0.25">
      <c r="H62" s="17"/>
    </row>
    <row r="63" spans="8:8" ht="16.149999999999999" customHeight="1" x14ac:dyDescent="0.25">
      <c r="H63" s="17"/>
    </row>
    <row r="64" spans="8:8" ht="16.149999999999999" customHeight="1" x14ac:dyDescent="0.25">
      <c r="H64" s="17"/>
    </row>
    <row r="65" spans="8:8" ht="16.149999999999999" customHeight="1" x14ac:dyDescent="0.25">
      <c r="H65" s="17"/>
    </row>
    <row r="66" spans="8:8" ht="16.149999999999999" customHeight="1" x14ac:dyDescent="0.25">
      <c r="H66" s="17"/>
    </row>
    <row r="67" spans="8:8" ht="16.149999999999999" customHeight="1" x14ac:dyDescent="0.25">
      <c r="H67" s="17"/>
    </row>
    <row r="68" spans="8:8" ht="16.149999999999999" customHeight="1" x14ac:dyDescent="0.25">
      <c r="H68" s="17"/>
    </row>
    <row r="69" spans="8:8" ht="16.149999999999999" customHeight="1" x14ac:dyDescent="0.25">
      <c r="H69" s="17"/>
    </row>
    <row r="70" spans="8:8" ht="16.149999999999999" customHeight="1" x14ac:dyDescent="0.25">
      <c r="H70" s="17"/>
    </row>
    <row r="71" spans="8:8" ht="16.149999999999999" customHeight="1" x14ac:dyDescent="0.25">
      <c r="H71" s="17"/>
    </row>
    <row r="72" spans="8:8" ht="16.149999999999999" customHeight="1" x14ac:dyDescent="0.25">
      <c r="H72" s="17"/>
    </row>
    <row r="73" spans="8:8" ht="16.149999999999999" customHeight="1" x14ac:dyDescent="0.25">
      <c r="H73" s="17"/>
    </row>
    <row r="74" spans="8:8" ht="16.149999999999999" customHeight="1" x14ac:dyDescent="0.25">
      <c r="H74" s="17"/>
    </row>
    <row r="75" spans="8:8" ht="16.149999999999999" customHeight="1" x14ac:dyDescent="0.25">
      <c r="H75" s="17"/>
    </row>
    <row r="76" spans="8:8" ht="16.149999999999999" customHeight="1" x14ac:dyDescent="0.25">
      <c r="H76" s="17"/>
    </row>
    <row r="77" spans="8:8" ht="16.149999999999999" customHeight="1" x14ac:dyDescent="0.25">
      <c r="H77" s="17"/>
    </row>
    <row r="78" spans="8:8" ht="16.149999999999999" customHeight="1" x14ac:dyDescent="0.25">
      <c r="H78" s="17"/>
    </row>
    <row r="79" spans="8:8" ht="16.149999999999999" customHeight="1" x14ac:dyDescent="0.25">
      <c r="H79" s="17"/>
    </row>
    <row r="80" spans="8:8" ht="16.149999999999999" customHeight="1" x14ac:dyDescent="0.25">
      <c r="H80" s="17"/>
    </row>
    <row r="81" spans="8:8" ht="16.149999999999999" customHeight="1" x14ac:dyDescent="0.25">
      <c r="H81" s="17"/>
    </row>
    <row r="82" spans="8:8" ht="16.149999999999999" customHeight="1" x14ac:dyDescent="0.25">
      <c r="H82" s="17"/>
    </row>
    <row r="83" spans="8:8" ht="16.149999999999999" customHeight="1" x14ac:dyDescent="0.25">
      <c r="H83" s="17"/>
    </row>
    <row r="84" spans="8:8" ht="16.149999999999999" customHeight="1" x14ac:dyDescent="0.25">
      <c r="H84" s="17"/>
    </row>
    <row r="85" spans="8:8" ht="16.149999999999999" customHeight="1" x14ac:dyDescent="0.25">
      <c r="H85" s="17"/>
    </row>
    <row r="86" spans="8:8" ht="16.149999999999999" customHeight="1" x14ac:dyDescent="0.25">
      <c r="H86" s="17"/>
    </row>
    <row r="87" spans="8:8" ht="16.149999999999999" customHeight="1" x14ac:dyDescent="0.25">
      <c r="H87" s="17"/>
    </row>
    <row r="88" spans="8:8" ht="16.149999999999999" customHeight="1" x14ac:dyDescent="0.25">
      <c r="H88" s="17"/>
    </row>
    <row r="89" spans="8:8" ht="16.149999999999999" customHeight="1" x14ac:dyDescent="0.25">
      <c r="H89" s="17"/>
    </row>
    <row r="90" spans="8:8" ht="16.149999999999999" customHeight="1" x14ac:dyDescent="0.25">
      <c r="H90" s="17"/>
    </row>
    <row r="91" spans="8:8" ht="16.149999999999999" customHeight="1" x14ac:dyDescent="0.25">
      <c r="H91" s="17"/>
    </row>
    <row r="92" spans="8:8" ht="16.149999999999999" customHeight="1" x14ac:dyDescent="0.25">
      <c r="H92" s="17"/>
    </row>
    <row r="93" spans="8:8" ht="16.149999999999999" customHeight="1" x14ac:dyDescent="0.25">
      <c r="H93" s="17"/>
    </row>
    <row r="94" spans="8:8" ht="16.149999999999999" customHeight="1" x14ac:dyDescent="0.25">
      <c r="H94" s="17"/>
    </row>
    <row r="95" spans="8:8" ht="16.149999999999999" customHeight="1" x14ac:dyDescent="0.25">
      <c r="H95" s="17"/>
    </row>
    <row r="96" spans="8:8" ht="16.149999999999999" customHeight="1" x14ac:dyDescent="0.25">
      <c r="H96" s="17"/>
    </row>
    <row r="97" spans="8:8" ht="16.149999999999999" customHeight="1" x14ac:dyDescent="0.25">
      <c r="H97" s="17"/>
    </row>
    <row r="98" spans="8:8" ht="16.149999999999999" customHeight="1" x14ac:dyDescent="0.25">
      <c r="H98" s="17"/>
    </row>
    <row r="99" spans="8:8" ht="16.149999999999999" customHeight="1" x14ac:dyDescent="0.25">
      <c r="H99" s="17"/>
    </row>
    <row r="100" spans="8:8" ht="16.149999999999999" customHeight="1" x14ac:dyDescent="0.25">
      <c r="H100" s="17"/>
    </row>
    <row r="101" spans="8:8" ht="16.149999999999999" customHeight="1" x14ac:dyDescent="0.25">
      <c r="H101" s="17"/>
    </row>
    <row r="102" spans="8:8" ht="16.149999999999999" customHeight="1" x14ac:dyDescent="0.25">
      <c r="H102" s="17"/>
    </row>
    <row r="103" spans="8:8" ht="16.149999999999999" customHeight="1" x14ac:dyDescent="0.25">
      <c r="H103" s="17"/>
    </row>
    <row r="104" spans="8:8" ht="16.149999999999999" customHeight="1" x14ac:dyDescent="0.25">
      <c r="H104" s="17"/>
    </row>
    <row r="105" spans="8:8" ht="16.149999999999999" customHeight="1" x14ac:dyDescent="0.25">
      <c r="H105" s="17"/>
    </row>
    <row r="106" spans="8:8" ht="16.149999999999999" customHeight="1" x14ac:dyDescent="0.25">
      <c r="H106" s="17"/>
    </row>
    <row r="107" spans="8:8" ht="16.149999999999999" customHeight="1" x14ac:dyDescent="0.25">
      <c r="H107" s="17"/>
    </row>
    <row r="108" spans="8:8" ht="16.149999999999999" customHeight="1" x14ac:dyDescent="0.25">
      <c r="H108" s="17"/>
    </row>
    <row r="109" spans="8:8" ht="16.149999999999999" customHeight="1" x14ac:dyDescent="0.25">
      <c r="H109" s="17"/>
    </row>
    <row r="110" spans="8:8" ht="16.149999999999999" customHeight="1" x14ac:dyDescent="0.25">
      <c r="H110" s="17"/>
    </row>
    <row r="111" spans="8:8" ht="16.149999999999999" customHeight="1" x14ac:dyDescent="0.25">
      <c r="H111" s="17"/>
    </row>
    <row r="112" spans="8:8" ht="16.149999999999999" customHeight="1" x14ac:dyDescent="0.25">
      <c r="H112" s="17"/>
    </row>
    <row r="113" spans="8:8" ht="16.149999999999999" customHeight="1" x14ac:dyDescent="0.25">
      <c r="H113" s="17"/>
    </row>
    <row r="114" spans="8:8" ht="16.149999999999999" customHeight="1" x14ac:dyDescent="0.25">
      <c r="H114" s="17"/>
    </row>
    <row r="115" spans="8:8" ht="16.149999999999999" customHeight="1" x14ac:dyDescent="0.25">
      <c r="H115" s="17"/>
    </row>
    <row r="116" spans="8:8" ht="16.149999999999999" customHeight="1" x14ac:dyDescent="0.25">
      <c r="H116" s="17"/>
    </row>
    <row r="117" spans="8:8" ht="16.149999999999999" customHeight="1" x14ac:dyDescent="0.25">
      <c r="H117" s="17"/>
    </row>
    <row r="118" spans="8:8" ht="16.149999999999999" customHeight="1" x14ac:dyDescent="0.25">
      <c r="H118" s="17"/>
    </row>
    <row r="119" spans="8:8" ht="16.149999999999999" customHeight="1" x14ac:dyDescent="0.25">
      <c r="H119" s="17"/>
    </row>
    <row r="120" spans="8:8" ht="16.149999999999999" customHeight="1" x14ac:dyDescent="0.25">
      <c r="H120" s="17"/>
    </row>
    <row r="121" spans="8:8" ht="16.149999999999999" customHeight="1" x14ac:dyDescent="0.25">
      <c r="H121" s="17"/>
    </row>
    <row r="122" spans="8:8" ht="16.149999999999999" customHeight="1" x14ac:dyDescent="0.25">
      <c r="H122" s="17"/>
    </row>
    <row r="123" spans="8:8" ht="16.149999999999999" customHeight="1" x14ac:dyDescent="0.25">
      <c r="H123" s="17"/>
    </row>
    <row r="124" spans="8:8" ht="16.149999999999999" customHeight="1" x14ac:dyDescent="0.25">
      <c r="H124" s="17"/>
    </row>
    <row r="125" spans="8:8" ht="16.149999999999999" customHeight="1" x14ac:dyDescent="0.25">
      <c r="H125" s="17"/>
    </row>
    <row r="126" spans="8:8" ht="16.149999999999999" customHeight="1" x14ac:dyDescent="0.25">
      <c r="H126" s="17"/>
    </row>
    <row r="127" spans="8:8" ht="16.149999999999999" customHeight="1" x14ac:dyDescent="0.25">
      <c r="H127" s="17"/>
    </row>
    <row r="128" spans="8:8" ht="16.149999999999999" customHeight="1" x14ac:dyDescent="0.25">
      <c r="H128" s="17"/>
    </row>
    <row r="129" spans="8:8" ht="16.149999999999999" customHeight="1" x14ac:dyDescent="0.25">
      <c r="H129" s="17"/>
    </row>
    <row r="130" spans="8:8" ht="16.149999999999999" customHeight="1" x14ac:dyDescent="0.25">
      <c r="H130" s="17"/>
    </row>
    <row r="131" spans="8:8" ht="16.149999999999999" customHeight="1" x14ac:dyDescent="0.25">
      <c r="H131" s="17"/>
    </row>
    <row r="132" spans="8:8" ht="16.149999999999999" customHeight="1" x14ac:dyDescent="0.25">
      <c r="H132" s="17"/>
    </row>
    <row r="133" spans="8:8" ht="16.149999999999999" customHeight="1" x14ac:dyDescent="0.25">
      <c r="H133" s="17"/>
    </row>
    <row r="134" spans="8:8" ht="16.149999999999999" customHeight="1" x14ac:dyDescent="0.25">
      <c r="H134" s="17"/>
    </row>
    <row r="135" spans="8:8" ht="16.149999999999999" customHeight="1" x14ac:dyDescent="0.25">
      <c r="H135" s="17"/>
    </row>
    <row r="136" spans="8:8" ht="16.149999999999999" customHeight="1" x14ac:dyDescent="0.25">
      <c r="H136" s="17"/>
    </row>
    <row r="137" spans="8:8" ht="16.149999999999999" customHeight="1" x14ac:dyDescent="0.25">
      <c r="H137" s="17"/>
    </row>
    <row r="138" spans="8:8" ht="16.149999999999999" customHeight="1" x14ac:dyDescent="0.25">
      <c r="H138" s="17"/>
    </row>
    <row r="139" spans="8:8" ht="16.149999999999999" customHeight="1" x14ac:dyDescent="0.25">
      <c r="H139" s="17"/>
    </row>
    <row r="140" spans="8:8" ht="16.149999999999999" customHeight="1" x14ac:dyDescent="0.25">
      <c r="H140" s="17"/>
    </row>
    <row r="141" spans="8:8" ht="16.149999999999999" customHeight="1" x14ac:dyDescent="0.25">
      <c r="H141" s="17"/>
    </row>
    <row r="142" spans="8:8" ht="16.149999999999999" customHeight="1" x14ac:dyDescent="0.25">
      <c r="H142" s="17"/>
    </row>
    <row r="143" spans="8:8" ht="16.149999999999999" customHeight="1" x14ac:dyDescent="0.25">
      <c r="H143" s="17"/>
    </row>
    <row r="144" spans="8:8" ht="16.149999999999999" customHeight="1" x14ac:dyDescent="0.25">
      <c r="H144" s="17"/>
    </row>
    <row r="145" spans="8:8" ht="16.149999999999999" customHeight="1" x14ac:dyDescent="0.25">
      <c r="H145" s="17"/>
    </row>
    <row r="146" spans="8:8" ht="16.149999999999999" customHeight="1" x14ac:dyDescent="0.25">
      <c r="H146" s="17"/>
    </row>
    <row r="147" spans="8:8" ht="16.149999999999999" customHeight="1" x14ac:dyDescent="0.25">
      <c r="H147" s="17"/>
    </row>
    <row r="148" spans="8:8" ht="16.149999999999999" customHeight="1" x14ac:dyDescent="0.25">
      <c r="H148" s="17"/>
    </row>
    <row r="149" spans="8:8" ht="16.149999999999999" customHeight="1" x14ac:dyDescent="0.25">
      <c r="H149" s="17"/>
    </row>
    <row r="150" spans="8:8" ht="16.149999999999999" customHeight="1" x14ac:dyDescent="0.25">
      <c r="H150" s="17"/>
    </row>
    <row r="151" spans="8:8" ht="16.149999999999999" customHeight="1" x14ac:dyDescent="0.25">
      <c r="H151" s="17"/>
    </row>
    <row r="152" spans="8:8" ht="16.149999999999999" customHeight="1" x14ac:dyDescent="0.25">
      <c r="H152" s="17"/>
    </row>
    <row r="153" spans="8:8" ht="16.149999999999999" customHeight="1" x14ac:dyDescent="0.25">
      <c r="H153" s="17"/>
    </row>
    <row r="154" spans="8:8" ht="16.149999999999999" customHeight="1" x14ac:dyDescent="0.25">
      <c r="H154" s="17"/>
    </row>
    <row r="155" spans="8:8" ht="16.149999999999999" customHeight="1" x14ac:dyDescent="0.25">
      <c r="H155" s="17"/>
    </row>
    <row r="156" spans="8:8" ht="16.149999999999999" customHeight="1" x14ac:dyDescent="0.25">
      <c r="H156" s="17"/>
    </row>
    <row r="157" spans="8:8" ht="16.149999999999999" customHeight="1" x14ac:dyDescent="0.25">
      <c r="H157" s="17"/>
    </row>
    <row r="158" spans="8:8" ht="16.149999999999999" customHeight="1" x14ac:dyDescent="0.25">
      <c r="H158" s="17"/>
    </row>
    <row r="159" spans="8:8" ht="16.149999999999999" customHeight="1" x14ac:dyDescent="0.25">
      <c r="H159" s="17"/>
    </row>
    <row r="160" spans="8:8" ht="16.149999999999999" customHeight="1" x14ac:dyDescent="0.25">
      <c r="H160" s="17"/>
    </row>
    <row r="161" spans="8:8" ht="16.149999999999999" customHeight="1" x14ac:dyDescent="0.25">
      <c r="H161" s="17"/>
    </row>
    <row r="162" spans="8:8" ht="16.149999999999999" customHeight="1" x14ac:dyDescent="0.25">
      <c r="H162" s="17"/>
    </row>
    <row r="163" spans="8:8" ht="16.149999999999999" customHeight="1" x14ac:dyDescent="0.25">
      <c r="H163" s="17"/>
    </row>
    <row r="164" spans="8:8" ht="16.149999999999999" customHeight="1" x14ac:dyDescent="0.25">
      <c r="H164" s="17"/>
    </row>
    <row r="165" spans="8:8" ht="16.149999999999999" customHeight="1" x14ac:dyDescent="0.25">
      <c r="H165" s="17"/>
    </row>
    <row r="166" spans="8:8" ht="16.149999999999999" customHeight="1" x14ac:dyDescent="0.25">
      <c r="H166" s="17"/>
    </row>
    <row r="167" spans="8:8" ht="16.149999999999999" customHeight="1" x14ac:dyDescent="0.25">
      <c r="H167" s="17"/>
    </row>
    <row r="168" spans="8:8" ht="16.149999999999999" customHeight="1" x14ac:dyDescent="0.25">
      <c r="H168" s="17"/>
    </row>
    <row r="169" spans="8:8" ht="16.149999999999999" customHeight="1" x14ac:dyDescent="0.25">
      <c r="H169" s="17"/>
    </row>
    <row r="170" spans="8:8" ht="16.149999999999999" customHeight="1" x14ac:dyDescent="0.25">
      <c r="H170" s="17"/>
    </row>
    <row r="171" spans="8:8" ht="16.149999999999999" customHeight="1" x14ac:dyDescent="0.25">
      <c r="H171" s="17"/>
    </row>
    <row r="172" spans="8:8" ht="16.149999999999999" customHeight="1" x14ac:dyDescent="0.25">
      <c r="H172" s="17"/>
    </row>
    <row r="173" spans="8:8" ht="16.149999999999999" customHeight="1" x14ac:dyDescent="0.25">
      <c r="H173" s="17"/>
    </row>
    <row r="174" spans="8:8" ht="16.149999999999999" customHeight="1" x14ac:dyDescent="0.25">
      <c r="H174" s="17"/>
    </row>
    <row r="175" spans="8:8" ht="16.149999999999999" customHeight="1" x14ac:dyDescent="0.25">
      <c r="H175" s="17"/>
    </row>
    <row r="176" spans="8:8" ht="16.149999999999999" customHeight="1" x14ac:dyDescent="0.25">
      <c r="H176" s="17"/>
    </row>
    <row r="177" spans="8:8" ht="16.149999999999999" customHeight="1" x14ac:dyDescent="0.25">
      <c r="H177" s="17"/>
    </row>
    <row r="178" spans="8:8" ht="16.149999999999999" customHeight="1" x14ac:dyDescent="0.25">
      <c r="H178" s="17"/>
    </row>
    <row r="179" spans="8:8" ht="16.149999999999999" customHeight="1" x14ac:dyDescent="0.25">
      <c r="H179" s="17"/>
    </row>
    <row r="180" spans="8:8" ht="16.149999999999999" customHeight="1" x14ac:dyDescent="0.25">
      <c r="H180" s="17"/>
    </row>
    <row r="181" spans="8:8" ht="16.149999999999999" customHeight="1" x14ac:dyDescent="0.25">
      <c r="H181" s="17"/>
    </row>
    <row r="182" spans="8:8" ht="16.149999999999999" customHeight="1" x14ac:dyDescent="0.25">
      <c r="H182" s="17"/>
    </row>
    <row r="183" spans="8:8" ht="16.149999999999999" customHeight="1" x14ac:dyDescent="0.25">
      <c r="H183" s="17"/>
    </row>
    <row r="184" spans="8:8" ht="16.149999999999999" customHeight="1" x14ac:dyDescent="0.25">
      <c r="H184" s="17"/>
    </row>
    <row r="185" spans="8:8" ht="16.149999999999999" customHeight="1" x14ac:dyDescent="0.25">
      <c r="H185" s="17"/>
    </row>
    <row r="186" spans="8:8" ht="16.149999999999999" customHeight="1" x14ac:dyDescent="0.25">
      <c r="H186" s="17"/>
    </row>
    <row r="187" spans="8:8" ht="16.149999999999999" customHeight="1" x14ac:dyDescent="0.25">
      <c r="H187" s="17"/>
    </row>
    <row r="188" spans="8:8" ht="16.149999999999999" customHeight="1" x14ac:dyDescent="0.25">
      <c r="H188" s="17"/>
    </row>
    <row r="189" spans="8:8" ht="16.149999999999999" customHeight="1" x14ac:dyDescent="0.25">
      <c r="H189" s="17"/>
    </row>
    <row r="190" spans="8:8" ht="16.149999999999999" customHeight="1" x14ac:dyDescent="0.25">
      <c r="H190" s="17"/>
    </row>
    <row r="191" spans="8:8" ht="16.149999999999999" customHeight="1" x14ac:dyDescent="0.25">
      <c r="H191" s="17"/>
    </row>
    <row r="192" spans="8:8" ht="16.149999999999999" customHeight="1" x14ac:dyDescent="0.25">
      <c r="H192" s="17"/>
    </row>
    <row r="193" spans="8:8" ht="16.149999999999999" customHeight="1" x14ac:dyDescent="0.25">
      <c r="H193" s="17"/>
    </row>
    <row r="194" spans="8:8" ht="16.149999999999999" customHeight="1" x14ac:dyDescent="0.25">
      <c r="H194" s="17"/>
    </row>
    <row r="195" spans="8:8" ht="16.149999999999999" customHeight="1" x14ac:dyDescent="0.25">
      <c r="H195" s="17"/>
    </row>
    <row r="196" spans="8:8" ht="16.149999999999999" customHeight="1" x14ac:dyDescent="0.25">
      <c r="H196" s="17"/>
    </row>
    <row r="197" spans="8:8" ht="16.149999999999999" customHeight="1" x14ac:dyDescent="0.25">
      <c r="H197" s="17"/>
    </row>
    <row r="198" spans="8:8" ht="16.149999999999999" customHeight="1" x14ac:dyDescent="0.25">
      <c r="H198" s="17"/>
    </row>
    <row r="199" spans="8:8" ht="16.149999999999999" customHeight="1" x14ac:dyDescent="0.25">
      <c r="H199" s="17"/>
    </row>
    <row r="200" spans="8:8" ht="16.149999999999999" customHeight="1" x14ac:dyDescent="0.25">
      <c r="H200" s="17"/>
    </row>
    <row r="201" spans="8:8" ht="16.149999999999999" customHeight="1" x14ac:dyDescent="0.25">
      <c r="H201" s="17"/>
    </row>
    <row r="202" spans="8:8" ht="16.149999999999999" customHeight="1" x14ac:dyDescent="0.25">
      <c r="H202" s="17"/>
    </row>
    <row r="203" spans="8:8" ht="16.149999999999999" customHeight="1" x14ac:dyDescent="0.25">
      <c r="H203" s="17"/>
    </row>
    <row r="204" spans="8:8" ht="16.149999999999999" customHeight="1" x14ac:dyDescent="0.25">
      <c r="H204" s="17"/>
    </row>
    <row r="205" spans="8:8" ht="16.149999999999999" customHeight="1" x14ac:dyDescent="0.25">
      <c r="H205" s="17"/>
    </row>
    <row r="206" spans="8:8" ht="16.149999999999999" customHeight="1" x14ac:dyDescent="0.25">
      <c r="H206" s="17"/>
    </row>
    <row r="207" spans="8:8" ht="16.149999999999999" customHeight="1" x14ac:dyDescent="0.25">
      <c r="H207" s="17"/>
    </row>
    <row r="208" spans="8:8" ht="16.149999999999999" customHeight="1" x14ac:dyDescent="0.25">
      <c r="H208" s="17"/>
    </row>
    <row r="209" spans="8:8" ht="16.149999999999999" customHeight="1" x14ac:dyDescent="0.25">
      <c r="H209" s="17"/>
    </row>
    <row r="210" spans="8:8" ht="16.149999999999999" customHeight="1" x14ac:dyDescent="0.25">
      <c r="H210" s="17"/>
    </row>
    <row r="211" spans="8:8" ht="16.149999999999999" customHeight="1" x14ac:dyDescent="0.25">
      <c r="H211" s="17"/>
    </row>
    <row r="212" spans="8:8" ht="16.149999999999999" customHeight="1" x14ac:dyDescent="0.25">
      <c r="H212" s="17"/>
    </row>
    <row r="213" spans="8:8" ht="16.149999999999999" customHeight="1" x14ac:dyDescent="0.25">
      <c r="H213" s="17"/>
    </row>
    <row r="214" spans="8:8" ht="16.149999999999999" customHeight="1" x14ac:dyDescent="0.25">
      <c r="H214" s="17"/>
    </row>
    <row r="215" spans="8:8" ht="16.149999999999999" customHeight="1" x14ac:dyDescent="0.25">
      <c r="H215" s="17"/>
    </row>
    <row r="216" spans="8:8" ht="16.149999999999999" customHeight="1" x14ac:dyDescent="0.25">
      <c r="H216" s="17"/>
    </row>
    <row r="217" spans="8:8" ht="16.149999999999999" customHeight="1" x14ac:dyDescent="0.25">
      <c r="H217" s="17"/>
    </row>
    <row r="218" spans="8:8" ht="16.149999999999999" customHeight="1" x14ac:dyDescent="0.25">
      <c r="H218" s="17"/>
    </row>
    <row r="219" spans="8:8" ht="16.149999999999999" customHeight="1" x14ac:dyDescent="0.25">
      <c r="H219" s="17"/>
    </row>
    <row r="220" spans="8:8" ht="16.149999999999999" customHeight="1" x14ac:dyDescent="0.25">
      <c r="H220" s="17"/>
    </row>
    <row r="221" spans="8:8" ht="16.149999999999999" customHeight="1" x14ac:dyDescent="0.25">
      <c r="H221" s="17"/>
    </row>
    <row r="222" spans="8:8" ht="16.149999999999999" customHeight="1" x14ac:dyDescent="0.25">
      <c r="H222" s="17"/>
    </row>
    <row r="223" spans="8:8" ht="16.149999999999999" customHeight="1" x14ac:dyDescent="0.25">
      <c r="H223" s="17"/>
    </row>
    <row r="224" spans="8:8" ht="16.149999999999999" customHeight="1" x14ac:dyDescent="0.25">
      <c r="H224" s="17"/>
    </row>
    <row r="225" spans="8:8" ht="16.149999999999999" customHeight="1" x14ac:dyDescent="0.25">
      <c r="H225" s="17"/>
    </row>
    <row r="226" spans="8:8" ht="16.149999999999999" customHeight="1" x14ac:dyDescent="0.25">
      <c r="H226" s="17"/>
    </row>
    <row r="227" spans="8:8" ht="16.149999999999999" customHeight="1" x14ac:dyDescent="0.25">
      <c r="H227" s="17"/>
    </row>
    <row r="228" spans="8:8" ht="16.149999999999999" customHeight="1" x14ac:dyDescent="0.25">
      <c r="H228" s="17"/>
    </row>
    <row r="229" spans="8:8" ht="16.149999999999999" customHeight="1" x14ac:dyDescent="0.25">
      <c r="H229" s="17"/>
    </row>
    <row r="230" spans="8:8" ht="16.149999999999999" customHeight="1" x14ac:dyDescent="0.25">
      <c r="H230" s="17"/>
    </row>
    <row r="231" spans="8:8" ht="16.149999999999999" customHeight="1" x14ac:dyDescent="0.25">
      <c r="H231" s="17"/>
    </row>
    <row r="232" spans="8:8" ht="16.149999999999999" customHeight="1" x14ac:dyDescent="0.25">
      <c r="H232" s="17"/>
    </row>
    <row r="233" spans="8:8" ht="16.149999999999999" customHeight="1" x14ac:dyDescent="0.25">
      <c r="H233" s="17"/>
    </row>
    <row r="234" spans="8:8" ht="16.149999999999999" customHeight="1" x14ac:dyDescent="0.25">
      <c r="H234" s="17"/>
    </row>
    <row r="235" spans="8:8" ht="16.149999999999999" customHeight="1" x14ac:dyDescent="0.25">
      <c r="H235" s="17"/>
    </row>
    <row r="236" spans="8:8" ht="16.149999999999999" customHeight="1" x14ac:dyDescent="0.25">
      <c r="H236" s="17"/>
    </row>
    <row r="237" spans="8:8" ht="16.149999999999999" customHeight="1" x14ac:dyDescent="0.25">
      <c r="H237" s="17"/>
    </row>
    <row r="238" spans="8:8" ht="16.149999999999999" customHeight="1" x14ac:dyDescent="0.25">
      <c r="H238" s="17"/>
    </row>
    <row r="239" spans="8:8" ht="16.149999999999999" customHeight="1" x14ac:dyDescent="0.25">
      <c r="H239" s="17"/>
    </row>
    <row r="240" spans="8:8" ht="16.149999999999999" customHeight="1" x14ac:dyDescent="0.25">
      <c r="H240" s="17"/>
    </row>
    <row r="241" spans="8:8" ht="16.149999999999999" customHeight="1" x14ac:dyDescent="0.25">
      <c r="H241" s="17"/>
    </row>
    <row r="242" spans="8:8" ht="16.149999999999999" customHeight="1" x14ac:dyDescent="0.25">
      <c r="H242" s="17"/>
    </row>
    <row r="243" spans="8:8" ht="16.149999999999999" customHeight="1" x14ac:dyDescent="0.25">
      <c r="H243" s="17"/>
    </row>
    <row r="244" spans="8:8" ht="16.149999999999999" customHeight="1" x14ac:dyDescent="0.25">
      <c r="H244" s="17"/>
    </row>
    <row r="245" spans="8:8" ht="16.149999999999999" customHeight="1" x14ac:dyDescent="0.25">
      <c r="H245" s="17"/>
    </row>
    <row r="246" spans="8:8" ht="16.149999999999999" customHeight="1" x14ac:dyDescent="0.25">
      <c r="H246" s="17"/>
    </row>
    <row r="247" spans="8:8" ht="16.149999999999999" customHeight="1" x14ac:dyDescent="0.25">
      <c r="H247" s="17"/>
    </row>
    <row r="248" spans="8:8" ht="16.149999999999999" customHeight="1" x14ac:dyDescent="0.25">
      <c r="H248" s="17"/>
    </row>
    <row r="249" spans="8:8" ht="16.149999999999999" customHeight="1" x14ac:dyDescent="0.25">
      <c r="H249" s="17"/>
    </row>
    <row r="250" spans="8:8" ht="16.149999999999999" customHeight="1" x14ac:dyDescent="0.25">
      <c r="H250" s="17"/>
    </row>
    <row r="251" spans="8:8" ht="16.149999999999999" customHeight="1" x14ac:dyDescent="0.25">
      <c r="H251" s="17"/>
    </row>
    <row r="252" spans="8:8" ht="16.149999999999999" customHeight="1" x14ac:dyDescent="0.25">
      <c r="H252" s="17"/>
    </row>
    <row r="253" spans="8:8" ht="16.149999999999999" customHeight="1" x14ac:dyDescent="0.25">
      <c r="H253" s="17"/>
    </row>
    <row r="254" spans="8:8" ht="16.149999999999999" customHeight="1" x14ac:dyDescent="0.25">
      <c r="H254" s="17"/>
    </row>
    <row r="255" spans="8:8" ht="16.149999999999999" customHeight="1" x14ac:dyDescent="0.25">
      <c r="H255" s="17"/>
    </row>
    <row r="256" spans="8:8" ht="16.149999999999999" customHeight="1" x14ac:dyDescent="0.25">
      <c r="H256" s="17"/>
    </row>
    <row r="257" spans="8:8" ht="16.149999999999999" customHeight="1" x14ac:dyDescent="0.25">
      <c r="H257" s="17"/>
    </row>
    <row r="258" spans="8:8" ht="16.149999999999999" customHeight="1" x14ac:dyDescent="0.25">
      <c r="H258" s="17"/>
    </row>
    <row r="259" spans="8:8" ht="16.149999999999999" customHeight="1" x14ac:dyDescent="0.25">
      <c r="H259" s="17"/>
    </row>
    <row r="260" spans="8:8" ht="16.149999999999999" customHeight="1" x14ac:dyDescent="0.25">
      <c r="H260" s="17"/>
    </row>
    <row r="261" spans="8:8" ht="16.149999999999999" customHeight="1" x14ac:dyDescent="0.25">
      <c r="H261" s="17"/>
    </row>
    <row r="262" spans="8:8" ht="16.149999999999999" customHeight="1" x14ac:dyDescent="0.25">
      <c r="H262" s="17"/>
    </row>
    <row r="263" spans="8:8" ht="16.149999999999999" customHeight="1" x14ac:dyDescent="0.25">
      <c r="H263" s="17"/>
    </row>
    <row r="264" spans="8:8" ht="16.149999999999999" customHeight="1" x14ac:dyDescent="0.25">
      <c r="H264" s="17"/>
    </row>
    <row r="265" spans="8:8" ht="16.149999999999999" customHeight="1" x14ac:dyDescent="0.25">
      <c r="H265" s="17"/>
    </row>
    <row r="266" spans="8:8" ht="16.149999999999999" customHeight="1" x14ac:dyDescent="0.25">
      <c r="H266" s="17"/>
    </row>
    <row r="267" spans="8:8" ht="16.149999999999999" customHeight="1" x14ac:dyDescent="0.25">
      <c r="H267" s="17"/>
    </row>
    <row r="268" spans="8:8" ht="16.149999999999999" customHeight="1" x14ac:dyDescent="0.25">
      <c r="H268" s="17"/>
    </row>
    <row r="269" spans="8:8" ht="16.149999999999999" customHeight="1" x14ac:dyDescent="0.25">
      <c r="H269" s="17"/>
    </row>
    <row r="270" spans="8:8" ht="16.149999999999999" customHeight="1" x14ac:dyDescent="0.25">
      <c r="H270" s="17"/>
    </row>
    <row r="271" spans="8:8" ht="16.149999999999999" customHeight="1" x14ac:dyDescent="0.25">
      <c r="H271" s="17"/>
    </row>
    <row r="272" spans="8:8" ht="16.149999999999999" customHeight="1" x14ac:dyDescent="0.25">
      <c r="H272" s="17"/>
    </row>
    <row r="273" spans="8:8" ht="16.149999999999999" customHeight="1" x14ac:dyDescent="0.25">
      <c r="H273" s="17"/>
    </row>
    <row r="274" spans="8:8" ht="16.149999999999999" customHeight="1" x14ac:dyDescent="0.25">
      <c r="H274" s="17"/>
    </row>
    <row r="275" spans="8:8" ht="16.149999999999999" customHeight="1" x14ac:dyDescent="0.25">
      <c r="H275" s="17"/>
    </row>
    <row r="276" spans="8:8" ht="16.149999999999999" customHeight="1" x14ac:dyDescent="0.25">
      <c r="H276" s="17"/>
    </row>
    <row r="277" spans="8:8" ht="16.149999999999999" customHeight="1" x14ac:dyDescent="0.25">
      <c r="H277" s="17"/>
    </row>
    <row r="278" spans="8:8" ht="16.149999999999999" customHeight="1" x14ac:dyDescent="0.25">
      <c r="H278" s="17"/>
    </row>
    <row r="279" spans="8:8" ht="16.149999999999999" customHeight="1" x14ac:dyDescent="0.25">
      <c r="H279" s="17"/>
    </row>
    <row r="280" spans="8:8" ht="16.149999999999999" customHeight="1" x14ac:dyDescent="0.25">
      <c r="H280" s="17"/>
    </row>
    <row r="281" spans="8:8" ht="16.149999999999999" customHeight="1" x14ac:dyDescent="0.25">
      <c r="H281" s="17"/>
    </row>
    <row r="282" spans="8:8" ht="16.149999999999999" customHeight="1" x14ac:dyDescent="0.25">
      <c r="H282" s="17"/>
    </row>
    <row r="283" spans="8:8" ht="16.149999999999999" customHeight="1" x14ac:dyDescent="0.25">
      <c r="H283" s="17"/>
    </row>
    <row r="284" spans="8:8" ht="16.149999999999999" customHeight="1" x14ac:dyDescent="0.25">
      <c r="H284" s="17"/>
    </row>
    <row r="285" spans="8:8" ht="16.149999999999999" customHeight="1" x14ac:dyDescent="0.25">
      <c r="H285" s="17"/>
    </row>
    <row r="286" spans="8:8" ht="16.149999999999999" customHeight="1" x14ac:dyDescent="0.25">
      <c r="H286" s="17"/>
    </row>
    <row r="287" spans="8:8" ht="16.149999999999999" customHeight="1" x14ac:dyDescent="0.25">
      <c r="H287" s="17"/>
    </row>
    <row r="288" spans="8:8" ht="16.149999999999999" customHeight="1" x14ac:dyDescent="0.25">
      <c r="H288" s="17"/>
    </row>
    <row r="289" spans="8:8" ht="16.149999999999999" customHeight="1" x14ac:dyDescent="0.25">
      <c r="H289" s="17"/>
    </row>
    <row r="290" spans="8:8" ht="16.149999999999999" customHeight="1" x14ac:dyDescent="0.25">
      <c r="H290" s="17"/>
    </row>
    <row r="291" spans="8:8" ht="16.149999999999999" customHeight="1" x14ac:dyDescent="0.25">
      <c r="H291" s="17"/>
    </row>
    <row r="292" spans="8:8" ht="16.149999999999999" customHeight="1" x14ac:dyDescent="0.25">
      <c r="H292" s="17"/>
    </row>
    <row r="293" spans="8:8" ht="16.149999999999999" customHeight="1" x14ac:dyDescent="0.25">
      <c r="H293" s="17"/>
    </row>
    <row r="294" spans="8:8" ht="16.149999999999999" customHeight="1" x14ac:dyDescent="0.25">
      <c r="H294" s="17"/>
    </row>
    <row r="295" spans="8:8" ht="16.149999999999999" customHeight="1" x14ac:dyDescent="0.25">
      <c r="H295" s="17"/>
    </row>
    <row r="296" spans="8:8" ht="16.149999999999999" customHeight="1" x14ac:dyDescent="0.25">
      <c r="H296" s="17"/>
    </row>
    <row r="297" spans="8:8" ht="16.149999999999999" customHeight="1" x14ac:dyDescent="0.25">
      <c r="H297" s="17"/>
    </row>
    <row r="298" spans="8:8" ht="16.149999999999999" customHeight="1" x14ac:dyDescent="0.25">
      <c r="H298" s="17"/>
    </row>
    <row r="299" spans="8:8" ht="16.149999999999999" customHeight="1" x14ac:dyDescent="0.25">
      <c r="H299" s="17"/>
    </row>
    <row r="300" spans="8:8" ht="16.149999999999999" customHeight="1" x14ac:dyDescent="0.25">
      <c r="H300" s="17"/>
    </row>
    <row r="301" spans="8:8" ht="16.149999999999999" customHeight="1" x14ac:dyDescent="0.25">
      <c r="H301" s="17"/>
    </row>
    <row r="302" spans="8:8" ht="16.149999999999999" customHeight="1" x14ac:dyDescent="0.25">
      <c r="H302" s="17"/>
    </row>
    <row r="303" spans="8:8" ht="16.149999999999999" customHeight="1" x14ac:dyDescent="0.25">
      <c r="H303" s="17"/>
    </row>
    <row r="304" spans="8:8" ht="16.149999999999999" customHeight="1" x14ac:dyDescent="0.25">
      <c r="H304" s="17"/>
    </row>
    <row r="305" spans="8:8" ht="16.149999999999999" customHeight="1" x14ac:dyDescent="0.25">
      <c r="H305" s="17"/>
    </row>
    <row r="306" spans="8:8" ht="16.149999999999999" customHeight="1" x14ac:dyDescent="0.25">
      <c r="H306" s="17"/>
    </row>
    <row r="307" spans="8:8" ht="16.149999999999999" customHeight="1" x14ac:dyDescent="0.25">
      <c r="H307" s="17"/>
    </row>
    <row r="308" spans="8:8" ht="16.149999999999999" customHeight="1" x14ac:dyDescent="0.25">
      <c r="H308" s="17"/>
    </row>
    <row r="309" spans="8:8" ht="16.149999999999999" customHeight="1" x14ac:dyDescent="0.25">
      <c r="H309" s="17"/>
    </row>
    <row r="310" spans="8:8" ht="16.149999999999999" customHeight="1" x14ac:dyDescent="0.25">
      <c r="H310" s="17"/>
    </row>
    <row r="311" spans="8:8" ht="16.149999999999999" customHeight="1" x14ac:dyDescent="0.25">
      <c r="H311" s="17"/>
    </row>
    <row r="312" spans="8:8" ht="16.149999999999999" customHeight="1" x14ac:dyDescent="0.25">
      <c r="H312" s="17"/>
    </row>
    <row r="313" spans="8:8" ht="16.149999999999999" customHeight="1" x14ac:dyDescent="0.25">
      <c r="H313" s="17"/>
    </row>
    <row r="314" spans="8:8" ht="16.149999999999999" customHeight="1" x14ac:dyDescent="0.25">
      <c r="H314" s="17"/>
    </row>
    <row r="315" spans="8:8" ht="16.149999999999999" customHeight="1" x14ac:dyDescent="0.25">
      <c r="H315" s="17"/>
    </row>
    <row r="316" spans="8:8" ht="16.149999999999999" customHeight="1" x14ac:dyDescent="0.25">
      <c r="H316" s="17"/>
    </row>
    <row r="317" spans="8:8" ht="16.149999999999999" customHeight="1" x14ac:dyDescent="0.25">
      <c r="H317" s="17"/>
    </row>
    <row r="318" spans="8:8" ht="16.149999999999999" customHeight="1" x14ac:dyDescent="0.25">
      <c r="H318" s="17"/>
    </row>
    <row r="319" spans="8:8" ht="16.149999999999999" customHeight="1" x14ac:dyDescent="0.25">
      <c r="H319" s="17"/>
    </row>
    <row r="320" spans="8:8" ht="16.149999999999999" customHeight="1" x14ac:dyDescent="0.25">
      <c r="H320" s="17"/>
    </row>
    <row r="321" spans="8:8" ht="16.149999999999999" customHeight="1" x14ac:dyDescent="0.25">
      <c r="H321" s="17"/>
    </row>
    <row r="322" spans="8:8" ht="16.149999999999999" customHeight="1" x14ac:dyDescent="0.25">
      <c r="H322" s="17"/>
    </row>
    <row r="323" spans="8:8" ht="16.149999999999999" customHeight="1" x14ac:dyDescent="0.25">
      <c r="H323" s="17"/>
    </row>
    <row r="324" spans="8:8" ht="16.149999999999999" customHeight="1" x14ac:dyDescent="0.25">
      <c r="H324" s="17"/>
    </row>
    <row r="325" spans="8:8" ht="16.149999999999999" customHeight="1" x14ac:dyDescent="0.25">
      <c r="H325" s="17"/>
    </row>
    <row r="326" spans="8:8" ht="16.149999999999999" customHeight="1" x14ac:dyDescent="0.25">
      <c r="H326" s="17"/>
    </row>
    <row r="327" spans="8:8" ht="16.149999999999999" customHeight="1" x14ac:dyDescent="0.25">
      <c r="H327" s="17"/>
    </row>
    <row r="328" spans="8:8" ht="16.149999999999999" customHeight="1" x14ac:dyDescent="0.25">
      <c r="H328" s="17"/>
    </row>
    <row r="329" spans="8:8" ht="16.149999999999999" customHeight="1" x14ac:dyDescent="0.25">
      <c r="H329" s="17"/>
    </row>
    <row r="330" spans="8:8" ht="16.149999999999999" customHeight="1" x14ac:dyDescent="0.25">
      <c r="H330" s="17"/>
    </row>
    <row r="331" spans="8:8" ht="16.149999999999999" customHeight="1" x14ac:dyDescent="0.25">
      <c r="H331" s="17"/>
    </row>
    <row r="332" spans="8:8" ht="16.149999999999999" customHeight="1" x14ac:dyDescent="0.25">
      <c r="H332" s="17"/>
    </row>
    <row r="333" spans="8:8" ht="16.149999999999999" customHeight="1" x14ac:dyDescent="0.25">
      <c r="H333" s="17"/>
    </row>
    <row r="334" spans="8:8" ht="16.149999999999999" customHeight="1" x14ac:dyDescent="0.25">
      <c r="H334" s="17"/>
    </row>
    <row r="335" spans="8:8" ht="16.149999999999999" customHeight="1" x14ac:dyDescent="0.25">
      <c r="H335" s="17"/>
    </row>
    <row r="336" spans="8:8" ht="16.149999999999999" customHeight="1" x14ac:dyDescent="0.25">
      <c r="H336" s="17"/>
    </row>
    <row r="337" spans="8:8" ht="16.149999999999999" customHeight="1" x14ac:dyDescent="0.25">
      <c r="H337" s="17"/>
    </row>
    <row r="338" spans="8:8" ht="16.149999999999999" customHeight="1" x14ac:dyDescent="0.25">
      <c r="H338" s="17"/>
    </row>
    <row r="339" spans="8:8" ht="16.149999999999999" customHeight="1" x14ac:dyDescent="0.25">
      <c r="H339" s="17"/>
    </row>
    <row r="340" spans="8:8" ht="16.149999999999999" customHeight="1" x14ac:dyDescent="0.25">
      <c r="H340" s="17"/>
    </row>
    <row r="341" spans="8:8" ht="16.149999999999999" customHeight="1" x14ac:dyDescent="0.25">
      <c r="H341" s="17"/>
    </row>
    <row r="342" spans="8:8" ht="16.149999999999999" customHeight="1" x14ac:dyDescent="0.25">
      <c r="H342" s="17"/>
    </row>
    <row r="343" spans="8:8" ht="16.149999999999999" customHeight="1" x14ac:dyDescent="0.25">
      <c r="H343" s="17"/>
    </row>
    <row r="344" spans="8:8" ht="16.149999999999999" customHeight="1" x14ac:dyDescent="0.25">
      <c r="H344" s="17"/>
    </row>
    <row r="345" spans="8:8" ht="16.149999999999999" customHeight="1" x14ac:dyDescent="0.25">
      <c r="H345" s="17"/>
    </row>
    <row r="346" spans="8:8" ht="16.149999999999999" customHeight="1" x14ac:dyDescent="0.25">
      <c r="H346" s="17"/>
    </row>
    <row r="347" spans="8:8" ht="16.149999999999999" customHeight="1" x14ac:dyDescent="0.25">
      <c r="H347" s="17"/>
    </row>
    <row r="348" spans="8:8" ht="16.149999999999999" customHeight="1" x14ac:dyDescent="0.25">
      <c r="H348" s="17"/>
    </row>
    <row r="349" spans="8:8" ht="16.149999999999999" customHeight="1" x14ac:dyDescent="0.25">
      <c r="H349" s="17"/>
    </row>
    <row r="350" spans="8:8" ht="16.149999999999999" customHeight="1" x14ac:dyDescent="0.25">
      <c r="H350" s="17"/>
    </row>
    <row r="351" spans="8:8" ht="16.149999999999999" customHeight="1" x14ac:dyDescent="0.25">
      <c r="H351" s="17"/>
    </row>
    <row r="352" spans="8:8" ht="16.149999999999999" customHeight="1" x14ac:dyDescent="0.25">
      <c r="H352" s="17"/>
    </row>
    <row r="353" spans="8:8" ht="16.149999999999999" customHeight="1" x14ac:dyDescent="0.25">
      <c r="H353" s="17"/>
    </row>
    <row r="354" spans="8:8" ht="16.149999999999999" customHeight="1" x14ac:dyDescent="0.25">
      <c r="H354" s="17"/>
    </row>
    <row r="355" spans="8:8" ht="16.149999999999999" customHeight="1" x14ac:dyDescent="0.25">
      <c r="H355" s="17"/>
    </row>
    <row r="356" spans="8:8" ht="16.149999999999999" customHeight="1" x14ac:dyDescent="0.25">
      <c r="H356" s="17"/>
    </row>
    <row r="357" spans="8:8" ht="16.149999999999999" customHeight="1" x14ac:dyDescent="0.25">
      <c r="H357" s="17"/>
    </row>
    <row r="358" spans="8:8" ht="16.149999999999999" customHeight="1" x14ac:dyDescent="0.25">
      <c r="H358" s="17"/>
    </row>
    <row r="359" spans="8:8" ht="16.149999999999999" customHeight="1" x14ac:dyDescent="0.25">
      <c r="H359" s="17"/>
    </row>
    <row r="360" spans="8:8" ht="16.149999999999999" customHeight="1" x14ac:dyDescent="0.25">
      <c r="H360" s="17"/>
    </row>
    <row r="361" spans="8:8" ht="16.149999999999999" customHeight="1" x14ac:dyDescent="0.25">
      <c r="H361" s="17"/>
    </row>
    <row r="362" spans="8:8" ht="16.149999999999999" customHeight="1" x14ac:dyDescent="0.25">
      <c r="H362" s="17"/>
    </row>
    <row r="363" spans="8:8" ht="16.149999999999999" customHeight="1" x14ac:dyDescent="0.25">
      <c r="H363" s="17"/>
    </row>
    <row r="364" spans="8:8" ht="16.149999999999999" customHeight="1" x14ac:dyDescent="0.25">
      <c r="H364" s="17"/>
    </row>
    <row r="365" spans="8:8" ht="16.149999999999999" customHeight="1" x14ac:dyDescent="0.25">
      <c r="H365" s="17"/>
    </row>
    <row r="366" spans="8:8" ht="16.149999999999999" customHeight="1" x14ac:dyDescent="0.25">
      <c r="H366" s="17"/>
    </row>
    <row r="367" spans="8:8" ht="16.149999999999999" customHeight="1" x14ac:dyDescent="0.25">
      <c r="H367" s="17"/>
    </row>
    <row r="368" spans="8:8" ht="16.149999999999999" customHeight="1" x14ac:dyDescent="0.25">
      <c r="H368" s="17"/>
    </row>
    <row r="369" spans="8:8" ht="16.149999999999999" customHeight="1" x14ac:dyDescent="0.25">
      <c r="H369" s="17"/>
    </row>
    <row r="370" spans="8:8" ht="16.149999999999999" customHeight="1" x14ac:dyDescent="0.25">
      <c r="H370" s="17"/>
    </row>
    <row r="371" spans="8:8" ht="16.149999999999999" customHeight="1" x14ac:dyDescent="0.25">
      <c r="H371" s="17"/>
    </row>
    <row r="372" spans="8:8" ht="16.149999999999999" customHeight="1" x14ac:dyDescent="0.25">
      <c r="H372" s="17"/>
    </row>
    <row r="373" spans="8:8" ht="16.149999999999999" customHeight="1" x14ac:dyDescent="0.25">
      <c r="H373" s="17"/>
    </row>
    <row r="374" spans="8:8" ht="16.149999999999999" customHeight="1" x14ac:dyDescent="0.25">
      <c r="H374" s="17"/>
    </row>
    <row r="375" spans="8:8" ht="16.149999999999999" customHeight="1" x14ac:dyDescent="0.25">
      <c r="H375" s="17"/>
    </row>
    <row r="376" spans="8:8" ht="16.149999999999999" customHeight="1" x14ac:dyDescent="0.25">
      <c r="H376" s="17"/>
    </row>
    <row r="377" spans="8:8" ht="16.149999999999999" customHeight="1" x14ac:dyDescent="0.25">
      <c r="H377" s="17"/>
    </row>
    <row r="378" spans="8:8" ht="16.149999999999999" customHeight="1" x14ac:dyDescent="0.25">
      <c r="H378" s="17"/>
    </row>
    <row r="379" spans="8:8" ht="16.149999999999999" customHeight="1" x14ac:dyDescent="0.25">
      <c r="H379" s="17"/>
    </row>
    <row r="380" spans="8:8" ht="16.149999999999999" customHeight="1" x14ac:dyDescent="0.25">
      <c r="H380" s="17"/>
    </row>
    <row r="381" spans="8:8" ht="16.149999999999999" customHeight="1" x14ac:dyDescent="0.25">
      <c r="H381" s="17"/>
    </row>
    <row r="382" spans="8:8" ht="16.149999999999999" customHeight="1" x14ac:dyDescent="0.25">
      <c r="H382" s="17"/>
    </row>
    <row r="383" spans="8:8" ht="16.149999999999999" customHeight="1" x14ac:dyDescent="0.25">
      <c r="H383" s="17"/>
    </row>
    <row r="384" spans="8:8" ht="16.149999999999999" customHeight="1" x14ac:dyDescent="0.25">
      <c r="H384" s="17"/>
    </row>
    <row r="385" spans="8:8" ht="16.149999999999999" customHeight="1" x14ac:dyDescent="0.25">
      <c r="H385" s="17"/>
    </row>
    <row r="386" spans="8:8" ht="16.149999999999999" customHeight="1" x14ac:dyDescent="0.25">
      <c r="H386" s="17"/>
    </row>
    <row r="387" spans="8:8" ht="16.149999999999999" customHeight="1" x14ac:dyDescent="0.25">
      <c r="H387" s="17"/>
    </row>
    <row r="388" spans="8:8" ht="16.149999999999999" customHeight="1" x14ac:dyDescent="0.25">
      <c r="H388" s="17"/>
    </row>
    <row r="389" spans="8:8" ht="16.149999999999999" customHeight="1" x14ac:dyDescent="0.25">
      <c r="H389" s="17"/>
    </row>
    <row r="390" spans="8:8" ht="16.149999999999999" customHeight="1" x14ac:dyDescent="0.25">
      <c r="H390" s="17"/>
    </row>
    <row r="391" spans="8:8" ht="16.149999999999999" customHeight="1" x14ac:dyDescent="0.25">
      <c r="H391" s="17"/>
    </row>
    <row r="392" spans="8:8" ht="16.149999999999999" customHeight="1" x14ac:dyDescent="0.25">
      <c r="H392" s="17"/>
    </row>
    <row r="393" spans="8:8" ht="16.149999999999999" customHeight="1" x14ac:dyDescent="0.25">
      <c r="H393" s="17"/>
    </row>
    <row r="394" spans="8:8" ht="16.149999999999999" customHeight="1" x14ac:dyDescent="0.25">
      <c r="H394" s="17"/>
    </row>
    <row r="395" spans="8:8" ht="16.149999999999999" customHeight="1" x14ac:dyDescent="0.25">
      <c r="H395" s="17"/>
    </row>
    <row r="396" spans="8:8" ht="16.149999999999999" customHeight="1" x14ac:dyDescent="0.25">
      <c r="H396" s="17"/>
    </row>
    <row r="397" spans="8:8" ht="16.149999999999999" customHeight="1" x14ac:dyDescent="0.25">
      <c r="H397" s="17"/>
    </row>
    <row r="398" spans="8:8" ht="16.149999999999999" customHeight="1" x14ac:dyDescent="0.25">
      <c r="H398" s="17"/>
    </row>
    <row r="399" spans="8:8" ht="16.149999999999999" customHeight="1" x14ac:dyDescent="0.25">
      <c r="H399" s="17"/>
    </row>
    <row r="400" spans="8:8" ht="16.149999999999999" customHeight="1" x14ac:dyDescent="0.25">
      <c r="H400" s="17"/>
    </row>
    <row r="401" spans="8:8" ht="16.149999999999999" customHeight="1" x14ac:dyDescent="0.25">
      <c r="H401" s="17"/>
    </row>
    <row r="402" spans="8:8" ht="16.149999999999999" customHeight="1" x14ac:dyDescent="0.25">
      <c r="H402" s="17"/>
    </row>
    <row r="403" spans="8:8" ht="16.149999999999999" customHeight="1" x14ac:dyDescent="0.25">
      <c r="H403" s="17"/>
    </row>
    <row r="404" spans="8:8" ht="16.149999999999999" customHeight="1" x14ac:dyDescent="0.25">
      <c r="H404" s="17"/>
    </row>
    <row r="405" spans="8:8" ht="16.149999999999999" customHeight="1" x14ac:dyDescent="0.25">
      <c r="H405" s="17"/>
    </row>
    <row r="406" spans="8:8" ht="16.149999999999999" customHeight="1" x14ac:dyDescent="0.25">
      <c r="H406" s="17"/>
    </row>
    <row r="407" spans="8:8" ht="16.149999999999999" customHeight="1" x14ac:dyDescent="0.25">
      <c r="H407" s="17"/>
    </row>
    <row r="408" spans="8:8" ht="16.149999999999999" customHeight="1" x14ac:dyDescent="0.25">
      <c r="H408" s="17"/>
    </row>
    <row r="409" spans="8:8" ht="16.149999999999999" customHeight="1" x14ac:dyDescent="0.25">
      <c r="H409" s="17"/>
    </row>
    <row r="410" spans="8:8" ht="16.149999999999999" customHeight="1" x14ac:dyDescent="0.25">
      <c r="H410" s="17"/>
    </row>
    <row r="411" spans="8:8" ht="16.149999999999999" customHeight="1" x14ac:dyDescent="0.25">
      <c r="H411" s="17"/>
    </row>
    <row r="412" spans="8:8" ht="16.149999999999999" customHeight="1" x14ac:dyDescent="0.25">
      <c r="H412" s="17"/>
    </row>
    <row r="413" spans="8:8" ht="16.149999999999999" customHeight="1" x14ac:dyDescent="0.25">
      <c r="H413" s="17"/>
    </row>
    <row r="414" spans="8:8" ht="16.149999999999999" customHeight="1" x14ac:dyDescent="0.25">
      <c r="H414" s="17"/>
    </row>
    <row r="415" spans="8:8" ht="16.149999999999999" customHeight="1" x14ac:dyDescent="0.25">
      <c r="H415" s="17"/>
    </row>
    <row r="416" spans="8:8" ht="16.149999999999999" customHeight="1" x14ac:dyDescent="0.25">
      <c r="H416" s="17"/>
    </row>
    <row r="417" spans="8:8" ht="16.149999999999999" customHeight="1" x14ac:dyDescent="0.25">
      <c r="H417" s="17"/>
    </row>
    <row r="418" spans="8:8" ht="16.149999999999999" customHeight="1" x14ac:dyDescent="0.25">
      <c r="H418" s="17"/>
    </row>
    <row r="419" spans="8:8" ht="16.149999999999999" customHeight="1" x14ac:dyDescent="0.25">
      <c r="H419" s="17"/>
    </row>
    <row r="420" spans="8:8" ht="16.149999999999999" customHeight="1" x14ac:dyDescent="0.25">
      <c r="H420" s="17"/>
    </row>
    <row r="421" spans="8:8" ht="16.149999999999999" customHeight="1" x14ac:dyDescent="0.25">
      <c r="H421" s="17"/>
    </row>
    <row r="422" spans="8:8" ht="16.149999999999999" customHeight="1" x14ac:dyDescent="0.25">
      <c r="H422" s="17"/>
    </row>
    <row r="423" spans="8:8" ht="16.149999999999999" customHeight="1" x14ac:dyDescent="0.25">
      <c r="H423" s="17"/>
    </row>
    <row r="424" spans="8:8" ht="16.149999999999999" customHeight="1" x14ac:dyDescent="0.25">
      <c r="H424" s="17"/>
    </row>
    <row r="425" spans="8:8" ht="16.149999999999999" customHeight="1" x14ac:dyDescent="0.25">
      <c r="H425" s="17"/>
    </row>
    <row r="426" spans="8:8" ht="16.149999999999999" customHeight="1" x14ac:dyDescent="0.25">
      <c r="H426" s="17"/>
    </row>
    <row r="427" spans="8:8" ht="16.149999999999999" customHeight="1" x14ac:dyDescent="0.25">
      <c r="H427" s="17"/>
    </row>
    <row r="428" spans="8:8" ht="16.149999999999999" customHeight="1" x14ac:dyDescent="0.25">
      <c r="H428" s="17"/>
    </row>
    <row r="429" spans="8:8" ht="16.149999999999999" customHeight="1" x14ac:dyDescent="0.25">
      <c r="H429" s="17"/>
    </row>
    <row r="430" spans="8:8" ht="16.149999999999999" customHeight="1" x14ac:dyDescent="0.25">
      <c r="H430" s="17"/>
    </row>
    <row r="431" spans="8:8" ht="16.149999999999999" customHeight="1" x14ac:dyDescent="0.25">
      <c r="H431" s="17"/>
    </row>
    <row r="432" spans="8:8" ht="16.149999999999999" customHeight="1" x14ac:dyDescent="0.25">
      <c r="H432" s="17"/>
    </row>
    <row r="433" spans="8:8" ht="16.149999999999999" customHeight="1" x14ac:dyDescent="0.25">
      <c r="H433" s="17"/>
    </row>
    <row r="434" spans="8:8" ht="16.149999999999999" customHeight="1" x14ac:dyDescent="0.25">
      <c r="H434" s="17"/>
    </row>
    <row r="435" spans="8:8" ht="16.149999999999999" customHeight="1" x14ac:dyDescent="0.25">
      <c r="H435" s="17"/>
    </row>
    <row r="436" spans="8:8" ht="16.149999999999999" customHeight="1" x14ac:dyDescent="0.25">
      <c r="H436" s="17"/>
    </row>
    <row r="437" spans="8:8" ht="16.149999999999999" customHeight="1" x14ac:dyDescent="0.25">
      <c r="H437" s="17"/>
    </row>
    <row r="438" spans="8:8" ht="16.149999999999999" customHeight="1" x14ac:dyDescent="0.25">
      <c r="H438" s="17"/>
    </row>
    <row r="439" spans="8:8" ht="16.149999999999999" customHeight="1" x14ac:dyDescent="0.25">
      <c r="H439" s="17"/>
    </row>
    <row r="440" spans="8:8" ht="16.149999999999999" customHeight="1" x14ac:dyDescent="0.25">
      <c r="H440" s="17"/>
    </row>
    <row r="441" spans="8:8" ht="16.149999999999999" customHeight="1" x14ac:dyDescent="0.25">
      <c r="H441" s="17"/>
    </row>
    <row r="442" spans="8:8" ht="16.149999999999999" customHeight="1" x14ac:dyDescent="0.25">
      <c r="H442" s="17"/>
    </row>
    <row r="443" spans="8:8" ht="16.149999999999999" customHeight="1" x14ac:dyDescent="0.25">
      <c r="H443" s="17"/>
    </row>
    <row r="444" spans="8:8" ht="16.149999999999999" customHeight="1" x14ac:dyDescent="0.25">
      <c r="H444" s="17"/>
    </row>
    <row r="445" spans="8:8" ht="16.149999999999999" customHeight="1" x14ac:dyDescent="0.25">
      <c r="H445" s="17"/>
    </row>
    <row r="446" spans="8:8" ht="16.149999999999999" customHeight="1" x14ac:dyDescent="0.25">
      <c r="H446" s="17"/>
    </row>
    <row r="447" spans="8:8" ht="16.149999999999999" customHeight="1" x14ac:dyDescent="0.25">
      <c r="H447" s="17"/>
    </row>
    <row r="448" spans="8:8" ht="16.149999999999999" customHeight="1" x14ac:dyDescent="0.25">
      <c r="H448" s="17"/>
    </row>
    <row r="449" spans="8:8" ht="16.149999999999999" customHeight="1" x14ac:dyDescent="0.25">
      <c r="H449" s="17"/>
    </row>
    <row r="450" spans="8:8" ht="16.149999999999999" customHeight="1" x14ac:dyDescent="0.25">
      <c r="H450" s="17"/>
    </row>
    <row r="451" spans="8:8" ht="16.149999999999999" customHeight="1" x14ac:dyDescent="0.25">
      <c r="H451" s="17"/>
    </row>
    <row r="452" spans="8:8" ht="16.149999999999999" customHeight="1" x14ac:dyDescent="0.25">
      <c r="H452" s="17"/>
    </row>
    <row r="453" spans="8:8" ht="16.149999999999999" customHeight="1" x14ac:dyDescent="0.25">
      <c r="H453" s="17"/>
    </row>
    <row r="454" spans="8:8" ht="16.149999999999999" customHeight="1" x14ac:dyDescent="0.25">
      <c r="H454" s="17"/>
    </row>
    <row r="455" spans="8:8" ht="16.149999999999999" customHeight="1" x14ac:dyDescent="0.25">
      <c r="H455" s="17"/>
    </row>
    <row r="456" spans="8:8" ht="16.149999999999999" customHeight="1" x14ac:dyDescent="0.25">
      <c r="H456" s="17"/>
    </row>
    <row r="457" spans="8:8" ht="16.149999999999999" customHeight="1" x14ac:dyDescent="0.25">
      <c r="H457" s="17"/>
    </row>
    <row r="458" spans="8:8" ht="16.149999999999999" customHeight="1" x14ac:dyDescent="0.25">
      <c r="H458" s="17"/>
    </row>
    <row r="459" spans="8:8" ht="16.149999999999999" customHeight="1" x14ac:dyDescent="0.25">
      <c r="H459" s="17"/>
    </row>
    <row r="460" spans="8:8" ht="16.149999999999999" customHeight="1" x14ac:dyDescent="0.25">
      <c r="H460" s="17"/>
    </row>
    <row r="461" spans="8:8" ht="16.149999999999999" customHeight="1" x14ac:dyDescent="0.25">
      <c r="H461" s="17"/>
    </row>
    <row r="462" spans="8:8" ht="16.149999999999999" customHeight="1" x14ac:dyDescent="0.25">
      <c r="H462" s="17"/>
    </row>
    <row r="463" spans="8:8" ht="16.149999999999999" customHeight="1" x14ac:dyDescent="0.25">
      <c r="H463" s="17"/>
    </row>
    <row r="464" spans="8:8" ht="16.149999999999999" customHeight="1" x14ac:dyDescent="0.25">
      <c r="H464" s="17"/>
    </row>
    <row r="465" spans="8:8" ht="16.149999999999999" customHeight="1" x14ac:dyDescent="0.25">
      <c r="H465" s="17"/>
    </row>
    <row r="466" spans="8:8" ht="16.149999999999999" customHeight="1" x14ac:dyDescent="0.25">
      <c r="H466" s="17"/>
    </row>
    <row r="467" spans="8:8" ht="16.149999999999999" customHeight="1" x14ac:dyDescent="0.25">
      <c r="H467" s="17"/>
    </row>
    <row r="468" spans="8:8" ht="16.149999999999999" customHeight="1" x14ac:dyDescent="0.25">
      <c r="H468" s="17"/>
    </row>
    <row r="469" spans="8:8" ht="16.149999999999999" customHeight="1" x14ac:dyDescent="0.25">
      <c r="H469" s="17"/>
    </row>
    <row r="470" spans="8:8" ht="16.149999999999999" customHeight="1" x14ac:dyDescent="0.25">
      <c r="H470" s="17"/>
    </row>
    <row r="471" spans="8:8" ht="16.149999999999999" customHeight="1" x14ac:dyDescent="0.25">
      <c r="H471" s="17"/>
    </row>
    <row r="472" spans="8:8" ht="16.149999999999999" customHeight="1" x14ac:dyDescent="0.25">
      <c r="H472" s="17"/>
    </row>
    <row r="473" spans="8:8" ht="16.149999999999999" customHeight="1" x14ac:dyDescent="0.25">
      <c r="H473" s="17"/>
    </row>
    <row r="474" spans="8:8" ht="16.149999999999999" customHeight="1" x14ac:dyDescent="0.25">
      <c r="H474" s="17"/>
    </row>
    <row r="475" spans="8:8" ht="16.149999999999999" customHeight="1" x14ac:dyDescent="0.25">
      <c r="H475" s="17"/>
    </row>
    <row r="476" spans="8:8" ht="16.149999999999999" customHeight="1" x14ac:dyDescent="0.25">
      <c r="H476" s="17"/>
    </row>
    <row r="477" spans="8:8" ht="16.149999999999999" customHeight="1" x14ac:dyDescent="0.25">
      <c r="H477" s="17"/>
    </row>
    <row r="478" spans="8:8" ht="16.149999999999999" customHeight="1" x14ac:dyDescent="0.25">
      <c r="H478" s="17"/>
    </row>
    <row r="479" spans="8:8" ht="16.149999999999999" customHeight="1" x14ac:dyDescent="0.25">
      <c r="H479" s="17"/>
    </row>
    <row r="480" spans="8:8" ht="16.149999999999999" customHeight="1" x14ac:dyDescent="0.25">
      <c r="H480" s="17"/>
    </row>
    <row r="481" spans="8:8" ht="16.149999999999999" customHeight="1" x14ac:dyDescent="0.25">
      <c r="H481" s="17"/>
    </row>
    <row r="482" spans="8:8" ht="16.149999999999999" customHeight="1" x14ac:dyDescent="0.25">
      <c r="H482" s="17"/>
    </row>
    <row r="483" spans="8:8" ht="16.149999999999999" customHeight="1" x14ac:dyDescent="0.25">
      <c r="H483" s="17"/>
    </row>
    <row r="484" spans="8:8" ht="16.149999999999999" customHeight="1" x14ac:dyDescent="0.25">
      <c r="H484" s="17"/>
    </row>
    <row r="485" spans="8:8" ht="16.149999999999999" customHeight="1" x14ac:dyDescent="0.25">
      <c r="H485" s="17"/>
    </row>
    <row r="486" spans="8:8" ht="16.149999999999999" customHeight="1" x14ac:dyDescent="0.25">
      <c r="H486" s="17"/>
    </row>
    <row r="487" spans="8:8" ht="16.149999999999999" customHeight="1" x14ac:dyDescent="0.25">
      <c r="H487" s="17"/>
    </row>
    <row r="488" spans="8:8" ht="16.149999999999999" customHeight="1" x14ac:dyDescent="0.25">
      <c r="H488" s="17"/>
    </row>
    <row r="489" spans="8:8" ht="16.149999999999999" customHeight="1" x14ac:dyDescent="0.25">
      <c r="H489" s="17"/>
    </row>
    <row r="490" spans="8:8" ht="16.149999999999999" customHeight="1" x14ac:dyDescent="0.25">
      <c r="H490" s="17"/>
    </row>
    <row r="491" spans="8:8" ht="16.149999999999999" customHeight="1" x14ac:dyDescent="0.25">
      <c r="H491" s="17"/>
    </row>
    <row r="492" spans="8:8" ht="16.149999999999999" customHeight="1" x14ac:dyDescent="0.25">
      <c r="H492" s="17"/>
    </row>
    <row r="493" spans="8:8" ht="16.149999999999999" customHeight="1" x14ac:dyDescent="0.25">
      <c r="H493" s="17"/>
    </row>
    <row r="494" spans="8:8" ht="16.149999999999999" customHeight="1" x14ac:dyDescent="0.25">
      <c r="H494" s="17"/>
    </row>
    <row r="495" spans="8:8" ht="16.149999999999999" customHeight="1" x14ac:dyDescent="0.25">
      <c r="H495" s="17"/>
    </row>
    <row r="496" spans="8:8" ht="16.149999999999999" customHeight="1" x14ac:dyDescent="0.25">
      <c r="H496" s="17"/>
    </row>
    <row r="497" spans="8:8" ht="16.149999999999999" customHeight="1" x14ac:dyDescent="0.25">
      <c r="H497" s="17"/>
    </row>
    <row r="498" spans="8:8" ht="16.149999999999999" customHeight="1" x14ac:dyDescent="0.25">
      <c r="H498" s="17"/>
    </row>
    <row r="499" spans="8:8" ht="16.149999999999999" customHeight="1" x14ac:dyDescent="0.25">
      <c r="H499" s="17"/>
    </row>
    <row r="500" spans="8:8" ht="16.149999999999999" customHeight="1" x14ac:dyDescent="0.25">
      <c r="H500" s="17"/>
    </row>
    <row r="501" spans="8:8" ht="16.149999999999999" customHeight="1" x14ac:dyDescent="0.25">
      <c r="H501" s="17"/>
    </row>
    <row r="502" spans="8:8" ht="16.149999999999999" customHeight="1" x14ac:dyDescent="0.25">
      <c r="H502" s="17"/>
    </row>
    <row r="503" spans="8:8" ht="16.149999999999999" customHeight="1" x14ac:dyDescent="0.25">
      <c r="H503" s="17"/>
    </row>
    <row r="504" spans="8:8" ht="16.149999999999999" customHeight="1" x14ac:dyDescent="0.25">
      <c r="H504" s="17"/>
    </row>
    <row r="505" spans="8:8" ht="16.149999999999999" customHeight="1" x14ac:dyDescent="0.25">
      <c r="H505" s="17"/>
    </row>
    <row r="506" spans="8:8" ht="16.149999999999999" customHeight="1" x14ac:dyDescent="0.25">
      <c r="H506" s="17"/>
    </row>
    <row r="507" spans="8:8" ht="16.149999999999999" customHeight="1" x14ac:dyDescent="0.25">
      <c r="H507" s="17"/>
    </row>
    <row r="508" spans="8:8" ht="16.149999999999999" customHeight="1" x14ac:dyDescent="0.25">
      <c r="H508" s="17"/>
    </row>
    <row r="509" spans="8:8" ht="16.149999999999999" customHeight="1" x14ac:dyDescent="0.25">
      <c r="H509" s="17"/>
    </row>
    <row r="510" spans="8:8" ht="16.149999999999999" customHeight="1" x14ac:dyDescent="0.25">
      <c r="H510" s="17"/>
    </row>
    <row r="511" spans="8:8" ht="16.149999999999999" customHeight="1" x14ac:dyDescent="0.25">
      <c r="H511" s="17"/>
    </row>
    <row r="512" spans="8:8" ht="16.149999999999999" customHeight="1" x14ac:dyDescent="0.25">
      <c r="H512" s="17"/>
    </row>
    <row r="513" spans="8:8" ht="16.149999999999999" customHeight="1" x14ac:dyDescent="0.25">
      <c r="H513" s="17"/>
    </row>
    <row r="514" spans="8:8" ht="16.149999999999999" customHeight="1" x14ac:dyDescent="0.25">
      <c r="H514" s="17"/>
    </row>
    <row r="515" spans="8:8" ht="16.149999999999999" customHeight="1" x14ac:dyDescent="0.25">
      <c r="H515" s="17"/>
    </row>
    <row r="516" spans="8:8" ht="16.149999999999999" customHeight="1" x14ac:dyDescent="0.25">
      <c r="H516" s="17"/>
    </row>
    <row r="517" spans="8:8" ht="16.149999999999999" customHeight="1" x14ac:dyDescent="0.25">
      <c r="H517" s="17"/>
    </row>
    <row r="518" spans="8:8" ht="16.149999999999999" customHeight="1" x14ac:dyDescent="0.25">
      <c r="H518" s="17"/>
    </row>
    <row r="519" spans="8:8" ht="16.149999999999999" customHeight="1" x14ac:dyDescent="0.25">
      <c r="H519" s="17"/>
    </row>
    <row r="520" spans="8:8" ht="16.149999999999999" customHeight="1" x14ac:dyDescent="0.25">
      <c r="H520" s="17"/>
    </row>
    <row r="521" spans="8:8" ht="16.149999999999999" customHeight="1" x14ac:dyDescent="0.25">
      <c r="H521" s="17"/>
    </row>
    <row r="522" spans="8:8" ht="16.149999999999999" customHeight="1" x14ac:dyDescent="0.25">
      <c r="H522" s="17"/>
    </row>
    <row r="523" spans="8:8" ht="16.149999999999999" customHeight="1" x14ac:dyDescent="0.25">
      <c r="H523" s="17"/>
    </row>
    <row r="524" spans="8:8" ht="16.149999999999999" customHeight="1" x14ac:dyDescent="0.25">
      <c r="H524" s="17"/>
    </row>
    <row r="525" spans="8:8" ht="16.149999999999999" customHeight="1" x14ac:dyDescent="0.25">
      <c r="H525" s="17"/>
    </row>
    <row r="526" spans="8:8" ht="16.149999999999999" customHeight="1" x14ac:dyDescent="0.25">
      <c r="H526" s="17"/>
    </row>
    <row r="527" spans="8:8" ht="16.149999999999999" customHeight="1" x14ac:dyDescent="0.25">
      <c r="H527" s="17"/>
    </row>
    <row r="528" spans="8:8" ht="16.149999999999999" customHeight="1" x14ac:dyDescent="0.25">
      <c r="H528" s="17"/>
    </row>
    <row r="529" spans="8:8" ht="16.149999999999999" customHeight="1" x14ac:dyDescent="0.25">
      <c r="H529" s="17"/>
    </row>
    <row r="530" spans="8:8" ht="16.149999999999999" customHeight="1" x14ac:dyDescent="0.25">
      <c r="H530" s="17"/>
    </row>
    <row r="531" spans="8:8" ht="16.149999999999999" customHeight="1" x14ac:dyDescent="0.25">
      <c r="H531" s="17"/>
    </row>
    <row r="532" spans="8:8" ht="16.149999999999999" customHeight="1" x14ac:dyDescent="0.25">
      <c r="H532" s="17"/>
    </row>
    <row r="533" spans="8:8" ht="16.149999999999999" customHeight="1" x14ac:dyDescent="0.25">
      <c r="H533" s="17"/>
    </row>
    <row r="534" spans="8:8" ht="16.149999999999999" customHeight="1" x14ac:dyDescent="0.25">
      <c r="H534" s="17"/>
    </row>
    <row r="535" spans="8:8" ht="16.149999999999999" customHeight="1" x14ac:dyDescent="0.25">
      <c r="H535" s="17"/>
    </row>
    <row r="536" spans="8:8" ht="16.149999999999999" customHeight="1" x14ac:dyDescent="0.25">
      <c r="H536" s="17"/>
    </row>
    <row r="537" spans="8:8" ht="16.149999999999999" customHeight="1" x14ac:dyDescent="0.25">
      <c r="H537" s="17"/>
    </row>
    <row r="538" spans="8:8" ht="16.149999999999999" customHeight="1" x14ac:dyDescent="0.25">
      <c r="H538" s="17"/>
    </row>
    <row r="539" spans="8:8" ht="16.149999999999999" customHeight="1" x14ac:dyDescent="0.25">
      <c r="H539" s="17"/>
    </row>
    <row r="540" spans="8:8" ht="16.149999999999999" customHeight="1" x14ac:dyDescent="0.25">
      <c r="H540" s="17"/>
    </row>
    <row r="541" spans="8:8" ht="16.149999999999999" customHeight="1" x14ac:dyDescent="0.25">
      <c r="H541" s="17"/>
    </row>
    <row r="542" spans="8:8" ht="16.149999999999999" customHeight="1" x14ac:dyDescent="0.25">
      <c r="H542" s="17"/>
    </row>
    <row r="543" spans="8:8" ht="16.149999999999999" customHeight="1" x14ac:dyDescent="0.25">
      <c r="H543" s="17"/>
    </row>
    <row r="544" spans="8:8" ht="16.149999999999999" customHeight="1" x14ac:dyDescent="0.25">
      <c r="H544" s="17"/>
    </row>
    <row r="545" spans="8:8" ht="16.149999999999999" customHeight="1" x14ac:dyDescent="0.25">
      <c r="H545" s="17"/>
    </row>
    <row r="546" spans="8:8" ht="16.149999999999999" customHeight="1" x14ac:dyDescent="0.25">
      <c r="H546" s="17"/>
    </row>
    <row r="547" spans="8:8" ht="16.149999999999999" customHeight="1" x14ac:dyDescent="0.25">
      <c r="H547" s="17"/>
    </row>
    <row r="548" spans="8:8" ht="16.149999999999999" customHeight="1" x14ac:dyDescent="0.25">
      <c r="H548" s="17"/>
    </row>
    <row r="549" spans="8:8" ht="16.149999999999999" customHeight="1" x14ac:dyDescent="0.25">
      <c r="H549" s="17"/>
    </row>
    <row r="550" spans="8:8" ht="16.149999999999999" customHeight="1" x14ac:dyDescent="0.25">
      <c r="H550" s="17"/>
    </row>
    <row r="551" spans="8:8" ht="16.149999999999999" customHeight="1" x14ac:dyDescent="0.25">
      <c r="H551" s="17"/>
    </row>
    <row r="552" spans="8:8" ht="16.149999999999999" customHeight="1" x14ac:dyDescent="0.25">
      <c r="H552" s="17"/>
    </row>
    <row r="553" spans="8:8" ht="16.149999999999999" customHeight="1" x14ac:dyDescent="0.25">
      <c r="H553" s="17"/>
    </row>
    <row r="554" spans="8:8" ht="16.149999999999999" customHeight="1" x14ac:dyDescent="0.25">
      <c r="H554" s="17"/>
    </row>
    <row r="555" spans="8:8" ht="16.149999999999999" customHeight="1" x14ac:dyDescent="0.25">
      <c r="H555" s="17"/>
    </row>
    <row r="556" spans="8:8" ht="16.149999999999999" customHeight="1" x14ac:dyDescent="0.25">
      <c r="H556" s="17"/>
    </row>
    <row r="557" spans="8:8" ht="16.149999999999999" customHeight="1" x14ac:dyDescent="0.25">
      <c r="H557" s="17"/>
    </row>
    <row r="558" spans="8:8" ht="16.149999999999999" customHeight="1" x14ac:dyDescent="0.25">
      <c r="H558" s="17"/>
    </row>
    <row r="559" spans="8:8" ht="16.149999999999999" customHeight="1" x14ac:dyDescent="0.25">
      <c r="H559" s="17"/>
    </row>
    <row r="560" spans="8:8" ht="16.149999999999999" customHeight="1" x14ac:dyDescent="0.25">
      <c r="H560" s="17"/>
    </row>
    <row r="561" spans="8:8" ht="16.149999999999999" customHeight="1" x14ac:dyDescent="0.25">
      <c r="H561" s="17"/>
    </row>
    <row r="562" spans="8:8" ht="16.149999999999999" customHeight="1" x14ac:dyDescent="0.25">
      <c r="H562" s="17"/>
    </row>
  </sheetData>
  <phoneticPr fontId="2" type="noConversion"/>
  <conditionalFormatting sqref="A4">
    <cfRule type="expression" dxfId="25" priority="1">
      <formula>COUNTIF(CountError,"E2")&gt;0</formula>
    </cfRule>
    <cfRule type="expression" dxfId="24" priority="2">
      <formula>COUNTIF(CountError,"E1")&gt;0</formula>
    </cfRule>
  </conditionalFormatting>
  <dataValidations count="1">
    <dataValidation type="date" operator="greaterThan" allowBlank="1" showInputMessage="1" showErrorMessage="1" errorTitle="Invalid Date" error="Enter a valid date in accordance with the regional date settings that are specified in your System Control Panel." sqref="K1" xr:uid="{00000000-0002-0000-0600-000000000000}">
      <formula1>40179</formula1>
    </dataValidation>
  </dataValidations>
  <pageMargins left="0.55118110236220474" right="0.55118110236220474" top="0.59055118110236227" bottom="0.59055118110236227" header="0.31496062992125984" footer="0.31496062992125984"/>
  <pageSetup paperSize="9" scale="96" fitToHeight="0" orientation="landscape" r:id="rId1"/>
  <headerFooter alignWithMargins="0">
    <oddFooter>&amp;C&amp;9Page &amp;P of &amp;N</oddFooter>
  </headerFooter>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9BACC4-1040-47D5-B040-FF123314D16F}">
  <sheetPr codeName="Sheet7">
    <pageSetUpPr fitToPage="1"/>
  </sheetPr>
  <dimension ref="A1:L216"/>
  <sheetViews>
    <sheetView showGridLines="0" zoomScale="95" zoomScaleNormal="95" workbookViewId="0">
      <selection activeCell="F5" sqref="F5"/>
    </sheetView>
  </sheetViews>
  <sheetFormatPr defaultColWidth="8.85546875" defaultRowHeight="24" customHeight="1" x14ac:dyDescent="0.3"/>
  <cols>
    <col min="1" max="1" width="5.7109375" style="129" customWidth="1"/>
    <col min="2" max="2" width="34.7109375" style="129" customWidth="1"/>
    <col min="3" max="10" width="17.7109375" style="129" customWidth="1"/>
    <col min="11" max="11" width="5.7109375" style="129" customWidth="1"/>
    <col min="12" max="16384" width="8.85546875" style="129"/>
  </cols>
  <sheetData>
    <row r="1" spans="1:11" ht="24" customHeight="1" thickBot="1" x14ac:dyDescent="0.35">
      <c r="A1" s="128"/>
      <c r="B1" s="128"/>
      <c r="C1" s="128"/>
      <c r="D1" s="128"/>
      <c r="E1" s="128"/>
      <c r="F1" s="128"/>
      <c r="G1" s="128"/>
      <c r="H1" s="128"/>
      <c r="I1" s="128"/>
      <c r="J1" s="128"/>
      <c r="K1" s="128"/>
    </row>
    <row r="2" spans="1:11" ht="24" customHeight="1" thickTop="1" x14ac:dyDescent="0.3">
      <c r="A2" s="128"/>
      <c r="B2" s="256" t="s">
        <v>162</v>
      </c>
      <c r="C2" s="259" t="s">
        <v>166</v>
      </c>
      <c r="D2" s="260"/>
      <c r="E2" s="260"/>
      <c r="F2" s="261"/>
      <c r="G2" s="241" t="s">
        <v>178</v>
      </c>
      <c r="H2" s="212"/>
      <c r="I2" s="212"/>
      <c r="J2" s="242"/>
      <c r="K2" s="130"/>
    </row>
    <row r="3" spans="1:11" ht="24" customHeight="1" x14ac:dyDescent="0.3">
      <c r="A3" s="128"/>
      <c r="B3" s="257"/>
      <c r="C3" s="262"/>
      <c r="D3" s="263"/>
      <c r="E3" s="263"/>
      <c r="F3" s="264"/>
      <c r="G3" s="243" t="str">
        <f>IF(ISBLANK($C$5),"ALL",C56&amp;" "&amp;C57)</f>
        <v>ALL</v>
      </c>
      <c r="H3" s="244"/>
      <c r="I3" s="244"/>
      <c r="J3" s="245"/>
      <c r="K3" s="130"/>
    </row>
    <row r="4" spans="1:11" ht="24" customHeight="1" x14ac:dyDescent="0.3">
      <c r="A4" s="128"/>
      <c r="B4" s="257"/>
      <c r="C4" s="215" t="s">
        <v>163</v>
      </c>
      <c r="D4" s="216"/>
      <c r="E4" s="131" t="s">
        <v>164</v>
      </c>
      <c r="F4" s="132" t="s">
        <v>165</v>
      </c>
      <c r="G4" s="215" t="s">
        <v>179</v>
      </c>
      <c r="H4" s="216"/>
      <c r="I4" s="216"/>
      <c r="J4" s="217"/>
      <c r="K4" s="130"/>
    </row>
    <row r="5" spans="1:11" ht="24" customHeight="1" thickBot="1" x14ac:dyDescent="0.35">
      <c r="A5" s="128"/>
      <c r="B5" s="258"/>
      <c r="C5" s="265"/>
      <c r="D5" s="266"/>
      <c r="E5" s="133"/>
      <c r="F5" s="134">
        <v>44439</v>
      </c>
      <c r="G5" s="246" t="str">
        <f>C58</f>
        <v/>
      </c>
      <c r="H5" s="247"/>
      <c r="I5" s="248"/>
      <c r="J5" s="249"/>
      <c r="K5" s="130"/>
    </row>
    <row r="6" spans="1:11" ht="24" customHeight="1" thickTop="1" x14ac:dyDescent="0.3">
      <c r="A6" s="128"/>
      <c r="B6" s="267"/>
      <c r="C6" s="270"/>
      <c r="D6" s="271"/>
      <c r="E6" s="274"/>
      <c r="F6" s="275"/>
      <c r="G6" s="250" t="s">
        <v>182</v>
      </c>
      <c r="H6" s="251"/>
      <c r="I6" s="251"/>
      <c r="J6" s="252"/>
      <c r="K6" s="130"/>
    </row>
    <row r="7" spans="1:11" ht="24" customHeight="1" x14ac:dyDescent="0.3">
      <c r="A7" s="128"/>
      <c r="B7" s="268"/>
      <c r="C7" s="225"/>
      <c r="D7" s="272"/>
      <c r="E7" s="276"/>
      <c r="F7" s="277"/>
      <c r="G7" s="253"/>
      <c r="H7" s="254"/>
      <c r="I7" s="135" t="s">
        <v>187</v>
      </c>
      <c r="J7" s="136" t="s">
        <v>171</v>
      </c>
      <c r="K7" s="130"/>
    </row>
    <row r="8" spans="1:11" ht="24" customHeight="1" x14ac:dyDescent="0.3">
      <c r="A8" s="128"/>
      <c r="B8" s="268"/>
      <c r="C8" s="225"/>
      <c r="D8" s="272"/>
      <c r="E8" s="276"/>
      <c r="F8" s="277"/>
      <c r="G8" s="239" t="s">
        <v>183</v>
      </c>
      <c r="H8" s="255"/>
      <c r="I8" s="137">
        <f ca="1">C66</f>
        <v>988</v>
      </c>
      <c r="J8" s="138">
        <f ca="1">D66</f>
        <v>18190</v>
      </c>
      <c r="K8" s="130"/>
    </row>
    <row r="9" spans="1:11" ht="24" customHeight="1" x14ac:dyDescent="0.3">
      <c r="A9" s="128"/>
      <c r="B9" s="268"/>
      <c r="C9" s="225"/>
      <c r="D9" s="272"/>
      <c r="E9" s="276"/>
      <c r="F9" s="277"/>
      <c r="G9" s="239" t="s">
        <v>184</v>
      </c>
      <c r="H9" s="255"/>
      <c r="I9" s="137">
        <f t="shared" ref="I9:I12" ca="1" si="0">C67</f>
        <v>8686</v>
      </c>
      <c r="J9" s="138">
        <f t="shared" ref="J9:J12" ca="1" si="1">D67</f>
        <v>212244.59999999998</v>
      </c>
      <c r="K9" s="130"/>
    </row>
    <row r="10" spans="1:11" ht="24" customHeight="1" x14ac:dyDescent="0.3">
      <c r="A10" s="128"/>
      <c r="B10" s="268"/>
      <c r="C10" s="225"/>
      <c r="D10" s="272"/>
      <c r="E10" s="276"/>
      <c r="F10" s="277"/>
      <c r="G10" s="239" t="s">
        <v>102</v>
      </c>
      <c r="H10" s="240"/>
      <c r="I10" s="137">
        <f t="shared" ca="1" si="0"/>
        <v>-8796.34</v>
      </c>
      <c r="J10" s="138">
        <f t="shared" ca="1" si="1"/>
        <v>-187979.80578980054</v>
      </c>
      <c r="K10" s="128"/>
    </row>
    <row r="11" spans="1:11" ht="24" customHeight="1" x14ac:dyDescent="0.3">
      <c r="A11" s="128"/>
      <c r="B11" s="268"/>
      <c r="C11" s="225"/>
      <c r="D11" s="272"/>
      <c r="E11" s="276"/>
      <c r="F11" s="277"/>
      <c r="G11" s="239" t="s">
        <v>185</v>
      </c>
      <c r="H11" s="240"/>
      <c r="I11" s="137">
        <f t="shared" ca="1" si="0"/>
        <v>-161.41999999999999</v>
      </c>
      <c r="J11" s="138">
        <f t="shared" ca="1" si="1"/>
        <v>-10896.7307182318</v>
      </c>
      <c r="K11" s="128"/>
    </row>
    <row r="12" spans="1:11" ht="24" customHeight="1" x14ac:dyDescent="0.3">
      <c r="A12" s="128"/>
      <c r="B12" s="268"/>
      <c r="C12" s="225"/>
      <c r="D12" s="272"/>
      <c r="E12" s="276"/>
      <c r="F12" s="277"/>
      <c r="G12" s="239" t="s">
        <v>186</v>
      </c>
      <c r="H12" s="240"/>
      <c r="I12" s="137">
        <f t="shared" ca="1" si="0"/>
        <v>716.24000000000012</v>
      </c>
      <c r="J12" s="138">
        <f t="shared" ca="1" si="1"/>
        <v>31558.063491967645</v>
      </c>
      <c r="K12" s="128"/>
    </row>
    <row r="13" spans="1:11" ht="24" customHeight="1" thickBot="1" x14ac:dyDescent="0.35">
      <c r="A13" s="128"/>
      <c r="B13" s="269"/>
      <c r="C13" s="228"/>
      <c r="D13" s="273"/>
      <c r="E13" s="278"/>
      <c r="F13" s="279"/>
      <c r="G13" s="210"/>
      <c r="H13" s="211"/>
      <c r="I13" s="139"/>
      <c r="J13" s="140"/>
      <c r="K13" s="128"/>
    </row>
    <row r="14" spans="1:11" ht="24" customHeight="1" thickTop="1" x14ac:dyDescent="0.3">
      <c r="A14" s="128"/>
      <c r="B14" s="234" t="s">
        <v>202</v>
      </c>
      <c r="C14" s="235"/>
      <c r="D14" s="235"/>
      <c r="E14" s="235"/>
      <c r="F14" s="235"/>
      <c r="G14" s="141" t="s">
        <v>189</v>
      </c>
      <c r="H14" s="212" t="s">
        <v>197</v>
      </c>
      <c r="I14" s="212"/>
      <c r="J14" s="142" t="s">
        <v>193</v>
      </c>
      <c r="K14" s="128"/>
    </row>
    <row r="15" spans="1:11" ht="24" customHeight="1" x14ac:dyDescent="0.3">
      <c r="A15" s="128"/>
      <c r="B15" s="236" t="str">
        <f>$F$71</f>
        <v>All Transactions By Amount</v>
      </c>
      <c r="C15" s="237"/>
      <c r="D15" s="237"/>
      <c r="E15" s="237"/>
      <c r="F15" s="238"/>
      <c r="G15" s="143" t="s">
        <v>192</v>
      </c>
      <c r="H15" s="213" t="s">
        <v>191</v>
      </c>
      <c r="I15" s="214"/>
      <c r="J15" s="144" t="s">
        <v>194</v>
      </c>
      <c r="K15" s="128"/>
    </row>
    <row r="16" spans="1:11" ht="24" customHeight="1" x14ac:dyDescent="0.3">
      <c r="A16" s="128"/>
      <c r="B16" s="215"/>
      <c r="C16" s="216"/>
      <c r="D16" s="216"/>
      <c r="E16" s="216"/>
      <c r="F16" s="216"/>
      <c r="G16" s="216"/>
      <c r="H16" s="216"/>
      <c r="I16" s="216"/>
      <c r="J16" s="217"/>
      <c r="K16" s="128"/>
    </row>
    <row r="17" spans="1:11" ht="24" customHeight="1" x14ac:dyDescent="0.3">
      <c r="A17" s="128"/>
      <c r="B17" s="215"/>
      <c r="C17" s="216"/>
      <c r="D17" s="216"/>
      <c r="E17" s="216"/>
      <c r="F17" s="216"/>
      <c r="G17" s="216"/>
      <c r="H17" s="216"/>
      <c r="I17" s="216"/>
      <c r="J17" s="217"/>
      <c r="K17" s="128"/>
    </row>
    <row r="18" spans="1:11" ht="24" customHeight="1" x14ac:dyDescent="0.3">
      <c r="A18" s="128"/>
      <c r="B18" s="215"/>
      <c r="C18" s="216"/>
      <c r="D18" s="216"/>
      <c r="E18" s="216"/>
      <c r="F18" s="216"/>
      <c r="G18" s="216"/>
      <c r="H18" s="216"/>
      <c r="I18" s="216"/>
      <c r="J18" s="217"/>
      <c r="K18" s="128"/>
    </row>
    <row r="19" spans="1:11" ht="24" customHeight="1" x14ac:dyDescent="0.3">
      <c r="A19" s="128"/>
      <c r="B19" s="215"/>
      <c r="C19" s="216"/>
      <c r="D19" s="216"/>
      <c r="E19" s="216"/>
      <c r="F19" s="216"/>
      <c r="G19" s="216"/>
      <c r="H19" s="216"/>
      <c r="I19" s="216"/>
      <c r="J19" s="217"/>
      <c r="K19" s="128"/>
    </row>
    <row r="20" spans="1:11" ht="24" customHeight="1" x14ac:dyDescent="0.3">
      <c r="A20" s="128"/>
      <c r="B20" s="215"/>
      <c r="C20" s="216"/>
      <c r="D20" s="216"/>
      <c r="E20" s="216"/>
      <c r="F20" s="216"/>
      <c r="G20" s="216"/>
      <c r="H20" s="216"/>
      <c r="I20" s="216"/>
      <c r="J20" s="217"/>
      <c r="K20" s="128"/>
    </row>
    <row r="21" spans="1:11" ht="24" customHeight="1" x14ac:dyDescent="0.3">
      <c r="A21" s="128"/>
      <c r="B21" s="215"/>
      <c r="C21" s="216"/>
      <c r="D21" s="216"/>
      <c r="E21" s="216"/>
      <c r="F21" s="216"/>
      <c r="G21" s="216"/>
      <c r="H21" s="216"/>
      <c r="I21" s="216"/>
      <c r="J21" s="217"/>
      <c r="K21" s="128"/>
    </row>
    <row r="22" spans="1:11" ht="24" customHeight="1" x14ac:dyDescent="0.3">
      <c r="A22" s="128"/>
      <c r="B22" s="215"/>
      <c r="C22" s="216"/>
      <c r="D22" s="216"/>
      <c r="E22" s="216"/>
      <c r="F22" s="216"/>
      <c r="G22" s="216"/>
      <c r="H22" s="216"/>
      <c r="I22" s="216"/>
      <c r="J22" s="217"/>
      <c r="K22" s="128"/>
    </row>
    <row r="23" spans="1:11" ht="24" customHeight="1" x14ac:dyDescent="0.3">
      <c r="A23" s="128"/>
      <c r="B23" s="215"/>
      <c r="C23" s="216"/>
      <c r="D23" s="216"/>
      <c r="E23" s="216"/>
      <c r="F23" s="216"/>
      <c r="G23" s="216"/>
      <c r="H23" s="216"/>
      <c r="I23" s="216"/>
      <c r="J23" s="217"/>
      <c r="K23" s="128"/>
    </row>
    <row r="24" spans="1:11" ht="24" customHeight="1" x14ac:dyDescent="0.3">
      <c r="A24" s="128"/>
      <c r="B24" s="215"/>
      <c r="C24" s="216"/>
      <c r="D24" s="216"/>
      <c r="E24" s="216"/>
      <c r="F24" s="216"/>
      <c r="G24" s="216"/>
      <c r="H24" s="216"/>
      <c r="I24" s="216"/>
      <c r="J24" s="217"/>
      <c r="K24" s="128"/>
    </row>
    <row r="25" spans="1:11" ht="24" customHeight="1" thickBot="1" x14ac:dyDescent="0.35">
      <c r="A25" s="128"/>
      <c r="B25" s="215"/>
      <c r="C25" s="216"/>
      <c r="D25" s="216"/>
      <c r="E25" s="216"/>
      <c r="F25" s="216"/>
      <c r="G25" s="216"/>
      <c r="H25" s="216"/>
      <c r="I25" s="216"/>
      <c r="J25" s="217"/>
      <c r="K25" s="128"/>
    </row>
    <row r="26" spans="1:11" ht="24" customHeight="1" x14ac:dyDescent="0.3">
      <c r="A26" s="128"/>
      <c r="B26" s="222"/>
      <c r="C26" s="223"/>
      <c r="D26" s="223"/>
      <c r="E26" s="224"/>
      <c r="F26" s="231"/>
      <c r="G26" s="223"/>
      <c r="H26" s="223"/>
      <c r="I26" s="223"/>
      <c r="J26" s="224"/>
      <c r="K26" s="128"/>
    </row>
    <row r="27" spans="1:11" ht="24" customHeight="1" x14ac:dyDescent="0.3">
      <c r="A27" s="128"/>
      <c r="B27" s="225"/>
      <c r="C27" s="226"/>
      <c r="D27" s="226"/>
      <c r="E27" s="227"/>
      <c r="F27" s="232"/>
      <c r="G27" s="226"/>
      <c r="H27" s="226"/>
      <c r="I27" s="226"/>
      <c r="J27" s="227"/>
      <c r="K27" s="128"/>
    </row>
    <row r="28" spans="1:11" ht="24" customHeight="1" x14ac:dyDescent="0.3">
      <c r="A28" s="128"/>
      <c r="B28" s="225"/>
      <c r="C28" s="226"/>
      <c r="D28" s="226"/>
      <c r="E28" s="227"/>
      <c r="F28" s="232"/>
      <c r="G28" s="226"/>
      <c r="H28" s="226"/>
      <c r="I28" s="226"/>
      <c r="J28" s="227"/>
      <c r="K28" s="128"/>
    </row>
    <row r="29" spans="1:11" ht="24" customHeight="1" x14ac:dyDescent="0.3">
      <c r="A29" s="128"/>
      <c r="B29" s="225"/>
      <c r="C29" s="226"/>
      <c r="D29" s="226"/>
      <c r="E29" s="227"/>
      <c r="F29" s="232"/>
      <c r="G29" s="226"/>
      <c r="H29" s="226"/>
      <c r="I29" s="226"/>
      <c r="J29" s="227"/>
      <c r="K29" s="128"/>
    </row>
    <row r="30" spans="1:11" ht="24" customHeight="1" x14ac:dyDescent="0.3">
      <c r="A30" s="128"/>
      <c r="B30" s="225"/>
      <c r="C30" s="226"/>
      <c r="D30" s="226"/>
      <c r="E30" s="227"/>
      <c r="F30" s="232"/>
      <c r="G30" s="226"/>
      <c r="H30" s="226"/>
      <c r="I30" s="226"/>
      <c r="J30" s="227"/>
      <c r="K30" s="128"/>
    </row>
    <row r="31" spans="1:11" ht="24" customHeight="1" x14ac:dyDescent="0.3">
      <c r="A31" s="128"/>
      <c r="B31" s="225"/>
      <c r="C31" s="226"/>
      <c r="D31" s="226"/>
      <c r="E31" s="227"/>
      <c r="F31" s="232"/>
      <c r="G31" s="226"/>
      <c r="H31" s="226"/>
      <c r="I31" s="226"/>
      <c r="J31" s="227"/>
      <c r="K31" s="128"/>
    </row>
    <row r="32" spans="1:11" ht="24" customHeight="1" x14ac:dyDescent="0.3">
      <c r="A32" s="128"/>
      <c r="B32" s="225"/>
      <c r="C32" s="226"/>
      <c r="D32" s="226"/>
      <c r="E32" s="227"/>
      <c r="F32" s="232"/>
      <c r="G32" s="226"/>
      <c r="H32" s="226"/>
      <c r="I32" s="226"/>
      <c r="J32" s="227"/>
      <c r="K32" s="128"/>
    </row>
    <row r="33" spans="1:11" ht="24" customHeight="1" x14ac:dyDescent="0.3">
      <c r="A33" s="128"/>
      <c r="B33" s="225"/>
      <c r="C33" s="226"/>
      <c r="D33" s="226"/>
      <c r="E33" s="227"/>
      <c r="F33" s="232"/>
      <c r="G33" s="226"/>
      <c r="H33" s="226"/>
      <c r="I33" s="226"/>
      <c r="J33" s="227"/>
      <c r="K33" s="128"/>
    </row>
    <row r="34" spans="1:11" ht="24" customHeight="1" thickBot="1" x14ac:dyDescent="0.35">
      <c r="A34" s="128"/>
      <c r="B34" s="228"/>
      <c r="C34" s="229"/>
      <c r="D34" s="229"/>
      <c r="E34" s="230"/>
      <c r="F34" s="233"/>
      <c r="G34" s="229"/>
      <c r="H34" s="229"/>
      <c r="I34" s="229"/>
      <c r="J34" s="230"/>
      <c r="K34" s="128"/>
    </row>
    <row r="35" spans="1:11" ht="24" customHeight="1" thickTop="1" x14ac:dyDescent="0.3">
      <c r="A35" s="128"/>
      <c r="B35" s="218" t="s">
        <v>207</v>
      </c>
      <c r="C35" s="219"/>
      <c r="D35" s="145"/>
      <c r="E35" s="146"/>
      <c r="F35" s="218" t="s">
        <v>208</v>
      </c>
      <c r="G35" s="219"/>
      <c r="H35" s="219"/>
      <c r="I35" s="147"/>
      <c r="J35" s="148"/>
      <c r="K35" s="128"/>
    </row>
    <row r="36" spans="1:11" ht="24" customHeight="1" x14ac:dyDescent="0.3">
      <c r="A36" s="128"/>
      <c r="B36" s="220"/>
      <c r="C36" s="221"/>
      <c r="D36" s="135" t="s">
        <v>187</v>
      </c>
      <c r="E36" s="136" t="s">
        <v>171</v>
      </c>
      <c r="F36" s="220"/>
      <c r="G36" s="221"/>
      <c r="H36" s="221"/>
      <c r="I36" s="135" t="s">
        <v>187</v>
      </c>
      <c r="J36" s="136" t="s">
        <v>171</v>
      </c>
      <c r="K36" s="128"/>
    </row>
    <row r="37" spans="1:11" ht="24" customHeight="1" x14ac:dyDescent="0.3">
      <c r="A37" s="128"/>
      <c r="B37" s="149" t="str" cm="1">
        <f t="array" aca="1" ref="B37" ca="1">IF(ISNA(MATCH(ROW(1:1),$G$194:$G$198,0)),"",OFFSET($B$193,MATCH(ROW(1:1),$G$194:$G$198,0),1,1,1))</f>
        <v>RM1000 Meat</v>
      </c>
      <c r="C37" s="150"/>
      <c r="D37" s="151" cm="1">
        <f t="array" aca="1" ref="D37" ca="1">IF(ISNA(MATCH(ROW(1:1),$G$194:$G$198,0)),"",OFFSET($B$193,MATCH(ROW(1:1),$G$194:$G$198,0),2,1,1))</f>
        <v>3240</v>
      </c>
      <c r="E37" s="152" cm="1">
        <f t="array" aca="1" ref="E37" ca="1">IF(ISNA(MATCH(ROW(1:1),$G$194:$G$198,0)),"",OFFSET($B$193,MATCH(ROW(1:1),$G$194:$G$198,0),3,1,1))</f>
        <v>159696.72557233815</v>
      </c>
      <c r="F37" s="149" t="str" cm="1">
        <f t="array" aca="1" ref="F37" ca="1">IF(ISNA(MATCH(ROW(1:1),$H$200:$H$204,0)),"",OFFSET($B$199,MATCH(ROW(1:1),$H$200:$H$204,0),1,1,1))</f>
        <v>RM1000 Meat</v>
      </c>
      <c r="G37" s="150"/>
      <c r="H37" s="150"/>
      <c r="I37" s="153" cm="1">
        <f t="array" aca="1" ref="I37" ca="1">IF(ISNA(MATCH(ROW(1:1),$H$200:$H$204,0)),"",OFFSET($B$199,MATCH(ROW(1:1),$H$200:$H$204,0),2,1,1))</f>
        <v>-220</v>
      </c>
      <c r="J37" s="154" cm="1">
        <f t="array" aca="1" ref="J37" ca="1">IF(ISNA(MATCH(ROW(1:1),$H$200:$H$204,0)),"",OFFSET($B$199,MATCH(ROW(1:1),$H$200:$H$204,0),3,1,1))</f>
        <v>-10872.739818337881</v>
      </c>
      <c r="K37" s="128"/>
    </row>
    <row r="38" spans="1:11" ht="24" customHeight="1" x14ac:dyDescent="0.3">
      <c r="A38" s="128"/>
      <c r="B38" s="149" t="str" cm="1">
        <f t="array" aca="1" ref="B38" ca="1">IF(ISNA(MATCH(ROW(2:2),$G$194:$G$198,0)),"",OFFSET($B$193,MATCH(ROW(2:2),$G$194:$G$198,0),1,1,1))</f>
        <v>RM1005 Bread Rolls</v>
      </c>
      <c r="C38" s="150"/>
      <c r="D38" s="151" cm="1">
        <f t="array" aca="1" ref="D38" ca="1">IF(ISNA(MATCH(ROW(2:2),$G$194:$G$198,0)),"",OFFSET($B$193,MATCH(ROW(2:2),$G$194:$G$198,0),2,1,1))</f>
        <v>350.72</v>
      </c>
      <c r="E38" s="152" cm="1">
        <f t="array" aca="1" ref="E38" ca="1">IF(ISNA(MATCH(ROW(2:2),$G$194:$G$198,0)),"",OFFSET($B$193,MATCH(ROW(2:2),$G$194:$G$198,0),3,1,1))</f>
        <v>14327.241695807948</v>
      </c>
      <c r="F38" s="149" t="str" cm="1">
        <f t="array" aca="1" ref="F38" ca="1">IF(ISNA(MATCH(ROW(2:2),$H$200:$H$204,0)),"",OFFSET($B$199,MATCH(ROW(2:2),$H$200:$H$204,0),1,1,1))</f>
        <v>RM1020 Gurkins</v>
      </c>
      <c r="G38" s="150"/>
      <c r="H38" s="150"/>
      <c r="I38" s="153" cm="1">
        <f t="array" aca="1" ref="I38" ca="1">IF(ISNA(MATCH(ROW(2:2),$H$200:$H$204,0)),"",OFFSET($B$199,MATCH(ROW(2:2),$H$200:$H$204,0),2,1,1))</f>
        <v>75.260000000000005</v>
      </c>
      <c r="J38" s="154" cm="1">
        <f t="array" aca="1" ref="J38" ca="1">IF(ISNA(MATCH(ROW(2:2),$H$200:$H$204,0)),"",OFFSET($B$199,MATCH(ROW(2:2),$H$200:$H$204,0),3,1,1))</f>
        <v>588.83187979762113</v>
      </c>
      <c r="K38" s="128"/>
    </row>
    <row r="39" spans="1:11" ht="24" customHeight="1" x14ac:dyDescent="0.3">
      <c r="A39" s="128"/>
      <c r="B39" s="149" t="str" cm="1">
        <f t="array" aca="1" ref="B39" ca="1">IF(ISNA(MATCH(ROW(3:3),$G$194:$G$198,0)),"",OFFSET($B$193,MATCH(ROW(3:3),$G$194:$G$198,0),1,1,1))</f>
        <v>PM2005 Labels</v>
      </c>
      <c r="C39" s="150"/>
      <c r="D39" s="151" cm="1">
        <f t="array" aca="1" ref="D39" ca="1">IF(ISNA(MATCH(ROW(3:3),$G$194:$G$198,0)),"",OFFSET($B$193,MATCH(ROW(3:3),$G$194:$G$198,0),2,1,1))</f>
        <v>14.06</v>
      </c>
      <c r="E39" s="152" cm="1">
        <f t="array" aca="1" ref="E39" ca="1">IF(ISNA(MATCH(ROW(3:3),$G$194:$G$198,0)),"",OFFSET($B$193,MATCH(ROW(3:3),$G$194:$G$198,0),3,1,1))</f>
        <v>6397.1288185322246</v>
      </c>
      <c r="F39" s="149" t="str" cm="1">
        <f t="array" aca="1" ref="F39" ca="1">IF(ISNA(MATCH(ROW(3:3),$H$200:$H$204,0)),"",OFFSET($B$199,MATCH(ROW(3:3),$H$200:$H$204,0),1,1,1))</f>
        <v>PM2005 Labels</v>
      </c>
      <c r="G39" s="150"/>
      <c r="H39" s="150"/>
      <c r="I39" s="153" cm="1">
        <f t="array" aca="1" ref="I39" ca="1">IF(ISNA(MATCH(ROW(3:3),$H$200:$H$204,0)),"",OFFSET($B$199,MATCH(ROW(3:3),$H$200:$H$204,0),2,1,1))</f>
        <v>-0.94</v>
      </c>
      <c r="J39" s="154" cm="1">
        <f t="array" aca="1" ref="J39" ca="1">IF(ISNA(MATCH(ROW(3:3),$H$200:$H$204,0)),"",OFFSET($B$199,MATCH(ROW(3:3),$H$200:$H$204,0),3,1,1))</f>
        <v>-422.87118146777533</v>
      </c>
      <c r="K39" s="128"/>
    </row>
    <row r="40" spans="1:11" ht="24" customHeight="1" x14ac:dyDescent="0.3">
      <c r="A40" s="128"/>
      <c r="B40" s="149" t="str" cm="1">
        <f t="array" aca="1" ref="B40" ca="1">IF(ISNA(MATCH(ROW(4:4),$G$194:$G$198,0)),"",OFFSET($B$193,MATCH(ROW(4:4),$G$194:$G$198,0),1,1,1))</f>
        <v>PM2015 Boxes</v>
      </c>
      <c r="C40" s="150"/>
      <c r="D40" s="151" cm="1">
        <f t="array" aca="1" ref="D40" ca="1">IF(ISNA(MATCH(ROW(4:4),$G$194:$G$198,0)),"",OFFSET($B$193,MATCH(ROW(4:4),$G$194:$G$198,0),2,1,1))</f>
        <v>4972.6400000000003</v>
      </c>
      <c r="E40" s="152" cm="1">
        <f t="array" aca="1" ref="E40" ca="1">IF(ISNA(MATCH(ROW(4:4),$G$194:$G$198,0)),"",OFFSET($B$193,MATCH(ROW(4:4),$G$194:$G$198,0),3,1,1))</f>
        <v>5251.7059873920171</v>
      </c>
      <c r="F40" s="149" t="str" cm="1">
        <f t="array" aca="1" ref="F40" ca="1">IF(ISNA(MATCH(ROW(4:4),$H$200:$H$204,0)),"",OFFSET($B$199,MATCH(ROW(4:4),$H$200:$H$204,0),1,1,1))</f>
        <v>RM1005 Bread Rolls</v>
      </c>
      <c r="G40" s="150"/>
      <c r="H40" s="150"/>
      <c r="I40" s="153" cm="1">
        <f t="array" aca="1" ref="I40" ca="1">IF(ISNA(MATCH(ROW(4:4),$H$200:$H$204,0)),"",OFFSET($B$199,MATCH(ROW(4:4),$H$200:$H$204,0),2,1,1))</f>
        <v>-3.2800000000000007</v>
      </c>
      <c r="J40" s="154" cm="1">
        <f t="array" aca="1" ref="J40" ca="1">IF(ISNA(MATCH(ROW(4:4),$H$200:$H$204,0)),"",OFFSET($B$199,MATCH(ROW(4:4),$H$200:$H$204,0),3,1,1))</f>
        <v>-135.39481637517406</v>
      </c>
      <c r="K40" s="128"/>
    </row>
    <row r="41" spans="1:11" ht="24" customHeight="1" x14ac:dyDescent="0.3">
      <c r="A41" s="128"/>
      <c r="B41" s="149" t="str" cm="1">
        <f t="array" aca="1" ref="B41" ca="1">IF(ISNA(MATCH(ROW(5:5),$G$194:$G$198,0)),"",OFFSET($B$193,MATCH(ROW(5:5),$G$194:$G$198,0),1,1,1))</f>
        <v>RM1025 Onions</v>
      </c>
      <c r="C41" s="150"/>
      <c r="D41" s="151" cm="1">
        <f t="array" aca="1" ref="D41" ca="1">IF(ISNA(MATCH(ROW(5:5),$G$194:$G$198,0)),"",OFFSET($B$193,MATCH(ROW(5:5),$G$194:$G$198,0),2,1,1))</f>
        <v>87.06</v>
      </c>
      <c r="E41" s="152" cm="1">
        <f t="array" aca="1" ref="E41" ca="1">IF(ISNA(MATCH(ROW(5:5),$G$194:$G$198,0)),"",OFFSET($B$193,MATCH(ROW(5:5),$G$194:$G$198,0),3,1,1))</f>
        <v>1118.7975358059257</v>
      </c>
      <c r="F41" s="149" t="str" cm="1">
        <f t="array" aca="1" ref="F41" ca="1">IF(ISNA(MATCH(ROW(5:5),$H$200:$H$204,0)),"",OFFSET($B$199,MATCH(ROW(5:5),$H$200:$H$204,0),1,1,1))</f>
        <v>PM2000 Plastic Wrap</v>
      </c>
      <c r="G41" s="150"/>
      <c r="H41" s="150"/>
      <c r="I41" s="153" cm="1">
        <f t="array" aca="1" ref="I41" ca="1">IF(ISNA(MATCH(ROW(5:5),$H$200:$H$204,0)),"",OFFSET($B$199,MATCH(ROW(5:5),$H$200:$H$204,0),2,1,1))</f>
        <v>-1.2800000000000007</v>
      </c>
      <c r="J41" s="154" cm="1">
        <f t="array" aca="1" ref="J41" ca="1">IF(ISNA(MATCH(ROW(5:5),$H$200:$H$204,0)),"",OFFSET($B$199,MATCH(ROW(5:5),$H$200:$H$204,0),3,1,1))</f>
        <v>-26.25693399311951</v>
      </c>
      <c r="K41" s="128"/>
    </row>
    <row r="42" spans="1:11" ht="24" customHeight="1" thickBot="1" x14ac:dyDescent="0.35">
      <c r="A42" s="128"/>
      <c r="B42" s="155"/>
      <c r="C42" s="139"/>
      <c r="D42" s="156"/>
      <c r="E42" s="157"/>
      <c r="F42" s="155"/>
      <c r="G42" s="139"/>
      <c r="H42" s="139"/>
      <c r="I42" s="158"/>
      <c r="J42" s="159"/>
      <c r="K42" s="128"/>
    </row>
    <row r="43" spans="1:11" ht="24" customHeight="1" thickTop="1" x14ac:dyDescent="0.3">
      <c r="A43" s="128"/>
      <c r="B43" s="218" t="s">
        <v>218</v>
      </c>
      <c r="C43" s="219"/>
      <c r="D43" s="145"/>
      <c r="E43" s="146"/>
      <c r="F43" s="218" t="s">
        <v>219</v>
      </c>
      <c r="G43" s="219"/>
      <c r="H43" s="219"/>
      <c r="I43" s="147"/>
      <c r="J43" s="148"/>
      <c r="K43" s="128"/>
    </row>
    <row r="44" spans="1:11" ht="24" customHeight="1" x14ac:dyDescent="0.3">
      <c r="A44" s="128"/>
      <c r="B44" s="220"/>
      <c r="C44" s="221"/>
      <c r="D44" s="135" t="s">
        <v>187</v>
      </c>
      <c r="E44" s="136" t="s">
        <v>171</v>
      </c>
      <c r="F44" s="220"/>
      <c r="G44" s="221"/>
      <c r="H44" s="221"/>
      <c r="I44" s="135" t="s">
        <v>171</v>
      </c>
      <c r="J44" s="136" t="s">
        <v>229</v>
      </c>
      <c r="K44" s="128"/>
    </row>
    <row r="45" spans="1:11" ht="24" customHeight="1" x14ac:dyDescent="0.3">
      <c r="A45" s="128"/>
      <c r="B45" s="149" t="str" cm="1">
        <f t="array" aca="1" ref="B45" ca="1">IF(ISNA(MATCH(ROW(1:1),$G$206:$G$210,0)),"",OFFSET($B$205,MATCH(ROW(1:1),$G$206:$G$210,0),1,1,1))</f>
        <v>RM1000 Meat</v>
      </c>
      <c r="C45" s="150"/>
      <c r="D45" s="151" cm="1">
        <f t="array" aca="1" ref="D45" ca="1">IF(ISNA(MATCH(ROW(1:1),$G$206:$G$210,0)),"",OFFSET($B$205,MATCH(ROW(1:1),$G$206:$G$210,0),2,1,1))</f>
        <v>3760</v>
      </c>
      <c r="E45" s="152" cm="1">
        <f t="array" aca="1" ref="E45" ca="1">IF(ISNA(MATCH(ROW(1:1),$G$206:$G$210,0)),"",OFFSET($B$205,MATCH(ROW(1:1),$G$206:$G$210,0),3,1,1))</f>
        <v>185840</v>
      </c>
      <c r="F45" s="149" t="str" cm="1">
        <f t="array" aca="1" ref="F45" ca="1">IF(ISNA(MATCH(ROW(1:1),$H$212:$H$216,0)),"",OFFSET($B$211,MATCH(ROW(1:1),$H$212:$H$216,0),1,1,1))</f>
        <v>RM1000 Meat</v>
      </c>
      <c r="G45" s="150"/>
      <c r="H45" s="150"/>
      <c r="I45" s="153" cm="1">
        <f t="array" aca="1" ref="I45" ca="1">IF(ISNA(MATCH(ROW(1:1),$H$212:$H$216,0)),"",OFFSET($B$211,MATCH(ROW(1:1),$H$212:$H$216,0),2,1,1))</f>
        <v>1239.3677980620982</v>
      </c>
      <c r="J45" s="160" cm="1">
        <f t="array" aca="1" ref="J45" ca="1">IF(ISNA(MATCH(ROW(1:1),$H$212:$H$216,0)),"",OFFSET($B$211,MATCH(ROW(1:1),$H$212:$H$216,0),3,1,1))</f>
        <v>6.669004509589422E-3</v>
      </c>
      <c r="K45" s="128"/>
    </row>
    <row r="46" spans="1:11" ht="24" customHeight="1" x14ac:dyDescent="0.3">
      <c r="A46" s="128"/>
      <c r="B46" s="149" t="str" cm="1">
        <f t="array" aca="1" ref="B46" ca="1">IF(ISNA(MATCH(ROW(2:2),$G$206:$G$210,0)),"",OFFSET($B$205,MATCH(ROW(2:2),$G$206:$G$210,0),1,1,1))</f>
        <v>RM1005 Bread Rolls</v>
      </c>
      <c r="C46" s="150"/>
      <c r="D46" s="151" cm="1">
        <f t="array" aca="1" ref="D46" ca="1">IF(ISNA(MATCH(ROW(2:2),$G$206:$G$210,0)),"",OFFSET($B$205,MATCH(ROW(2:2),$G$206:$G$210,0),2,1,1))</f>
        <v>314</v>
      </c>
      <c r="E46" s="152" cm="1">
        <f t="array" aca="1" ref="E46" ca="1">IF(ISNA(MATCH(ROW(2:2),$G$206:$G$210,0)),"",OFFSET($B$205,MATCH(ROW(2:2),$G$206:$G$210,0),3,1,1))</f>
        <v>13080</v>
      </c>
      <c r="F46" s="149" t="str" cm="1">
        <f t="array" aca="1" ref="F46" ca="1">IF(ISNA(MATCH(ROW(2:2),$H$212:$H$216,0)),"",OFFSET($B$211,MATCH(ROW(2:2),$H$212:$H$216,0),1,1,1))</f>
        <v>PM2005 Labels</v>
      </c>
      <c r="G46" s="150"/>
      <c r="H46" s="150"/>
      <c r="I46" s="153" cm="1">
        <f t="array" aca="1" ref="I46" ca="1">IF(ISNA(MATCH(ROW(2:2),$H$212:$H$216,0)),"",OFFSET($B$211,MATCH(ROW(2:2),$H$212:$H$216,0),2,1,1))</f>
        <v>-506.07857025502551</v>
      </c>
      <c r="J46" s="160" cm="1">
        <f t="array" aca="1" ref="J46" ca="1">IF(ISNA(MATCH(ROW(2:2),$H$212:$H$216,0)),"",OFFSET($B$211,MATCH(ROW(2:2),$H$212:$H$216,0),3,1,1))</f>
        <v>-7.8219253517005483E-2</v>
      </c>
      <c r="K46" s="128"/>
    </row>
    <row r="47" spans="1:11" ht="24" customHeight="1" x14ac:dyDescent="0.3">
      <c r="A47" s="128"/>
      <c r="B47" s="149" t="str" cm="1">
        <f t="array" aca="1" ref="B47" ca="1">IF(ISNA(MATCH(ROW(3:3),$G$206:$G$210,0)),"",OFFSET($B$205,MATCH(ROW(3:3),$G$206:$G$210,0),1,1,1))</f>
        <v>PM2005 Labels</v>
      </c>
      <c r="C47" s="150"/>
      <c r="D47" s="151" cm="1">
        <f t="array" aca="1" ref="D47" ca="1">IF(ISNA(MATCH(ROW(3:3),$G$206:$G$210,0)),"",OFFSET($B$205,MATCH(ROW(3:3),$G$206:$G$210,0),2,1,1))</f>
        <v>14</v>
      </c>
      <c r="E47" s="152" cm="1">
        <f t="array" aca="1" ref="E47" ca="1">IF(ISNA(MATCH(ROW(3:3),$G$206:$G$210,0)),"",OFFSET($B$205,MATCH(ROW(3:3),$G$206:$G$210,0),3,1,1))</f>
        <v>6470</v>
      </c>
      <c r="F47" s="149" t="str" cm="1">
        <f t="array" aca="1" ref="F47" ca="1">IF(ISNA(MATCH(ROW(3:3),$H$212:$H$216,0)),"",OFFSET($B$211,MATCH(ROW(3:3),$H$212:$H$216,0),1,1,1))</f>
        <v>RM1005 Bread Rolls</v>
      </c>
      <c r="G47" s="150"/>
      <c r="H47" s="150"/>
      <c r="I47" s="153" cm="1">
        <f t="array" aca="1" ref="I47" ca="1">IF(ISNA(MATCH(ROW(3:3),$H$212:$H$216,0)),"",OFFSET($B$211,MATCH(ROW(3:3),$H$212:$H$216,0),2,1,1))</f>
        <v>-479.73982629394027</v>
      </c>
      <c r="J47" s="160" cm="1">
        <f t="array" aca="1" ref="J47" ca="1">IF(ISNA(MATCH(ROW(3:3),$H$212:$H$216,0)),"",OFFSET($B$211,MATCH(ROW(3:3),$H$212:$H$216,0),3,1,1))</f>
        <v>-3.6677356750301246E-2</v>
      </c>
      <c r="K47" s="128"/>
    </row>
    <row r="48" spans="1:11" ht="24" customHeight="1" x14ac:dyDescent="0.3">
      <c r="A48" s="128"/>
      <c r="B48" s="149" t="str" cm="1">
        <f t="array" aca="1" ref="B48" ca="1">IF(ISNA(MATCH(ROW(4:4),$G$206:$G$210,0)),"",OFFSET($B$205,MATCH(ROW(4:4),$G$206:$G$210,0),1,1,1))</f>
        <v>PM2015 Boxes</v>
      </c>
      <c r="C48" s="150"/>
      <c r="D48" s="151" cm="1">
        <f t="array" aca="1" ref="D48" ca="1">IF(ISNA(MATCH(ROW(4:4),$G$206:$G$210,0)),"",OFFSET($B$205,MATCH(ROW(4:4),$G$206:$G$210,0),2,1,1))</f>
        <v>4400</v>
      </c>
      <c r="E48" s="152" cm="1">
        <f t="array" aca="1" ref="E48" ca="1">IF(ISNA(MATCH(ROW(4:4),$G$206:$G$210,0)),"",OFFSET($B$205,MATCH(ROW(4:4),$G$206:$G$210,0),3,1,1))</f>
        <v>4560</v>
      </c>
      <c r="F48" s="149" t="str" cm="1">
        <f t="array" aca="1" ref="F48" ca="1">IF(ISNA(MATCH(ROW(4:4),$H$212:$H$216,0)),"",OFFSET($B$211,MATCH(ROW(4:4),$H$212:$H$216,0),1,1,1))</f>
        <v>RM1025 Onions</v>
      </c>
      <c r="G48" s="150"/>
      <c r="H48" s="150"/>
      <c r="I48" s="153" cm="1">
        <f t="array" aca="1" ref="I48" ca="1">IF(ISNA(MATCH(ROW(4:4),$H$212:$H$216,0)),"",OFFSET($B$211,MATCH(ROW(4:4),$H$212:$H$216,0),2,1,1))</f>
        <v>-409.80759601286627</v>
      </c>
      <c r="J48" s="160" cm="1">
        <f t="array" aca="1" ref="J48" ca="1">IF(ISNA(MATCH(ROW(4:4),$H$212:$H$216,0)),"",OFFSET($B$211,MATCH(ROW(4:4),$H$212:$H$216,0),3,1,1))</f>
        <v>-0.40736341551974781</v>
      </c>
      <c r="K48" s="128"/>
    </row>
    <row r="49" spans="1:12" ht="24" customHeight="1" x14ac:dyDescent="0.3">
      <c r="A49" s="128"/>
      <c r="B49" s="149" t="str" cm="1">
        <f t="array" aca="1" ref="B49" ca="1">IF(ISNA(MATCH(ROW(5:5),$G$206:$G$210,0)),"",OFFSET($B$205,MATCH(ROW(5:5),$G$206:$G$210,0),1,1,1))</f>
        <v>RM1025 Onions</v>
      </c>
      <c r="C49" s="150"/>
      <c r="D49" s="151" cm="1">
        <f t="array" aca="1" ref="D49" ca="1">IF(ISNA(MATCH(ROW(5:5),$G$206:$G$210,0)),"",OFFSET($B$205,MATCH(ROW(5:5),$G$206:$G$210,0),2,1,1))</f>
        <v>74</v>
      </c>
      <c r="E49" s="152" cm="1">
        <f t="array" aca="1" ref="E49" ca="1">IF(ISNA(MATCH(ROW(5:5),$G$206:$G$210,0)),"",OFFSET($B$205,MATCH(ROW(5:5),$G$206:$G$210,0),3,1,1))</f>
        <v>1006</v>
      </c>
      <c r="F49" s="149" t="str" cm="1">
        <f t="array" aca="1" ref="F49" ca="1">IF(ISNA(MATCH(ROW(5:5),$H$212:$H$216,0)),"",OFFSET($B$211,MATCH(ROW(5:5),$H$212:$H$216,0),1,1,1))</f>
        <v>PM2015 Boxes</v>
      </c>
      <c r="G49" s="150"/>
      <c r="H49" s="150"/>
      <c r="I49" s="153" cm="1">
        <f t="array" aca="1" ref="I49" ca="1">IF(ISNA(MATCH(ROW(5:5),$H$212:$H$216,0)),"",OFFSET($B$211,MATCH(ROW(5:5),$H$212:$H$216,0),2,1,1))</f>
        <v>191.92091908510588</v>
      </c>
      <c r="J49" s="160" cm="1">
        <f t="array" aca="1" ref="J49" ca="1">IF(ISNA(MATCH(ROW(5:5),$H$212:$H$216,0)),"",OFFSET($B$211,MATCH(ROW(5:5),$H$212:$H$216,0),3,1,1))</f>
        <v>4.2087920851996904E-2</v>
      </c>
      <c r="K49" s="128"/>
    </row>
    <row r="50" spans="1:12" ht="24" customHeight="1" thickBot="1" x14ac:dyDescent="0.35">
      <c r="A50" s="128"/>
      <c r="B50" s="155"/>
      <c r="C50" s="139"/>
      <c r="D50" s="156"/>
      <c r="E50" s="157"/>
      <c r="F50" s="155"/>
      <c r="G50" s="139"/>
      <c r="H50" s="139"/>
      <c r="I50" s="158"/>
      <c r="J50" s="159"/>
      <c r="K50" s="128"/>
    </row>
    <row r="51" spans="1:12" ht="24" customHeight="1" thickTop="1" x14ac:dyDescent="0.3">
      <c r="A51" s="128"/>
      <c r="B51" s="128"/>
      <c r="C51" s="128"/>
      <c r="D51" s="128"/>
      <c r="E51" s="128"/>
      <c r="F51" s="128"/>
      <c r="G51" s="128"/>
      <c r="H51" s="128"/>
      <c r="I51" s="128"/>
      <c r="J51" s="128"/>
      <c r="K51" s="128"/>
    </row>
    <row r="53" spans="1:12" s="162" customFormat="1" ht="23.45" customHeight="1" x14ac:dyDescent="0.2">
      <c r="A53" s="161" t="s">
        <v>233</v>
      </c>
      <c r="I53" s="163"/>
      <c r="J53" s="164"/>
    </row>
    <row r="54" spans="1:12" s="166" customFormat="1" ht="23.45" customHeight="1" x14ac:dyDescent="0.3">
      <c r="A54" s="165" t="s">
        <v>167</v>
      </c>
      <c r="C54" s="167" t="s">
        <v>168</v>
      </c>
      <c r="D54" s="167" t="s">
        <v>169</v>
      </c>
      <c r="E54" s="167" t="s">
        <v>170</v>
      </c>
      <c r="J54" s="164"/>
    </row>
    <row r="55" spans="1:12" s="168" customFormat="1" ht="23.45" customHeight="1" x14ac:dyDescent="0.3">
      <c r="A55" s="165" t="s">
        <v>174</v>
      </c>
      <c r="C55" s="169">
        <f ca="1">IF(ISBLANK($E$5)=TRUE,IF(MIN(MoveDate)=0,DATE(YEAR($E$5),MONTH($E$5),1),DATE(YEAR(MIN(MoveDate)),MONTH(MIN(MoveDate)),1)),$E$5)</f>
        <v>44378</v>
      </c>
      <c r="D55" s="169">
        <f ca="1">IF(ISBLANK($F$5)=TRUE,DATE(YEAR(TODAY()),MONTH(TODAY())+1,0),$F$5)</f>
        <v>44439</v>
      </c>
      <c r="E55" s="170"/>
      <c r="F55" s="170"/>
      <c r="J55" s="164"/>
    </row>
    <row r="56" spans="1:12" s="168" customFormat="1" ht="23.45" customHeight="1" x14ac:dyDescent="0.3">
      <c r="A56" s="165" t="s">
        <v>175</v>
      </c>
      <c r="C56" s="171" t="str">
        <f>IF(ISBLANK($C$5),"*",$C$5)</f>
        <v>*</v>
      </c>
      <c r="D56" s="170"/>
      <c r="E56" s="170"/>
      <c r="F56" s="170"/>
      <c r="J56" s="164"/>
    </row>
    <row r="57" spans="1:12" s="168" customFormat="1" ht="23.45" customHeight="1" x14ac:dyDescent="0.3">
      <c r="A57" s="165" t="s">
        <v>85</v>
      </c>
      <c r="C57" s="171" t="str">
        <f>IF($C$56="*","ALL STOCK",IF(ISNA(VLOOKUP($C$56,StockMaster,COLUMN(StockCodes!$B$5),0)),"NONE",VLOOKUP($C$56,StockMaster,COLUMN(StockCodes!$B$5),0)))</f>
        <v>ALL STOCK</v>
      </c>
      <c r="D57" s="170"/>
      <c r="E57" s="170"/>
      <c r="F57" s="170"/>
      <c r="J57" s="164"/>
    </row>
    <row r="58" spans="1:12" s="168" customFormat="1" ht="23.45" customHeight="1" x14ac:dyDescent="0.3">
      <c r="A58" s="165" t="s">
        <v>180</v>
      </c>
      <c r="C58" s="171" t="str">
        <f>IF($C$56="*","",IF(ISNA(VLOOKUP($C$56,StockMaster,COLUMN(StockCodes!$C$5),0)),"",VLOOKUP($C$56,StockMaster,COLUMN(StockCodes!$C$5),0)))</f>
        <v/>
      </c>
      <c r="D58" s="170"/>
      <c r="E58" s="170"/>
      <c r="F58" s="170"/>
      <c r="J58" s="164"/>
    </row>
    <row r="59" spans="1:12" s="173" customFormat="1" ht="23.45" customHeight="1" x14ac:dyDescent="0.2">
      <c r="A59" s="172" t="str">
        <f>"Chart 1 : "&amp;A60</f>
        <v>Chart 1 : Quantity On Hand</v>
      </c>
      <c r="C59" s="174" t="s">
        <v>177</v>
      </c>
      <c r="D59" s="174" t="s">
        <v>171</v>
      </c>
      <c r="E59" s="174" t="s">
        <v>172</v>
      </c>
      <c r="F59" s="174" t="s">
        <v>173</v>
      </c>
      <c r="J59" s="164"/>
    </row>
    <row r="60" spans="1:12" s="176" customFormat="1" ht="23.45" customHeight="1" x14ac:dyDescent="0.3">
      <c r="A60" s="175" t="s">
        <v>176</v>
      </c>
      <c r="C60" s="177" cm="1">
        <f t="array" aca="1" ref="C60" ca="1">SUMIFS(StockCode[Opening Quantity],StockCode[Stock Code],$C$56)+SUMIFS(MoveQty,MoveDate,"&lt;"&amp;$D$55+1,MoveCode,$C$56)</f>
        <v>716.24000000000012</v>
      </c>
      <c r="D60" s="178">
        <f>IF($C59="F",130,(100+F60)*(C60/100))</f>
        <v>130</v>
      </c>
      <c r="E60" s="178">
        <f>IF($C59="F",0,(100+F60)-D60)</f>
        <v>0</v>
      </c>
      <c r="F60" s="179">
        <v>30</v>
      </c>
      <c r="I60" s="180"/>
      <c r="J60" s="181"/>
      <c r="L60" s="182"/>
    </row>
    <row r="61" spans="1:12" ht="24" customHeight="1" x14ac:dyDescent="0.3">
      <c r="A61" s="172" t="str">
        <f>"Chart 2 : "&amp;A62</f>
        <v>Chart 2 : Average Cost</v>
      </c>
      <c r="C61" s="174" t="s">
        <v>177</v>
      </c>
      <c r="D61" s="174" t="s">
        <v>171</v>
      </c>
      <c r="E61" s="174" t="s">
        <v>172</v>
      </c>
      <c r="F61" s="174" t="s">
        <v>173</v>
      </c>
    </row>
    <row r="62" spans="1:12" s="176" customFormat="1" ht="23.45" customHeight="1" x14ac:dyDescent="0.3">
      <c r="A62" s="175" t="s">
        <v>56</v>
      </c>
      <c r="C62" s="183">
        <f ca="1">IF(C60=0,0,C64/C60)</f>
        <v>44.060738707650565</v>
      </c>
      <c r="D62" s="178">
        <f>IF($C61="F",130,(100+F62)*(C62/100))</f>
        <v>130</v>
      </c>
      <c r="E62" s="178">
        <f>IF($C61="F",0,(100+F62)-D62)</f>
        <v>0</v>
      </c>
      <c r="F62" s="179">
        <v>30</v>
      </c>
      <c r="I62" s="180"/>
      <c r="J62" s="181"/>
      <c r="L62" s="182"/>
    </row>
    <row r="63" spans="1:12" ht="24" customHeight="1" x14ac:dyDescent="0.3">
      <c r="A63" s="172" t="str">
        <f>"Chart 3 : "&amp;A64</f>
        <v>Chart 3 : Valuation</v>
      </c>
      <c r="C63" s="174" t="s">
        <v>177</v>
      </c>
      <c r="D63" s="174" t="s">
        <v>171</v>
      </c>
      <c r="E63" s="174" t="s">
        <v>172</v>
      </c>
      <c r="F63" s="174" t="s">
        <v>173</v>
      </c>
    </row>
    <row r="64" spans="1:12" s="176" customFormat="1" ht="23.45" customHeight="1" x14ac:dyDescent="0.3">
      <c r="A64" s="175" t="s">
        <v>181</v>
      </c>
      <c r="C64" s="176" cm="1">
        <f t="array" aca="1" ref="C64" ca="1">SUMIFS(StockCode[Opening Value],StockCode[Stock Code],$C$56)+SUMIFS(MoveAmount,MoveDate,"&lt;"&amp;$D$55+1,MoveCode,$C$56)</f>
        <v>31558.063491967645</v>
      </c>
      <c r="D64" s="178">
        <f>IF($C63="F",130,(100+F64)*(C64/100))</f>
        <v>130</v>
      </c>
      <c r="E64" s="178">
        <f>IF($C63="F",0,(100+F64)-D64)</f>
        <v>0</v>
      </c>
      <c r="F64" s="179">
        <v>30</v>
      </c>
      <c r="I64" s="180"/>
      <c r="J64" s="181"/>
      <c r="L64" s="182"/>
    </row>
    <row r="65" spans="1:9" ht="24" customHeight="1" x14ac:dyDescent="0.3">
      <c r="A65" s="129" t="s">
        <v>188</v>
      </c>
      <c r="C65" s="184" t="s">
        <v>187</v>
      </c>
      <c r="D65" s="184" t="s">
        <v>171</v>
      </c>
    </row>
    <row r="66" spans="1:9" ht="24" customHeight="1" x14ac:dyDescent="0.3">
      <c r="A66" s="129" t="s">
        <v>183</v>
      </c>
      <c r="C66" s="185" cm="1">
        <f t="array" aca="1" ref="C66" ca="1">SUMIFS(StockCode[Opening Quantity],StockCode[Stock Code],$C$56)+SUMIFS(MoveQty,MoveDate,"&lt;"&amp;$C$55,MoveCode,$C$56)</f>
        <v>988</v>
      </c>
      <c r="D66" s="185" cm="1">
        <f t="array" aca="1" ref="D66" ca="1">SUMIFS(StockCode[Opening Value],StockCode[Stock Code],$C$56)+SUMIFS(MoveAmount,MoveDate,"&lt;"&amp;$C$55,MoveCode,$C$56)</f>
        <v>18190</v>
      </c>
    </row>
    <row r="67" spans="1:9" ht="24" customHeight="1" x14ac:dyDescent="0.3">
      <c r="A67" s="129" t="s">
        <v>184</v>
      </c>
      <c r="C67" s="185" cm="1">
        <f t="array" aca="1" ref="C67" ca="1">SUMIFS(MoveQty,MoveDate,"&gt;"&amp;$C$55,MoveDate,"&lt;"&amp;$D$55+1,MoveCode,$C$56,MoveType,"Purchase")</f>
        <v>8686</v>
      </c>
      <c r="D67" s="185" cm="1">
        <f t="array" aca="1" ref="D67" ca="1">SUMIFS(MoveAmount,MoveDate,"&gt;"&amp;$C$55,MoveDate,"&lt;"&amp;$D$55+1,MoveCode,$C$56,MoveType,"Purchase")</f>
        <v>212244.59999999998</v>
      </c>
    </row>
    <row r="68" spans="1:9" ht="24" customHeight="1" x14ac:dyDescent="0.3">
      <c r="A68" s="129" t="s">
        <v>102</v>
      </c>
      <c r="C68" s="185" cm="1">
        <f t="array" aca="1" ref="C68" ca="1">SUMIFS(MoveQty,MoveDate,"&gt;"&amp;$C$55,MoveDate,"&lt;"&amp;$D$55+1,MoveCode,$C$56,MoveType,"Usage")</f>
        <v>-8796.34</v>
      </c>
      <c r="D68" s="185" cm="1">
        <f t="array" aca="1" ref="D68" ca="1">SUMIFS(MoveAmount,MoveDate,"&gt;"&amp;$C$55,MoveDate,"&lt;"&amp;$D$55+1,MoveCode,$C$56,MoveType,"Usage")</f>
        <v>-187979.80578980054</v>
      </c>
    </row>
    <row r="69" spans="1:9" ht="24" customHeight="1" x14ac:dyDescent="0.3">
      <c r="A69" s="129" t="s">
        <v>185</v>
      </c>
      <c r="C69" s="185" cm="1">
        <f t="array" aca="1" ref="C69" ca="1">SUMIFS(MoveQty,MoveDate,"&gt;"&amp;$C$55,MoveDate,"&lt;"&amp;$D$55+1,MoveCode,$C$56,MoveType,"Adjustment")</f>
        <v>-161.41999999999999</v>
      </c>
      <c r="D69" s="185" cm="1">
        <f t="array" aca="1" ref="D69" ca="1">SUMIFS(MoveAmount,MoveDate,"&gt;"&amp;$C$55,MoveDate,"&lt;"&amp;$D$55+1,MoveCode,$C$56,MoveType,"Adjustment")</f>
        <v>-10896.7307182318</v>
      </c>
    </row>
    <row r="70" spans="1:9" ht="24" customHeight="1" x14ac:dyDescent="0.3">
      <c r="A70" s="129" t="s">
        <v>186</v>
      </c>
      <c r="C70" s="185" cm="1">
        <f t="array" aca="1" ref="C70" ca="1">SUMIFS(StockCode[Opening Quantity],StockCode[Stock Code],$C$56)+SUMIFS(MoveQty,MoveDate,"&lt;"&amp;$D$55+1,MoveCode,$C$56)</f>
        <v>716.24000000000012</v>
      </c>
      <c r="D70" s="185" cm="1">
        <f t="array" aca="1" ref="D70" ca="1">SUMIFS(StockCode[Opening Value],StockCode[Stock Code],$C$56)+SUMIFS(MoveAmount,MoveDate,"&lt;"&amp;$D$55+1,MoveCode,$C$56)</f>
        <v>31558.063491967645</v>
      </c>
    </row>
    <row r="71" spans="1:9" ht="24" customHeight="1" x14ac:dyDescent="0.3">
      <c r="A71" s="129" t="s">
        <v>204</v>
      </c>
      <c r="C71" s="184" t="str">
        <f>IF(ISBLANK($H$15),"Amount",$H$15)</f>
        <v>Amount</v>
      </c>
      <c r="D71" s="184" t="str">
        <f>IF(ISBLANK($J$15),"*",IF($J$15="All","*",$J$15))</f>
        <v>*</v>
      </c>
      <c r="E71" s="184" t="str">
        <f>IF(ISBLANK($G$15),"Movement",$G$15)</f>
        <v>Balance</v>
      </c>
      <c r="F71" s="129" t="str">
        <f>IF($D$71="*","All",$D$71)&amp;" Transactions By "&amp;$C$71</f>
        <v>All Transactions By Amount</v>
      </c>
    </row>
    <row r="72" spans="1:9" ht="24" customHeight="1" x14ac:dyDescent="0.3">
      <c r="A72" s="129" t="s">
        <v>201</v>
      </c>
      <c r="C72" s="186">
        <v>90</v>
      </c>
      <c r="D72" s="129" t="str">
        <f>$C$72&amp;"-Day "&amp;$E$71&amp;" Report"</f>
        <v>90-Day Balance Report</v>
      </c>
      <c r="E72" s="184"/>
    </row>
    <row r="73" spans="1:9" ht="24" customHeight="1" x14ac:dyDescent="0.3">
      <c r="B73" s="129" t="s">
        <v>76</v>
      </c>
      <c r="C73" s="184" t="s">
        <v>171</v>
      </c>
      <c r="D73" s="184" t="s">
        <v>187</v>
      </c>
      <c r="E73" s="184" t="s">
        <v>190</v>
      </c>
      <c r="F73" s="184" t="s">
        <v>191</v>
      </c>
      <c r="G73" s="184" t="s">
        <v>195</v>
      </c>
      <c r="H73" s="184" t="s">
        <v>198</v>
      </c>
      <c r="I73" s="184" t="s">
        <v>196</v>
      </c>
    </row>
    <row r="74" spans="1:9" ht="24" customHeight="1" x14ac:dyDescent="0.3">
      <c r="B74" s="187">
        <f ca="1">IF($D$55-$C$72+ROW($C74)-ROW($C$73)&gt;$D$55,"",$D$55-$C$72+ROW($C74)-ROW($C$73))</f>
        <v>44350</v>
      </c>
      <c r="C74" s="188">
        <f ca="1">IF(ISNUMBER(B74),IF($E$71="Movement",IF($C$71="Quantity",D74,IF($C$71="Cost",E74,F74)),IF($C$71="Quantity",G74,IF($C$71="Cost",H74,I74))),"")</f>
        <v>18190</v>
      </c>
      <c r="D74" s="188" cm="1">
        <f t="array" aca="1" ref="D74" ca="1">SUMIFS(MoveQty,MoveDate,"&gt;"&amp;$B74,MoveDate,"&lt;"&amp;$B74+1,MoveCode,$C$56,MoveType,$D$71)</f>
        <v>0</v>
      </c>
      <c r="E74" s="188">
        <f ca="1">IF(D74=0,0,F74/D74)</f>
        <v>0</v>
      </c>
      <c r="F74" s="188" cm="1">
        <f t="array" aca="1" ref="F74" ca="1">SUMIFS(MoveAmount,MoveDate,"&gt;"&amp;$B74,MoveDate,"&lt;"&amp;$B74+1,MoveCode,$C$56,MoveType,$D$71)</f>
        <v>0</v>
      </c>
      <c r="G74" s="188" cm="1">
        <f t="array" aca="1" ref="G74" ca="1">SUMIFS(StockCode[Opening Quantity],StockCode[Stock Code],$C$56)+SUMIFS(MoveQty,MoveDate,"&lt;"&amp;$B74+1,MoveCode,$C$56,MoveType,$D$71)</f>
        <v>988</v>
      </c>
      <c r="H74" s="188">
        <f ca="1">IF(G74=0,0,I74/G74)</f>
        <v>18.410931174089068</v>
      </c>
      <c r="I74" s="188" cm="1">
        <f t="array" aca="1" ref="I74" ca="1">SUMIFS(StockCode[Opening Value],StockCode[Stock Code],$C$56)+SUMIFS(MoveAmount,MoveDate,"&lt;"&amp;$B74+1,MoveCode,$C$56,MoveType,$D$71)</f>
        <v>18190</v>
      </c>
    </row>
    <row r="75" spans="1:9" ht="24" customHeight="1" x14ac:dyDescent="0.3">
      <c r="B75" s="187">
        <f t="shared" ref="B75:B138" ca="1" si="2">IF($D$55-$C$72+ROW($C75)-ROW($C$73)&gt;$D$55,"",$D$55-$C$72+ROW($C75)-ROW($C$73))</f>
        <v>44351</v>
      </c>
      <c r="C75" s="188">
        <f t="shared" ref="C75:C138" ca="1" si="3">IF(ISNUMBER(B75),IF($E$71="Movement",IF($C$71="Quantity",D75,IF($C$71="Cost",E75,F75)),IF($C$71="Quantity",G75,IF($C$71="Cost",H75,I75))),"")</f>
        <v>18190</v>
      </c>
      <c r="D75" s="188" cm="1">
        <f t="array" aca="1" ref="D75" ca="1">SUMIFS(MoveQty,MoveDate,"&gt;"&amp;$B75,MoveDate,"&lt;"&amp;$B75+1,MoveCode,$C$56,MoveType,$D$71)</f>
        <v>0</v>
      </c>
      <c r="E75" s="188">
        <f t="shared" ref="E75:E138" ca="1" si="4">IF(D75=0,0,F75/D75)</f>
        <v>0</v>
      </c>
      <c r="F75" s="188" cm="1">
        <f t="array" aca="1" ref="F75" ca="1">SUMIFS(MoveAmount,MoveDate,"&gt;"&amp;$B75,MoveDate,"&lt;"&amp;$B75+1,MoveCode,$C$56,MoveType,$D$71)</f>
        <v>0</v>
      </c>
      <c r="G75" s="188" cm="1">
        <f t="array" aca="1" ref="G75" ca="1">SUMIFS(StockCode[Opening Quantity],StockCode[Stock Code],$C$56)+SUMIFS(MoveQty,MoveDate,"&lt;"&amp;$B75+1,MoveCode,$C$56,MoveType,$D$71)</f>
        <v>988</v>
      </c>
      <c r="H75" s="188">
        <f t="shared" ref="H75:H138" ca="1" si="5">IF(G75=0,0,I75/G75)</f>
        <v>18.410931174089068</v>
      </c>
      <c r="I75" s="188" cm="1">
        <f t="array" aca="1" ref="I75" ca="1">SUMIFS(StockCode[Opening Value],StockCode[Stock Code],$C$56)+SUMIFS(MoveAmount,MoveDate,"&lt;"&amp;$B75+1,MoveCode,$C$56,MoveType,$D$71)</f>
        <v>18190</v>
      </c>
    </row>
    <row r="76" spans="1:9" ht="24" customHeight="1" x14ac:dyDescent="0.3">
      <c r="B76" s="187">
        <f t="shared" ca="1" si="2"/>
        <v>44352</v>
      </c>
      <c r="C76" s="188">
        <f t="shared" ca="1" si="3"/>
        <v>18190</v>
      </c>
      <c r="D76" s="188" cm="1">
        <f t="array" aca="1" ref="D76" ca="1">SUMIFS(MoveQty,MoveDate,"&gt;"&amp;$B76,MoveDate,"&lt;"&amp;$B76+1,MoveCode,$C$56,MoveType,$D$71)</f>
        <v>0</v>
      </c>
      <c r="E76" s="188">
        <f t="shared" ca="1" si="4"/>
        <v>0</v>
      </c>
      <c r="F76" s="188" cm="1">
        <f t="array" aca="1" ref="F76" ca="1">SUMIFS(MoveAmount,MoveDate,"&gt;"&amp;$B76,MoveDate,"&lt;"&amp;$B76+1,MoveCode,$C$56,MoveType,$D$71)</f>
        <v>0</v>
      </c>
      <c r="G76" s="188" cm="1">
        <f t="array" aca="1" ref="G76" ca="1">SUMIFS(StockCode[Opening Quantity],StockCode[Stock Code],$C$56)+SUMIFS(MoveQty,MoveDate,"&lt;"&amp;$B76+1,MoveCode,$C$56,MoveType,$D$71)</f>
        <v>988</v>
      </c>
      <c r="H76" s="188">
        <f t="shared" ca="1" si="5"/>
        <v>18.410931174089068</v>
      </c>
      <c r="I76" s="188" cm="1">
        <f t="array" aca="1" ref="I76" ca="1">SUMIFS(StockCode[Opening Value],StockCode[Stock Code],$C$56)+SUMIFS(MoveAmount,MoveDate,"&lt;"&amp;$B76+1,MoveCode,$C$56,MoveType,$D$71)</f>
        <v>18190</v>
      </c>
    </row>
    <row r="77" spans="1:9" ht="24" customHeight="1" x14ac:dyDescent="0.3">
      <c r="B77" s="187">
        <f t="shared" ca="1" si="2"/>
        <v>44353</v>
      </c>
      <c r="C77" s="188">
        <f t="shared" ca="1" si="3"/>
        <v>18190</v>
      </c>
      <c r="D77" s="188" cm="1">
        <f t="array" aca="1" ref="D77" ca="1">SUMIFS(MoveQty,MoveDate,"&gt;"&amp;$B77,MoveDate,"&lt;"&amp;$B77+1,MoveCode,$C$56,MoveType,$D$71)</f>
        <v>0</v>
      </c>
      <c r="E77" s="188">
        <f t="shared" ca="1" si="4"/>
        <v>0</v>
      </c>
      <c r="F77" s="188" cm="1">
        <f t="array" aca="1" ref="F77" ca="1">SUMIFS(MoveAmount,MoveDate,"&gt;"&amp;$B77,MoveDate,"&lt;"&amp;$B77+1,MoveCode,$C$56,MoveType,$D$71)</f>
        <v>0</v>
      </c>
      <c r="G77" s="188" cm="1">
        <f t="array" aca="1" ref="G77" ca="1">SUMIFS(StockCode[Opening Quantity],StockCode[Stock Code],$C$56)+SUMIFS(MoveQty,MoveDate,"&lt;"&amp;$B77+1,MoveCode,$C$56,MoveType,$D$71)</f>
        <v>988</v>
      </c>
      <c r="H77" s="188">
        <f t="shared" ca="1" si="5"/>
        <v>18.410931174089068</v>
      </c>
      <c r="I77" s="188" cm="1">
        <f t="array" aca="1" ref="I77" ca="1">SUMIFS(StockCode[Opening Value],StockCode[Stock Code],$C$56)+SUMIFS(MoveAmount,MoveDate,"&lt;"&amp;$B77+1,MoveCode,$C$56,MoveType,$D$71)</f>
        <v>18190</v>
      </c>
    </row>
    <row r="78" spans="1:9" ht="24" customHeight="1" x14ac:dyDescent="0.3">
      <c r="B78" s="187">
        <f t="shared" ca="1" si="2"/>
        <v>44354</v>
      </c>
      <c r="C78" s="188">
        <f t="shared" ca="1" si="3"/>
        <v>18190</v>
      </c>
      <c r="D78" s="188" cm="1">
        <f t="array" aca="1" ref="D78" ca="1">SUMIFS(MoveQty,MoveDate,"&gt;"&amp;$B78,MoveDate,"&lt;"&amp;$B78+1,MoveCode,$C$56,MoveType,$D$71)</f>
        <v>0</v>
      </c>
      <c r="E78" s="188">
        <f t="shared" ca="1" si="4"/>
        <v>0</v>
      </c>
      <c r="F78" s="188" cm="1">
        <f t="array" aca="1" ref="F78" ca="1">SUMIFS(MoveAmount,MoveDate,"&gt;"&amp;$B78,MoveDate,"&lt;"&amp;$B78+1,MoveCode,$C$56,MoveType,$D$71)</f>
        <v>0</v>
      </c>
      <c r="G78" s="188" cm="1">
        <f t="array" aca="1" ref="G78" ca="1">SUMIFS(StockCode[Opening Quantity],StockCode[Stock Code],$C$56)+SUMIFS(MoveQty,MoveDate,"&lt;"&amp;$B78+1,MoveCode,$C$56,MoveType,$D$71)</f>
        <v>988</v>
      </c>
      <c r="H78" s="188">
        <f t="shared" ca="1" si="5"/>
        <v>18.410931174089068</v>
      </c>
      <c r="I78" s="188" cm="1">
        <f t="array" aca="1" ref="I78" ca="1">SUMIFS(StockCode[Opening Value],StockCode[Stock Code],$C$56)+SUMIFS(MoveAmount,MoveDate,"&lt;"&amp;$B78+1,MoveCode,$C$56,MoveType,$D$71)</f>
        <v>18190</v>
      </c>
    </row>
    <row r="79" spans="1:9" ht="24" customHeight="1" x14ac:dyDescent="0.3">
      <c r="B79" s="187">
        <f t="shared" ca="1" si="2"/>
        <v>44355</v>
      </c>
      <c r="C79" s="188">
        <f t="shared" ca="1" si="3"/>
        <v>18190</v>
      </c>
      <c r="D79" s="188" cm="1">
        <f t="array" aca="1" ref="D79" ca="1">SUMIFS(MoveQty,MoveDate,"&gt;"&amp;$B79,MoveDate,"&lt;"&amp;$B79+1,MoveCode,$C$56,MoveType,$D$71)</f>
        <v>0</v>
      </c>
      <c r="E79" s="188">
        <f t="shared" ca="1" si="4"/>
        <v>0</v>
      </c>
      <c r="F79" s="188" cm="1">
        <f t="array" aca="1" ref="F79" ca="1">SUMIFS(MoveAmount,MoveDate,"&gt;"&amp;$B79,MoveDate,"&lt;"&amp;$B79+1,MoveCode,$C$56,MoveType,$D$71)</f>
        <v>0</v>
      </c>
      <c r="G79" s="188" cm="1">
        <f t="array" aca="1" ref="G79" ca="1">SUMIFS(StockCode[Opening Quantity],StockCode[Stock Code],$C$56)+SUMIFS(MoveQty,MoveDate,"&lt;"&amp;$B79+1,MoveCode,$C$56,MoveType,$D$71)</f>
        <v>988</v>
      </c>
      <c r="H79" s="188">
        <f t="shared" ca="1" si="5"/>
        <v>18.410931174089068</v>
      </c>
      <c r="I79" s="188" cm="1">
        <f t="array" aca="1" ref="I79" ca="1">SUMIFS(StockCode[Opening Value],StockCode[Stock Code],$C$56)+SUMIFS(MoveAmount,MoveDate,"&lt;"&amp;$B79+1,MoveCode,$C$56,MoveType,$D$71)</f>
        <v>18190</v>
      </c>
    </row>
    <row r="80" spans="1:9" ht="24" customHeight="1" x14ac:dyDescent="0.3">
      <c r="B80" s="187">
        <f t="shared" ca="1" si="2"/>
        <v>44356</v>
      </c>
      <c r="C80" s="188">
        <f t="shared" ca="1" si="3"/>
        <v>18190</v>
      </c>
      <c r="D80" s="188" cm="1">
        <f t="array" aca="1" ref="D80" ca="1">SUMIFS(MoveQty,MoveDate,"&gt;"&amp;$B80,MoveDate,"&lt;"&amp;$B80+1,MoveCode,$C$56,MoveType,$D$71)</f>
        <v>0</v>
      </c>
      <c r="E80" s="188">
        <f t="shared" ca="1" si="4"/>
        <v>0</v>
      </c>
      <c r="F80" s="188" cm="1">
        <f t="array" aca="1" ref="F80" ca="1">SUMIFS(MoveAmount,MoveDate,"&gt;"&amp;$B80,MoveDate,"&lt;"&amp;$B80+1,MoveCode,$C$56,MoveType,$D$71)</f>
        <v>0</v>
      </c>
      <c r="G80" s="188" cm="1">
        <f t="array" aca="1" ref="G80" ca="1">SUMIFS(StockCode[Opening Quantity],StockCode[Stock Code],$C$56)+SUMIFS(MoveQty,MoveDate,"&lt;"&amp;$B80+1,MoveCode,$C$56,MoveType,$D$71)</f>
        <v>988</v>
      </c>
      <c r="H80" s="188">
        <f t="shared" ca="1" si="5"/>
        <v>18.410931174089068</v>
      </c>
      <c r="I80" s="188" cm="1">
        <f t="array" aca="1" ref="I80" ca="1">SUMIFS(StockCode[Opening Value],StockCode[Stock Code],$C$56)+SUMIFS(MoveAmount,MoveDate,"&lt;"&amp;$B80+1,MoveCode,$C$56,MoveType,$D$71)</f>
        <v>18190</v>
      </c>
    </row>
    <row r="81" spans="2:9" ht="24" customHeight="1" x14ac:dyDescent="0.3">
      <c r="B81" s="187">
        <f t="shared" ca="1" si="2"/>
        <v>44357</v>
      </c>
      <c r="C81" s="188">
        <f t="shared" ca="1" si="3"/>
        <v>18190</v>
      </c>
      <c r="D81" s="188" cm="1">
        <f t="array" aca="1" ref="D81" ca="1">SUMIFS(MoveQty,MoveDate,"&gt;"&amp;$B81,MoveDate,"&lt;"&amp;$B81+1,MoveCode,$C$56,MoveType,$D$71)</f>
        <v>0</v>
      </c>
      <c r="E81" s="188">
        <f t="shared" ca="1" si="4"/>
        <v>0</v>
      </c>
      <c r="F81" s="188" cm="1">
        <f t="array" aca="1" ref="F81" ca="1">SUMIFS(MoveAmount,MoveDate,"&gt;"&amp;$B81,MoveDate,"&lt;"&amp;$B81+1,MoveCode,$C$56,MoveType,$D$71)</f>
        <v>0</v>
      </c>
      <c r="G81" s="188" cm="1">
        <f t="array" aca="1" ref="G81" ca="1">SUMIFS(StockCode[Opening Quantity],StockCode[Stock Code],$C$56)+SUMIFS(MoveQty,MoveDate,"&lt;"&amp;$B81+1,MoveCode,$C$56,MoveType,$D$71)</f>
        <v>988</v>
      </c>
      <c r="H81" s="188">
        <f t="shared" ca="1" si="5"/>
        <v>18.410931174089068</v>
      </c>
      <c r="I81" s="188" cm="1">
        <f t="array" aca="1" ref="I81" ca="1">SUMIFS(StockCode[Opening Value],StockCode[Stock Code],$C$56)+SUMIFS(MoveAmount,MoveDate,"&lt;"&amp;$B81+1,MoveCode,$C$56,MoveType,$D$71)</f>
        <v>18190</v>
      </c>
    </row>
    <row r="82" spans="2:9" ht="24" customHeight="1" x14ac:dyDescent="0.3">
      <c r="B82" s="187">
        <f t="shared" ca="1" si="2"/>
        <v>44358</v>
      </c>
      <c r="C82" s="188">
        <f t="shared" ca="1" si="3"/>
        <v>18190</v>
      </c>
      <c r="D82" s="188" cm="1">
        <f t="array" aca="1" ref="D82" ca="1">SUMIFS(MoveQty,MoveDate,"&gt;"&amp;$B82,MoveDate,"&lt;"&amp;$B82+1,MoveCode,$C$56,MoveType,$D$71)</f>
        <v>0</v>
      </c>
      <c r="E82" s="188">
        <f t="shared" ca="1" si="4"/>
        <v>0</v>
      </c>
      <c r="F82" s="188" cm="1">
        <f t="array" aca="1" ref="F82" ca="1">SUMIFS(MoveAmount,MoveDate,"&gt;"&amp;$B82,MoveDate,"&lt;"&amp;$B82+1,MoveCode,$C$56,MoveType,$D$71)</f>
        <v>0</v>
      </c>
      <c r="G82" s="188" cm="1">
        <f t="array" aca="1" ref="G82" ca="1">SUMIFS(StockCode[Opening Quantity],StockCode[Stock Code],$C$56)+SUMIFS(MoveQty,MoveDate,"&lt;"&amp;$B82+1,MoveCode,$C$56,MoveType,$D$71)</f>
        <v>988</v>
      </c>
      <c r="H82" s="188">
        <f t="shared" ca="1" si="5"/>
        <v>18.410931174089068</v>
      </c>
      <c r="I82" s="188" cm="1">
        <f t="array" aca="1" ref="I82" ca="1">SUMIFS(StockCode[Opening Value],StockCode[Stock Code],$C$56)+SUMIFS(MoveAmount,MoveDate,"&lt;"&amp;$B82+1,MoveCode,$C$56,MoveType,$D$71)</f>
        <v>18190</v>
      </c>
    </row>
    <row r="83" spans="2:9" ht="24" customHeight="1" x14ac:dyDescent="0.3">
      <c r="B83" s="187">
        <f t="shared" ca="1" si="2"/>
        <v>44359</v>
      </c>
      <c r="C83" s="188">
        <f t="shared" ca="1" si="3"/>
        <v>18190</v>
      </c>
      <c r="D83" s="188" cm="1">
        <f t="array" aca="1" ref="D83" ca="1">SUMIFS(MoveQty,MoveDate,"&gt;"&amp;$B83,MoveDate,"&lt;"&amp;$B83+1,MoveCode,$C$56,MoveType,$D$71)</f>
        <v>0</v>
      </c>
      <c r="E83" s="188">
        <f t="shared" ca="1" si="4"/>
        <v>0</v>
      </c>
      <c r="F83" s="188" cm="1">
        <f t="array" aca="1" ref="F83" ca="1">SUMIFS(MoveAmount,MoveDate,"&gt;"&amp;$B83,MoveDate,"&lt;"&amp;$B83+1,MoveCode,$C$56,MoveType,$D$71)</f>
        <v>0</v>
      </c>
      <c r="G83" s="188" cm="1">
        <f t="array" aca="1" ref="G83" ca="1">SUMIFS(StockCode[Opening Quantity],StockCode[Stock Code],$C$56)+SUMIFS(MoveQty,MoveDate,"&lt;"&amp;$B83+1,MoveCode,$C$56,MoveType,$D$71)</f>
        <v>988</v>
      </c>
      <c r="H83" s="188">
        <f t="shared" ca="1" si="5"/>
        <v>18.410931174089068</v>
      </c>
      <c r="I83" s="188" cm="1">
        <f t="array" aca="1" ref="I83" ca="1">SUMIFS(StockCode[Opening Value],StockCode[Stock Code],$C$56)+SUMIFS(MoveAmount,MoveDate,"&lt;"&amp;$B83+1,MoveCode,$C$56,MoveType,$D$71)</f>
        <v>18190</v>
      </c>
    </row>
    <row r="84" spans="2:9" ht="24" customHeight="1" x14ac:dyDescent="0.3">
      <c r="B84" s="187">
        <f t="shared" ca="1" si="2"/>
        <v>44360</v>
      </c>
      <c r="C84" s="188">
        <f t="shared" ca="1" si="3"/>
        <v>18190</v>
      </c>
      <c r="D84" s="188" cm="1">
        <f t="array" aca="1" ref="D84" ca="1">SUMIFS(MoveQty,MoveDate,"&gt;"&amp;$B84,MoveDate,"&lt;"&amp;$B84+1,MoveCode,$C$56,MoveType,$D$71)</f>
        <v>0</v>
      </c>
      <c r="E84" s="188">
        <f t="shared" ca="1" si="4"/>
        <v>0</v>
      </c>
      <c r="F84" s="188" cm="1">
        <f t="array" aca="1" ref="F84" ca="1">SUMIFS(MoveAmount,MoveDate,"&gt;"&amp;$B84,MoveDate,"&lt;"&amp;$B84+1,MoveCode,$C$56,MoveType,$D$71)</f>
        <v>0</v>
      </c>
      <c r="G84" s="188" cm="1">
        <f t="array" aca="1" ref="G84" ca="1">SUMIFS(StockCode[Opening Quantity],StockCode[Stock Code],$C$56)+SUMIFS(MoveQty,MoveDate,"&lt;"&amp;$B84+1,MoveCode,$C$56,MoveType,$D$71)</f>
        <v>988</v>
      </c>
      <c r="H84" s="188">
        <f t="shared" ca="1" si="5"/>
        <v>18.410931174089068</v>
      </c>
      <c r="I84" s="188" cm="1">
        <f t="array" aca="1" ref="I84" ca="1">SUMIFS(StockCode[Opening Value],StockCode[Stock Code],$C$56)+SUMIFS(MoveAmount,MoveDate,"&lt;"&amp;$B84+1,MoveCode,$C$56,MoveType,$D$71)</f>
        <v>18190</v>
      </c>
    </row>
    <row r="85" spans="2:9" ht="24" customHeight="1" x14ac:dyDescent="0.3">
      <c r="B85" s="187">
        <f t="shared" ca="1" si="2"/>
        <v>44361</v>
      </c>
      <c r="C85" s="188">
        <f t="shared" ca="1" si="3"/>
        <v>18190</v>
      </c>
      <c r="D85" s="188" cm="1">
        <f t="array" aca="1" ref="D85" ca="1">SUMIFS(MoveQty,MoveDate,"&gt;"&amp;$B85,MoveDate,"&lt;"&amp;$B85+1,MoveCode,$C$56,MoveType,$D$71)</f>
        <v>0</v>
      </c>
      <c r="E85" s="188">
        <f t="shared" ca="1" si="4"/>
        <v>0</v>
      </c>
      <c r="F85" s="188" cm="1">
        <f t="array" aca="1" ref="F85" ca="1">SUMIFS(MoveAmount,MoveDate,"&gt;"&amp;$B85,MoveDate,"&lt;"&amp;$B85+1,MoveCode,$C$56,MoveType,$D$71)</f>
        <v>0</v>
      </c>
      <c r="G85" s="188" cm="1">
        <f t="array" aca="1" ref="G85" ca="1">SUMIFS(StockCode[Opening Quantity],StockCode[Stock Code],$C$56)+SUMIFS(MoveQty,MoveDate,"&lt;"&amp;$B85+1,MoveCode,$C$56,MoveType,$D$71)</f>
        <v>988</v>
      </c>
      <c r="H85" s="188">
        <f t="shared" ca="1" si="5"/>
        <v>18.410931174089068</v>
      </c>
      <c r="I85" s="188" cm="1">
        <f t="array" aca="1" ref="I85" ca="1">SUMIFS(StockCode[Opening Value],StockCode[Stock Code],$C$56)+SUMIFS(MoveAmount,MoveDate,"&lt;"&amp;$B85+1,MoveCode,$C$56,MoveType,$D$71)</f>
        <v>18190</v>
      </c>
    </row>
    <row r="86" spans="2:9" ht="24" customHeight="1" x14ac:dyDescent="0.3">
      <c r="B86" s="187">
        <f t="shared" ca="1" si="2"/>
        <v>44362</v>
      </c>
      <c r="C86" s="188">
        <f t="shared" ca="1" si="3"/>
        <v>18190</v>
      </c>
      <c r="D86" s="188" cm="1">
        <f t="array" aca="1" ref="D86" ca="1">SUMIFS(MoveQty,MoveDate,"&gt;"&amp;$B86,MoveDate,"&lt;"&amp;$B86+1,MoveCode,$C$56,MoveType,$D$71)</f>
        <v>0</v>
      </c>
      <c r="E86" s="188">
        <f t="shared" ca="1" si="4"/>
        <v>0</v>
      </c>
      <c r="F86" s="188" cm="1">
        <f t="array" aca="1" ref="F86" ca="1">SUMIFS(MoveAmount,MoveDate,"&gt;"&amp;$B86,MoveDate,"&lt;"&amp;$B86+1,MoveCode,$C$56,MoveType,$D$71)</f>
        <v>0</v>
      </c>
      <c r="G86" s="188" cm="1">
        <f t="array" aca="1" ref="G86" ca="1">SUMIFS(StockCode[Opening Quantity],StockCode[Stock Code],$C$56)+SUMIFS(MoveQty,MoveDate,"&lt;"&amp;$B86+1,MoveCode,$C$56,MoveType,$D$71)</f>
        <v>988</v>
      </c>
      <c r="H86" s="188">
        <f t="shared" ca="1" si="5"/>
        <v>18.410931174089068</v>
      </c>
      <c r="I86" s="188" cm="1">
        <f t="array" aca="1" ref="I86" ca="1">SUMIFS(StockCode[Opening Value],StockCode[Stock Code],$C$56)+SUMIFS(MoveAmount,MoveDate,"&lt;"&amp;$B86+1,MoveCode,$C$56,MoveType,$D$71)</f>
        <v>18190</v>
      </c>
    </row>
    <row r="87" spans="2:9" ht="24" customHeight="1" x14ac:dyDescent="0.3">
      <c r="B87" s="187">
        <f t="shared" ca="1" si="2"/>
        <v>44363</v>
      </c>
      <c r="C87" s="188">
        <f t="shared" ca="1" si="3"/>
        <v>18190</v>
      </c>
      <c r="D87" s="188" cm="1">
        <f t="array" aca="1" ref="D87" ca="1">SUMIFS(MoveQty,MoveDate,"&gt;"&amp;$B87,MoveDate,"&lt;"&amp;$B87+1,MoveCode,$C$56,MoveType,$D$71)</f>
        <v>0</v>
      </c>
      <c r="E87" s="188">
        <f t="shared" ca="1" si="4"/>
        <v>0</v>
      </c>
      <c r="F87" s="188" cm="1">
        <f t="array" aca="1" ref="F87" ca="1">SUMIFS(MoveAmount,MoveDate,"&gt;"&amp;$B87,MoveDate,"&lt;"&amp;$B87+1,MoveCode,$C$56,MoveType,$D$71)</f>
        <v>0</v>
      </c>
      <c r="G87" s="188" cm="1">
        <f t="array" aca="1" ref="G87" ca="1">SUMIFS(StockCode[Opening Quantity],StockCode[Stock Code],$C$56)+SUMIFS(MoveQty,MoveDate,"&lt;"&amp;$B87+1,MoveCode,$C$56,MoveType,$D$71)</f>
        <v>988</v>
      </c>
      <c r="H87" s="188">
        <f t="shared" ca="1" si="5"/>
        <v>18.410931174089068</v>
      </c>
      <c r="I87" s="188" cm="1">
        <f t="array" aca="1" ref="I87" ca="1">SUMIFS(StockCode[Opening Value],StockCode[Stock Code],$C$56)+SUMIFS(MoveAmount,MoveDate,"&lt;"&amp;$B87+1,MoveCode,$C$56,MoveType,$D$71)</f>
        <v>18190</v>
      </c>
    </row>
    <row r="88" spans="2:9" ht="24" customHeight="1" x14ac:dyDescent="0.3">
      <c r="B88" s="187">
        <f t="shared" ca="1" si="2"/>
        <v>44364</v>
      </c>
      <c r="C88" s="188">
        <f t="shared" ca="1" si="3"/>
        <v>18190</v>
      </c>
      <c r="D88" s="188" cm="1">
        <f t="array" aca="1" ref="D88" ca="1">SUMIFS(MoveQty,MoveDate,"&gt;"&amp;$B88,MoveDate,"&lt;"&amp;$B88+1,MoveCode,$C$56,MoveType,$D$71)</f>
        <v>0</v>
      </c>
      <c r="E88" s="188">
        <f t="shared" ca="1" si="4"/>
        <v>0</v>
      </c>
      <c r="F88" s="188" cm="1">
        <f t="array" aca="1" ref="F88" ca="1">SUMIFS(MoveAmount,MoveDate,"&gt;"&amp;$B88,MoveDate,"&lt;"&amp;$B88+1,MoveCode,$C$56,MoveType,$D$71)</f>
        <v>0</v>
      </c>
      <c r="G88" s="188" cm="1">
        <f t="array" aca="1" ref="G88" ca="1">SUMIFS(StockCode[Opening Quantity],StockCode[Stock Code],$C$56)+SUMIFS(MoveQty,MoveDate,"&lt;"&amp;$B88+1,MoveCode,$C$56,MoveType,$D$71)</f>
        <v>988</v>
      </c>
      <c r="H88" s="188">
        <f t="shared" ca="1" si="5"/>
        <v>18.410931174089068</v>
      </c>
      <c r="I88" s="188" cm="1">
        <f t="array" aca="1" ref="I88" ca="1">SUMIFS(StockCode[Opening Value],StockCode[Stock Code],$C$56)+SUMIFS(MoveAmount,MoveDate,"&lt;"&amp;$B88+1,MoveCode,$C$56,MoveType,$D$71)</f>
        <v>18190</v>
      </c>
    </row>
    <row r="89" spans="2:9" ht="24" customHeight="1" x14ac:dyDescent="0.3">
      <c r="B89" s="187">
        <f t="shared" ca="1" si="2"/>
        <v>44365</v>
      </c>
      <c r="C89" s="188">
        <f t="shared" ca="1" si="3"/>
        <v>18190</v>
      </c>
      <c r="D89" s="188" cm="1">
        <f t="array" aca="1" ref="D89" ca="1">SUMIFS(MoveQty,MoveDate,"&gt;"&amp;$B89,MoveDate,"&lt;"&amp;$B89+1,MoveCode,$C$56,MoveType,$D$71)</f>
        <v>0</v>
      </c>
      <c r="E89" s="188">
        <f t="shared" ca="1" si="4"/>
        <v>0</v>
      </c>
      <c r="F89" s="188" cm="1">
        <f t="array" aca="1" ref="F89" ca="1">SUMIFS(MoveAmount,MoveDate,"&gt;"&amp;$B89,MoveDate,"&lt;"&amp;$B89+1,MoveCode,$C$56,MoveType,$D$71)</f>
        <v>0</v>
      </c>
      <c r="G89" s="188" cm="1">
        <f t="array" aca="1" ref="G89" ca="1">SUMIFS(StockCode[Opening Quantity],StockCode[Stock Code],$C$56)+SUMIFS(MoveQty,MoveDate,"&lt;"&amp;$B89+1,MoveCode,$C$56,MoveType,$D$71)</f>
        <v>988</v>
      </c>
      <c r="H89" s="188">
        <f t="shared" ca="1" si="5"/>
        <v>18.410931174089068</v>
      </c>
      <c r="I89" s="188" cm="1">
        <f t="array" aca="1" ref="I89" ca="1">SUMIFS(StockCode[Opening Value],StockCode[Stock Code],$C$56)+SUMIFS(MoveAmount,MoveDate,"&lt;"&amp;$B89+1,MoveCode,$C$56,MoveType,$D$71)</f>
        <v>18190</v>
      </c>
    </row>
    <row r="90" spans="2:9" ht="24" customHeight="1" x14ac:dyDescent="0.3">
      <c r="B90" s="187">
        <f t="shared" ca="1" si="2"/>
        <v>44366</v>
      </c>
      <c r="C90" s="188">
        <f t="shared" ca="1" si="3"/>
        <v>18190</v>
      </c>
      <c r="D90" s="188" cm="1">
        <f t="array" aca="1" ref="D90" ca="1">SUMIFS(MoveQty,MoveDate,"&gt;"&amp;$B90,MoveDate,"&lt;"&amp;$B90+1,MoveCode,$C$56,MoveType,$D$71)</f>
        <v>0</v>
      </c>
      <c r="E90" s="188">
        <f t="shared" ca="1" si="4"/>
        <v>0</v>
      </c>
      <c r="F90" s="188" cm="1">
        <f t="array" aca="1" ref="F90" ca="1">SUMIFS(MoveAmount,MoveDate,"&gt;"&amp;$B90,MoveDate,"&lt;"&amp;$B90+1,MoveCode,$C$56,MoveType,$D$71)</f>
        <v>0</v>
      </c>
      <c r="G90" s="188" cm="1">
        <f t="array" aca="1" ref="G90" ca="1">SUMIFS(StockCode[Opening Quantity],StockCode[Stock Code],$C$56)+SUMIFS(MoveQty,MoveDate,"&lt;"&amp;$B90+1,MoveCode,$C$56,MoveType,$D$71)</f>
        <v>988</v>
      </c>
      <c r="H90" s="188">
        <f t="shared" ca="1" si="5"/>
        <v>18.410931174089068</v>
      </c>
      <c r="I90" s="188" cm="1">
        <f t="array" aca="1" ref="I90" ca="1">SUMIFS(StockCode[Opening Value],StockCode[Stock Code],$C$56)+SUMIFS(MoveAmount,MoveDate,"&lt;"&amp;$B90+1,MoveCode,$C$56,MoveType,$D$71)</f>
        <v>18190</v>
      </c>
    </row>
    <row r="91" spans="2:9" ht="24" customHeight="1" x14ac:dyDescent="0.3">
      <c r="B91" s="187">
        <f t="shared" ca="1" si="2"/>
        <v>44367</v>
      </c>
      <c r="C91" s="188">
        <f t="shared" ca="1" si="3"/>
        <v>18190</v>
      </c>
      <c r="D91" s="188" cm="1">
        <f t="array" aca="1" ref="D91" ca="1">SUMIFS(MoveQty,MoveDate,"&gt;"&amp;$B91,MoveDate,"&lt;"&amp;$B91+1,MoveCode,$C$56,MoveType,$D$71)</f>
        <v>0</v>
      </c>
      <c r="E91" s="188">
        <f t="shared" ca="1" si="4"/>
        <v>0</v>
      </c>
      <c r="F91" s="188" cm="1">
        <f t="array" aca="1" ref="F91" ca="1">SUMIFS(MoveAmount,MoveDate,"&gt;"&amp;$B91,MoveDate,"&lt;"&amp;$B91+1,MoveCode,$C$56,MoveType,$D$71)</f>
        <v>0</v>
      </c>
      <c r="G91" s="188" cm="1">
        <f t="array" aca="1" ref="G91" ca="1">SUMIFS(StockCode[Opening Quantity],StockCode[Stock Code],$C$56)+SUMIFS(MoveQty,MoveDate,"&lt;"&amp;$B91+1,MoveCode,$C$56,MoveType,$D$71)</f>
        <v>988</v>
      </c>
      <c r="H91" s="188">
        <f t="shared" ca="1" si="5"/>
        <v>18.410931174089068</v>
      </c>
      <c r="I91" s="188" cm="1">
        <f t="array" aca="1" ref="I91" ca="1">SUMIFS(StockCode[Opening Value],StockCode[Stock Code],$C$56)+SUMIFS(MoveAmount,MoveDate,"&lt;"&amp;$B91+1,MoveCode,$C$56,MoveType,$D$71)</f>
        <v>18190</v>
      </c>
    </row>
    <row r="92" spans="2:9" ht="24" customHeight="1" x14ac:dyDescent="0.3">
      <c r="B92" s="187">
        <f t="shared" ca="1" si="2"/>
        <v>44368</v>
      </c>
      <c r="C92" s="188">
        <f t="shared" ca="1" si="3"/>
        <v>18190</v>
      </c>
      <c r="D92" s="188" cm="1">
        <f t="array" aca="1" ref="D92" ca="1">SUMIFS(MoveQty,MoveDate,"&gt;"&amp;$B92,MoveDate,"&lt;"&amp;$B92+1,MoveCode,$C$56,MoveType,$D$71)</f>
        <v>0</v>
      </c>
      <c r="E92" s="188">
        <f t="shared" ca="1" si="4"/>
        <v>0</v>
      </c>
      <c r="F92" s="188" cm="1">
        <f t="array" aca="1" ref="F92" ca="1">SUMIFS(MoveAmount,MoveDate,"&gt;"&amp;$B92,MoveDate,"&lt;"&amp;$B92+1,MoveCode,$C$56,MoveType,$D$71)</f>
        <v>0</v>
      </c>
      <c r="G92" s="188" cm="1">
        <f t="array" aca="1" ref="G92" ca="1">SUMIFS(StockCode[Opening Quantity],StockCode[Stock Code],$C$56)+SUMIFS(MoveQty,MoveDate,"&lt;"&amp;$B92+1,MoveCode,$C$56,MoveType,$D$71)</f>
        <v>988</v>
      </c>
      <c r="H92" s="188">
        <f t="shared" ca="1" si="5"/>
        <v>18.410931174089068</v>
      </c>
      <c r="I92" s="188" cm="1">
        <f t="array" aca="1" ref="I92" ca="1">SUMIFS(StockCode[Opening Value],StockCode[Stock Code],$C$56)+SUMIFS(MoveAmount,MoveDate,"&lt;"&amp;$B92+1,MoveCode,$C$56,MoveType,$D$71)</f>
        <v>18190</v>
      </c>
    </row>
    <row r="93" spans="2:9" ht="24" customHeight="1" x14ac:dyDescent="0.3">
      <c r="B93" s="187">
        <f t="shared" ca="1" si="2"/>
        <v>44369</v>
      </c>
      <c r="C93" s="188">
        <f t="shared" ca="1" si="3"/>
        <v>18190</v>
      </c>
      <c r="D93" s="188" cm="1">
        <f t="array" aca="1" ref="D93" ca="1">SUMIFS(MoveQty,MoveDate,"&gt;"&amp;$B93,MoveDate,"&lt;"&amp;$B93+1,MoveCode,$C$56,MoveType,$D$71)</f>
        <v>0</v>
      </c>
      <c r="E93" s="188">
        <f t="shared" ca="1" si="4"/>
        <v>0</v>
      </c>
      <c r="F93" s="188" cm="1">
        <f t="array" aca="1" ref="F93" ca="1">SUMIFS(MoveAmount,MoveDate,"&gt;"&amp;$B93,MoveDate,"&lt;"&amp;$B93+1,MoveCode,$C$56,MoveType,$D$71)</f>
        <v>0</v>
      </c>
      <c r="G93" s="188" cm="1">
        <f t="array" aca="1" ref="G93" ca="1">SUMIFS(StockCode[Opening Quantity],StockCode[Stock Code],$C$56)+SUMIFS(MoveQty,MoveDate,"&lt;"&amp;$B93+1,MoveCode,$C$56,MoveType,$D$71)</f>
        <v>988</v>
      </c>
      <c r="H93" s="188">
        <f t="shared" ca="1" si="5"/>
        <v>18.410931174089068</v>
      </c>
      <c r="I93" s="188" cm="1">
        <f t="array" aca="1" ref="I93" ca="1">SUMIFS(StockCode[Opening Value],StockCode[Stock Code],$C$56)+SUMIFS(MoveAmount,MoveDate,"&lt;"&amp;$B93+1,MoveCode,$C$56,MoveType,$D$71)</f>
        <v>18190</v>
      </c>
    </row>
    <row r="94" spans="2:9" ht="24" customHeight="1" x14ac:dyDescent="0.3">
      <c r="B94" s="187">
        <f t="shared" ca="1" si="2"/>
        <v>44370</v>
      </c>
      <c r="C94" s="188">
        <f t="shared" ca="1" si="3"/>
        <v>18190</v>
      </c>
      <c r="D94" s="188" cm="1">
        <f t="array" aca="1" ref="D94" ca="1">SUMIFS(MoveQty,MoveDate,"&gt;"&amp;$B94,MoveDate,"&lt;"&amp;$B94+1,MoveCode,$C$56,MoveType,$D$71)</f>
        <v>0</v>
      </c>
      <c r="E94" s="188">
        <f t="shared" ca="1" si="4"/>
        <v>0</v>
      </c>
      <c r="F94" s="188" cm="1">
        <f t="array" aca="1" ref="F94" ca="1">SUMIFS(MoveAmount,MoveDate,"&gt;"&amp;$B94,MoveDate,"&lt;"&amp;$B94+1,MoveCode,$C$56,MoveType,$D$71)</f>
        <v>0</v>
      </c>
      <c r="G94" s="188" cm="1">
        <f t="array" aca="1" ref="G94" ca="1">SUMIFS(StockCode[Opening Quantity],StockCode[Stock Code],$C$56)+SUMIFS(MoveQty,MoveDate,"&lt;"&amp;$B94+1,MoveCode,$C$56,MoveType,$D$71)</f>
        <v>988</v>
      </c>
      <c r="H94" s="188">
        <f t="shared" ca="1" si="5"/>
        <v>18.410931174089068</v>
      </c>
      <c r="I94" s="188" cm="1">
        <f t="array" aca="1" ref="I94" ca="1">SUMIFS(StockCode[Opening Value],StockCode[Stock Code],$C$56)+SUMIFS(MoveAmount,MoveDate,"&lt;"&amp;$B94+1,MoveCode,$C$56,MoveType,$D$71)</f>
        <v>18190</v>
      </c>
    </row>
    <row r="95" spans="2:9" ht="24" customHeight="1" x14ac:dyDescent="0.3">
      <c r="B95" s="187">
        <f t="shared" ca="1" si="2"/>
        <v>44371</v>
      </c>
      <c r="C95" s="188">
        <f t="shared" ca="1" si="3"/>
        <v>18190</v>
      </c>
      <c r="D95" s="188" cm="1">
        <f t="array" aca="1" ref="D95" ca="1">SUMIFS(MoveQty,MoveDate,"&gt;"&amp;$B95,MoveDate,"&lt;"&amp;$B95+1,MoveCode,$C$56,MoveType,$D$71)</f>
        <v>0</v>
      </c>
      <c r="E95" s="188">
        <f t="shared" ca="1" si="4"/>
        <v>0</v>
      </c>
      <c r="F95" s="188" cm="1">
        <f t="array" aca="1" ref="F95" ca="1">SUMIFS(MoveAmount,MoveDate,"&gt;"&amp;$B95,MoveDate,"&lt;"&amp;$B95+1,MoveCode,$C$56,MoveType,$D$71)</f>
        <v>0</v>
      </c>
      <c r="G95" s="188" cm="1">
        <f t="array" aca="1" ref="G95" ca="1">SUMIFS(StockCode[Opening Quantity],StockCode[Stock Code],$C$56)+SUMIFS(MoveQty,MoveDate,"&lt;"&amp;$B95+1,MoveCode,$C$56,MoveType,$D$71)</f>
        <v>988</v>
      </c>
      <c r="H95" s="188">
        <f t="shared" ca="1" si="5"/>
        <v>18.410931174089068</v>
      </c>
      <c r="I95" s="188" cm="1">
        <f t="array" aca="1" ref="I95" ca="1">SUMIFS(StockCode[Opening Value],StockCode[Stock Code],$C$56)+SUMIFS(MoveAmount,MoveDate,"&lt;"&amp;$B95+1,MoveCode,$C$56,MoveType,$D$71)</f>
        <v>18190</v>
      </c>
    </row>
    <row r="96" spans="2:9" ht="24" customHeight="1" x14ac:dyDescent="0.3">
      <c r="B96" s="187">
        <f t="shared" ca="1" si="2"/>
        <v>44372</v>
      </c>
      <c r="C96" s="188">
        <f t="shared" ca="1" si="3"/>
        <v>18190</v>
      </c>
      <c r="D96" s="188" cm="1">
        <f t="array" aca="1" ref="D96" ca="1">SUMIFS(MoveQty,MoveDate,"&gt;"&amp;$B96,MoveDate,"&lt;"&amp;$B96+1,MoveCode,$C$56,MoveType,$D$71)</f>
        <v>0</v>
      </c>
      <c r="E96" s="188">
        <f t="shared" ca="1" si="4"/>
        <v>0</v>
      </c>
      <c r="F96" s="188" cm="1">
        <f t="array" aca="1" ref="F96" ca="1">SUMIFS(MoveAmount,MoveDate,"&gt;"&amp;$B96,MoveDate,"&lt;"&amp;$B96+1,MoveCode,$C$56,MoveType,$D$71)</f>
        <v>0</v>
      </c>
      <c r="G96" s="188" cm="1">
        <f t="array" aca="1" ref="G96" ca="1">SUMIFS(StockCode[Opening Quantity],StockCode[Stock Code],$C$56)+SUMIFS(MoveQty,MoveDate,"&lt;"&amp;$B96+1,MoveCode,$C$56,MoveType,$D$71)</f>
        <v>988</v>
      </c>
      <c r="H96" s="188">
        <f t="shared" ca="1" si="5"/>
        <v>18.410931174089068</v>
      </c>
      <c r="I96" s="188" cm="1">
        <f t="array" aca="1" ref="I96" ca="1">SUMIFS(StockCode[Opening Value],StockCode[Stock Code],$C$56)+SUMIFS(MoveAmount,MoveDate,"&lt;"&amp;$B96+1,MoveCode,$C$56,MoveType,$D$71)</f>
        <v>18190</v>
      </c>
    </row>
    <row r="97" spans="2:9" ht="24" customHeight="1" x14ac:dyDescent="0.3">
      <c r="B97" s="187">
        <f t="shared" ca="1" si="2"/>
        <v>44373</v>
      </c>
      <c r="C97" s="188">
        <f t="shared" ca="1" si="3"/>
        <v>18190</v>
      </c>
      <c r="D97" s="188" cm="1">
        <f t="array" aca="1" ref="D97" ca="1">SUMIFS(MoveQty,MoveDate,"&gt;"&amp;$B97,MoveDate,"&lt;"&amp;$B97+1,MoveCode,$C$56,MoveType,$D$71)</f>
        <v>0</v>
      </c>
      <c r="E97" s="188">
        <f t="shared" ca="1" si="4"/>
        <v>0</v>
      </c>
      <c r="F97" s="188" cm="1">
        <f t="array" aca="1" ref="F97" ca="1">SUMIFS(MoveAmount,MoveDate,"&gt;"&amp;$B97,MoveDate,"&lt;"&amp;$B97+1,MoveCode,$C$56,MoveType,$D$71)</f>
        <v>0</v>
      </c>
      <c r="G97" s="188" cm="1">
        <f t="array" aca="1" ref="G97" ca="1">SUMIFS(StockCode[Opening Quantity],StockCode[Stock Code],$C$56)+SUMIFS(MoveQty,MoveDate,"&lt;"&amp;$B97+1,MoveCode,$C$56,MoveType,$D$71)</f>
        <v>988</v>
      </c>
      <c r="H97" s="188">
        <f t="shared" ca="1" si="5"/>
        <v>18.410931174089068</v>
      </c>
      <c r="I97" s="188" cm="1">
        <f t="array" aca="1" ref="I97" ca="1">SUMIFS(StockCode[Opening Value],StockCode[Stock Code],$C$56)+SUMIFS(MoveAmount,MoveDate,"&lt;"&amp;$B97+1,MoveCode,$C$56,MoveType,$D$71)</f>
        <v>18190</v>
      </c>
    </row>
    <row r="98" spans="2:9" ht="24" customHeight="1" x14ac:dyDescent="0.3">
      <c r="B98" s="187">
        <f t="shared" ca="1" si="2"/>
        <v>44374</v>
      </c>
      <c r="C98" s="188">
        <f t="shared" ca="1" si="3"/>
        <v>18190</v>
      </c>
      <c r="D98" s="188" cm="1">
        <f t="array" aca="1" ref="D98" ca="1">SUMIFS(MoveQty,MoveDate,"&gt;"&amp;$B98,MoveDate,"&lt;"&amp;$B98+1,MoveCode,$C$56,MoveType,$D$71)</f>
        <v>0</v>
      </c>
      <c r="E98" s="188">
        <f t="shared" ca="1" si="4"/>
        <v>0</v>
      </c>
      <c r="F98" s="188" cm="1">
        <f t="array" aca="1" ref="F98" ca="1">SUMIFS(MoveAmount,MoveDate,"&gt;"&amp;$B98,MoveDate,"&lt;"&amp;$B98+1,MoveCode,$C$56,MoveType,$D$71)</f>
        <v>0</v>
      </c>
      <c r="G98" s="188" cm="1">
        <f t="array" aca="1" ref="G98" ca="1">SUMIFS(StockCode[Opening Quantity],StockCode[Stock Code],$C$56)+SUMIFS(MoveQty,MoveDate,"&lt;"&amp;$B98+1,MoveCode,$C$56,MoveType,$D$71)</f>
        <v>988</v>
      </c>
      <c r="H98" s="188">
        <f t="shared" ca="1" si="5"/>
        <v>18.410931174089068</v>
      </c>
      <c r="I98" s="188" cm="1">
        <f t="array" aca="1" ref="I98" ca="1">SUMIFS(StockCode[Opening Value],StockCode[Stock Code],$C$56)+SUMIFS(MoveAmount,MoveDate,"&lt;"&amp;$B98+1,MoveCode,$C$56,MoveType,$D$71)</f>
        <v>18190</v>
      </c>
    </row>
    <row r="99" spans="2:9" ht="24" customHeight="1" x14ac:dyDescent="0.3">
      <c r="B99" s="187">
        <f t="shared" ca="1" si="2"/>
        <v>44375</v>
      </c>
      <c r="C99" s="188">
        <f t="shared" ca="1" si="3"/>
        <v>18190</v>
      </c>
      <c r="D99" s="188" cm="1">
        <f t="array" aca="1" ref="D99" ca="1">SUMIFS(MoveQty,MoveDate,"&gt;"&amp;$B99,MoveDate,"&lt;"&amp;$B99+1,MoveCode,$C$56,MoveType,$D$71)</f>
        <v>0</v>
      </c>
      <c r="E99" s="188">
        <f t="shared" ca="1" si="4"/>
        <v>0</v>
      </c>
      <c r="F99" s="188" cm="1">
        <f t="array" aca="1" ref="F99" ca="1">SUMIFS(MoveAmount,MoveDate,"&gt;"&amp;$B99,MoveDate,"&lt;"&amp;$B99+1,MoveCode,$C$56,MoveType,$D$71)</f>
        <v>0</v>
      </c>
      <c r="G99" s="188" cm="1">
        <f t="array" aca="1" ref="G99" ca="1">SUMIFS(StockCode[Opening Quantity],StockCode[Stock Code],$C$56)+SUMIFS(MoveQty,MoveDate,"&lt;"&amp;$B99+1,MoveCode,$C$56,MoveType,$D$71)</f>
        <v>988</v>
      </c>
      <c r="H99" s="188">
        <f t="shared" ca="1" si="5"/>
        <v>18.410931174089068</v>
      </c>
      <c r="I99" s="188" cm="1">
        <f t="array" aca="1" ref="I99" ca="1">SUMIFS(StockCode[Opening Value],StockCode[Stock Code],$C$56)+SUMIFS(MoveAmount,MoveDate,"&lt;"&amp;$B99+1,MoveCode,$C$56,MoveType,$D$71)</f>
        <v>18190</v>
      </c>
    </row>
    <row r="100" spans="2:9" ht="24" customHeight="1" x14ac:dyDescent="0.3">
      <c r="B100" s="187">
        <f t="shared" ca="1" si="2"/>
        <v>44376</v>
      </c>
      <c r="C100" s="188">
        <f t="shared" ca="1" si="3"/>
        <v>18190</v>
      </c>
      <c r="D100" s="188" cm="1">
        <f t="array" aca="1" ref="D100" ca="1">SUMIFS(MoveQty,MoveDate,"&gt;"&amp;$B100,MoveDate,"&lt;"&amp;$B100+1,MoveCode,$C$56,MoveType,$D$71)</f>
        <v>0</v>
      </c>
      <c r="E100" s="188">
        <f t="shared" ca="1" si="4"/>
        <v>0</v>
      </c>
      <c r="F100" s="188" cm="1">
        <f t="array" aca="1" ref="F100" ca="1">SUMIFS(MoveAmount,MoveDate,"&gt;"&amp;$B100,MoveDate,"&lt;"&amp;$B100+1,MoveCode,$C$56,MoveType,$D$71)</f>
        <v>0</v>
      </c>
      <c r="G100" s="188" cm="1">
        <f t="array" aca="1" ref="G100" ca="1">SUMIFS(StockCode[Opening Quantity],StockCode[Stock Code],$C$56)+SUMIFS(MoveQty,MoveDate,"&lt;"&amp;$B100+1,MoveCode,$C$56,MoveType,$D$71)</f>
        <v>988</v>
      </c>
      <c r="H100" s="188">
        <f t="shared" ca="1" si="5"/>
        <v>18.410931174089068</v>
      </c>
      <c r="I100" s="188" cm="1">
        <f t="array" aca="1" ref="I100" ca="1">SUMIFS(StockCode[Opening Value],StockCode[Stock Code],$C$56)+SUMIFS(MoveAmount,MoveDate,"&lt;"&amp;$B100+1,MoveCode,$C$56,MoveType,$D$71)</f>
        <v>18190</v>
      </c>
    </row>
    <row r="101" spans="2:9" ht="24" customHeight="1" x14ac:dyDescent="0.3">
      <c r="B101" s="187">
        <f t="shared" ca="1" si="2"/>
        <v>44377</v>
      </c>
      <c r="C101" s="188">
        <f t="shared" ca="1" si="3"/>
        <v>18190</v>
      </c>
      <c r="D101" s="188" cm="1">
        <f t="array" aca="1" ref="D101" ca="1">SUMIFS(MoveQty,MoveDate,"&gt;"&amp;$B101,MoveDate,"&lt;"&amp;$B101+1,MoveCode,$C$56,MoveType,$D$71)</f>
        <v>0</v>
      </c>
      <c r="E101" s="188">
        <f t="shared" ca="1" si="4"/>
        <v>0</v>
      </c>
      <c r="F101" s="188" cm="1">
        <f t="array" aca="1" ref="F101" ca="1">SUMIFS(MoveAmount,MoveDate,"&gt;"&amp;$B101,MoveDate,"&lt;"&amp;$B101+1,MoveCode,$C$56,MoveType,$D$71)</f>
        <v>0</v>
      </c>
      <c r="G101" s="188" cm="1">
        <f t="array" aca="1" ref="G101" ca="1">SUMIFS(StockCode[Opening Quantity],StockCode[Stock Code],$C$56)+SUMIFS(MoveQty,MoveDate,"&lt;"&amp;$B101+1,MoveCode,$C$56,MoveType,$D$71)</f>
        <v>988</v>
      </c>
      <c r="H101" s="188">
        <f t="shared" ca="1" si="5"/>
        <v>18.410931174089068</v>
      </c>
      <c r="I101" s="188" cm="1">
        <f t="array" aca="1" ref="I101" ca="1">SUMIFS(StockCode[Opening Value],StockCode[Stock Code],$C$56)+SUMIFS(MoveAmount,MoveDate,"&lt;"&amp;$B101+1,MoveCode,$C$56,MoveType,$D$71)</f>
        <v>18190</v>
      </c>
    </row>
    <row r="102" spans="2:9" ht="24" customHeight="1" x14ac:dyDescent="0.3">
      <c r="B102" s="187">
        <f t="shared" ca="1" si="2"/>
        <v>44378</v>
      </c>
      <c r="C102" s="188">
        <f t="shared" ca="1" si="3"/>
        <v>18190</v>
      </c>
      <c r="D102" s="188" cm="1">
        <f t="array" aca="1" ref="D102" ca="1">SUMIFS(MoveQty,MoveDate,"&gt;"&amp;$B102,MoveDate,"&lt;"&amp;$B102+1,MoveCode,$C$56,MoveType,$D$71)</f>
        <v>0</v>
      </c>
      <c r="E102" s="188">
        <f t="shared" ca="1" si="4"/>
        <v>0</v>
      </c>
      <c r="F102" s="188" cm="1">
        <f t="array" aca="1" ref="F102" ca="1">SUMIFS(MoveAmount,MoveDate,"&gt;"&amp;$B102,MoveDate,"&lt;"&amp;$B102+1,MoveCode,$C$56,MoveType,$D$71)</f>
        <v>0</v>
      </c>
      <c r="G102" s="188" cm="1">
        <f t="array" aca="1" ref="G102" ca="1">SUMIFS(StockCode[Opening Quantity],StockCode[Stock Code],$C$56)+SUMIFS(MoveQty,MoveDate,"&lt;"&amp;$B102+1,MoveCode,$C$56,MoveType,$D$71)</f>
        <v>988</v>
      </c>
      <c r="H102" s="188">
        <f t="shared" ca="1" si="5"/>
        <v>18.410931174089068</v>
      </c>
      <c r="I102" s="188" cm="1">
        <f t="array" aca="1" ref="I102" ca="1">SUMIFS(StockCode[Opening Value],StockCode[Stock Code],$C$56)+SUMIFS(MoveAmount,MoveDate,"&lt;"&amp;$B102+1,MoveCode,$C$56,MoveType,$D$71)</f>
        <v>18190</v>
      </c>
    </row>
    <row r="103" spans="2:9" ht="24" customHeight="1" x14ac:dyDescent="0.3">
      <c r="B103" s="187">
        <f t="shared" ca="1" si="2"/>
        <v>44379</v>
      </c>
      <c r="C103" s="188">
        <f t="shared" ca="1" si="3"/>
        <v>18190</v>
      </c>
      <c r="D103" s="188" cm="1">
        <f t="array" aca="1" ref="D103" ca="1">SUMIFS(MoveQty,MoveDate,"&gt;"&amp;$B103,MoveDate,"&lt;"&amp;$B103+1,MoveCode,$C$56,MoveType,$D$71)</f>
        <v>0</v>
      </c>
      <c r="E103" s="188">
        <f t="shared" ca="1" si="4"/>
        <v>0</v>
      </c>
      <c r="F103" s="188" cm="1">
        <f t="array" aca="1" ref="F103" ca="1">SUMIFS(MoveAmount,MoveDate,"&gt;"&amp;$B103,MoveDate,"&lt;"&amp;$B103+1,MoveCode,$C$56,MoveType,$D$71)</f>
        <v>0</v>
      </c>
      <c r="G103" s="188" cm="1">
        <f t="array" aca="1" ref="G103" ca="1">SUMIFS(StockCode[Opening Quantity],StockCode[Stock Code],$C$56)+SUMIFS(MoveQty,MoveDate,"&lt;"&amp;$B103+1,MoveCode,$C$56,MoveType,$D$71)</f>
        <v>988</v>
      </c>
      <c r="H103" s="188">
        <f t="shared" ca="1" si="5"/>
        <v>18.410931174089068</v>
      </c>
      <c r="I103" s="188" cm="1">
        <f t="array" aca="1" ref="I103" ca="1">SUMIFS(StockCode[Opening Value],StockCode[Stock Code],$C$56)+SUMIFS(MoveAmount,MoveDate,"&lt;"&amp;$B103+1,MoveCode,$C$56,MoveType,$D$71)</f>
        <v>18190</v>
      </c>
    </row>
    <row r="104" spans="2:9" ht="24" customHeight="1" x14ac:dyDescent="0.3">
      <c r="B104" s="187">
        <f t="shared" ca="1" si="2"/>
        <v>44380</v>
      </c>
      <c r="C104" s="188">
        <f t="shared" ca="1" si="3"/>
        <v>18190</v>
      </c>
      <c r="D104" s="188" cm="1">
        <f t="array" aca="1" ref="D104" ca="1">SUMIFS(MoveQty,MoveDate,"&gt;"&amp;$B104,MoveDate,"&lt;"&amp;$B104+1,MoveCode,$C$56,MoveType,$D$71)</f>
        <v>0</v>
      </c>
      <c r="E104" s="188">
        <f t="shared" ca="1" si="4"/>
        <v>0</v>
      </c>
      <c r="F104" s="188" cm="1">
        <f t="array" aca="1" ref="F104" ca="1">SUMIFS(MoveAmount,MoveDate,"&gt;"&amp;$B104,MoveDate,"&lt;"&amp;$B104+1,MoveCode,$C$56,MoveType,$D$71)</f>
        <v>0</v>
      </c>
      <c r="G104" s="188" cm="1">
        <f t="array" aca="1" ref="G104" ca="1">SUMIFS(StockCode[Opening Quantity],StockCode[Stock Code],$C$56)+SUMIFS(MoveQty,MoveDate,"&lt;"&amp;$B104+1,MoveCode,$C$56,MoveType,$D$71)</f>
        <v>988</v>
      </c>
      <c r="H104" s="188">
        <f t="shared" ca="1" si="5"/>
        <v>18.410931174089068</v>
      </c>
      <c r="I104" s="188" cm="1">
        <f t="array" aca="1" ref="I104" ca="1">SUMIFS(StockCode[Opening Value],StockCode[Stock Code],$C$56)+SUMIFS(MoveAmount,MoveDate,"&lt;"&amp;$B104+1,MoveCode,$C$56,MoveType,$D$71)</f>
        <v>18190</v>
      </c>
    </row>
    <row r="105" spans="2:9" ht="24" customHeight="1" x14ac:dyDescent="0.3">
      <c r="B105" s="187">
        <f t="shared" ca="1" si="2"/>
        <v>44381</v>
      </c>
      <c r="C105" s="188">
        <f t="shared" ca="1" si="3"/>
        <v>18190</v>
      </c>
      <c r="D105" s="188" cm="1">
        <f t="array" aca="1" ref="D105" ca="1">SUMIFS(MoveQty,MoveDate,"&gt;"&amp;$B105,MoveDate,"&lt;"&amp;$B105+1,MoveCode,$C$56,MoveType,$D$71)</f>
        <v>0</v>
      </c>
      <c r="E105" s="188">
        <f t="shared" ca="1" si="4"/>
        <v>0</v>
      </c>
      <c r="F105" s="188" cm="1">
        <f t="array" aca="1" ref="F105" ca="1">SUMIFS(MoveAmount,MoveDate,"&gt;"&amp;$B105,MoveDate,"&lt;"&amp;$B105+1,MoveCode,$C$56,MoveType,$D$71)</f>
        <v>0</v>
      </c>
      <c r="G105" s="188" cm="1">
        <f t="array" aca="1" ref="G105" ca="1">SUMIFS(StockCode[Opening Quantity],StockCode[Stock Code],$C$56)+SUMIFS(MoveQty,MoveDate,"&lt;"&amp;$B105+1,MoveCode,$C$56,MoveType,$D$71)</f>
        <v>988</v>
      </c>
      <c r="H105" s="188">
        <f t="shared" ca="1" si="5"/>
        <v>18.410931174089068</v>
      </c>
      <c r="I105" s="188" cm="1">
        <f t="array" aca="1" ref="I105" ca="1">SUMIFS(StockCode[Opening Value],StockCode[Stock Code],$C$56)+SUMIFS(MoveAmount,MoveDate,"&lt;"&amp;$B105+1,MoveCode,$C$56,MoveType,$D$71)</f>
        <v>18190</v>
      </c>
    </row>
    <row r="106" spans="2:9" ht="24" customHeight="1" x14ac:dyDescent="0.3">
      <c r="B106" s="187">
        <f t="shared" ca="1" si="2"/>
        <v>44382</v>
      </c>
      <c r="C106" s="188">
        <f t="shared" ca="1" si="3"/>
        <v>18190</v>
      </c>
      <c r="D106" s="188" cm="1">
        <f t="array" aca="1" ref="D106" ca="1">SUMIFS(MoveQty,MoveDate,"&gt;"&amp;$B106,MoveDate,"&lt;"&amp;$B106+1,MoveCode,$C$56,MoveType,$D$71)</f>
        <v>0</v>
      </c>
      <c r="E106" s="188">
        <f t="shared" ca="1" si="4"/>
        <v>0</v>
      </c>
      <c r="F106" s="188" cm="1">
        <f t="array" aca="1" ref="F106" ca="1">SUMIFS(MoveAmount,MoveDate,"&gt;"&amp;$B106,MoveDate,"&lt;"&amp;$B106+1,MoveCode,$C$56,MoveType,$D$71)</f>
        <v>0</v>
      </c>
      <c r="G106" s="188" cm="1">
        <f t="array" aca="1" ref="G106" ca="1">SUMIFS(StockCode[Opening Quantity],StockCode[Stock Code],$C$56)+SUMIFS(MoveQty,MoveDate,"&lt;"&amp;$B106+1,MoveCode,$C$56,MoveType,$D$71)</f>
        <v>988</v>
      </c>
      <c r="H106" s="188">
        <f t="shared" ca="1" si="5"/>
        <v>18.410931174089068</v>
      </c>
      <c r="I106" s="188" cm="1">
        <f t="array" aca="1" ref="I106" ca="1">SUMIFS(StockCode[Opening Value],StockCode[Stock Code],$C$56)+SUMIFS(MoveAmount,MoveDate,"&lt;"&amp;$B106+1,MoveCode,$C$56,MoveType,$D$71)</f>
        <v>18190</v>
      </c>
    </row>
    <row r="107" spans="2:9" ht="24" customHeight="1" x14ac:dyDescent="0.3">
      <c r="B107" s="187">
        <f t="shared" ca="1" si="2"/>
        <v>44383</v>
      </c>
      <c r="C107" s="188">
        <f t="shared" ca="1" si="3"/>
        <v>18190</v>
      </c>
      <c r="D107" s="188" cm="1">
        <f t="array" aca="1" ref="D107" ca="1">SUMIFS(MoveQty,MoveDate,"&gt;"&amp;$B107,MoveDate,"&lt;"&amp;$B107+1,MoveCode,$C$56,MoveType,$D$71)</f>
        <v>0</v>
      </c>
      <c r="E107" s="188">
        <f t="shared" ca="1" si="4"/>
        <v>0</v>
      </c>
      <c r="F107" s="188" cm="1">
        <f t="array" aca="1" ref="F107" ca="1">SUMIFS(MoveAmount,MoveDate,"&gt;"&amp;$B107,MoveDate,"&lt;"&amp;$B107+1,MoveCode,$C$56,MoveType,$D$71)</f>
        <v>0</v>
      </c>
      <c r="G107" s="188" cm="1">
        <f t="array" aca="1" ref="G107" ca="1">SUMIFS(StockCode[Opening Quantity],StockCode[Stock Code],$C$56)+SUMIFS(MoveQty,MoveDate,"&lt;"&amp;$B107+1,MoveCode,$C$56,MoveType,$D$71)</f>
        <v>988</v>
      </c>
      <c r="H107" s="188">
        <f t="shared" ca="1" si="5"/>
        <v>18.410931174089068</v>
      </c>
      <c r="I107" s="188" cm="1">
        <f t="array" aca="1" ref="I107" ca="1">SUMIFS(StockCode[Opening Value],StockCode[Stock Code],$C$56)+SUMIFS(MoveAmount,MoveDate,"&lt;"&amp;$B107+1,MoveCode,$C$56,MoveType,$D$71)</f>
        <v>18190</v>
      </c>
    </row>
    <row r="108" spans="2:9" ht="24" customHeight="1" x14ac:dyDescent="0.3">
      <c r="B108" s="187">
        <f t="shared" ca="1" si="2"/>
        <v>44384</v>
      </c>
      <c r="C108" s="188">
        <f t="shared" ca="1" si="3"/>
        <v>43439</v>
      </c>
      <c r="D108" s="188" cm="1">
        <f t="array" aca="1" ref="D108" ca="1">SUMIFS(MoveQty,MoveDate,"&gt;"&amp;$B108,MoveDate,"&lt;"&amp;$B108+1,MoveCode,$C$56,MoveType,$D$71)</f>
        <v>1192</v>
      </c>
      <c r="E108" s="188">
        <f t="shared" ca="1" si="4"/>
        <v>21.18204697986577</v>
      </c>
      <c r="F108" s="188" cm="1">
        <f t="array" aca="1" ref="F108" ca="1">SUMIFS(MoveAmount,MoveDate,"&gt;"&amp;$B108,MoveDate,"&lt;"&amp;$B108+1,MoveCode,$C$56,MoveType,$D$71)</f>
        <v>25249</v>
      </c>
      <c r="G108" s="188" cm="1">
        <f t="array" aca="1" ref="G108" ca="1">SUMIFS(StockCode[Opening Quantity],StockCode[Stock Code],$C$56)+SUMIFS(MoveQty,MoveDate,"&lt;"&amp;$B108+1,MoveCode,$C$56,MoveType,$D$71)</f>
        <v>2180</v>
      </c>
      <c r="H108" s="188">
        <f t="shared" ca="1" si="5"/>
        <v>19.926146788990824</v>
      </c>
      <c r="I108" s="188" cm="1">
        <f t="array" aca="1" ref="I108" ca="1">SUMIFS(StockCode[Opening Value],StockCode[Stock Code],$C$56)+SUMIFS(MoveAmount,MoveDate,"&lt;"&amp;$B108+1,MoveCode,$C$56,MoveType,$D$71)</f>
        <v>43439</v>
      </c>
    </row>
    <row r="109" spans="2:9" ht="24" customHeight="1" x14ac:dyDescent="0.3">
      <c r="B109" s="187">
        <f t="shared" ca="1" si="2"/>
        <v>44385</v>
      </c>
      <c r="C109" s="188">
        <f t="shared" ca="1" si="3"/>
        <v>43439</v>
      </c>
      <c r="D109" s="188" cm="1">
        <f t="array" aca="1" ref="D109" ca="1">SUMIFS(MoveQty,MoveDate,"&gt;"&amp;$B109,MoveDate,"&lt;"&amp;$B109+1,MoveCode,$C$56,MoveType,$D$71)</f>
        <v>0</v>
      </c>
      <c r="E109" s="188">
        <f t="shared" ca="1" si="4"/>
        <v>0</v>
      </c>
      <c r="F109" s="188" cm="1">
        <f t="array" aca="1" ref="F109" ca="1">SUMIFS(MoveAmount,MoveDate,"&gt;"&amp;$B109,MoveDate,"&lt;"&amp;$B109+1,MoveCode,$C$56,MoveType,$D$71)</f>
        <v>0</v>
      </c>
      <c r="G109" s="188" cm="1">
        <f t="array" aca="1" ref="G109" ca="1">SUMIFS(StockCode[Opening Quantity],StockCode[Stock Code],$C$56)+SUMIFS(MoveQty,MoveDate,"&lt;"&amp;$B109+1,MoveCode,$C$56,MoveType,$D$71)</f>
        <v>2180</v>
      </c>
      <c r="H109" s="188">
        <f t="shared" ca="1" si="5"/>
        <v>19.926146788990824</v>
      </c>
      <c r="I109" s="188" cm="1">
        <f t="array" aca="1" ref="I109" ca="1">SUMIFS(StockCode[Opening Value],StockCode[Stock Code],$C$56)+SUMIFS(MoveAmount,MoveDate,"&lt;"&amp;$B109+1,MoveCode,$C$56,MoveType,$D$71)</f>
        <v>43439</v>
      </c>
    </row>
    <row r="110" spans="2:9" ht="24" customHeight="1" x14ac:dyDescent="0.3">
      <c r="B110" s="187">
        <f t="shared" ca="1" si="2"/>
        <v>44386</v>
      </c>
      <c r="C110" s="188">
        <f t="shared" ca="1" si="3"/>
        <v>27739.237693078856</v>
      </c>
      <c r="D110" s="188" cm="1">
        <f t="array" aca="1" ref="D110" ca="1">SUMIFS(MoveQty,MoveDate,"&gt;"&amp;$B110,MoveDate,"&lt;"&amp;$B110+1,MoveCode,$C$56,MoveType,$D$71)</f>
        <v>-843.17</v>
      </c>
      <c r="E110" s="188">
        <f t="shared" ca="1" si="4"/>
        <v>18.619925171580046</v>
      </c>
      <c r="F110" s="188" cm="1">
        <f t="array" aca="1" ref="F110" ca="1">SUMIFS(MoveAmount,MoveDate,"&gt;"&amp;$B110,MoveDate,"&lt;"&amp;$B110+1,MoveCode,$C$56,MoveType,$D$71)</f>
        <v>-15699.762306921146</v>
      </c>
      <c r="G110" s="188" cm="1">
        <f t="array" aca="1" ref="G110" ca="1">SUMIFS(StockCode[Opening Quantity],StockCode[Stock Code],$C$56)+SUMIFS(MoveQty,MoveDate,"&lt;"&amp;$B110+1,MoveCode,$C$56,MoveType,$D$71)</f>
        <v>1336.8300000000002</v>
      </c>
      <c r="H110" s="188">
        <f t="shared" ca="1" si="5"/>
        <v>20.750011365004415</v>
      </c>
      <c r="I110" s="188" cm="1">
        <f t="array" aca="1" ref="I110" ca="1">SUMIFS(StockCode[Opening Value],StockCode[Stock Code],$C$56)+SUMIFS(MoveAmount,MoveDate,"&lt;"&amp;$B110+1,MoveCode,$C$56,MoveType,$D$71)</f>
        <v>27739.237693078856</v>
      </c>
    </row>
    <row r="111" spans="2:9" ht="24" customHeight="1" x14ac:dyDescent="0.3">
      <c r="B111" s="187">
        <f t="shared" ca="1" si="2"/>
        <v>44387</v>
      </c>
      <c r="C111" s="188">
        <f t="shared" ca="1" si="3"/>
        <v>27739.237693078856</v>
      </c>
      <c r="D111" s="188" cm="1">
        <f t="array" aca="1" ref="D111" ca="1">SUMIFS(MoveQty,MoveDate,"&gt;"&amp;$B111,MoveDate,"&lt;"&amp;$B111+1,MoveCode,$C$56,MoveType,$D$71)</f>
        <v>0</v>
      </c>
      <c r="E111" s="188">
        <f t="shared" ca="1" si="4"/>
        <v>0</v>
      </c>
      <c r="F111" s="188" cm="1">
        <f t="array" aca="1" ref="F111" ca="1">SUMIFS(MoveAmount,MoveDate,"&gt;"&amp;$B111,MoveDate,"&lt;"&amp;$B111+1,MoveCode,$C$56,MoveType,$D$71)</f>
        <v>0</v>
      </c>
      <c r="G111" s="188" cm="1">
        <f t="array" aca="1" ref="G111" ca="1">SUMIFS(StockCode[Opening Quantity],StockCode[Stock Code],$C$56)+SUMIFS(MoveQty,MoveDate,"&lt;"&amp;$B111+1,MoveCode,$C$56,MoveType,$D$71)</f>
        <v>1336.8300000000002</v>
      </c>
      <c r="H111" s="188">
        <f t="shared" ca="1" si="5"/>
        <v>20.750011365004415</v>
      </c>
      <c r="I111" s="188" cm="1">
        <f t="array" aca="1" ref="I111" ca="1">SUMIFS(StockCode[Opening Value],StockCode[Stock Code],$C$56)+SUMIFS(MoveAmount,MoveDate,"&lt;"&amp;$B111+1,MoveCode,$C$56,MoveType,$D$71)</f>
        <v>27739.237693078856</v>
      </c>
    </row>
    <row r="112" spans="2:9" ht="24" customHeight="1" x14ac:dyDescent="0.3">
      <c r="B112" s="187">
        <f t="shared" ca="1" si="2"/>
        <v>44388</v>
      </c>
      <c r="C112" s="188">
        <f t="shared" ca="1" si="3"/>
        <v>27739.237693078856</v>
      </c>
      <c r="D112" s="188" cm="1">
        <f t="array" aca="1" ref="D112" ca="1">SUMIFS(MoveQty,MoveDate,"&gt;"&amp;$B112,MoveDate,"&lt;"&amp;$B112+1,MoveCode,$C$56,MoveType,$D$71)</f>
        <v>0</v>
      </c>
      <c r="E112" s="188">
        <f t="shared" ca="1" si="4"/>
        <v>0</v>
      </c>
      <c r="F112" s="188" cm="1">
        <f t="array" aca="1" ref="F112" ca="1">SUMIFS(MoveAmount,MoveDate,"&gt;"&amp;$B112,MoveDate,"&lt;"&amp;$B112+1,MoveCode,$C$56,MoveType,$D$71)</f>
        <v>0</v>
      </c>
      <c r="G112" s="188" cm="1">
        <f t="array" aca="1" ref="G112" ca="1">SUMIFS(StockCode[Opening Quantity],StockCode[Stock Code],$C$56)+SUMIFS(MoveQty,MoveDate,"&lt;"&amp;$B112+1,MoveCode,$C$56,MoveType,$D$71)</f>
        <v>1336.8300000000002</v>
      </c>
      <c r="H112" s="188">
        <f t="shared" ca="1" si="5"/>
        <v>20.750011365004415</v>
      </c>
      <c r="I112" s="188" cm="1">
        <f t="array" aca="1" ref="I112" ca="1">SUMIFS(StockCode[Opening Value],StockCode[Stock Code],$C$56)+SUMIFS(MoveAmount,MoveDate,"&lt;"&amp;$B112+1,MoveCode,$C$56,MoveType,$D$71)</f>
        <v>27739.237693078856</v>
      </c>
    </row>
    <row r="113" spans="2:9" ht="24" customHeight="1" x14ac:dyDescent="0.3">
      <c r="B113" s="187">
        <f t="shared" ca="1" si="2"/>
        <v>44389</v>
      </c>
      <c r="C113" s="188">
        <f t="shared" ca="1" si="3"/>
        <v>27739.237693078856</v>
      </c>
      <c r="D113" s="188" cm="1">
        <f t="array" aca="1" ref="D113" ca="1">SUMIFS(MoveQty,MoveDate,"&gt;"&amp;$B113,MoveDate,"&lt;"&amp;$B113+1,MoveCode,$C$56,MoveType,$D$71)</f>
        <v>0</v>
      </c>
      <c r="E113" s="188">
        <f t="shared" ca="1" si="4"/>
        <v>0</v>
      </c>
      <c r="F113" s="188" cm="1">
        <f t="array" aca="1" ref="F113" ca="1">SUMIFS(MoveAmount,MoveDate,"&gt;"&amp;$B113,MoveDate,"&lt;"&amp;$B113+1,MoveCode,$C$56,MoveType,$D$71)</f>
        <v>0</v>
      </c>
      <c r="G113" s="188" cm="1">
        <f t="array" aca="1" ref="G113" ca="1">SUMIFS(StockCode[Opening Quantity],StockCode[Stock Code],$C$56)+SUMIFS(MoveQty,MoveDate,"&lt;"&amp;$B113+1,MoveCode,$C$56,MoveType,$D$71)</f>
        <v>1336.8300000000002</v>
      </c>
      <c r="H113" s="188">
        <f t="shared" ca="1" si="5"/>
        <v>20.750011365004415</v>
      </c>
      <c r="I113" s="188" cm="1">
        <f t="array" aca="1" ref="I113" ca="1">SUMIFS(StockCode[Opening Value],StockCode[Stock Code],$C$56)+SUMIFS(MoveAmount,MoveDate,"&lt;"&amp;$B113+1,MoveCode,$C$56,MoveType,$D$71)</f>
        <v>27739.237693078856</v>
      </c>
    </row>
    <row r="114" spans="2:9" ht="24" customHeight="1" x14ac:dyDescent="0.3">
      <c r="B114" s="187">
        <f t="shared" ca="1" si="2"/>
        <v>44390</v>
      </c>
      <c r="C114" s="188">
        <f t="shared" ca="1" si="3"/>
        <v>27739.237693078856</v>
      </c>
      <c r="D114" s="188" cm="1">
        <f t="array" aca="1" ref="D114" ca="1">SUMIFS(MoveQty,MoveDate,"&gt;"&amp;$B114,MoveDate,"&lt;"&amp;$B114+1,MoveCode,$C$56,MoveType,$D$71)</f>
        <v>0</v>
      </c>
      <c r="E114" s="188">
        <f t="shared" ca="1" si="4"/>
        <v>0</v>
      </c>
      <c r="F114" s="188" cm="1">
        <f t="array" aca="1" ref="F114" ca="1">SUMIFS(MoveAmount,MoveDate,"&gt;"&amp;$B114,MoveDate,"&lt;"&amp;$B114+1,MoveCode,$C$56,MoveType,$D$71)</f>
        <v>0</v>
      </c>
      <c r="G114" s="188" cm="1">
        <f t="array" aca="1" ref="G114" ca="1">SUMIFS(StockCode[Opening Quantity],StockCode[Stock Code],$C$56)+SUMIFS(MoveQty,MoveDate,"&lt;"&amp;$B114+1,MoveCode,$C$56,MoveType,$D$71)</f>
        <v>1336.8300000000002</v>
      </c>
      <c r="H114" s="188">
        <f t="shared" ca="1" si="5"/>
        <v>20.750011365004415</v>
      </c>
      <c r="I114" s="188" cm="1">
        <f t="array" aca="1" ref="I114" ca="1">SUMIFS(StockCode[Opening Value],StockCode[Stock Code],$C$56)+SUMIFS(MoveAmount,MoveDate,"&lt;"&amp;$B114+1,MoveCode,$C$56,MoveType,$D$71)</f>
        <v>27739.237693078856</v>
      </c>
    </row>
    <row r="115" spans="2:9" ht="24" customHeight="1" x14ac:dyDescent="0.3">
      <c r="B115" s="187">
        <f t="shared" ca="1" si="2"/>
        <v>44391</v>
      </c>
      <c r="C115" s="188">
        <f t="shared" ca="1" si="3"/>
        <v>55534.23769307886</v>
      </c>
      <c r="D115" s="188" cm="1">
        <f t="array" aca="1" ref="D115" ca="1">SUMIFS(MoveQty,MoveDate,"&gt;"&amp;$B115,MoveDate,"&lt;"&amp;$B115+1,MoveCode,$C$56,MoveType,$D$71)</f>
        <v>1275</v>
      </c>
      <c r="E115" s="188">
        <f t="shared" ca="1" si="4"/>
        <v>21.8</v>
      </c>
      <c r="F115" s="188" cm="1">
        <f t="array" aca="1" ref="F115" ca="1">SUMIFS(MoveAmount,MoveDate,"&gt;"&amp;$B115,MoveDate,"&lt;"&amp;$B115+1,MoveCode,$C$56,MoveType,$D$71)</f>
        <v>27795</v>
      </c>
      <c r="G115" s="188" cm="1">
        <f t="array" aca="1" ref="G115" ca="1">SUMIFS(StockCode[Opening Quantity],StockCode[Stock Code],$C$56)+SUMIFS(MoveQty,MoveDate,"&lt;"&amp;$B115+1,MoveCode,$C$56,MoveType,$D$71)</f>
        <v>2611.83</v>
      </c>
      <c r="H115" s="188">
        <f t="shared" ca="1" si="5"/>
        <v>21.262577462192738</v>
      </c>
      <c r="I115" s="188" cm="1">
        <f t="array" aca="1" ref="I115" ca="1">SUMIFS(StockCode[Opening Value],StockCode[Stock Code],$C$56)+SUMIFS(MoveAmount,MoveDate,"&lt;"&amp;$B115+1,MoveCode,$C$56,MoveType,$D$71)</f>
        <v>55534.23769307886</v>
      </c>
    </row>
    <row r="116" spans="2:9" ht="24" customHeight="1" x14ac:dyDescent="0.3">
      <c r="B116" s="187">
        <f t="shared" ca="1" si="2"/>
        <v>44392</v>
      </c>
      <c r="C116" s="188">
        <f t="shared" ca="1" si="3"/>
        <v>55534.23769307886</v>
      </c>
      <c r="D116" s="188" cm="1">
        <f t="array" aca="1" ref="D116" ca="1">SUMIFS(MoveQty,MoveDate,"&gt;"&amp;$B116,MoveDate,"&lt;"&amp;$B116+1,MoveCode,$C$56,MoveType,$D$71)</f>
        <v>0</v>
      </c>
      <c r="E116" s="188">
        <f t="shared" ca="1" si="4"/>
        <v>0</v>
      </c>
      <c r="F116" s="188" cm="1">
        <f t="array" aca="1" ref="F116" ca="1">SUMIFS(MoveAmount,MoveDate,"&gt;"&amp;$B116,MoveDate,"&lt;"&amp;$B116+1,MoveCode,$C$56,MoveType,$D$71)</f>
        <v>0</v>
      </c>
      <c r="G116" s="188" cm="1">
        <f t="array" aca="1" ref="G116" ca="1">SUMIFS(StockCode[Opening Quantity],StockCode[Stock Code],$C$56)+SUMIFS(MoveQty,MoveDate,"&lt;"&amp;$B116+1,MoveCode,$C$56,MoveType,$D$71)</f>
        <v>2611.83</v>
      </c>
      <c r="H116" s="188">
        <f t="shared" ca="1" si="5"/>
        <v>21.262577462192738</v>
      </c>
      <c r="I116" s="188" cm="1">
        <f t="array" aca="1" ref="I116" ca="1">SUMIFS(StockCode[Opening Value],StockCode[Stock Code],$C$56)+SUMIFS(MoveAmount,MoveDate,"&lt;"&amp;$B116+1,MoveCode,$C$56,MoveType,$D$71)</f>
        <v>55534.23769307886</v>
      </c>
    </row>
    <row r="117" spans="2:9" ht="24" customHeight="1" x14ac:dyDescent="0.3">
      <c r="B117" s="187">
        <f t="shared" ca="1" si="2"/>
        <v>44393</v>
      </c>
      <c r="C117" s="188">
        <f t="shared" ca="1" si="3"/>
        <v>36048.983216569788</v>
      </c>
      <c r="D117" s="188" cm="1">
        <f t="array" aca="1" ref="D117" ca="1">SUMIFS(MoveQty,MoveDate,"&gt;"&amp;$B117,MoveDate,"&lt;"&amp;$B117+1,MoveCode,$C$56,MoveType,$D$71)</f>
        <v>-1065</v>
      </c>
      <c r="E117" s="188">
        <f t="shared" ca="1" si="4"/>
        <v>18.296013592966268</v>
      </c>
      <c r="F117" s="188" cm="1">
        <f t="array" aca="1" ref="F117" ca="1">SUMIFS(MoveAmount,MoveDate,"&gt;"&amp;$B117,MoveDate,"&lt;"&amp;$B117+1,MoveCode,$C$56,MoveType,$D$71)</f>
        <v>-19485.254476509075</v>
      </c>
      <c r="G117" s="188" cm="1">
        <f t="array" aca="1" ref="G117" ca="1">SUMIFS(StockCode[Opening Quantity],StockCode[Stock Code],$C$56)+SUMIFS(MoveQty,MoveDate,"&lt;"&amp;$B117+1,MoveCode,$C$56,MoveType,$D$71)</f>
        <v>1546.8300000000002</v>
      </c>
      <c r="H117" s="188">
        <f t="shared" ca="1" si="5"/>
        <v>23.305071156216123</v>
      </c>
      <c r="I117" s="188" cm="1">
        <f t="array" aca="1" ref="I117" ca="1">SUMIFS(StockCode[Opening Value],StockCode[Stock Code],$C$56)+SUMIFS(MoveAmount,MoveDate,"&lt;"&amp;$B117+1,MoveCode,$C$56,MoveType,$D$71)</f>
        <v>36048.983216569788</v>
      </c>
    </row>
    <row r="118" spans="2:9" ht="24" customHeight="1" x14ac:dyDescent="0.3">
      <c r="B118" s="187">
        <f t="shared" ca="1" si="2"/>
        <v>44394</v>
      </c>
      <c r="C118" s="188">
        <f t="shared" ca="1" si="3"/>
        <v>36048.983216569788</v>
      </c>
      <c r="D118" s="188" cm="1">
        <f t="array" aca="1" ref="D118" ca="1">SUMIFS(MoveQty,MoveDate,"&gt;"&amp;$B118,MoveDate,"&lt;"&amp;$B118+1,MoveCode,$C$56,MoveType,$D$71)</f>
        <v>0</v>
      </c>
      <c r="E118" s="188">
        <f t="shared" ca="1" si="4"/>
        <v>0</v>
      </c>
      <c r="F118" s="188" cm="1">
        <f t="array" aca="1" ref="F118" ca="1">SUMIFS(MoveAmount,MoveDate,"&gt;"&amp;$B118,MoveDate,"&lt;"&amp;$B118+1,MoveCode,$C$56,MoveType,$D$71)</f>
        <v>0</v>
      </c>
      <c r="G118" s="188" cm="1">
        <f t="array" aca="1" ref="G118" ca="1">SUMIFS(StockCode[Opening Quantity],StockCode[Stock Code],$C$56)+SUMIFS(MoveQty,MoveDate,"&lt;"&amp;$B118+1,MoveCode,$C$56,MoveType,$D$71)</f>
        <v>1546.8300000000002</v>
      </c>
      <c r="H118" s="188">
        <f t="shared" ca="1" si="5"/>
        <v>23.305071156216123</v>
      </c>
      <c r="I118" s="188" cm="1">
        <f t="array" aca="1" ref="I118" ca="1">SUMIFS(StockCode[Opening Value],StockCode[Stock Code],$C$56)+SUMIFS(MoveAmount,MoveDate,"&lt;"&amp;$B118+1,MoveCode,$C$56,MoveType,$D$71)</f>
        <v>36048.983216569788</v>
      </c>
    </row>
    <row r="119" spans="2:9" ht="24" customHeight="1" x14ac:dyDescent="0.3">
      <c r="B119" s="187">
        <f t="shared" ca="1" si="2"/>
        <v>44395</v>
      </c>
      <c r="C119" s="188">
        <f t="shared" ca="1" si="3"/>
        <v>36048.983216569788</v>
      </c>
      <c r="D119" s="188" cm="1">
        <f t="array" aca="1" ref="D119" ca="1">SUMIFS(MoveQty,MoveDate,"&gt;"&amp;$B119,MoveDate,"&lt;"&amp;$B119+1,MoveCode,$C$56,MoveType,$D$71)</f>
        <v>0</v>
      </c>
      <c r="E119" s="188">
        <f t="shared" ca="1" si="4"/>
        <v>0</v>
      </c>
      <c r="F119" s="188" cm="1">
        <f t="array" aca="1" ref="F119" ca="1">SUMIFS(MoveAmount,MoveDate,"&gt;"&amp;$B119,MoveDate,"&lt;"&amp;$B119+1,MoveCode,$C$56,MoveType,$D$71)</f>
        <v>0</v>
      </c>
      <c r="G119" s="188" cm="1">
        <f t="array" aca="1" ref="G119" ca="1">SUMIFS(StockCode[Opening Quantity],StockCode[Stock Code],$C$56)+SUMIFS(MoveQty,MoveDate,"&lt;"&amp;$B119+1,MoveCode,$C$56,MoveType,$D$71)</f>
        <v>1546.8300000000002</v>
      </c>
      <c r="H119" s="188">
        <f t="shared" ca="1" si="5"/>
        <v>23.305071156216123</v>
      </c>
      <c r="I119" s="188" cm="1">
        <f t="array" aca="1" ref="I119" ca="1">SUMIFS(StockCode[Opening Value],StockCode[Stock Code],$C$56)+SUMIFS(MoveAmount,MoveDate,"&lt;"&amp;$B119+1,MoveCode,$C$56,MoveType,$D$71)</f>
        <v>36048.983216569788</v>
      </c>
    </row>
    <row r="120" spans="2:9" ht="24" customHeight="1" x14ac:dyDescent="0.3">
      <c r="B120" s="187">
        <f t="shared" ca="1" si="2"/>
        <v>44396</v>
      </c>
      <c r="C120" s="188">
        <f t="shared" ca="1" si="3"/>
        <v>36048.983216569788</v>
      </c>
      <c r="D120" s="188" cm="1">
        <f t="array" aca="1" ref="D120" ca="1">SUMIFS(MoveQty,MoveDate,"&gt;"&amp;$B120,MoveDate,"&lt;"&amp;$B120+1,MoveCode,$C$56,MoveType,$D$71)</f>
        <v>0</v>
      </c>
      <c r="E120" s="188">
        <f t="shared" ca="1" si="4"/>
        <v>0</v>
      </c>
      <c r="F120" s="188" cm="1">
        <f t="array" aca="1" ref="F120" ca="1">SUMIFS(MoveAmount,MoveDate,"&gt;"&amp;$B120,MoveDate,"&lt;"&amp;$B120+1,MoveCode,$C$56,MoveType,$D$71)</f>
        <v>0</v>
      </c>
      <c r="G120" s="188" cm="1">
        <f t="array" aca="1" ref="G120" ca="1">SUMIFS(StockCode[Opening Quantity],StockCode[Stock Code],$C$56)+SUMIFS(MoveQty,MoveDate,"&lt;"&amp;$B120+1,MoveCode,$C$56,MoveType,$D$71)</f>
        <v>1546.8300000000002</v>
      </c>
      <c r="H120" s="188">
        <f t="shared" ca="1" si="5"/>
        <v>23.305071156216123</v>
      </c>
      <c r="I120" s="188" cm="1">
        <f t="array" aca="1" ref="I120" ca="1">SUMIFS(StockCode[Opening Value],StockCode[Stock Code],$C$56)+SUMIFS(MoveAmount,MoveDate,"&lt;"&amp;$B120+1,MoveCode,$C$56,MoveType,$D$71)</f>
        <v>36048.983216569788</v>
      </c>
    </row>
    <row r="121" spans="2:9" ht="24" customHeight="1" x14ac:dyDescent="0.3">
      <c r="B121" s="187">
        <f t="shared" ca="1" si="2"/>
        <v>44397</v>
      </c>
      <c r="C121" s="188">
        <f t="shared" ca="1" si="3"/>
        <v>36048.983216569788</v>
      </c>
      <c r="D121" s="188" cm="1">
        <f t="array" aca="1" ref="D121" ca="1">SUMIFS(MoveQty,MoveDate,"&gt;"&amp;$B121,MoveDate,"&lt;"&amp;$B121+1,MoveCode,$C$56,MoveType,$D$71)</f>
        <v>0</v>
      </c>
      <c r="E121" s="188">
        <f t="shared" ca="1" si="4"/>
        <v>0</v>
      </c>
      <c r="F121" s="188" cm="1">
        <f t="array" aca="1" ref="F121" ca="1">SUMIFS(MoveAmount,MoveDate,"&gt;"&amp;$B121,MoveDate,"&lt;"&amp;$B121+1,MoveCode,$C$56,MoveType,$D$71)</f>
        <v>0</v>
      </c>
      <c r="G121" s="188" cm="1">
        <f t="array" aca="1" ref="G121" ca="1">SUMIFS(StockCode[Opening Quantity],StockCode[Stock Code],$C$56)+SUMIFS(MoveQty,MoveDate,"&lt;"&amp;$B121+1,MoveCode,$C$56,MoveType,$D$71)</f>
        <v>1546.8300000000002</v>
      </c>
      <c r="H121" s="188">
        <f t="shared" ca="1" si="5"/>
        <v>23.305071156216123</v>
      </c>
      <c r="I121" s="188" cm="1">
        <f t="array" aca="1" ref="I121" ca="1">SUMIFS(StockCode[Opening Value],StockCode[Stock Code],$C$56)+SUMIFS(MoveAmount,MoveDate,"&lt;"&amp;$B121+1,MoveCode,$C$56,MoveType,$D$71)</f>
        <v>36048.983216569788</v>
      </c>
    </row>
    <row r="122" spans="2:9" ht="24" customHeight="1" x14ac:dyDescent="0.3">
      <c r="B122" s="187">
        <f t="shared" ca="1" si="2"/>
        <v>44398</v>
      </c>
      <c r="C122" s="188">
        <f t="shared" ca="1" si="3"/>
        <v>62384.983216569788</v>
      </c>
      <c r="D122" s="188" cm="1">
        <f t="array" aca="1" ref="D122" ca="1">SUMIFS(MoveQty,MoveDate,"&gt;"&amp;$B122,MoveDate,"&lt;"&amp;$B122+1,MoveCode,$C$56,MoveType,$D$71)</f>
        <v>1055</v>
      </c>
      <c r="E122" s="188">
        <f t="shared" ca="1" si="4"/>
        <v>24.963033175355449</v>
      </c>
      <c r="F122" s="188" cm="1">
        <f t="array" aca="1" ref="F122" ca="1">SUMIFS(MoveAmount,MoveDate,"&gt;"&amp;$B122,MoveDate,"&lt;"&amp;$B122+1,MoveCode,$C$56,MoveType,$D$71)</f>
        <v>26336</v>
      </c>
      <c r="G122" s="188" cm="1">
        <f t="array" aca="1" ref="G122" ca="1">SUMIFS(StockCode[Opening Quantity],StockCode[Stock Code],$C$56)+SUMIFS(MoveQty,MoveDate,"&lt;"&amp;$B122+1,MoveCode,$C$56,MoveType,$D$71)</f>
        <v>2601.83</v>
      </c>
      <c r="H122" s="188">
        <f t="shared" ca="1" si="5"/>
        <v>23.977347949931314</v>
      </c>
      <c r="I122" s="188" cm="1">
        <f t="array" aca="1" ref="I122" ca="1">SUMIFS(StockCode[Opening Value],StockCode[Stock Code],$C$56)+SUMIFS(MoveAmount,MoveDate,"&lt;"&amp;$B122+1,MoveCode,$C$56,MoveType,$D$71)</f>
        <v>62384.983216569788</v>
      </c>
    </row>
    <row r="123" spans="2:9" ht="24" customHeight="1" x14ac:dyDescent="0.3">
      <c r="B123" s="187">
        <f t="shared" ca="1" si="2"/>
        <v>44399</v>
      </c>
      <c r="C123" s="188">
        <f t="shared" ca="1" si="3"/>
        <v>62384.983216569788</v>
      </c>
      <c r="D123" s="188" cm="1">
        <f t="array" aca="1" ref="D123" ca="1">SUMIFS(MoveQty,MoveDate,"&gt;"&amp;$B123,MoveDate,"&lt;"&amp;$B123+1,MoveCode,$C$56,MoveType,$D$71)</f>
        <v>0</v>
      </c>
      <c r="E123" s="188">
        <f t="shared" ca="1" si="4"/>
        <v>0</v>
      </c>
      <c r="F123" s="188" cm="1">
        <f t="array" aca="1" ref="F123" ca="1">SUMIFS(MoveAmount,MoveDate,"&gt;"&amp;$B123,MoveDate,"&lt;"&amp;$B123+1,MoveCode,$C$56,MoveType,$D$71)</f>
        <v>0</v>
      </c>
      <c r="G123" s="188" cm="1">
        <f t="array" aca="1" ref="G123" ca="1">SUMIFS(StockCode[Opening Quantity],StockCode[Stock Code],$C$56)+SUMIFS(MoveQty,MoveDate,"&lt;"&amp;$B123+1,MoveCode,$C$56,MoveType,$D$71)</f>
        <v>2601.83</v>
      </c>
      <c r="H123" s="188">
        <f t="shared" ca="1" si="5"/>
        <v>23.977347949931314</v>
      </c>
      <c r="I123" s="188" cm="1">
        <f t="array" aca="1" ref="I123" ca="1">SUMIFS(StockCode[Opening Value],StockCode[Stock Code],$C$56)+SUMIFS(MoveAmount,MoveDate,"&lt;"&amp;$B123+1,MoveCode,$C$56,MoveType,$D$71)</f>
        <v>62384.983216569788</v>
      </c>
    </row>
    <row r="124" spans="2:9" ht="24" customHeight="1" x14ac:dyDescent="0.3">
      <c r="B124" s="187">
        <f t="shared" ca="1" si="2"/>
        <v>44400</v>
      </c>
      <c r="C124" s="188">
        <f t="shared" ca="1" si="3"/>
        <v>40251.835088728723</v>
      </c>
      <c r="D124" s="188" cm="1">
        <f t="array" aca="1" ref="D124" ca="1">SUMIFS(MoveQty,MoveDate,"&gt;"&amp;$B124,MoveDate,"&lt;"&amp;$B124+1,MoveCode,$C$56,MoveType,$D$71)</f>
        <v>-1108</v>
      </c>
      <c r="E124" s="188">
        <f t="shared" ca="1" si="4"/>
        <v>19.975765458340316</v>
      </c>
      <c r="F124" s="188" cm="1">
        <f t="array" aca="1" ref="F124" ca="1">SUMIFS(MoveAmount,MoveDate,"&gt;"&amp;$B124,MoveDate,"&lt;"&amp;$B124+1,MoveCode,$C$56,MoveType,$D$71)</f>
        <v>-22133.148127841068</v>
      </c>
      <c r="G124" s="188" cm="1">
        <f t="array" aca="1" ref="G124" ca="1">SUMIFS(StockCode[Opening Quantity],StockCode[Stock Code],$C$56)+SUMIFS(MoveQty,MoveDate,"&lt;"&amp;$B124+1,MoveCode,$C$56,MoveType,$D$71)</f>
        <v>1493.8300000000002</v>
      </c>
      <c r="H124" s="188">
        <f t="shared" ca="1" si="5"/>
        <v>26.945392105345803</v>
      </c>
      <c r="I124" s="188" cm="1">
        <f t="array" aca="1" ref="I124" ca="1">SUMIFS(StockCode[Opening Value],StockCode[Stock Code],$C$56)+SUMIFS(MoveAmount,MoveDate,"&lt;"&amp;$B124+1,MoveCode,$C$56,MoveType,$D$71)</f>
        <v>40251.835088728723</v>
      </c>
    </row>
    <row r="125" spans="2:9" ht="24" customHeight="1" x14ac:dyDescent="0.3">
      <c r="B125" s="187">
        <f t="shared" ca="1" si="2"/>
        <v>44401</v>
      </c>
      <c r="C125" s="188">
        <f t="shared" ca="1" si="3"/>
        <v>40251.835088728723</v>
      </c>
      <c r="D125" s="188" cm="1">
        <f t="array" aca="1" ref="D125" ca="1">SUMIFS(MoveQty,MoveDate,"&gt;"&amp;$B125,MoveDate,"&lt;"&amp;$B125+1,MoveCode,$C$56,MoveType,$D$71)</f>
        <v>0</v>
      </c>
      <c r="E125" s="188">
        <f t="shared" ca="1" si="4"/>
        <v>0</v>
      </c>
      <c r="F125" s="188" cm="1">
        <f t="array" aca="1" ref="F125" ca="1">SUMIFS(MoveAmount,MoveDate,"&gt;"&amp;$B125,MoveDate,"&lt;"&amp;$B125+1,MoveCode,$C$56,MoveType,$D$71)</f>
        <v>0</v>
      </c>
      <c r="G125" s="188" cm="1">
        <f t="array" aca="1" ref="G125" ca="1">SUMIFS(StockCode[Opening Quantity],StockCode[Stock Code],$C$56)+SUMIFS(MoveQty,MoveDate,"&lt;"&amp;$B125+1,MoveCode,$C$56,MoveType,$D$71)</f>
        <v>1493.8300000000002</v>
      </c>
      <c r="H125" s="188">
        <f t="shared" ca="1" si="5"/>
        <v>26.945392105345803</v>
      </c>
      <c r="I125" s="188" cm="1">
        <f t="array" aca="1" ref="I125" ca="1">SUMIFS(StockCode[Opening Value],StockCode[Stock Code],$C$56)+SUMIFS(MoveAmount,MoveDate,"&lt;"&amp;$B125+1,MoveCode,$C$56,MoveType,$D$71)</f>
        <v>40251.835088728723</v>
      </c>
    </row>
    <row r="126" spans="2:9" ht="24" customHeight="1" x14ac:dyDescent="0.3">
      <c r="B126" s="187">
        <f t="shared" ca="1" si="2"/>
        <v>44402</v>
      </c>
      <c r="C126" s="188">
        <f t="shared" ca="1" si="3"/>
        <v>40251.835088728723</v>
      </c>
      <c r="D126" s="188" cm="1">
        <f t="array" aca="1" ref="D126" ca="1">SUMIFS(MoveQty,MoveDate,"&gt;"&amp;$B126,MoveDate,"&lt;"&amp;$B126+1,MoveCode,$C$56,MoveType,$D$71)</f>
        <v>0</v>
      </c>
      <c r="E126" s="188">
        <f t="shared" ca="1" si="4"/>
        <v>0</v>
      </c>
      <c r="F126" s="188" cm="1">
        <f t="array" aca="1" ref="F126" ca="1">SUMIFS(MoveAmount,MoveDate,"&gt;"&amp;$B126,MoveDate,"&lt;"&amp;$B126+1,MoveCode,$C$56,MoveType,$D$71)</f>
        <v>0</v>
      </c>
      <c r="G126" s="188" cm="1">
        <f t="array" aca="1" ref="G126" ca="1">SUMIFS(StockCode[Opening Quantity],StockCode[Stock Code],$C$56)+SUMIFS(MoveQty,MoveDate,"&lt;"&amp;$B126+1,MoveCode,$C$56,MoveType,$D$71)</f>
        <v>1493.8300000000002</v>
      </c>
      <c r="H126" s="188">
        <f t="shared" ca="1" si="5"/>
        <v>26.945392105345803</v>
      </c>
      <c r="I126" s="188" cm="1">
        <f t="array" aca="1" ref="I126" ca="1">SUMIFS(StockCode[Opening Value],StockCode[Stock Code],$C$56)+SUMIFS(MoveAmount,MoveDate,"&lt;"&amp;$B126+1,MoveCode,$C$56,MoveType,$D$71)</f>
        <v>40251.835088728723</v>
      </c>
    </row>
    <row r="127" spans="2:9" ht="24" customHeight="1" x14ac:dyDescent="0.3">
      <c r="B127" s="187">
        <f t="shared" ca="1" si="2"/>
        <v>44403</v>
      </c>
      <c r="C127" s="188">
        <f t="shared" ca="1" si="3"/>
        <v>40251.835088728723</v>
      </c>
      <c r="D127" s="188" cm="1">
        <f t="array" aca="1" ref="D127" ca="1">SUMIFS(MoveQty,MoveDate,"&gt;"&amp;$B127,MoveDate,"&lt;"&amp;$B127+1,MoveCode,$C$56,MoveType,$D$71)</f>
        <v>0</v>
      </c>
      <c r="E127" s="188">
        <f t="shared" ca="1" si="4"/>
        <v>0</v>
      </c>
      <c r="F127" s="188" cm="1">
        <f t="array" aca="1" ref="F127" ca="1">SUMIFS(MoveAmount,MoveDate,"&gt;"&amp;$B127,MoveDate,"&lt;"&amp;$B127+1,MoveCode,$C$56,MoveType,$D$71)</f>
        <v>0</v>
      </c>
      <c r="G127" s="188" cm="1">
        <f t="array" aca="1" ref="G127" ca="1">SUMIFS(StockCode[Opening Quantity],StockCode[Stock Code],$C$56)+SUMIFS(MoveQty,MoveDate,"&lt;"&amp;$B127+1,MoveCode,$C$56,MoveType,$D$71)</f>
        <v>1493.8300000000002</v>
      </c>
      <c r="H127" s="188">
        <f t="shared" ca="1" si="5"/>
        <v>26.945392105345803</v>
      </c>
      <c r="I127" s="188" cm="1">
        <f t="array" aca="1" ref="I127" ca="1">SUMIFS(StockCode[Opening Value],StockCode[Stock Code],$C$56)+SUMIFS(MoveAmount,MoveDate,"&lt;"&amp;$B127+1,MoveCode,$C$56,MoveType,$D$71)</f>
        <v>40251.835088728723</v>
      </c>
    </row>
    <row r="128" spans="2:9" ht="24" customHeight="1" x14ac:dyDescent="0.3">
      <c r="B128" s="187">
        <f t="shared" ca="1" si="2"/>
        <v>44404</v>
      </c>
      <c r="C128" s="188">
        <f t="shared" ca="1" si="3"/>
        <v>40251.835088728723</v>
      </c>
      <c r="D128" s="188" cm="1">
        <f t="array" aca="1" ref="D128" ca="1">SUMIFS(MoveQty,MoveDate,"&gt;"&amp;$B128,MoveDate,"&lt;"&amp;$B128+1,MoveCode,$C$56,MoveType,$D$71)</f>
        <v>0</v>
      </c>
      <c r="E128" s="188">
        <f t="shared" ca="1" si="4"/>
        <v>0</v>
      </c>
      <c r="F128" s="188" cm="1">
        <f t="array" aca="1" ref="F128" ca="1">SUMIFS(MoveAmount,MoveDate,"&gt;"&amp;$B128,MoveDate,"&lt;"&amp;$B128+1,MoveCode,$C$56,MoveType,$D$71)</f>
        <v>0</v>
      </c>
      <c r="G128" s="188" cm="1">
        <f t="array" aca="1" ref="G128" ca="1">SUMIFS(StockCode[Opening Quantity],StockCode[Stock Code],$C$56)+SUMIFS(MoveQty,MoveDate,"&lt;"&amp;$B128+1,MoveCode,$C$56,MoveType,$D$71)</f>
        <v>1493.8300000000002</v>
      </c>
      <c r="H128" s="188">
        <f t="shared" ca="1" si="5"/>
        <v>26.945392105345803</v>
      </c>
      <c r="I128" s="188" cm="1">
        <f t="array" aca="1" ref="I128" ca="1">SUMIFS(StockCode[Opening Value],StockCode[Stock Code],$C$56)+SUMIFS(MoveAmount,MoveDate,"&lt;"&amp;$B128+1,MoveCode,$C$56,MoveType,$D$71)</f>
        <v>40251.835088728723</v>
      </c>
    </row>
    <row r="129" spans="2:9" ht="24" customHeight="1" x14ac:dyDescent="0.3">
      <c r="B129" s="187">
        <f t="shared" ca="1" si="2"/>
        <v>44405</v>
      </c>
      <c r="C129" s="188">
        <f t="shared" ca="1" si="3"/>
        <v>60764.635088728726</v>
      </c>
      <c r="D129" s="188" cm="1">
        <f t="array" aca="1" ref="D129" ca="1">SUMIFS(MoveQty,MoveDate,"&gt;"&amp;$B129,MoveDate,"&lt;"&amp;$B129+1,MoveCode,$C$56,MoveType,$D$71)</f>
        <v>821</v>
      </c>
      <c r="E129" s="188">
        <f t="shared" ca="1" si="4"/>
        <v>24.985140073081606</v>
      </c>
      <c r="F129" s="188" cm="1">
        <f t="array" aca="1" ref="F129" ca="1">SUMIFS(MoveAmount,MoveDate,"&gt;"&amp;$B129,MoveDate,"&lt;"&amp;$B129+1,MoveCode,$C$56,MoveType,$D$71)</f>
        <v>20512.8</v>
      </c>
      <c r="G129" s="188" cm="1">
        <f t="array" aca="1" ref="G129" ca="1">SUMIFS(StockCode[Opening Quantity],StockCode[Stock Code],$C$56)+SUMIFS(MoveQty,MoveDate,"&lt;"&amp;$B129+1,MoveCode,$C$56,MoveType,$D$71)</f>
        <v>2314.83</v>
      </c>
      <c r="H129" s="188">
        <f t="shared" ca="1" si="5"/>
        <v>26.250150157345779</v>
      </c>
      <c r="I129" s="188" cm="1">
        <f t="array" aca="1" ref="I129" ca="1">SUMIFS(StockCode[Opening Value],StockCode[Stock Code],$C$56)+SUMIFS(MoveAmount,MoveDate,"&lt;"&amp;$B129+1,MoveCode,$C$56,MoveType,$D$71)</f>
        <v>60764.635088728726</v>
      </c>
    </row>
    <row r="130" spans="2:9" ht="24" customHeight="1" x14ac:dyDescent="0.3">
      <c r="B130" s="187">
        <f t="shared" ca="1" si="2"/>
        <v>44406</v>
      </c>
      <c r="C130" s="188">
        <f t="shared" ca="1" si="3"/>
        <v>60764.635088728726</v>
      </c>
      <c r="D130" s="188" cm="1">
        <f t="array" aca="1" ref="D130" ca="1">SUMIFS(MoveQty,MoveDate,"&gt;"&amp;$B130,MoveDate,"&lt;"&amp;$B130+1,MoveCode,$C$56,MoveType,$D$71)</f>
        <v>0</v>
      </c>
      <c r="E130" s="188">
        <f t="shared" ca="1" si="4"/>
        <v>0</v>
      </c>
      <c r="F130" s="188" cm="1">
        <f t="array" aca="1" ref="F130" ca="1">SUMIFS(MoveAmount,MoveDate,"&gt;"&amp;$B130,MoveDate,"&lt;"&amp;$B130+1,MoveCode,$C$56,MoveType,$D$71)</f>
        <v>0</v>
      </c>
      <c r="G130" s="188" cm="1">
        <f t="array" aca="1" ref="G130" ca="1">SUMIFS(StockCode[Opening Quantity],StockCode[Stock Code],$C$56)+SUMIFS(MoveQty,MoveDate,"&lt;"&amp;$B130+1,MoveCode,$C$56,MoveType,$D$71)</f>
        <v>2314.83</v>
      </c>
      <c r="H130" s="188">
        <f t="shared" ca="1" si="5"/>
        <v>26.250150157345779</v>
      </c>
      <c r="I130" s="188" cm="1">
        <f t="array" aca="1" ref="I130" ca="1">SUMIFS(StockCode[Opening Value],StockCode[Stock Code],$C$56)+SUMIFS(MoveAmount,MoveDate,"&lt;"&amp;$B130+1,MoveCode,$C$56,MoveType,$D$71)</f>
        <v>60764.635088728726</v>
      </c>
    </row>
    <row r="131" spans="2:9" ht="24" customHeight="1" x14ac:dyDescent="0.3">
      <c r="B131" s="187">
        <f t="shared" ca="1" si="2"/>
        <v>44407</v>
      </c>
      <c r="C131" s="188">
        <f t="shared" ca="1" si="3"/>
        <v>27017.959320765345</v>
      </c>
      <c r="D131" s="188" cm="1">
        <f t="array" aca="1" ref="D131" ca="1">SUMIFS(MoveQty,MoveDate,"&gt;"&amp;$B131,MoveDate,"&lt;"&amp;$B131+1,MoveCode,$C$56,MoveType,$D$71)</f>
        <v>-1514</v>
      </c>
      <c r="E131" s="188">
        <f t="shared" ca="1" si="4"/>
        <v>22.289746213978454</v>
      </c>
      <c r="F131" s="188" cm="1">
        <f t="array" aca="1" ref="F131" ca="1">SUMIFS(MoveAmount,MoveDate,"&gt;"&amp;$B131,MoveDate,"&lt;"&amp;$B131+1,MoveCode,$C$56,MoveType,$D$71)</f>
        <v>-33746.675767963381</v>
      </c>
      <c r="G131" s="188" cm="1">
        <f t="array" aca="1" ref="G131" ca="1">SUMIFS(StockCode[Opening Quantity],StockCode[Stock Code],$C$56)+SUMIFS(MoveQty,MoveDate,"&lt;"&amp;$B131+1,MoveCode,$C$56,MoveType,$D$71)</f>
        <v>800.83000000000015</v>
      </c>
      <c r="H131" s="188">
        <f t="shared" ca="1" si="5"/>
        <v>33.737446550160882</v>
      </c>
      <c r="I131" s="188" cm="1">
        <f t="array" aca="1" ref="I131" ca="1">SUMIFS(StockCode[Opening Value],StockCode[Stock Code],$C$56)+SUMIFS(MoveAmount,MoveDate,"&lt;"&amp;$B131+1,MoveCode,$C$56,MoveType,$D$71)</f>
        <v>27017.959320765345</v>
      </c>
    </row>
    <row r="132" spans="2:9" ht="24" customHeight="1" x14ac:dyDescent="0.3">
      <c r="B132" s="187">
        <f t="shared" ca="1" si="2"/>
        <v>44408</v>
      </c>
      <c r="C132" s="188">
        <f t="shared" ca="1" si="3"/>
        <v>24459.585876587247</v>
      </c>
      <c r="D132" s="188" cm="1">
        <f t="array" aca="1" ref="D132" ca="1">SUMIFS(MoveQty,MoveDate,"&gt;"&amp;$B132,MoveDate,"&lt;"&amp;$B132+1,MoveCode,$C$56,MoveType,$D$71)</f>
        <v>0.90999999999999548</v>
      </c>
      <c r="E132" s="188">
        <f t="shared" ca="1" si="4"/>
        <v>-2811.399389206716</v>
      </c>
      <c r="F132" s="188" cm="1">
        <f t="array" aca="1" ref="F132" ca="1">SUMIFS(MoveAmount,MoveDate,"&gt;"&amp;$B132,MoveDate,"&lt;"&amp;$B132+1,MoveCode,$C$56,MoveType,$D$71)</f>
        <v>-2558.3734441780989</v>
      </c>
      <c r="G132" s="188" cm="1">
        <f t="array" aca="1" ref="G132" ca="1">SUMIFS(StockCode[Opening Quantity],StockCode[Stock Code],$C$56)+SUMIFS(MoveQty,MoveDate,"&lt;"&amp;$B132+1,MoveCode,$C$56,MoveType,$D$71)</f>
        <v>801.74000000000024</v>
      </c>
      <c r="H132" s="188">
        <f t="shared" ca="1" si="5"/>
        <v>30.508127169141169</v>
      </c>
      <c r="I132" s="188" cm="1">
        <f t="array" aca="1" ref="I132" ca="1">SUMIFS(StockCode[Opening Value],StockCode[Stock Code],$C$56)+SUMIFS(MoveAmount,MoveDate,"&lt;"&amp;$B132+1,MoveCode,$C$56,MoveType,$D$71)</f>
        <v>24459.585876587247</v>
      </c>
    </row>
    <row r="133" spans="2:9" ht="24" customHeight="1" x14ac:dyDescent="0.3">
      <c r="B133" s="187">
        <f t="shared" ca="1" si="2"/>
        <v>44409</v>
      </c>
      <c r="C133" s="188">
        <f t="shared" ca="1" si="3"/>
        <v>24459.585876587247</v>
      </c>
      <c r="D133" s="188" cm="1">
        <f t="array" aca="1" ref="D133" ca="1">SUMIFS(MoveQty,MoveDate,"&gt;"&amp;$B133,MoveDate,"&lt;"&amp;$B133+1,MoveCode,$C$56,MoveType,$D$71)</f>
        <v>0</v>
      </c>
      <c r="E133" s="188">
        <f t="shared" ca="1" si="4"/>
        <v>0</v>
      </c>
      <c r="F133" s="188" cm="1">
        <f t="array" aca="1" ref="F133" ca="1">SUMIFS(MoveAmount,MoveDate,"&gt;"&amp;$B133,MoveDate,"&lt;"&amp;$B133+1,MoveCode,$C$56,MoveType,$D$71)</f>
        <v>0</v>
      </c>
      <c r="G133" s="188" cm="1">
        <f t="array" aca="1" ref="G133" ca="1">SUMIFS(StockCode[Opening Quantity],StockCode[Stock Code],$C$56)+SUMIFS(MoveQty,MoveDate,"&lt;"&amp;$B133+1,MoveCode,$C$56,MoveType,$D$71)</f>
        <v>801.74000000000024</v>
      </c>
      <c r="H133" s="188">
        <f t="shared" ca="1" si="5"/>
        <v>30.508127169141169</v>
      </c>
      <c r="I133" s="188" cm="1">
        <f t="array" aca="1" ref="I133" ca="1">SUMIFS(StockCode[Opening Value],StockCode[Stock Code],$C$56)+SUMIFS(MoveAmount,MoveDate,"&lt;"&amp;$B133+1,MoveCode,$C$56,MoveType,$D$71)</f>
        <v>24459.585876587247</v>
      </c>
    </row>
    <row r="134" spans="2:9" ht="24" customHeight="1" x14ac:dyDescent="0.3">
      <c r="B134" s="187">
        <f t="shared" ca="1" si="2"/>
        <v>44410</v>
      </c>
      <c r="C134" s="188">
        <f t="shared" ca="1" si="3"/>
        <v>24459.585876587247</v>
      </c>
      <c r="D134" s="188" cm="1">
        <f t="array" aca="1" ref="D134" ca="1">SUMIFS(MoveQty,MoveDate,"&gt;"&amp;$B134,MoveDate,"&lt;"&amp;$B134+1,MoveCode,$C$56,MoveType,$D$71)</f>
        <v>0</v>
      </c>
      <c r="E134" s="188">
        <f t="shared" ca="1" si="4"/>
        <v>0</v>
      </c>
      <c r="F134" s="188" cm="1">
        <f t="array" aca="1" ref="F134" ca="1">SUMIFS(MoveAmount,MoveDate,"&gt;"&amp;$B134,MoveDate,"&lt;"&amp;$B134+1,MoveCode,$C$56,MoveType,$D$71)</f>
        <v>0</v>
      </c>
      <c r="G134" s="188" cm="1">
        <f t="array" aca="1" ref="G134" ca="1">SUMIFS(StockCode[Opening Quantity],StockCode[Stock Code],$C$56)+SUMIFS(MoveQty,MoveDate,"&lt;"&amp;$B134+1,MoveCode,$C$56,MoveType,$D$71)</f>
        <v>801.74000000000024</v>
      </c>
      <c r="H134" s="188">
        <f t="shared" ca="1" si="5"/>
        <v>30.508127169141169</v>
      </c>
      <c r="I134" s="188" cm="1">
        <f t="array" aca="1" ref="I134" ca="1">SUMIFS(StockCode[Opening Value],StockCode[Stock Code],$C$56)+SUMIFS(MoveAmount,MoveDate,"&lt;"&amp;$B134+1,MoveCode,$C$56,MoveType,$D$71)</f>
        <v>24459.585876587247</v>
      </c>
    </row>
    <row r="135" spans="2:9" ht="24" customHeight="1" x14ac:dyDescent="0.3">
      <c r="B135" s="187">
        <f t="shared" ca="1" si="2"/>
        <v>44411</v>
      </c>
      <c r="C135" s="188">
        <f t="shared" ca="1" si="3"/>
        <v>24459.585876587247</v>
      </c>
      <c r="D135" s="188" cm="1">
        <f t="array" aca="1" ref="D135" ca="1">SUMIFS(MoveQty,MoveDate,"&gt;"&amp;$B135,MoveDate,"&lt;"&amp;$B135+1,MoveCode,$C$56,MoveType,$D$71)</f>
        <v>0</v>
      </c>
      <c r="E135" s="188">
        <f t="shared" ca="1" si="4"/>
        <v>0</v>
      </c>
      <c r="F135" s="188" cm="1">
        <f t="array" aca="1" ref="F135" ca="1">SUMIFS(MoveAmount,MoveDate,"&gt;"&amp;$B135,MoveDate,"&lt;"&amp;$B135+1,MoveCode,$C$56,MoveType,$D$71)</f>
        <v>0</v>
      </c>
      <c r="G135" s="188" cm="1">
        <f t="array" aca="1" ref="G135" ca="1">SUMIFS(StockCode[Opening Quantity],StockCode[Stock Code],$C$56)+SUMIFS(MoveQty,MoveDate,"&lt;"&amp;$B135+1,MoveCode,$C$56,MoveType,$D$71)</f>
        <v>801.74000000000024</v>
      </c>
      <c r="H135" s="188">
        <f t="shared" ca="1" si="5"/>
        <v>30.508127169141169</v>
      </c>
      <c r="I135" s="188" cm="1">
        <f t="array" aca="1" ref="I135" ca="1">SUMIFS(StockCode[Opening Value],StockCode[Stock Code],$C$56)+SUMIFS(MoveAmount,MoveDate,"&lt;"&amp;$B135+1,MoveCode,$C$56,MoveType,$D$71)</f>
        <v>24459.585876587247</v>
      </c>
    </row>
    <row r="136" spans="2:9" ht="24" customHeight="1" x14ac:dyDescent="0.3">
      <c r="B136" s="187">
        <f t="shared" ca="1" si="2"/>
        <v>44412</v>
      </c>
      <c r="C136" s="188">
        <f t="shared" ca="1" si="3"/>
        <v>49898.585876587247</v>
      </c>
      <c r="D136" s="188" cm="1">
        <f t="array" aca="1" ref="D136" ca="1">SUMIFS(MoveQty,MoveDate,"&gt;"&amp;$B136,MoveDate,"&lt;"&amp;$B136+1,MoveCode,$C$56,MoveType,$D$71)</f>
        <v>1192</v>
      </c>
      <c r="E136" s="188">
        <f t="shared" ca="1" si="4"/>
        <v>21.341442953020135</v>
      </c>
      <c r="F136" s="188" cm="1">
        <f t="array" aca="1" ref="F136" ca="1">SUMIFS(MoveAmount,MoveDate,"&gt;"&amp;$B136,MoveDate,"&lt;"&amp;$B136+1,MoveCode,$C$56,MoveType,$D$71)</f>
        <v>25439</v>
      </c>
      <c r="G136" s="188" cm="1">
        <f t="array" aca="1" ref="G136" ca="1">SUMIFS(StockCode[Opening Quantity],StockCode[Stock Code],$C$56)+SUMIFS(MoveQty,MoveDate,"&lt;"&amp;$B136+1,MoveCode,$C$56,MoveType,$D$71)</f>
        <v>1993.7400000000002</v>
      </c>
      <c r="H136" s="188">
        <f t="shared" ca="1" si="5"/>
        <v>25.027629418373127</v>
      </c>
      <c r="I136" s="188" cm="1">
        <f t="array" aca="1" ref="I136" ca="1">SUMIFS(StockCode[Opening Value],StockCode[Stock Code],$C$56)+SUMIFS(MoveAmount,MoveDate,"&lt;"&amp;$B136+1,MoveCode,$C$56,MoveType,$D$71)</f>
        <v>49898.585876587247</v>
      </c>
    </row>
    <row r="137" spans="2:9" ht="24" customHeight="1" x14ac:dyDescent="0.3">
      <c r="B137" s="187">
        <f t="shared" ca="1" si="2"/>
        <v>44413</v>
      </c>
      <c r="C137" s="188">
        <f t="shared" ca="1" si="3"/>
        <v>49898.585876587247</v>
      </c>
      <c r="D137" s="188" cm="1">
        <f t="array" aca="1" ref="D137" ca="1">SUMIFS(MoveQty,MoveDate,"&gt;"&amp;$B137,MoveDate,"&lt;"&amp;$B137+1,MoveCode,$C$56,MoveType,$D$71)</f>
        <v>0</v>
      </c>
      <c r="E137" s="188">
        <f t="shared" ca="1" si="4"/>
        <v>0</v>
      </c>
      <c r="F137" s="188" cm="1">
        <f t="array" aca="1" ref="F137" ca="1">SUMIFS(MoveAmount,MoveDate,"&gt;"&amp;$B137,MoveDate,"&lt;"&amp;$B137+1,MoveCode,$C$56,MoveType,$D$71)</f>
        <v>0</v>
      </c>
      <c r="G137" s="188" cm="1">
        <f t="array" aca="1" ref="G137" ca="1">SUMIFS(StockCode[Opening Quantity],StockCode[Stock Code],$C$56)+SUMIFS(MoveQty,MoveDate,"&lt;"&amp;$B137+1,MoveCode,$C$56,MoveType,$D$71)</f>
        <v>1993.7400000000002</v>
      </c>
      <c r="H137" s="188">
        <f t="shared" ca="1" si="5"/>
        <v>25.027629418373127</v>
      </c>
      <c r="I137" s="188" cm="1">
        <f t="array" aca="1" ref="I137" ca="1">SUMIFS(StockCode[Opening Value],StockCode[Stock Code],$C$56)+SUMIFS(MoveAmount,MoveDate,"&lt;"&amp;$B137+1,MoveCode,$C$56,MoveType,$D$71)</f>
        <v>49898.585876587247</v>
      </c>
    </row>
    <row r="138" spans="2:9" ht="24" customHeight="1" x14ac:dyDescent="0.3">
      <c r="B138" s="187">
        <f t="shared" ca="1" si="2"/>
        <v>44414</v>
      </c>
      <c r="C138" s="188">
        <f t="shared" ca="1" si="3"/>
        <v>34690.915793915934</v>
      </c>
      <c r="D138" s="188" cm="1">
        <f t="array" aca="1" ref="D138" ca="1">SUMIFS(MoveQty,MoveDate,"&gt;"&amp;$B138,MoveDate,"&lt;"&amp;$B138+1,MoveCode,$C$56,MoveType,$D$71)</f>
        <v>-843.17</v>
      </c>
      <c r="E138" s="188">
        <f t="shared" ca="1" si="4"/>
        <v>18.036303571843533</v>
      </c>
      <c r="F138" s="188" cm="1">
        <f t="array" aca="1" ref="F138" ca="1">SUMIFS(MoveAmount,MoveDate,"&gt;"&amp;$B138,MoveDate,"&lt;"&amp;$B138+1,MoveCode,$C$56,MoveType,$D$71)</f>
        <v>-15207.67008267131</v>
      </c>
      <c r="G138" s="188" cm="1">
        <f t="array" aca="1" ref="G138" ca="1">SUMIFS(StockCode[Opening Quantity],StockCode[Stock Code],$C$56)+SUMIFS(MoveQty,MoveDate,"&lt;"&amp;$B138+1,MoveCode,$C$56,MoveType,$D$71)</f>
        <v>1150.5700000000002</v>
      </c>
      <c r="H138" s="188">
        <f t="shared" ca="1" si="5"/>
        <v>30.151069290800152</v>
      </c>
      <c r="I138" s="188" cm="1">
        <f t="array" aca="1" ref="I138" ca="1">SUMIFS(StockCode[Opening Value],StockCode[Stock Code],$C$56)+SUMIFS(MoveAmount,MoveDate,"&lt;"&amp;$B138+1,MoveCode,$C$56,MoveType,$D$71)</f>
        <v>34690.915793915934</v>
      </c>
    </row>
    <row r="139" spans="2:9" ht="24" customHeight="1" x14ac:dyDescent="0.3">
      <c r="B139" s="187">
        <f t="shared" ref="B139:B163" ca="1" si="6">IF($D$55-$C$72+ROW($C139)-ROW($C$73)&gt;$D$55,"",$D$55-$C$72+ROW($C139)-ROW($C$73))</f>
        <v>44415</v>
      </c>
      <c r="C139" s="188">
        <f t="shared" ref="C139:C163" ca="1" si="7">IF(ISNUMBER(B139),IF($E$71="Movement",IF($C$71="Quantity",D139,IF($C$71="Cost",E139,F139)),IF($C$71="Quantity",G139,IF($C$71="Cost",H139,I139))),"")</f>
        <v>34690.915793915934</v>
      </c>
      <c r="D139" s="188" cm="1">
        <f t="array" aca="1" ref="D139" ca="1">SUMIFS(MoveQty,MoveDate,"&gt;"&amp;$B139,MoveDate,"&lt;"&amp;$B139+1,MoveCode,$C$56,MoveType,$D$71)</f>
        <v>0</v>
      </c>
      <c r="E139" s="188">
        <f t="shared" ref="E139:E163" ca="1" si="8">IF(D139=0,0,F139/D139)</f>
        <v>0</v>
      </c>
      <c r="F139" s="188" cm="1">
        <f t="array" aca="1" ref="F139" ca="1">SUMIFS(MoveAmount,MoveDate,"&gt;"&amp;$B139,MoveDate,"&lt;"&amp;$B139+1,MoveCode,$C$56,MoveType,$D$71)</f>
        <v>0</v>
      </c>
      <c r="G139" s="188" cm="1">
        <f t="array" aca="1" ref="G139" ca="1">SUMIFS(StockCode[Opening Quantity],StockCode[Stock Code],$C$56)+SUMIFS(MoveQty,MoveDate,"&lt;"&amp;$B139+1,MoveCode,$C$56,MoveType,$D$71)</f>
        <v>1150.5700000000002</v>
      </c>
      <c r="H139" s="188">
        <f t="shared" ref="H139:H163" ca="1" si="9">IF(G139=0,0,I139/G139)</f>
        <v>30.151069290800152</v>
      </c>
      <c r="I139" s="188" cm="1">
        <f t="array" aca="1" ref="I139" ca="1">SUMIFS(StockCode[Opening Value],StockCode[Stock Code],$C$56)+SUMIFS(MoveAmount,MoveDate,"&lt;"&amp;$B139+1,MoveCode,$C$56,MoveType,$D$71)</f>
        <v>34690.915793915934</v>
      </c>
    </row>
    <row r="140" spans="2:9" ht="24" customHeight="1" x14ac:dyDescent="0.3">
      <c r="B140" s="187">
        <f t="shared" ca="1" si="6"/>
        <v>44416</v>
      </c>
      <c r="C140" s="188">
        <f t="shared" ca="1" si="7"/>
        <v>34690.915793915934</v>
      </c>
      <c r="D140" s="188" cm="1">
        <f t="array" aca="1" ref="D140" ca="1">SUMIFS(MoveQty,MoveDate,"&gt;"&amp;$B140,MoveDate,"&lt;"&amp;$B140+1,MoveCode,$C$56,MoveType,$D$71)</f>
        <v>0</v>
      </c>
      <c r="E140" s="188">
        <f t="shared" ca="1" si="8"/>
        <v>0</v>
      </c>
      <c r="F140" s="188" cm="1">
        <f t="array" aca="1" ref="F140" ca="1">SUMIFS(MoveAmount,MoveDate,"&gt;"&amp;$B140,MoveDate,"&lt;"&amp;$B140+1,MoveCode,$C$56,MoveType,$D$71)</f>
        <v>0</v>
      </c>
      <c r="G140" s="188" cm="1">
        <f t="array" aca="1" ref="G140" ca="1">SUMIFS(StockCode[Opening Quantity],StockCode[Stock Code],$C$56)+SUMIFS(MoveQty,MoveDate,"&lt;"&amp;$B140+1,MoveCode,$C$56,MoveType,$D$71)</f>
        <v>1150.5700000000002</v>
      </c>
      <c r="H140" s="188">
        <f t="shared" ca="1" si="9"/>
        <v>30.151069290800152</v>
      </c>
      <c r="I140" s="188" cm="1">
        <f t="array" aca="1" ref="I140" ca="1">SUMIFS(StockCode[Opening Value],StockCode[Stock Code],$C$56)+SUMIFS(MoveAmount,MoveDate,"&lt;"&amp;$B140+1,MoveCode,$C$56,MoveType,$D$71)</f>
        <v>34690.915793915934</v>
      </c>
    </row>
    <row r="141" spans="2:9" ht="24" customHeight="1" x14ac:dyDescent="0.3">
      <c r="B141" s="187">
        <f t="shared" ca="1" si="6"/>
        <v>44417</v>
      </c>
      <c r="C141" s="188">
        <f t="shared" ca="1" si="7"/>
        <v>34690.915793915934</v>
      </c>
      <c r="D141" s="188" cm="1">
        <f t="array" aca="1" ref="D141" ca="1">SUMIFS(MoveQty,MoveDate,"&gt;"&amp;$B141,MoveDate,"&lt;"&amp;$B141+1,MoveCode,$C$56,MoveType,$D$71)</f>
        <v>0</v>
      </c>
      <c r="E141" s="188">
        <f t="shared" ca="1" si="8"/>
        <v>0</v>
      </c>
      <c r="F141" s="188" cm="1">
        <f t="array" aca="1" ref="F141" ca="1">SUMIFS(MoveAmount,MoveDate,"&gt;"&amp;$B141,MoveDate,"&lt;"&amp;$B141+1,MoveCode,$C$56,MoveType,$D$71)</f>
        <v>0</v>
      </c>
      <c r="G141" s="188" cm="1">
        <f t="array" aca="1" ref="G141" ca="1">SUMIFS(StockCode[Opening Quantity],StockCode[Stock Code],$C$56)+SUMIFS(MoveQty,MoveDate,"&lt;"&amp;$B141+1,MoveCode,$C$56,MoveType,$D$71)</f>
        <v>1150.5700000000002</v>
      </c>
      <c r="H141" s="188">
        <f t="shared" ca="1" si="9"/>
        <v>30.151069290800152</v>
      </c>
      <c r="I141" s="188" cm="1">
        <f t="array" aca="1" ref="I141" ca="1">SUMIFS(StockCode[Opening Value],StockCode[Stock Code],$C$56)+SUMIFS(MoveAmount,MoveDate,"&lt;"&amp;$B141+1,MoveCode,$C$56,MoveType,$D$71)</f>
        <v>34690.915793915934</v>
      </c>
    </row>
    <row r="142" spans="2:9" ht="24" customHeight="1" x14ac:dyDescent="0.3">
      <c r="B142" s="187">
        <f t="shared" ca="1" si="6"/>
        <v>44418</v>
      </c>
      <c r="C142" s="188">
        <f t="shared" ca="1" si="7"/>
        <v>34690.915793915934</v>
      </c>
      <c r="D142" s="188" cm="1">
        <f t="array" aca="1" ref="D142" ca="1">SUMIFS(MoveQty,MoveDate,"&gt;"&amp;$B142,MoveDate,"&lt;"&amp;$B142+1,MoveCode,$C$56,MoveType,$D$71)</f>
        <v>0</v>
      </c>
      <c r="E142" s="188">
        <f t="shared" ca="1" si="8"/>
        <v>0</v>
      </c>
      <c r="F142" s="188" cm="1">
        <f t="array" aca="1" ref="F142" ca="1">SUMIFS(MoveAmount,MoveDate,"&gt;"&amp;$B142,MoveDate,"&lt;"&amp;$B142+1,MoveCode,$C$56,MoveType,$D$71)</f>
        <v>0</v>
      </c>
      <c r="G142" s="188" cm="1">
        <f t="array" aca="1" ref="G142" ca="1">SUMIFS(StockCode[Opening Quantity],StockCode[Stock Code],$C$56)+SUMIFS(MoveQty,MoveDate,"&lt;"&amp;$B142+1,MoveCode,$C$56,MoveType,$D$71)</f>
        <v>1150.5700000000002</v>
      </c>
      <c r="H142" s="188">
        <f t="shared" ca="1" si="9"/>
        <v>30.151069290800152</v>
      </c>
      <c r="I142" s="188" cm="1">
        <f t="array" aca="1" ref="I142" ca="1">SUMIFS(StockCode[Opening Value],StockCode[Stock Code],$C$56)+SUMIFS(MoveAmount,MoveDate,"&lt;"&amp;$B142+1,MoveCode,$C$56,MoveType,$D$71)</f>
        <v>34690.915793915934</v>
      </c>
    </row>
    <row r="143" spans="2:9" ht="24" customHeight="1" x14ac:dyDescent="0.3">
      <c r="B143" s="187">
        <f t="shared" ca="1" si="6"/>
        <v>44419</v>
      </c>
      <c r="C143" s="188">
        <f t="shared" ca="1" si="7"/>
        <v>74754.915793915934</v>
      </c>
      <c r="D143" s="188" cm="1">
        <f t="array" aca="1" ref="D143" ca="1">SUMIFS(MoveQty,MoveDate,"&gt;"&amp;$B143,MoveDate,"&lt;"&amp;$B143+1,MoveCode,$C$56,MoveType,$D$71)</f>
        <v>1275</v>
      </c>
      <c r="E143" s="188">
        <f t="shared" ca="1" si="8"/>
        <v>31.422745098039215</v>
      </c>
      <c r="F143" s="188" cm="1">
        <f t="array" aca="1" ref="F143" ca="1">SUMIFS(MoveAmount,MoveDate,"&gt;"&amp;$B143,MoveDate,"&lt;"&amp;$B143+1,MoveCode,$C$56,MoveType,$D$71)</f>
        <v>40064</v>
      </c>
      <c r="G143" s="188" cm="1">
        <f t="array" aca="1" ref="G143" ca="1">SUMIFS(StockCode[Opening Quantity],StockCode[Stock Code],$C$56)+SUMIFS(MoveQty,MoveDate,"&lt;"&amp;$B143+1,MoveCode,$C$56,MoveType,$D$71)</f>
        <v>2425.5700000000002</v>
      </c>
      <c r="H143" s="188">
        <f t="shared" ca="1" si="9"/>
        <v>30.819525222490356</v>
      </c>
      <c r="I143" s="188" cm="1">
        <f t="array" aca="1" ref="I143" ca="1">SUMIFS(StockCode[Opening Value],StockCode[Stock Code],$C$56)+SUMIFS(MoveAmount,MoveDate,"&lt;"&amp;$B143+1,MoveCode,$C$56,MoveType,$D$71)</f>
        <v>74754.915793915934</v>
      </c>
    </row>
    <row r="144" spans="2:9" ht="24" customHeight="1" x14ac:dyDescent="0.3">
      <c r="B144" s="187">
        <f t="shared" ca="1" si="6"/>
        <v>44420</v>
      </c>
      <c r="C144" s="188">
        <f t="shared" ca="1" si="7"/>
        <v>74754.915793915934</v>
      </c>
      <c r="D144" s="188" cm="1">
        <f t="array" aca="1" ref="D144" ca="1">SUMIFS(MoveQty,MoveDate,"&gt;"&amp;$B144,MoveDate,"&lt;"&amp;$B144+1,MoveCode,$C$56,MoveType,$D$71)</f>
        <v>0</v>
      </c>
      <c r="E144" s="188">
        <f t="shared" ca="1" si="8"/>
        <v>0</v>
      </c>
      <c r="F144" s="188" cm="1">
        <f t="array" aca="1" ref="F144" ca="1">SUMIFS(MoveAmount,MoveDate,"&gt;"&amp;$B144,MoveDate,"&lt;"&amp;$B144+1,MoveCode,$C$56,MoveType,$D$71)</f>
        <v>0</v>
      </c>
      <c r="G144" s="188" cm="1">
        <f t="array" aca="1" ref="G144" ca="1">SUMIFS(StockCode[Opening Quantity],StockCode[Stock Code],$C$56)+SUMIFS(MoveQty,MoveDate,"&lt;"&amp;$B144+1,MoveCode,$C$56,MoveType,$D$71)</f>
        <v>2425.5700000000002</v>
      </c>
      <c r="H144" s="188">
        <f t="shared" ca="1" si="9"/>
        <v>30.819525222490356</v>
      </c>
      <c r="I144" s="188" cm="1">
        <f t="array" aca="1" ref="I144" ca="1">SUMIFS(StockCode[Opening Value],StockCode[Stock Code],$C$56)+SUMIFS(MoveAmount,MoveDate,"&lt;"&amp;$B144+1,MoveCode,$C$56,MoveType,$D$71)</f>
        <v>74754.915793915934</v>
      </c>
    </row>
    <row r="145" spans="2:9" ht="24" customHeight="1" x14ac:dyDescent="0.3">
      <c r="B145" s="187">
        <f t="shared" ca="1" si="6"/>
        <v>44421</v>
      </c>
      <c r="C145" s="188">
        <f t="shared" ca="1" si="7"/>
        <v>52274.28029549701</v>
      </c>
      <c r="D145" s="188" cm="1">
        <f t="array" aca="1" ref="D145" ca="1">SUMIFS(MoveQty,MoveDate,"&gt;"&amp;$B145,MoveDate,"&lt;"&amp;$B145+1,MoveCode,$C$56,MoveType,$D$71)</f>
        <v>-1051</v>
      </c>
      <c r="E145" s="188">
        <f t="shared" ca="1" si="8"/>
        <v>21.389757848162617</v>
      </c>
      <c r="F145" s="188" cm="1">
        <f t="array" aca="1" ref="F145" ca="1">SUMIFS(MoveAmount,MoveDate,"&gt;"&amp;$B145,MoveDate,"&lt;"&amp;$B145+1,MoveCode,$C$56,MoveType,$D$71)</f>
        <v>-22480.635498418909</v>
      </c>
      <c r="G145" s="188" cm="1">
        <f t="array" aca="1" ref="G145" ca="1">SUMIFS(StockCode[Opening Quantity],StockCode[Stock Code],$C$56)+SUMIFS(MoveQty,MoveDate,"&lt;"&amp;$B145+1,MoveCode,$C$56,MoveType,$D$71)</f>
        <v>1374.5700000000002</v>
      </c>
      <c r="H145" s="188">
        <f t="shared" ca="1" si="9"/>
        <v>38.029551274578232</v>
      </c>
      <c r="I145" s="188" cm="1">
        <f t="array" aca="1" ref="I145" ca="1">SUMIFS(StockCode[Opening Value],StockCode[Stock Code],$C$56)+SUMIFS(MoveAmount,MoveDate,"&lt;"&amp;$B145+1,MoveCode,$C$56,MoveType,$D$71)</f>
        <v>52274.28029549701</v>
      </c>
    </row>
    <row r="146" spans="2:9" ht="24" customHeight="1" x14ac:dyDescent="0.3">
      <c r="B146" s="187">
        <f t="shared" ca="1" si="6"/>
        <v>44422</v>
      </c>
      <c r="C146" s="188">
        <f t="shared" ca="1" si="7"/>
        <v>52274.28029549701</v>
      </c>
      <c r="D146" s="188" cm="1">
        <f t="array" aca="1" ref="D146" ca="1">SUMIFS(MoveQty,MoveDate,"&gt;"&amp;$B146,MoveDate,"&lt;"&amp;$B146+1,MoveCode,$C$56,MoveType,$D$71)</f>
        <v>0</v>
      </c>
      <c r="E146" s="188">
        <f t="shared" ca="1" si="8"/>
        <v>0</v>
      </c>
      <c r="F146" s="188" cm="1">
        <f t="array" aca="1" ref="F146" ca="1">SUMIFS(MoveAmount,MoveDate,"&gt;"&amp;$B146,MoveDate,"&lt;"&amp;$B146+1,MoveCode,$C$56,MoveType,$D$71)</f>
        <v>0</v>
      </c>
      <c r="G146" s="188" cm="1">
        <f t="array" aca="1" ref="G146" ca="1">SUMIFS(StockCode[Opening Quantity],StockCode[Stock Code],$C$56)+SUMIFS(MoveQty,MoveDate,"&lt;"&amp;$B146+1,MoveCode,$C$56,MoveType,$D$71)</f>
        <v>1374.5700000000002</v>
      </c>
      <c r="H146" s="188">
        <f t="shared" ca="1" si="9"/>
        <v>38.029551274578232</v>
      </c>
      <c r="I146" s="188" cm="1">
        <f t="array" aca="1" ref="I146" ca="1">SUMIFS(StockCode[Opening Value],StockCode[Stock Code],$C$56)+SUMIFS(MoveAmount,MoveDate,"&lt;"&amp;$B146+1,MoveCode,$C$56,MoveType,$D$71)</f>
        <v>52274.28029549701</v>
      </c>
    </row>
    <row r="147" spans="2:9" ht="24" customHeight="1" x14ac:dyDescent="0.3">
      <c r="B147" s="187">
        <f t="shared" ca="1" si="6"/>
        <v>44423</v>
      </c>
      <c r="C147" s="188">
        <f t="shared" ca="1" si="7"/>
        <v>52274.28029549701</v>
      </c>
      <c r="D147" s="188" cm="1">
        <f t="array" aca="1" ref="D147" ca="1">SUMIFS(MoveQty,MoveDate,"&gt;"&amp;$B147,MoveDate,"&lt;"&amp;$B147+1,MoveCode,$C$56,MoveType,$D$71)</f>
        <v>0</v>
      </c>
      <c r="E147" s="188">
        <f t="shared" ca="1" si="8"/>
        <v>0</v>
      </c>
      <c r="F147" s="188" cm="1">
        <f t="array" aca="1" ref="F147" ca="1">SUMIFS(MoveAmount,MoveDate,"&gt;"&amp;$B147,MoveDate,"&lt;"&amp;$B147+1,MoveCode,$C$56,MoveType,$D$71)</f>
        <v>0</v>
      </c>
      <c r="G147" s="188" cm="1">
        <f t="array" aca="1" ref="G147" ca="1">SUMIFS(StockCode[Opening Quantity],StockCode[Stock Code],$C$56)+SUMIFS(MoveQty,MoveDate,"&lt;"&amp;$B147+1,MoveCode,$C$56,MoveType,$D$71)</f>
        <v>1374.5700000000002</v>
      </c>
      <c r="H147" s="188">
        <f t="shared" ca="1" si="9"/>
        <v>38.029551274578232</v>
      </c>
      <c r="I147" s="188" cm="1">
        <f t="array" aca="1" ref="I147" ca="1">SUMIFS(StockCode[Opening Value],StockCode[Stock Code],$C$56)+SUMIFS(MoveAmount,MoveDate,"&lt;"&amp;$B147+1,MoveCode,$C$56,MoveType,$D$71)</f>
        <v>52274.28029549701</v>
      </c>
    </row>
    <row r="148" spans="2:9" ht="24" customHeight="1" x14ac:dyDescent="0.3">
      <c r="B148" s="187">
        <f t="shared" ca="1" si="6"/>
        <v>44424</v>
      </c>
      <c r="C148" s="188">
        <f t="shared" ca="1" si="7"/>
        <v>52274.28029549701</v>
      </c>
      <c r="D148" s="188" cm="1">
        <f t="array" aca="1" ref="D148" ca="1">SUMIFS(MoveQty,MoveDate,"&gt;"&amp;$B148,MoveDate,"&lt;"&amp;$B148+1,MoveCode,$C$56,MoveType,$D$71)</f>
        <v>0</v>
      </c>
      <c r="E148" s="188">
        <f t="shared" ca="1" si="8"/>
        <v>0</v>
      </c>
      <c r="F148" s="188" cm="1">
        <f t="array" aca="1" ref="F148" ca="1">SUMIFS(MoveAmount,MoveDate,"&gt;"&amp;$B148,MoveDate,"&lt;"&amp;$B148+1,MoveCode,$C$56,MoveType,$D$71)</f>
        <v>0</v>
      </c>
      <c r="G148" s="188" cm="1">
        <f t="array" aca="1" ref="G148" ca="1">SUMIFS(StockCode[Opening Quantity],StockCode[Stock Code],$C$56)+SUMIFS(MoveQty,MoveDate,"&lt;"&amp;$B148+1,MoveCode,$C$56,MoveType,$D$71)</f>
        <v>1374.5700000000002</v>
      </c>
      <c r="H148" s="188">
        <f t="shared" ca="1" si="9"/>
        <v>38.029551274578232</v>
      </c>
      <c r="I148" s="188" cm="1">
        <f t="array" aca="1" ref="I148" ca="1">SUMIFS(StockCode[Opening Value],StockCode[Stock Code],$C$56)+SUMIFS(MoveAmount,MoveDate,"&lt;"&amp;$B148+1,MoveCode,$C$56,MoveType,$D$71)</f>
        <v>52274.28029549701</v>
      </c>
    </row>
    <row r="149" spans="2:9" ht="24" customHeight="1" x14ac:dyDescent="0.3">
      <c r="B149" s="187">
        <f t="shared" ca="1" si="6"/>
        <v>44425</v>
      </c>
      <c r="C149" s="188">
        <f t="shared" ca="1" si="7"/>
        <v>52274.28029549701</v>
      </c>
      <c r="D149" s="188" cm="1">
        <f t="array" aca="1" ref="D149" ca="1">SUMIFS(MoveQty,MoveDate,"&gt;"&amp;$B149,MoveDate,"&lt;"&amp;$B149+1,MoveCode,$C$56,MoveType,$D$71)</f>
        <v>0</v>
      </c>
      <c r="E149" s="188">
        <f t="shared" ca="1" si="8"/>
        <v>0</v>
      </c>
      <c r="F149" s="188" cm="1">
        <f t="array" aca="1" ref="F149" ca="1">SUMIFS(MoveAmount,MoveDate,"&gt;"&amp;$B149,MoveDate,"&lt;"&amp;$B149+1,MoveCode,$C$56,MoveType,$D$71)</f>
        <v>0</v>
      </c>
      <c r="G149" s="188" cm="1">
        <f t="array" aca="1" ref="G149" ca="1">SUMIFS(StockCode[Opening Quantity],StockCode[Stock Code],$C$56)+SUMIFS(MoveQty,MoveDate,"&lt;"&amp;$B149+1,MoveCode,$C$56,MoveType,$D$71)</f>
        <v>1374.5700000000002</v>
      </c>
      <c r="H149" s="188">
        <f t="shared" ca="1" si="9"/>
        <v>38.029551274578232</v>
      </c>
      <c r="I149" s="188" cm="1">
        <f t="array" aca="1" ref="I149" ca="1">SUMIFS(StockCode[Opening Value],StockCode[Stock Code],$C$56)+SUMIFS(MoveAmount,MoveDate,"&lt;"&amp;$B149+1,MoveCode,$C$56,MoveType,$D$71)</f>
        <v>52274.28029549701</v>
      </c>
    </row>
    <row r="150" spans="2:9" ht="24" customHeight="1" x14ac:dyDescent="0.3">
      <c r="B150" s="187">
        <f t="shared" ca="1" si="6"/>
        <v>44426</v>
      </c>
      <c r="C150" s="188">
        <f t="shared" ca="1" si="7"/>
        <v>78610.28029549701</v>
      </c>
      <c r="D150" s="188" cm="1">
        <f t="array" aca="1" ref="D150" ca="1">SUMIFS(MoveQty,MoveDate,"&gt;"&amp;$B150,MoveDate,"&lt;"&amp;$B150+1,MoveCode,$C$56,MoveType,$D$71)</f>
        <v>1055</v>
      </c>
      <c r="E150" s="188">
        <f t="shared" ca="1" si="8"/>
        <v>24.963033175355449</v>
      </c>
      <c r="F150" s="188" cm="1">
        <f t="array" aca="1" ref="F150" ca="1">SUMIFS(MoveAmount,MoveDate,"&gt;"&amp;$B150,MoveDate,"&lt;"&amp;$B150+1,MoveCode,$C$56,MoveType,$D$71)</f>
        <v>26336</v>
      </c>
      <c r="G150" s="188" cm="1">
        <f t="array" aca="1" ref="G150" ca="1">SUMIFS(StockCode[Opening Quantity],StockCode[Stock Code],$C$56)+SUMIFS(MoveQty,MoveDate,"&lt;"&amp;$B150+1,MoveCode,$C$56,MoveType,$D$71)</f>
        <v>2429.5700000000002</v>
      </c>
      <c r="H150" s="188">
        <f t="shared" ca="1" si="9"/>
        <v>32.355635069373186</v>
      </c>
      <c r="I150" s="188" cm="1">
        <f t="array" aca="1" ref="I150" ca="1">SUMIFS(StockCode[Opening Value],StockCode[Stock Code],$C$56)+SUMIFS(MoveAmount,MoveDate,"&lt;"&amp;$B150+1,MoveCode,$C$56,MoveType,$D$71)</f>
        <v>78610.28029549701</v>
      </c>
    </row>
    <row r="151" spans="2:9" ht="24" customHeight="1" x14ac:dyDescent="0.3">
      <c r="B151" s="187">
        <f t="shared" ca="1" si="6"/>
        <v>44427</v>
      </c>
      <c r="C151" s="188">
        <f t="shared" ca="1" si="7"/>
        <v>78610.28029549701</v>
      </c>
      <c r="D151" s="188" cm="1">
        <f t="array" aca="1" ref="D151" ca="1">SUMIFS(MoveQty,MoveDate,"&gt;"&amp;$B151,MoveDate,"&lt;"&amp;$B151+1,MoveCode,$C$56,MoveType,$D$71)</f>
        <v>0</v>
      </c>
      <c r="E151" s="188">
        <f t="shared" ca="1" si="8"/>
        <v>0</v>
      </c>
      <c r="F151" s="188" cm="1">
        <f t="array" aca="1" ref="F151" ca="1">SUMIFS(MoveAmount,MoveDate,"&gt;"&amp;$B151,MoveDate,"&lt;"&amp;$B151+1,MoveCode,$C$56,MoveType,$D$71)</f>
        <v>0</v>
      </c>
      <c r="G151" s="188" cm="1">
        <f t="array" aca="1" ref="G151" ca="1">SUMIFS(StockCode[Opening Quantity],StockCode[Stock Code],$C$56)+SUMIFS(MoveQty,MoveDate,"&lt;"&amp;$B151+1,MoveCode,$C$56,MoveType,$D$71)</f>
        <v>2429.5700000000002</v>
      </c>
      <c r="H151" s="188">
        <f t="shared" ca="1" si="9"/>
        <v>32.355635069373186</v>
      </c>
      <c r="I151" s="188" cm="1">
        <f t="array" aca="1" ref="I151" ca="1">SUMIFS(StockCode[Opening Value],StockCode[Stock Code],$C$56)+SUMIFS(MoveAmount,MoveDate,"&lt;"&amp;$B151+1,MoveCode,$C$56,MoveType,$D$71)</f>
        <v>78610.28029549701</v>
      </c>
    </row>
    <row r="152" spans="2:9" ht="24" customHeight="1" x14ac:dyDescent="0.3">
      <c r="B152" s="187">
        <f t="shared" ca="1" si="6"/>
        <v>44428</v>
      </c>
      <c r="C152" s="188">
        <f t="shared" ca="1" si="7"/>
        <v>54158.756165329483</v>
      </c>
      <c r="D152" s="188" cm="1">
        <f t="array" aca="1" ref="D152" ca="1">SUMIFS(MoveQty,MoveDate,"&gt;"&amp;$B152,MoveDate,"&lt;"&amp;$B152+1,MoveCode,$C$56,MoveType,$D$71)</f>
        <v>-1093</v>
      </c>
      <c r="E152" s="188">
        <f t="shared" ca="1" si="8"/>
        <v>22.371019332266709</v>
      </c>
      <c r="F152" s="188" cm="1">
        <f t="array" aca="1" ref="F152" ca="1">SUMIFS(MoveAmount,MoveDate,"&gt;"&amp;$B152,MoveDate,"&lt;"&amp;$B152+1,MoveCode,$C$56,MoveType,$D$71)</f>
        <v>-24451.524130167512</v>
      </c>
      <c r="G152" s="188" cm="1">
        <f t="array" aca="1" ref="G152" ca="1">SUMIFS(StockCode[Opening Quantity],StockCode[Stock Code],$C$56)+SUMIFS(MoveQty,MoveDate,"&lt;"&amp;$B152+1,MoveCode,$C$56,MoveType,$D$71)</f>
        <v>1336.5700000000002</v>
      </c>
      <c r="H152" s="188">
        <f t="shared" ca="1" si="9"/>
        <v>40.520703117180155</v>
      </c>
      <c r="I152" s="188" cm="1">
        <f t="array" aca="1" ref="I152" ca="1">SUMIFS(StockCode[Opening Value],StockCode[Stock Code],$C$56)+SUMIFS(MoveAmount,MoveDate,"&lt;"&amp;$B152+1,MoveCode,$C$56,MoveType,$D$71)</f>
        <v>54158.756165329483</v>
      </c>
    </row>
    <row r="153" spans="2:9" ht="24" customHeight="1" x14ac:dyDescent="0.3">
      <c r="B153" s="187">
        <f t="shared" ca="1" si="6"/>
        <v>44429</v>
      </c>
      <c r="C153" s="188">
        <f t="shared" ca="1" si="7"/>
        <v>54158.756165329483</v>
      </c>
      <c r="D153" s="188" cm="1">
        <f t="array" aca="1" ref="D153" ca="1">SUMIFS(MoveQty,MoveDate,"&gt;"&amp;$B153,MoveDate,"&lt;"&amp;$B153+1,MoveCode,$C$56,MoveType,$D$71)</f>
        <v>0</v>
      </c>
      <c r="E153" s="188">
        <f t="shared" ca="1" si="8"/>
        <v>0</v>
      </c>
      <c r="F153" s="188" cm="1">
        <f t="array" aca="1" ref="F153" ca="1">SUMIFS(MoveAmount,MoveDate,"&gt;"&amp;$B153,MoveDate,"&lt;"&amp;$B153+1,MoveCode,$C$56,MoveType,$D$71)</f>
        <v>0</v>
      </c>
      <c r="G153" s="188" cm="1">
        <f t="array" aca="1" ref="G153" ca="1">SUMIFS(StockCode[Opening Quantity],StockCode[Stock Code],$C$56)+SUMIFS(MoveQty,MoveDate,"&lt;"&amp;$B153+1,MoveCode,$C$56,MoveType,$D$71)</f>
        <v>1336.5700000000002</v>
      </c>
      <c r="H153" s="188">
        <f t="shared" ca="1" si="9"/>
        <v>40.520703117180155</v>
      </c>
      <c r="I153" s="188" cm="1">
        <f t="array" aca="1" ref="I153" ca="1">SUMIFS(StockCode[Opening Value],StockCode[Stock Code],$C$56)+SUMIFS(MoveAmount,MoveDate,"&lt;"&amp;$B153+1,MoveCode,$C$56,MoveType,$D$71)</f>
        <v>54158.756165329483</v>
      </c>
    </row>
    <row r="154" spans="2:9" ht="24" customHeight="1" x14ac:dyDescent="0.3">
      <c r="B154" s="187">
        <f t="shared" ca="1" si="6"/>
        <v>44430</v>
      </c>
      <c r="C154" s="188">
        <f t="shared" ca="1" si="7"/>
        <v>54158.756165329483</v>
      </c>
      <c r="D154" s="188" cm="1">
        <f t="array" aca="1" ref="D154" ca="1">SUMIFS(MoveQty,MoveDate,"&gt;"&amp;$B154,MoveDate,"&lt;"&amp;$B154+1,MoveCode,$C$56,MoveType,$D$71)</f>
        <v>0</v>
      </c>
      <c r="E154" s="188">
        <f t="shared" ca="1" si="8"/>
        <v>0</v>
      </c>
      <c r="F154" s="188" cm="1">
        <f t="array" aca="1" ref="F154" ca="1">SUMIFS(MoveAmount,MoveDate,"&gt;"&amp;$B154,MoveDate,"&lt;"&amp;$B154+1,MoveCode,$C$56,MoveType,$D$71)</f>
        <v>0</v>
      </c>
      <c r="G154" s="188" cm="1">
        <f t="array" aca="1" ref="G154" ca="1">SUMIFS(StockCode[Opening Quantity],StockCode[Stock Code],$C$56)+SUMIFS(MoveQty,MoveDate,"&lt;"&amp;$B154+1,MoveCode,$C$56,MoveType,$D$71)</f>
        <v>1336.5700000000002</v>
      </c>
      <c r="H154" s="188">
        <f t="shared" ca="1" si="9"/>
        <v>40.520703117180155</v>
      </c>
      <c r="I154" s="188" cm="1">
        <f t="array" aca="1" ref="I154" ca="1">SUMIFS(StockCode[Opening Value],StockCode[Stock Code],$C$56)+SUMIFS(MoveAmount,MoveDate,"&lt;"&amp;$B154+1,MoveCode,$C$56,MoveType,$D$71)</f>
        <v>54158.756165329483</v>
      </c>
    </row>
    <row r="155" spans="2:9" ht="24" customHeight="1" x14ac:dyDescent="0.3">
      <c r="B155" s="187">
        <f t="shared" ca="1" si="6"/>
        <v>44431</v>
      </c>
      <c r="C155" s="188">
        <f t="shared" ca="1" si="7"/>
        <v>54158.756165329483</v>
      </c>
      <c r="D155" s="188" cm="1">
        <f t="array" aca="1" ref="D155" ca="1">SUMIFS(MoveQty,MoveDate,"&gt;"&amp;$B155,MoveDate,"&lt;"&amp;$B155+1,MoveCode,$C$56,MoveType,$D$71)</f>
        <v>0</v>
      </c>
      <c r="E155" s="188">
        <f t="shared" ca="1" si="8"/>
        <v>0</v>
      </c>
      <c r="F155" s="188" cm="1">
        <f t="array" aca="1" ref="F155" ca="1">SUMIFS(MoveAmount,MoveDate,"&gt;"&amp;$B155,MoveDate,"&lt;"&amp;$B155+1,MoveCode,$C$56,MoveType,$D$71)</f>
        <v>0</v>
      </c>
      <c r="G155" s="188" cm="1">
        <f t="array" aca="1" ref="G155" ca="1">SUMIFS(StockCode[Opening Quantity],StockCode[Stock Code],$C$56)+SUMIFS(MoveQty,MoveDate,"&lt;"&amp;$B155+1,MoveCode,$C$56,MoveType,$D$71)</f>
        <v>1336.5700000000002</v>
      </c>
      <c r="H155" s="188">
        <f t="shared" ca="1" si="9"/>
        <v>40.520703117180155</v>
      </c>
      <c r="I155" s="188" cm="1">
        <f t="array" aca="1" ref="I155" ca="1">SUMIFS(StockCode[Opening Value],StockCode[Stock Code],$C$56)+SUMIFS(MoveAmount,MoveDate,"&lt;"&amp;$B155+1,MoveCode,$C$56,MoveType,$D$71)</f>
        <v>54158.756165329483</v>
      </c>
    </row>
    <row r="156" spans="2:9" ht="24" customHeight="1" x14ac:dyDescent="0.3">
      <c r="B156" s="187">
        <f t="shared" ca="1" si="6"/>
        <v>44432</v>
      </c>
      <c r="C156" s="188">
        <f t="shared" ca="1" si="7"/>
        <v>54158.756165329483</v>
      </c>
      <c r="D156" s="188" cm="1">
        <f t="array" aca="1" ref="D156" ca="1">SUMIFS(MoveQty,MoveDate,"&gt;"&amp;$B156,MoveDate,"&lt;"&amp;$B156+1,MoveCode,$C$56,MoveType,$D$71)</f>
        <v>0</v>
      </c>
      <c r="E156" s="188">
        <f t="shared" ca="1" si="8"/>
        <v>0</v>
      </c>
      <c r="F156" s="188" cm="1">
        <f t="array" aca="1" ref="F156" ca="1">SUMIFS(MoveAmount,MoveDate,"&gt;"&amp;$B156,MoveDate,"&lt;"&amp;$B156+1,MoveCode,$C$56,MoveType,$D$71)</f>
        <v>0</v>
      </c>
      <c r="G156" s="188" cm="1">
        <f t="array" aca="1" ref="G156" ca="1">SUMIFS(StockCode[Opening Quantity],StockCode[Stock Code],$C$56)+SUMIFS(MoveQty,MoveDate,"&lt;"&amp;$B156+1,MoveCode,$C$56,MoveType,$D$71)</f>
        <v>1336.5700000000002</v>
      </c>
      <c r="H156" s="188">
        <f t="shared" ca="1" si="9"/>
        <v>40.520703117180155</v>
      </c>
      <c r="I156" s="188" cm="1">
        <f t="array" aca="1" ref="I156" ca="1">SUMIFS(StockCode[Opening Value],StockCode[Stock Code],$C$56)+SUMIFS(MoveAmount,MoveDate,"&lt;"&amp;$B156+1,MoveCode,$C$56,MoveType,$D$71)</f>
        <v>54158.756165329483</v>
      </c>
    </row>
    <row r="157" spans="2:9" ht="24" customHeight="1" x14ac:dyDescent="0.3">
      <c r="B157" s="187">
        <f t="shared" ca="1" si="6"/>
        <v>44433</v>
      </c>
      <c r="C157" s="188">
        <f t="shared" ca="1" si="7"/>
        <v>74671.556165329486</v>
      </c>
      <c r="D157" s="188" cm="1">
        <f t="array" aca="1" ref="D157" ca="1">SUMIFS(MoveQty,MoveDate,"&gt;"&amp;$B157,MoveDate,"&lt;"&amp;$B157+1,MoveCode,$C$56,MoveType,$D$71)</f>
        <v>821</v>
      </c>
      <c r="E157" s="188">
        <f t="shared" ca="1" si="8"/>
        <v>24.985140073081606</v>
      </c>
      <c r="F157" s="188" cm="1">
        <f t="array" aca="1" ref="F157" ca="1">SUMIFS(MoveAmount,MoveDate,"&gt;"&amp;$B157,MoveDate,"&lt;"&amp;$B157+1,MoveCode,$C$56,MoveType,$D$71)</f>
        <v>20512.8</v>
      </c>
      <c r="G157" s="188" cm="1">
        <f t="array" aca="1" ref="G157" ca="1">SUMIFS(StockCode[Opening Quantity],StockCode[Stock Code],$C$56)+SUMIFS(MoveQty,MoveDate,"&lt;"&amp;$B157+1,MoveCode,$C$56,MoveType,$D$71)</f>
        <v>2157.5700000000002</v>
      </c>
      <c r="H157" s="188">
        <f t="shared" ca="1" si="9"/>
        <v>34.609100129001369</v>
      </c>
      <c r="I157" s="188" cm="1">
        <f t="array" aca="1" ref="I157" ca="1">SUMIFS(StockCode[Opening Value],StockCode[Stock Code],$C$56)+SUMIFS(MoveAmount,MoveDate,"&lt;"&amp;$B157+1,MoveCode,$C$56,MoveType,$D$71)</f>
        <v>74671.556165329486</v>
      </c>
    </row>
    <row r="158" spans="2:9" ht="24" customHeight="1" x14ac:dyDescent="0.3">
      <c r="B158" s="187">
        <f t="shared" ca="1" si="6"/>
        <v>44434</v>
      </c>
      <c r="C158" s="188">
        <f t="shared" ca="1" si="7"/>
        <v>74671.556165329486</v>
      </c>
      <c r="D158" s="188" cm="1">
        <f t="array" aca="1" ref="D158" ca="1">SUMIFS(MoveQty,MoveDate,"&gt;"&amp;$B158,MoveDate,"&lt;"&amp;$B158+1,MoveCode,$C$56,MoveType,$D$71)</f>
        <v>0</v>
      </c>
      <c r="E158" s="188">
        <f t="shared" ca="1" si="8"/>
        <v>0</v>
      </c>
      <c r="F158" s="188" cm="1">
        <f t="array" aca="1" ref="F158" ca="1">SUMIFS(MoveAmount,MoveDate,"&gt;"&amp;$B158,MoveDate,"&lt;"&amp;$B158+1,MoveCode,$C$56,MoveType,$D$71)</f>
        <v>0</v>
      </c>
      <c r="G158" s="188" cm="1">
        <f t="array" aca="1" ref="G158" ca="1">SUMIFS(StockCode[Opening Quantity],StockCode[Stock Code],$C$56)+SUMIFS(MoveQty,MoveDate,"&lt;"&amp;$B158+1,MoveCode,$C$56,MoveType,$D$71)</f>
        <v>2157.5700000000002</v>
      </c>
      <c r="H158" s="188">
        <f t="shared" ca="1" si="9"/>
        <v>34.609100129001369</v>
      </c>
      <c r="I158" s="188" cm="1">
        <f t="array" aca="1" ref="I158" ca="1">SUMIFS(StockCode[Opening Value],StockCode[Stock Code],$C$56)+SUMIFS(MoveAmount,MoveDate,"&lt;"&amp;$B158+1,MoveCode,$C$56,MoveType,$D$71)</f>
        <v>74671.556165329486</v>
      </c>
    </row>
    <row r="159" spans="2:9" ht="24" customHeight="1" x14ac:dyDescent="0.3">
      <c r="B159" s="187">
        <f t="shared" ca="1" si="6"/>
        <v>44435</v>
      </c>
      <c r="C159" s="188">
        <f t="shared" ca="1" si="7"/>
        <v>39896.420766021343</v>
      </c>
      <c r="D159" s="188" cm="1">
        <f t="array" aca="1" ref="D159" ca="1">SUMIFS(MoveQty,MoveDate,"&gt;"&amp;$B159,MoveDate,"&lt;"&amp;$B159+1,MoveCode,$C$56,MoveType,$D$71)</f>
        <v>-1279</v>
      </c>
      <c r="E159" s="188">
        <f t="shared" ca="1" si="8"/>
        <v>27.189316183978221</v>
      </c>
      <c r="F159" s="188" cm="1">
        <f t="array" aca="1" ref="F159" ca="1">SUMIFS(MoveAmount,MoveDate,"&gt;"&amp;$B159,MoveDate,"&lt;"&amp;$B159+1,MoveCode,$C$56,MoveType,$D$71)</f>
        <v>-34775.135399308143</v>
      </c>
      <c r="G159" s="188" cm="1">
        <f t="array" aca="1" ref="G159" ca="1">SUMIFS(StockCode[Opening Quantity],StockCode[Stock Code],$C$56)+SUMIFS(MoveQty,MoveDate,"&lt;"&amp;$B159+1,MoveCode,$C$56,MoveType,$D$71)</f>
        <v>878.57000000000016</v>
      </c>
      <c r="H159" s="188">
        <f t="shared" ca="1" si="9"/>
        <v>45.410634059917065</v>
      </c>
      <c r="I159" s="188" cm="1">
        <f t="array" aca="1" ref="I159" ca="1">SUMIFS(StockCode[Opening Value],StockCode[Stock Code],$C$56)+SUMIFS(MoveAmount,MoveDate,"&lt;"&amp;$B159+1,MoveCode,$C$56,MoveType,$D$71)</f>
        <v>39896.420766021343</v>
      </c>
    </row>
    <row r="160" spans="2:9" ht="24" customHeight="1" x14ac:dyDescent="0.3">
      <c r="B160" s="187">
        <f t="shared" ca="1" si="6"/>
        <v>44436</v>
      </c>
      <c r="C160" s="188">
        <f t="shared" ca="1" si="7"/>
        <v>39896.420766021343</v>
      </c>
      <c r="D160" s="188" cm="1">
        <f t="array" aca="1" ref="D160" ca="1">SUMIFS(MoveQty,MoveDate,"&gt;"&amp;$B160,MoveDate,"&lt;"&amp;$B160+1,MoveCode,$C$56,MoveType,$D$71)</f>
        <v>0</v>
      </c>
      <c r="E160" s="188">
        <f t="shared" ca="1" si="8"/>
        <v>0</v>
      </c>
      <c r="F160" s="188" cm="1">
        <f t="array" aca="1" ref="F160" ca="1">SUMIFS(MoveAmount,MoveDate,"&gt;"&amp;$B160,MoveDate,"&lt;"&amp;$B160+1,MoveCode,$C$56,MoveType,$D$71)</f>
        <v>0</v>
      </c>
      <c r="G160" s="188" cm="1">
        <f t="array" aca="1" ref="G160" ca="1">SUMIFS(StockCode[Opening Quantity],StockCode[Stock Code],$C$56)+SUMIFS(MoveQty,MoveDate,"&lt;"&amp;$B160+1,MoveCode,$C$56,MoveType,$D$71)</f>
        <v>878.57000000000016</v>
      </c>
      <c r="H160" s="188">
        <f t="shared" ca="1" si="9"/>
        <v>45.410634059917065</v>
      </c>
      <c r="I160" s="188" cm="1">
        <f t="array" aca="1" ref="I160" ca="1">SUMIFS(StockCode[Opening Value],StockCode[Stock Code],$C$56)+SUMIFS(MoveAmount,MoveDate,"&lt;"&amp;$B160+1,MoveCode,$C$56,MoveType,$D$71)</f>
        <v>39896.420766021343</v>
      </c>
    </row>
    <row r="161" spans="1:9" ht="24" customHeight="1" x14ac:dyDescent="0.3">
      <c r="B161" s="187">
        <f t="shared" ca="1" si="6"/>
        <v>44437</v>
      </c>
      <c r="C161" s="188">
        <f t="shared" ca="1" si="7"/>
        <v>39896.420766021343</v>
      </c>
      <c r="D161" s="188" cm="1">
        <f t="array" aca="1" ref="D161" ca="1">SUMIFS(MoveQty,MoveDate,"&gt;"&amp;$B161,MoveDate,"&lt;"&amp;$B161+1,MoveCode,$C$56,MoveType,$D$71)</f>
        <v>0</v>
      </c>
      <c r="E161" s="188">
        <f t="shared" ca="1" si="8"/>
        <v>0</v>
      </c>
      <c r="F161" s="188" cm="1">
        <f t="array" aca="1" ref="F161" ca="1">SUMIFS(MoveAmount,MoveDate,"&gt;"&amp;$B161,MoveDate,"&lt;"&amp;$B161+1,MoveCode,$C$56,MoveType,$D$71)</f>
        <v>0</v>
      </c>
      <c r="G161" s="188" cm="1">
        <f t="array" aca="1" ref="G161" ca="1">SUMIFS(StockCode[Opening Quantity],StockCode[Stock Code],$C$56)+SUMIFS(MoveQty,MoveDate,"&lt;"&amp;$B161+1,MoveCode,$C$56,MoveType,$D$71)</f>
        <v>878.57000000000016</v>
      </c>
      <c r="H161" s="188">
        <f t="shared" ca="1" si="9"/>
        <v>45.410634059917065</v>
      </c>
      <c r="I161" s="188" cm="1">
        <f t="array" aca="1" ref="I161" ca="1">SUMIFS(StockCode[Opening Value],StockCode[Stock Code],$C$56)+SUMIFS(MoveAmount,MoveDate,"&lt;"&amp;$B161+1,MoveCode,$C$56,MoveType,$D$71)</f>
        <v>39896.420766021343</v>
      </c>
    </row>
    <row r="162" spans="1:9" ht="24" customHeight="1" x14ac:dyDescent="0.3">
      <c r="B162" s="187">
        <f t="shared" ca="1" si="6"/>
        <v>44438</v>
      </c>
      <c r="C162" s="188">
        <f t="shared" ca="1" si="7"/>
        <v>39896.420766021343</v>
      </c>
      <c r="D162" s="188" cm="1">
        <f t="array" aca="1" ref="D162" ca="1">SUMIFS(MoveQty,MoveDate,"&gt;"&amp;$B162,MoveDate,"&lt;"&amp;$B162+1,MoveCode,$C$56,MoveType,$D$71)</f>
        <v>0</v>
      </c>
      <c r="E162" s="188">
        <f t="shared" ca="1" si="8"/>
        <v>0</v>
      </c>
      <c r="F162" s="188" cm="1">
        <f t="array" aca="1" ref="F162" ca="1">SUMIFS(MoveAmount,MoveDate,"&gt;"&amp;$B162,MoveDate,"&lt;"&amp;$B162+1,MoveCode,$C$56,MoveType,$D$71)</f>
        <v>0</v>
      </c>
      <c r="G162" s="188" cm="1">
        <f t="array" aca="1" ref="G162" ca="1">SUMIFS(StockCode[Opening Quantity],StockCode[Stock Code],$C$56)+SUMIFS(MoveQty,MoveDate,"&lt;"&amp;$B162+1,MoveCode,$C$56,MoveType,$D$71)</f>
        <v>878.57000000000016</v>
      </c>
      <c r="H162" s="188">
        <f t="shared" ca="1" si="9"/>
        <v>45.410634059917065</v>
      </c>
      <c r="I162" s="188" cm="1">
        <f t="array" aca="1" ref="I162" ca="1">SUMIFS(StockCode[Opening Value],StockCode[Stock Code],$C$56)+SUMIFS(MoveAmount,MoveDate,"&lt;"&amp;$B162+1,MoveCode,$C$56,MoveType,$D$71)</f>
        <v>39896.420766021343</v>
      </c>
    </row>
    <row r="163" spans="1:9" ht="24" customHeight="1" x14ac:dyDescent="0.3">
      <c r="B163" s="187">
        <f t="shared" ca="1" si="6"/>
        <v>44439</v>
      </c>
      <c r="C163" s="188">
        <f t="shared" ca="1" si="7"/>
        <v>31558.063491967645</v>
      </c>
      <c r="D163" s="188" cm="1">
        <f t="array" aca="1" ref="D163" ca="1">SUMIFS(MoveQty,MoveDate,"&gt;"&amp;$B163,MoveDate,"&lt;"&amp;$B163+1,MoveCode,$C$56,MoveType,$D$71)</f>
        <v>-162.33000000000001</v>
      </c>
      <c r="E163" s="188">
        <f t="shared" ca="1" si="8"/>
        <v>51.366705316661736</v>
      </c>
      <c r="F163" s="188" cm="1">
        <f t="array" aca="1" ref="F163" ca="1">SUMIFS(MoveAmount,MoveDate,"&gt;"&amp;$B163,MoveDate,"&lt;"&amp;$B163+1,MoveCode,$C$56,MoveType,$D$71)</f>
        <v>-8338.3572740537002</v>
      </c>
      <c r="G163" s="188" cm="1">
        <f t="array" aca="1" ref="G163" ca="1">SUMIFS(StockCode[Opening Quantity],StockCode[Stock Code],$C$56)+SUMIFS(MoveQty,MoveDate,"&lt;"&amp;$B163+1,MoveCode,$C$56,MoveType,$D$71)</f>
        <v>716.24000000000012</v>
      </c>
      <c r="H163" s="188">
        <f t="shared" ca="1" si="9"/>
        <v>44.060738707650565</v>
      </c>
      <c r="I163" s="188" cm="1">
        <f t="array" aca="1" ref="I163" ca="1">SUMIFS(StockCode[Opening Value],StockCode[Stock Code],$C$56)+SUMIFS(MoveAmount,MoveDate,"&lt;"&amp;$B163+1,MoveCode,$C$56,MoveType,$D$71)</f>
        <v>31558.063491967645</v>
      </c>
    </row>
    <row r="164" spans="1:9" ht="24" customHeight="1" x14ac:dyDescent="0.3">
      <c r="A164" s="129" t="s">
        <v>206</v>
      </c>
      <c r="C164" s="184">
        <v>13</v>
      </c>
      <c r="D164" s="129" t="str">
        <f>$C164&amp;"-Week "&amp;$E$71&amp;" Report"</f>
        <v>13-Week Balance Report</v>
      </c>
      <c r="E164" s="184"/>
    </row>
    <row r="165" spans="1:9" ht="24" customHeight="1" x14ac:dyDescent="0.3">
      <c r="B165" s="129" t="s">
        <v>76</v>
      </c>
      <c r="C165" s="184" t="s">
        <v>171</v>
      </c>
      <c r="D165" s="184" t="s">
        <v>187</v>
      </c>
      <c r="E165" s="184" t="s">
        <v>190</v>
      </c>
      <c r="F165" s="184" t="s">
        <v>191</v>
      </c>
      <c r="G165" s="184" t="s">
        <v>195</v>
      </c>
      <c r="H165" s="184" t="s">
        <v>198</v>
      </c>
      <c r="I165" s="184" t="s">
        <v>196</v>
      </c>
    </row>
    <row r="166" spans="1:9" ht="24" customHeight="1" x14ac:dyDescent="0.3">
      <c r="B166" s="187">
        <f ca="1">$D$55+IF(WEEKDAY($D$55,2)&lt;&gt;7,7-WEEKDAY($D$55,2),0)-(7*$C$164)+((ROW($C166)-ROW($C$165))*7)</f>
        <v>44360</v>
      </c>
      <c r="C166" s="188">
        <f ca="1">IF(ISNUMBER(B166),IF($E$71="Movement",IF($C$71="Quantity",D166,IF($C$71="Cost",E166,F166)),IF($C$71="Quantity",G166,IF($C$71="Cost",H166,I166))),"")</f>
        <v>18190</v>
      </c>
      <c r="D166" s="188" cm="1">
        <f t="array" aca="1" ref="D166" ca="1">SUMIFS(MoveQty,MoveDate,"&gt;"&amp;B166-6,MoveDate,"&lt;"&amp;$B166+1,MoveCode,$C$56,MoveType,$D$71)</f>
        <v>0</v>
      </c>
      <c r="E166" s="188">
        <f ca="1">IF(D166=0,0,F166/D166)</f>
        <v>0</v>
      </c>
      <c r="F166" s="188" cm="1">
        <f t="array" aca="1" ref="F166" ca="1">SUMIFS(MoveAmount,MoveDate,"&gt;"&amp;B166-6,MoveDate,"&lt;"&amp;$B166+1,MoveCode,$C$56,MoveType,$D$71)</f>
        <v>0</v>
      </c>
      <c r="G166" s="188" cm="1">
        <f t="array" aca="1" ref="G166" ca="1">SUMIFS(StockCode[Opening Quantity],StockCode[Stock Code],$C$56)+SUMIFS(MoveQty,MoveDate,"&lt;"&amp;$B166+1,MoveCode,$C$56,MoveType,$D$71)</f>
        <v>988</v>
      </c>
      <c r="H166" s="188">
        <f ca="1">IF(G166=0,0,I166/G166)</f>
        <v>18.410931174089068</v>
      </c>
      <c r="I166" s="188" cm="1">
        <f t="array" aca="1" ref="I166" ca="1">SUMIFS(StockCode[Opening Value],StockCode[Stock Code],$C$56)+SUMIFS(MoveAmount,MoveDate,"&lt;"&amp;$B166+1,MoveCode,$C$56,MoveType,$D$71)</f>
        <v>18190</v>
      </c>
    </row>
    <row r="167" spans="1:9" ht="24" customHeight="1" x14ac:dyDescent="0.3">
      <c r="B167" s="187">
        <f t="shared" ref="B167:B178" ca="1" si="10">$D$55+IF(WEEKDAY($D$55,2)&lt;&gt;7,7-WEEKDAY($D$55,2),0)-(7*$C$164)+((ROW($C167)-ROW($C$165))*7)</f>
        <v>44367</v>
      </c>
      <c r="C167" s="188">
        <f t="shared" ref="C167:C178" ca="1" si="11">IF(ISNUMBER(B167),IF($E$71="Movement",IF($C$71="Quantity",D167,IF($C$71="Cost",E167,F167)),IF($C$71="Quantity",G167,IF($C$71="Cost",H167,I167))),"")</f>
        <v>18190</v>
      </c>
      <c r="D167" s="188" cm="1">
        <f t="array" aca="1" ref="D167" ca="1">SUMIFS(MoveQty,MoveDate,"&gt;"&amp;B167-6,MoveDate,"&lt;"&amp;$B167+1,MoveCode,$C$56,MoveType,$D$71)</f>
        <v>0</v>
      </c>
      <c r="E167" s="188">
        <f t="shared" ref="E167:E178" ca="1" si="12">IF(D167=0,0,F167/D167)</f>
        <v>0</v>
      </c>
      <c r="F167" s="188" cm="1">
        <f t="array" aca="1" ref="F167" ca="1">SUMIFS(MoveAmount,MoveDate,"&gt;"&amp;B167-6,MoveDate,"&lt;"&amp;$B167+1,MoveCode,$C$56,MoveType,$D$71)</f>
        <v>0</v>
      </c>
      <c r="G167" s="188" cm="1">
        <f t="array" aca="1" ref="G167" ca="1">SUMIFS(StockCode[Opening Quantity],StockCode[Stock Code],$C$56)+SUMIFS(MoveQty,MoveDate,"&lt;"&amp;$B167+1,MoveCode,$C$56,MoveType,$D$71)</f>
        <v>988</v>
      </c>
      <c r="H167" s="188">
        <f t="shared" ref="H167:H178" ca="1" si="13">IF(G167=0,0,I167/G167)</f>
        <v>18.410931174089068</v>
      </c>
      <c r="I167" s="188" cm="1">
        <f t="array" aca="1" ref="I167" ca="1">SUMIFS(StockCode[Opening Value],StockCode[Stock Code],$C$56)+SUMIFS(MoveAmount,MoveDate,"&lt;"&amp;$B167+1,MoveCode,$C$56,MoveType,$D$71)</f>
        <v>18190</v>
      </c>
    </row>
    <row r="168" spans="1:9" ht="24" customHeight="1" x14ac:dyDescent="0.3">
      <c r="B168" s="187">
        <f t="shared" ca="1" si="10"/>
        <v>44374</v>
      </c>
      <c r="C168" s="188">
        <f t="shared" ca="1" si="11"/>
        <v>18190</v>
      </c>
      <c r="D168" s="188" cm="1">
        <f t="array" aca="1" ref="D168" ca="1">SUMIFS(MoveQty,MoveDate,"&gt;"&amp;B168-6,MoveDate,"&lt;"&amp;$B168+1,MoveCode,$C$56,MoveType,$D$71)</f>
        <v>0</v>
      </c>
      <c r="E168" s="188">
        <f t="shared" ca="1" si="12"/>
        <v>0</v>
      </c>
      <c r="F168" s="188" cm="1">
        <f t="array" aca="1" ref="F168" ca="1">SUMIFS(MoveAmount,MoveDate,"&gt;"&amp;B168-6,MoveDate,"&lt;"&amp;$B168+1,MoveCode,$C$56,MoveType,$D$71)</f>
        <v>0</v>
      </c>
      <c r="G168" s="188" cm="1">
        <f t="array" aca="1" ref="G168" ca="1">SUMIFS(StockCode[Opening Quantity],StockCode[Stock Code],$C$56)+SUMIFS(MoveQty,MoveDate,"&lt;"&amp;$B168+1,MoveCode,$C$56,MoveType,$D$71)</f>
        <v>988</v>
      </c>
      <c r="H168" s="188">
        <f t="shared" ca="1" si="13"/>
        <v>18.410931174089068</v>
      </c>
      <c r="I168" s="188" cm="1">
        <f t="array" aca="1" ref="I168" ca="1">SUMIFS(StockCode[Opening Value],StockCode[Stock Code],$C$56)+SUMIFS(MoveAmount,MoveDate,"&lt;"&amp;$B168+1,MoveCode,$C$56,MoveType,$D$71)</f>
        <v>18190</v>
      </c>
    </row>
    <row r="169" spans="1:9" ht="24" customHeight="1" x14ac:dyDescent="0.3">
      <c r="B169" s="187">
        <f t="shared" ca="1" si="10"/>
        <v>44381</v>
      </c>
      <c r="C169" s="188">
        <f t="shared" ca="1" si="11"/>
        <v>18190</v>
      </c>
      <c r="D169" s="188" cm="1">
        <f t="array" aca="1" ref="D169" ca="1">SUMIFS(MoveQty,MoveDate,"&gt;"&amp;B169-6,MoveDate,"&lt;"&amp;$B169+1,MoveCode,$C$56,MoveType,$D$71)</f>
        <v>0</v>
      </c>
      <c r="E169" s="188">
        <f t="shared" ca="1" si="12"/>
        <v>0</v>
      </c>
      <c r="F169" s="188" cm="1">
        <f t="array" aca="1" ref="F169" ca="1">SUMIFS(MoveAmount,MoveDate,"&gt;"&amp;B169-6,MoveDate,"&lt;"&amp;$B169+1,MoveCode,$C$56,MoveType,$D$71)</f>
        <v>0</v>
      </c>
      <c r="G169" s="188" cm="1">
        <f t="array" aca="1" ref="G169" ca="1">SUMIFS(StockCode[Opening Quantity],StockCode[Stock Code],$C$56)+SUMIFS(MoveQty,MoveDate,"&lt;"&amp;$B169+1,MoveCode,$C$56,MoveType,$D$71)</f>
        <v>988</v>
      </c>
      <c r="H169" s="188">
        <f t="shared" ca="1" si="13"/>
        <v>18.410931174089068</v>
      </c>
      <c r="I169" s="188" cm="1">
        <f t="array" aca="1" ref="I169" ca="1">SUMIFS(StockCode[Opening Value],StockCode[Stock Code],$C$56)+SUMIFS(MoveAmount,MoveDate,"&lt;"&amp;$B169+1,MoveCode,$C$56,MoveType,$D$71)</f>
        <v>18190</v>
      </c>
    </row>
    <row r="170" spans="1:9" ht="24" customHeight="1" x14ac:dyDescent="0.3">
      <c r="B170" s="187">
        <f t="shared" ca="1" si="10"/>
        <v>44388</v>
      </c>
      <c r="C170" s="188">
        <f t="shared" ca="1" si="11"/>
        <v>27739.237693078856</v>
      </c>
      <c r="D170" s="188" cm="1">
        <f t="array" aca="1" ref="D170" ca="1">SUMIFS(MoveQty,MoveDate,"&gt;"&amp;B170-6,MoveDate,"&lt;"&amp;$B170+1,MoveCode,$C$56,MoveType,$D$71)</f>
        <v>348.8300000000001</v>
      </c>
      <c r="E170" s="188">
        <f t="shared" ca="1" si="12"/>
        <v>27.375047137800227</v>
      </c>
      <c r="F170" s="188" cm="1">
        <f t="array" aca="1" ref="F170" ca="1">SUMIFS(MoveAmount,MoveDate,"&gt;"&amp;B170-6,MoveDate,"&lt;"&amp;$B170+1,MoveCode,$C$56,MoveType,$D$71)</f>
        <v>9549.237693078856</v>
      </c>
      <c r="G170" s="188" cm="1">
        <f t="array" aca="1" ref="G170" ca="1">SUMIFS(StockCode[Opening Quantity],StockCode[Stock Code],$C$56)+SUMIFS(MoveQty,MoveDate,"&lt;"&amp;$B170+1,MoveCode,$C$56,MoveType,$D$71)</f>
        <v>1336.8300000000002</v>
      </c>
      <c r="H170" s="188">
        <f t="shared" ca="1" si="13"/>
        <v>20.750011365004415</v>
      </c>
      <c r="I170" s="188" cm="1">
        <f t="array" aca="1" ref="I170" ca="1">SUMIFS(StockCode[Opening Value],StockCode[Stock Code],$C$56)+SUMIFS(MoveAmount,MoveDate,"&lt;"&amp;$B170+1,MoveCode,$C$56,MoveType,$D$71)</f>
        <v>27739.237693078856</v>
      </c>
    </row>
    <row r="171" spans="1:9" ht="24" customHeight="1" x14ac:dyDescent="0.3">
      <c r="B171" s="187">
        <f t="shared" ca="1" si="10"/>
        <v>44395</v>
      </c>
      <c r="C171" s="188">
        <f t="shared" ca="1" si="11"/>
        <v>36048.983216569788</v>
      </c>
      <c r="D171" s="188" cm="1">
        <f t="array" aca="1" ref="D171" ca="1">SUMIFS(MoveQty,MoveDate,"&gt;"&amp;B171-6,MoveDate,"&lt;"&amp;$B171+1,MoveCode,$C$56,MoveType,$D$71)</f>
        <v>210</v>
      </c>
      <c r="E171" s="188">
        <f t="shared" ca="1" si="12"/>
        <v>39.570216778528199</v>
      </c>
      <c r="F171" s="188" cm="1">
        <f t="array" aca="1" ref="F171" ca="1">SUMIFS(MoveAmount,MoveDate,"&gt;"&amp;B171-6,MoveDate,"&lt;"&amp;$B171+1,MoveCode,$C$56,MoveType,$D$71)</f>
        <v>8309.7455234909212</v>
      </c>
      <c r="G171" s="188" cm="1">
        <f t="array" aca="1" ref="G171" ca="1">SUMIFS(StockCode[Opening Quantity],StockCode[Stock Code],$C$56)+SUMIFS(MoveQty,MoveDate,"&lt;"&amp;$B171+1,MoveCode,$C$56,MoveType,$D$71)</f>
        <v>1546.8300000000002</v>
      </c>
      <c r="H171" s="188">
        <f t="shared" ca="1" si="13"/>
        <v>23.305071156216123</v>
      </c>
      <c r="I171" s="188" cm="1">
        <f t="array" aca="1" ref="I171" ca="1">SUMIFS(StockCode[Opening Value],StockCode[Stock Code],$C$56)+SUMIFS(MoveAmount,MoveDate,"&lt;"&amp;$B171+1,MoveCode,$C$56,MoveType,$D$71)</f>
        <v>36048.983216569788</v>
      </c>
    </row>
    <row r="172" spans="1:9" ht="24" customHeight="1" x14ac:dyDescent="0.3">
      <c r="B172" s="187">
        <f t="shared" ca="1" si="10"/>
        <v>44402</v>
      </c>
      <c r="C172" s="188">
        <f t="shared" ca="1" si="11"/>
        <v>40251.835088728723</v>
      </c>
      <c r="D172" s="188" cm="1">
        <f t="array" aca="1" ref="D172" ca="1">SUMIFS(MoveQty,MoveDate,"&gt;"&amp;B172-6,MoveDate,"&lt;"&amp;$B172+1,MoveCode,$C$56,MoveType,$D$71)</f>
        <v>-53</v>
      </c>
      <c r="E172" s="188">
        <f t="shared" ca="1" si="12"/>
        <v>-79.29909192752703</v>
      </c>
      <c r="F172" s="188" cm="1">
        <f t="array" aca="1" ref="F172" ca="1">SUMIFS(MoveAmount,MoveDate,"&gt;"&amp;B172-6,MoveDate,"&lt;"&amp;$B172+1,MoveCode,$C$56,MoveType,$D$71)</f>
        <v>4202.8518721589326</v>
      </c>
      <c r="G172" s="188" cm="1">
        <f t="array" aca="1" ref="G172" ca="1">SUMIFS(StockCode[Opening Quantity],StockCode[Stock Code],$C$56)+SUMIFS(MoveQty,MoveDate,"&lt;"&amp;$B172+1,MoveCode,$C$56,MoveType,$D$71)</f>
        <v>1493.8300000000002</v>
      </c>
      <c r="H172" s="188">
        <f t="shared" ca="1" si="13"/>
        <v>26.945392105345803</v>
      </c>
      <c r="I172" s="188" cm="1">
        <f t="array" aca="1" ref="I172" ca="1">SUMIFS(StockCode[Opening Value],StockCode[Stock Code],$C$56)+SUMIFS(MoveAmount,MoveDate,"&lt;"&amp;$B172+1,MoveCode,$C$56,MoveType,$D$71)</f>
        <v>40251.835088728723</v>
      </c>
    </row>
    <row r="173" spans="1:9" ht="24" customHeight="1" x14ac:dyDescent="0.3">
      <c r="B173" s="187">
        <f t="shared" ca="1" si="10"/>
        <v>44409</v>
      </c>
      <c r="C173" s="188">
        <f t="shared" ca="1" si="11"/>
        <v>24459.585876587247</v>
      </c>
      <c r="D173" s="188" cm="1">
        <f t="array" aca="1" ref="D173" ca="1">SUMIFS(MoveQty,MoveDate,"&gt;"&amp;B173-6,MoveDate,"&lt;"&amp;$B173+1,MoveCode,$C$56,MoveType,$D$71)</f>
        <v>-692.09</v>
      </c>
      <c r="E173" s="188">
        <f t="shared" ca="1" si="12"/>
        <v>22.818201696515597</v>
      </c>
      <c r="F173" s="188" cm="1">
        <f t="array" aca="1" ref="F173" ca="1">SUMIFS(MoveAmount,MoveDate,"&gt;"&amp;B173-6,MoveDate,"&lt;"&amp;$B173+1,MoveCode,$C$56,MoveType,$D$71)</f>
        <v>-15792.249212141482</v>
      </c>
      <c r="G173" s="188" cm="1">
        <f t="array" aca="1" ref="G173" ca="1">SUMIFS(StockCode[Opening Quantity],StockCode[Stock Code],$C$56)+SUMIFS(MoveQty,MoveDate,"&lt;"&amp;$B173+1,MoveCode,$C$56,MoveType,$D$71)</f>
        <v>801.74000000000024</v>
      </c>
      <c r="H173" s="188">
        <f t="shared" ca="1" si="13"/>
        <v>30.508127169141169</v>
      </c>
      <c r="I173" s="188" cm="1">
        <f t="array" aca="1" ref="I173" ca="1">SUMIFS(StockCode[Opening Value],StockCode[Stock Code],$C$56)+SUMIFS(MoveAmount,MoveDate,"&lt;"&amp;$B173+1,MoveCode,$C$56,MoveType,$D$71)</f>
        <v>24459.585876587247</v>
      </c>
    </row>
    <row r="174" spans="1:9" ht="24" customHeight="1" x14ac:dyDescent="0.3">
      <c r="B174" s="187">
        <f t="shared" ca="1" si="10"/>
        <v>44416</v>
      </c>
      <c r="C174" s="188">
        <f t="shared" ca="1" si="11"/>
        <v>34690.915793915934</v>
      </c>
      <c r="D174" s="188" cm="1">
        <f t="array" aca="1" ref="D174" ca="1">SUMIFS(MoveQty,MoveDate,"&gt;"&amp;B174-6,MoveDate,"&lt;"&amp;$B174+1,MoveCode,$C$56,MoveType,$D$71)</f>
        <v>348.8300000000001</v>
      </c>
      <c r="E174" s="188">
        <f t="shared" ca="1" si="12"/>
        <v>29.330418591659811</v>
      </c>
      <c r="F174" s="188" cm="1">
        <f t="array" aca="1" ref="F174" ca="1">SUMIFS(MoveAmount,MoveDate,"&gt;"&amp;B174-6,MoveDate,"&lt;"&amp;$B174+1,MoveCode,$C$56,MoveType,$D$71)</f>
        <v>10231.329917328694</v>
      </c>
      <c r="G174" s="188" cm="1">
        <f t="array" aca="1" ref="G174" ca="1">SUMIFS(StockCode[Opening Quantity],StockCode[Stock Code],$C$56)+SUMIFS(MoveQty,MoveDate,"&lt;"&amp;$B174+1,MoveCode,$C$56,MoveType,$D$71)</f>
        <v>1150.5700000000002</v>
      </c>
      <c r="H174" s="188">
        <f t="shared" ca="1" si="13"/>
        <v>30.151069290800152</v>
      </c>
      <c r="I174" s="188" cm="1">
        <f t="array" aca="1" ref="I174" ca="1">SUMIFS(StockCode[Opening Value],StockCode[Stock Code],$C$56)+SUMIFS(MoveAmount,MoveDate,"&lt;"&amp;$B174+1,MoveCode,$C$56,MoveType,$D$71)</f>
        <v>34690.915793915934</v>
      </c>
    </row>
    <row r="175" spans="1:9" ht="24" customHeight="1" x14ac:dyDescent="0.3">
      <c r="B175" s="187">
        <f t="shared" ca="1" si="10"/>
        <v>44423</v>
      </c>
      <c r="C175" s="188">
        <f t="shared" ca="1" si="11"/>
        <v>52274.28029549701</v>
      </c>
      <c r="D175" s="188" cm="1">
        <f t="array" aca="1" ref="D175" ca="1">SUMIFS(MoveQty,MoveDate,"&gt;"&amp;B175-6,MoveDate,"&lt;"&amp;$B175+1,MoveCode,$C$56,MoveType,$D$71)</f>
        <v>224</v>
      </c>
      <c r="E175" s="188">
        <f t="shared" ca="1" si="12"/>
        <v>78.497162953486992</v>
      </c>
      <c r="F175" s="188" cm="1">
        <f t="array" aca="1" ref="F175" ca="1">SUMIFS(MoveAmount,MoveDate,"&gt;"&amp;B175-6,MoveDate,"&lt;"&amp;$B175+1,MoveCode,$C$56,MoveType,$D$71)</f>
        <v>17583.364501581087</v>
      </c>
      <c r="G175" s="188" cm="1">
        <f t="array" aca="1" ref="G175" ca="1">SUMIFS(StockCode[Opening Quantity],StockCode[Stock Code],$C$56)+SUMIFS(MoveQty,MoveDate,"&lt;"&amp;$B175+1,MoveCode,$C$56,MoveType,$D$71)</f>
        <v>1374.5700000000002</v>
      </c>
      <c r="H175" s="188">
        <f t="shared" ca="1" si="13"/>
        <v>38.029551274578232</v>
      </c>
      <c r="I175" s="188" cm="1">
        <f t="array" aca="1" ref="I175" ca="1">SUMIFS(StockCode[Opening Value],StockCode[Stock Code],$C$56)+SUMIFS(MoveAmount,MoveDate,"&lt;"&amp;$B175+1,MoveCode,$C$56,MoveType,$D$71)</f>
        <v>52274.28029549701</v>
      </c>
    </row>
    <row r="176" spans="1:9" ht="24" customHeight="1" x14ac:dyDescent="0.3">
      <c r="B176" s="187">
        <f t="shared" ca="1" si="10"/>
        <v>44430</v>
      </c>
      <c r="C176" s="188">
        <f t="shared" ca="1" si="11"/>
        <v>54158.756165329483</v>
      </c>
      <c r="D176" s="188" cm="1">
        <f t="array" aca="1" ref="D176" ca="1">SUMIFS(MoveQty,MoveDate,"&gt;"&amp;B176-6,MoveDate,"&lt;"&amp;$B176+1,MoveCode,$C$56,MoveType,$D$71)</f>
        <v>-38</v>
      </c>
      <c r="E176" s="188">
        <f t="shared" ca="1" si="12"/>
        <v>-49.591470258749538</v>
      </c>
      <c r="F176" s="188" cm="1">
        <f t="array" aca="1" ref="F176" ca="1">SUMIFS(MoveAmount,MoveDate,"&gt;"&amp;B176-6,MoveDate,"&lt;"&amp;$B176+1,MoveCode,$C$56,MoveType,$D$71)</f>
        <v>1884.4758698324824</v>
      </c>
      <c r="G176" s="188" cm="1">
        <f t="array" aca="1" ref="G176" ca="1">SUMIFS(StockCode[Opening Quantity],StockCode[Stock Code],$C$56)+SUMIFS(MoveQty,MoveDate,"&lt;"&amp;$B176+1,MoveCode,$C$56,MoveType,$D$71)</f>
        <v>1336.5700000000002</v>
      </c>
      <c r="H176" s="188">
        <f t="shared" ca="1" si="13"/>
        <v>40.520703117180155</v>
      </c>
      <c r="I176" s="188" cm="1">
        <f t="array" aca="1" ref="I176" ca="1">SUMIFS(StockCode[Opening Value],StockCode[Stock Code],$C$56)+SUMIFS(MoveAmount,MoveDate,"&lt;"&amp;$B176+1,MoveCode,$C$56,MoveType,$D$71)</f>
        <v>54158.756165329483</v>
      </c>
    </row>
    <row r="177" spans="1:9" ht="24" customHeight="1" x14ac:dyDescent="0.3">
      <c r="B177" s="187">
        <f t="shared" ca="1" si="10"/>
        <v>44437</v>
      </c>
      <c r="C177" s="188">
        <f t="shared" ca="1" si="11"/>
        <v>39896.420766021343</v>
      </c>
      <c r="D177" s="188" cm="1">
        <f t="array" aca="1" ref="D177" ca="1">SUMIFS(MoveQty,MoveDate,"&gt;"&amp;B177-6,MoveDate,"&lt;"&amp;$B177+1,MoveCode,$C$56,MoveType,$D$71)</f>
        <v>-458</v>
      </c>
      <c r="E177" s="188">
        <f t="shared" ca="1" si="12"/>
        <v>31.140470304166239</v>
      </c>
      <c r="F177" s="188" cm="1">
        <f t="array" aca="1" ref="F177" ca="1">SUMIFS(MoveAmount,MoveDate,"&gt;"&amp;B177-6,MoveDate,"&lt;"&amp;$B177+1,MoveCode,$C$56,MoveType,$D$71)</f>
        <v>-14262.335399308138</v>
      </c>
      <c r="G177" s="188" cm="1">
        <f t="array" aca="1" ref="G177" ca="1">SUMIFS(StockCode[Opening Quantity],StockCode[Stock Code],$C$56)+SUMIFS(MoveQty,MoveDate,"&lt;"&amp;$B177+1,MoveCode,$C$56,MoveType,$D$71)</f>
        <v>878.57000000000016</v>
      </c>
      <c r="H177" s="188">
        <f t="shared" ca="1" si="13"/>
        <v>45.410634059917065</v>
      </c>
      <c r="I177" s="188" cm="1">
        <f t="array" aca="1" ref="I177" ca="1">SUMIFS(StockCode[Opening Value],StockCode[Stock Code],$C$56)+SUMIFS(MoveAmount,MoveDate,"&lt;"&amp;$B177+1,MoveCode,$C$56,MoveType,$D$71)</f>
        <v>39896.420766021343</v>
      </c>
    </row>
    <row r="178" spans="1:9" ht="24" customHeight="1" x14ac:dyDescent="0.3">
      <c r="B178" s="187">
        <f t="shared" ca="1" si="10"/>
        <v>44444</v>
      </c>
      <c r="C178" s="188">
        <f t="shared" ca="1" si="11"/>
        <v>31558.063491967645</v>
      </c>
      <c r="D178" s="188" cm="1">
        <f t="array" aca="1" ref="D178" ca="1">SUMIFS(MoveQty,MoveDate,"&gt;"&amp;B178-6,MoveDate,"&lt;"&amp;$B178+1,MoveCode,$C$56,MoveType,$D$71)</f>
        <v>-162.33000000000001</v>
      </c>
      <c r="E178" s="188">
        <f t="shared" ca="1" si="12"/>
        <v>51.366705316661736</v>
      </c>
      <c r="F178" s="188" cm="1">
        <f t="array" aca="1" ref="F178" ca="1">SUMIFS(MoveAmount,MoveDate,"&gt;"&amp;B178-6,MoveDate,"&lt;"&amp;$B178+1,MoveCode,$C$56,MoveType,$D$71)</f>
        <v>-8338.3572740537002</v>
      </c>
      <c r="G178" s="188" cm="1">
        <f t="array" aca="1" ref="G178" ca="1">SUMIFS(StockCode[Opening Quantity],StockCode[Stock Code],$C$56)+SUMIFS(MoveQty,MoveDate,"&lt;"&amp;$B178+1,MoveCode,$C$56,MoveType,$D$71)</f>
        <v>716.24000000000012</v>
      </c>
      <c r="H178" s="188">
        <f t="shared" ca="1" si="13"/>
        <v>44.060738707650565</v>
      </c>
      <c r="I178" s="188" cm="1">
        <f t="array" aca="1" ref="I178" ca="1">SUMIFS(StockCode[Opening Value],StockCode[Stock Code],$C$56)+SUMIFS(MoveAmount,MoveDate,"&lt;"&amp;$B178+1,MoveCode,$C$56,MoveType,$D$71)</f>
        <v>31558.063491967645</v>
      </c>
    </row>
    <row r="179" spans="1:9" ht="24" customHeight="1" x14ac:dyDescent="0.3">
      <c r="A179" s="129" t="s">
        <v>205</v>
      </c>
      <c r="C179" s="184">
        <v>12</v>
      </c>
      <c r="D179" s="129" t="str">
        <f>$C$179&amp;"-Month "&amp;$E$71&amp;" Report"</f>
        <v>12-Month Balance Report</v>
      </c>
      <c r="E179" s="184"/>
    </row>
    <row r="180" spans="1:9" ht="24" customHeight="1" x14ac:dyDescent="0.3">
      <c r="B180" s="129" t="s">
        <v>76</v>
      </c>
      <c r="C180" s="184" t="s">
        <v>171</v>
      </c>
      <c r="D180" s="184" t="s">
        <v>187</v>
      </c>
      <c r="E180" s="184" t="s">
        <v>190</v>
      </c>
      <c r="F180" s="184" t="s">
        <v>191</v>
      </c>
      <c r="G180" s="184" t="s">
        <v>195</v>
      </c>
      <c r="H180" s="184" t="s">
        <v>198</v>
      </c>
      <c r="I180" s="184" t="s">
        <v>196</v>
      </c>
    </row>
    <row r="181" spans="1:9" ht="24" customHeight="1" x14ac:dyDescent="0.3">
      <c r="B181" s="189">
        <f t="shared" ref="B181:B192" ca="1" si="14">DATE(YEAR($D$55),MONTH($D$55)-$C$179+1+ROW($C181)-ROW($C$180),0)</f>
        <v>44104</v>
      </c>
      <c r="C181" s="188">
        <f ca="1">IF(ISNUMBER(B181),IF($E$71="Movement",IF($C$71="Quantity",D181,IF($C$71="Cost",E181,F181)),IF($C$71="Quantity",G181,IF($C$71="Cost",H181,I181))),"")</f>
        <v>18190</v>
      </c>
      <c r="D181" s="188" cm="1">
        <f t="array" aca="1" ref="D181" ca="1">SUMIFS(MoveQty,MoveDate,"&gt;"&amp;DATE(YEAR(B181),MONTH(B181),1),MoveDate,"&lt;"&amp;$B181+1,MoveCode,$C$56,MoveType,$D$71)</f>
        <v>0</v>
      </c>
      <c r="E181" s="188">
        <f ca="1">IF(D181=0,0,F181/D181)</f>
        <v>0</v>
      </c>
      <c r="F181" s="188" cm="1">
        <f t="array" aca="1" ref="F181" ca="1">SUMIFS(MoveAmount,MoveDate,"&gt;"&amp;DATE(YEAR(B181),MONTH(B181),1),MoveDate,"&lt;"&amp;$B181+1,MoveCode,$C$56,MoveType,$D$71)</f>
        <v>0</v>
      </c>
      <c r="G181" s="188" cm="1">
        <f t="array" aca="1" ref="G181" ca="1">SUMIFS(StockCode[Opening Quantity],StockCode[Stock Code],$C$56)+SUMIFS(MoveQty,MoveDate,"&lt;"&amp;$B181+1,MoveCode,$C$56,MoveType,$D$71)</f>
        <v>988</v>
      </c>
      <c r="H181" s="188">
        <f ca="1">IF(G181=0,0,I181/G181)</f>
        <v>18.410931174089068</v>
      </c>
      <c r="I181" s="188" cm="1">
        <f t="array" aca="1" ref="I181" ca="1">SUMIFS(StockCode[Opening Value],StockCode[Stock Code],$C$56)+SUMIFS(MoveAmount,MoveDate,"&lt;"&amp;$B181+1,MoveCode,$C$56,MoveType,$D$71)</f>
        <v>18190</v>
      </c>
    </row>
    <row r="182" spans="1:9" ht="24" customHeight="1" x14ac:dyDescent="0.3">
      <c r="B182" s="189">
        <f t="shared" ca="1" si="14"/>
        <v>44135</v>
      </c>
      <c r="C182" s="188">
        <f t="shared" ref="C182:C192" ca="1" si="15">IF(ISNUMBER(B182),IF($E$71="Movement",IF($C$71="Quantity",D182,IF($C$71="Cost",E182,F182)),IF($C$71="Quantity",G182,IF($C$71="Cost",H182,I182))),"")</f>
        <v>18190</v>
      </c>
      <c r="D182" s="188" cm="1">
        <f t="array" aca="1" ref="D182" ca="1">SUMIFS(MoveQty,MoveDate,"&gt;"&amp;DATE(YEAR(B182),MONTH(B182),1),MoveDate,"&lt;"&amp;$B182+1,MoveCode,$C$56,MoveType,$D$71)</f>
        <v>0</v>
      </c>
      <c r="E182" s="188">
        <f t="shared" ref="E182:E192" ca="1" si="16">IF(D182=0,0,F182/D182)</f>
        <v>0</v>
      </c>
      <c r="F182" s="188" cm="1">
        <f t="array" aca="1" ref="F182" ca="1">SUMIFS(MoveAmount,MoveDate,"&gt;"&amp;DATE(YEAR(B182),MONTH(B182),1),MoveDate,"&lt;"&amp;$B182+1,MoveCode,$C$56,MoveType,$D$71)</f>
        <v>0</v>
      </c>
      <c r="G182" s="188" cm="1">
        <f t="array" aca="1" ref="G182" ca="1">SUMIFS(StockCode[Opening Quantity],StockCode[Stock Code],$C$56)+SUMIFS(MoveQty,MoveDate,"&lt;"&amp;$B182+1,MoveCode,$C$56,MoveType,$D$71)</f>
        <v>988</v>
      </c>
      <c r="H182" s="188">
        <f t="shared" ref="H182:H192" ca="1" si="17">IF(G182=0,0,I182/G182)</f>
        <v>18.410931174089068</v>
      </c>
      <c r="I182" s="188" cm="1">
        <f t="array" aca="1" ref="I182" ca="1">SUMIFS(StockCode[Opening Value],StockCode[Stock Code],$C$56)+SUMIFS(MoveAmount,MoveDate,"&lt;"&amp;$B182+1,MoveCode,$C$56,MoveType,$D$71)</f>
        <v>18190</v>
      </c>
    </row>
    <row r="183" spans="1:9" ht="24" customHeight="1" x14ac:dyDescent="0.3">
      <c r="B183" s="189">
        <f t="shared" ca="1" si="14"/>
        <v>44165</v>
      </c>
      <c r="C183" s="188">
        <f t="shared" ca="1" si="15"/>
        <v>18190</v>
      </c>
      <c r="D183" s="188" cm="1">
        <f t="array" aca="1" ref="D183" ca="1">SUMIFS(MoveQty,MoveDate,"&gt;"&amp;DATE(YEAR(B183),MONTH(B183),1),MoveDate,"&lt;"&amp;$B183+1,MoveCode,$C$56,MoveType,$D$71)</f>
        <v>0</v>
      </c>
      <c r="E183" s="188">
        <f t="shared" ca="1" si="16"/>
        <v>0</v>
      </c>
      <c r="F183" s="188" cm="1">
        <f t="array" aca="1" ref="F183" ca="1">SUMIFS(MoveAmount,MoveDate,"&gt;"&amp;DATE(YEAR(B183),MONTH(B183),1),MoveDate,"&lt;"&amp;$B183+1,MoveCode,$C$56,MoveType,$D$71)</f>
        <v>0</v>
      </c>
      <c r="G183" s="188" cm="1">
        <f t="array" aca="1" ref="G183" ca="1">SUMIFS(StockCode[Opening Quantity],StockCode[Stock Code],$C$56)+SUMIFS(MoveQty,MoveDate,"&lt;"&amp;$B183+1,MoveCode,$C$56,MoveType,$D$71)</f>
        <v>988</v>
      </c>
      <c r="H183" s="188">
        <f t="shared" ca="1" si="17"/>
        <v>18.410931174089068</v>
      </c>
      <c r="I183" s="188" cm="1">
        <f t="array" aca="1" ref="I183" ca="1">SUMIFS(StockCode[Opening Value],StockCode[Stock Code],$C$56)+SUMIFS(MoveAmount,MoveDate,"&lt;"&amp;$B183+1,MoveCode,$C$56,MoveType,$D$71)</f>
        <v>18190</v>
      </c>
    </row>
    <row r="184" spans="1:9" ht="24" customHeight="1" x14ac:dyDescent="0.3">
      <c r="B184" s="189">
        <f t="shared" ca="1" si="14"/>
        <v>44196</v>
      </c>
      <c r="C184" s="188">
        <f t="shared" ca="1" si="15"/>
        <v>18190</v>
      </c>
      <c r="D184" s="188" cm="1">
        <f t="array" aca="1" ref="D184" ca="1">SUMIFS(MoveQty,MoveDate,"&gt;"&amp;DATE(YEAR(B184),MONTH(B184),1),MoveDate,"&lt;"&amp;$B184+1,MoveCode,$C$56,MoveType,$D$71)</f>
        <v>0</v>
      </c>
      <c r="E184" s="188">
        <f t="shared" ca="1" si="16"/>
        <v>0</v>
      </c>
      <c r="F184" s="188" cm="1">
        <f t="array" aca="1" ref="F184" ca="1">SUMIFS(MoveAmount,MoveDate,"&gt;"&amp;DATE(YEAR(B184),MONTH(B184),1),MoveDate,"&lt;"&amp;$B184+1,MoveCode,$C$56,MoveType,$D$71)</f>
        <v>0</v>
      </c>
      <c r="G184" s="188" cm="1">
        <f t="array" aca="1" ref="G184" ca="1">SUMIFS(StockCode[Opening Quantity],StockCode[Stock Code],$C$56)+SUMIFS(MoveQty,MoveDate,"&lt;"&amp;$B184+1,MoveCode,$C$56,MoveType,$D$71)</f>
        <v>988</v>
      </c>
      <c r="H184" s="188">
        <f t="shared" ca="1" si="17"/>
        <v>18.410931174089068</v>
      </c>
      <c r="I184" s="188" cm="1">
        <f t="array" aca="1" ref="I184" ca="1">SUMIFS(StockCode[Opening Value],StockCode[Stock Code],$C$56)+SUMIFS(MoveAmount,MoveDate,"&lt;"&amp;$B184+1,MoveCode,$C$56,MoveType,$D$71)</f>
        <v>18190</v>
      </c>
    </row>
    <row r="185" spans="1:9" ht="24" customHeight="1" x14ac:dyDescent="0.3">
      <c r="B185" s="189">
        <f t="shared" ca="1" si="14"/>
        <v>44227</v>
      </c>
      <c r="C185" s="188">
        <f t="shared" ca="1" si="15"/>
        <v>18190</v>
      </c>
      <c r="D185" s="188" cm="1">
        <f t="array" aca="1" ref="D185" ca="1">SUMIFS(MoveQty,MoveDate,"&gt;"&amp;DATE(YEAR(B185),MONTH(B185),1),MoveDate,"&lt;"&amp;$B185+1,MoveCode,$C$56,MoveType,$D$71)</f>
        <v>0</v>
      </c>
      <c r="E185" s="188">
        <f t="shared" ca="1" si="16"/>
        <v>0</v>
      </c>
      <c r="F185" s="188" cm="1">
        <f t="array" aca="1" ref="F185" ca="1">SUMIFS(MoveAmount,MoveDate,"&gt;"&amp;DATE(YEAR(B185),MONTH(B185),1),MoveDate,"&lt;"&amp;$B185+1,MoveCode,$C$56,MoveType,$D$71)</f>
        <v>0</v>
      </c>
      <c r="G185" s="188" cm="1">
        <f t="array" aca="1" ref="G185" ca="1">SUMIFS(StockCode[Opening Quantity],StockCode[Stock Code],$C$56)+SUMIFS(MoveQty,MoveDate,"&lt;"&amp;$B185+1,MoveCode,$C$56,MoveType,$D$71)</f>
        <v>988</v>
      </c>
      <c r="H185" s="188">
        <f t="shared" ca="1" si="17"/>
        <v>18.410931174089068</v>
      </c>
      <c r="I185" s="188" cm="1">
        <f t="array" aca="1" ref="I185" ca="1">SUMIFS(StockCode[Opening Value],StockCode[Stock Code],$C$56)+SUMIFS(MoveAmount,MoveDate,"&lt;"&amp;$B185+1,MoveCode,$C$56,MoveType,$D$71)</f>
        <v>18190</v>
      </c>
    </row>
    <row r="186" spans="1:9" ht="24" customHeight="1" x14ac:dyDescent="0.3">
      <c r="B186" s="189">
        <f t="shared" ca="1" si="14"/>
        <v>44255</v>
      </c>
      <c r="C186" s="188">
        <f t="shared" ca="1" si="15"/>
        <v>18190</v>
      </c>
      <c r="D186" s="188" cm="1">
        <f t="array" aca="1" ref="D186" ca="1">SUMIFS(MoveQty,MoveDate,"&gt;"&amp;DATE(YEAR(B186),MONTH(B186),1),MoveDate,"&lt;"&amp;$B186+1,MoveCode,$C$56,MoveType,$D$71)</f>
        <v>0</v>
      </c>
      <c r="E186" s="188">
        <f t="shared" ca="1" si="16"/>
        <v>0</v>
      </c>
      <c r="F186" s="188" cm="1">
        <f t="array" aca="1" ref="F186" ca="1">SUMIFS(MoveAmount,MoveDate,"&gt;"&amp;DATE(YEAR(B186),MONTH(B186),1),MoveDate,"&lt;"&amp;$B186+1,MoveCode,$C$56,MoveType,$D$71)</f>
        <v>0</v>
      </c>
      <c r="G186" s="188" cm="1">
        <f t="array" aca="1" ref="G186" ca="1">SUMIFS(StockCode[Opening Quantity],StockCode[Stock Code],$C$56)+SUMIFS(MoveQty,MoveDate,"&lt;"&amp;$B186+1,MoveCode,$C$56,MoveType,$D$71)</f>
        <v>988</v>
      </c>
      <c r="H186" s="188">
        <f t="shared" ca="1" si="17"/>
        <v>18.410931174089068</v>
      </c>
      <c r="I186" s="188" cm="1">
        <f t="array" aca="1" ref="I186" ca="1">SUMIFS(StockCode[Opening Value],StockCode[Stock Code],$C$56)+SUMIFS(MoveAmount,MoveDate,"&lt;"&amp;$B186+1,MoveCode,$C$56,MoveType,$D$71)</f>
        <v>18190</v>
      </c>
    </row>
    <row r="187" spans="1:9" ht="24" customHeight="1" x14ac:dyDescent="0.3">
      <c r="B187" s="189">
        <f t="shared" ca="1" si="14"/>
        <v>44286</v>
      </c>
      <c r="C187" s="188">
        <f t="shared" ca="1" si="15"/>
        <v>18190</v>
      </c>
      <c r="D187" s="188" cm="1">
        <f t="array" aca="1" ref="D187" ca="1">SUMIFS(MoveQty,MoveDate,"&gt;"&amp;DATE(YEAR(B187),MONTH(B187),1),MoveDate,"&lt;"&amp;$B187+1,MoveCode,$C$56,MoveType,$D$71)</f>
        <v>0</v>
      </c>
      <c r="E187" s="188">
        <f t="shared" ca="1" si="16"/>
        <v>0</v>
      </c>
      <c r="F187" s="188" cm="1">
        <f t="array" aca="1" ref="F187" ca="1">SUMIFS(MoveAmount,MoveDate,"&gt;"&amp;DATE(YEAR(B187),MONTH(B187),1),MoveDate,"&lt;"&amp;$B187+1,MoveCode,$C$56,MoveType,$D$71)</f>
        <v>0</v>
      </c>
      <c r="G187" s="188" cm="1">
        <f t="array" aca="1" ref="G187" ca="1">SUMIFS(StockCode[Opening Quantity],StockCode[Stock Code],$C$56)+SUMIFS(MoveQty,MoveDate,"&lt;"&amp;$B187+1,MoveCode,$C$56,MoveType,$D$71)</f>
        <v>988</v>
      </c>
      <c r="H187" s="188">
        <f t="shared" ca="1" si="17"/>
        <v>18.410931174089068</v>
      </c>
      <c r="I187" s="188" cm="1">
        <f t="array" aca="1" ref="I187" ca="1">SUMIFS(StockCode[Opening Value],StockCode[Stock Code],$C$56)+SUMIFS(MoveAmount,MoveDate,"&lt;"&amp;$B187+1,MoveCode,$C$56,MoveType,$D$71)</f>
        <v>18190</v>
      </c>
    </row>
    <row r="188" spans="1:9" ht="24" customHeight="1" x14ac:dyDescent="0.3">
      <c r="B188" s="189">
        <f t="shared" ca="1" si="14"/>
        <v>44316</v>
      </c>
      <c r="C188" s="188">
        <f t="shared" ca="1" si="15"/>
        <v>18190</v>
      </c>
      <c r="D188" s="188" cm="1">
        <f t="array" aca="1" ref="D188" ca="1">SUMIFS(MoveQty,MoveDate,"&gt;"&amp;DATE(YEAR(B188),MONTH(B188),1),MoveDate,"&lt;"&amp;$B188+1,MoveCode,$C$56,MoveType,$D$71)</f>
        <v>0</v>
      </c>
      <c r="E188" s="188">
        <f t="shared" ca="1" si="16"/>
        <v>0</v>
      </c>
      <c r="F188" s="188" cm="1">
        <f t="array" aca="1" ref="F188" ca="1">SUMIFS(MoveAmount,MoveDate,"&gt;"&amp;DATE(YEAR(B188),MONTH(B188),1),MoveDate,"&lt;"&amp;$B188+1,MoveCode,$C$56,MoveType,$D$71)</f>
        <v>0</v>
      </c>
      <c r="G188" s="188" cm="1">
        <f t="array" aca="1" ref="G188" ca="1">SUMIFS(StockCode[Opening Quantity],StockCode[Stock Code],$C$56)+SUMIFS(MoveQty,MoveDate,"&lt;"&amp;$B188+1,MoveCode,$C$56,MoveType,$D$71)</f>
        <v>988</v>
      </c>
      <c r="H188" s="188">
        <f t="shared" ca="1" si="17"/>
        <v>18.410931174089068</v>
      </c>
      <c r="I188" s="188" cm="1">
        <f t="array" aca="1" ref="I188" ca="1">SUMIFS(StockCode[Opening Value],StockCode[Stock Code],$C$56)+SUMIFS(MoveAmount,MoveDate,"&lt;"&amp;$B188+1,MoveCode,$C$56,MoveType,$D$71)</f>
        <v>18190</v>
      </c>
    </row>
    <row r="189" spans="1:9" ht="24" customHeight="1" x14ac:dyDescent="0.3">
      <c r="B189" s="189">
        <f t="shared" ca="1" si="14"/>
        <v>44347</v>
      </c>
      <c r="C189" s="188">
        <f t="shared" ca="1" si="15"/>
        <v>18190</v>
      </c>
      <c r="D189" s="188" cm="1">
        <f t="array" aca="1" ref="D189" ca="1">SUMIFS(MoveQty,MoveDate,"&gt;"&amp;DATE(YEAR(B189),MONTH(B189),1),MoveDate,"&lt;"&amp;$B189+1,MoveCode,$C$56,MoveType,$D$71)</f>
        <v>0</v>
      </c>
      <c r="E189" s="188">
        <f t="shared" ca="1" si="16"/>
        <v>0</v>
      </c>
      <c r="F189" s="188" cm="1">
        <f t="array" aca="1" ref="F189" ca="1">SUMIFS(MoveAmount,MoveDate,"&gt;"&amp;DATE(YEAR(B189),MONTH(B189),1),MoveDate,"&lt;"&amp;$B189+1,MoveCode,$C$56,MoveType,$D$71)</f>
        <v>0</v>
      </c>
      <c r="G189" s="188" cm="1">
        <f t="array" aca="1" ref="G189" ca="1">SUMIFS(StockCode[Opening Quantity],StockCode[Stock Code],$C$56)+SUMIFS(MoveQty,MoveDate,"&lt;"&amp;$B189+1,MoveCode,$C$56,MoveType,$D$71)</f>
        <v>988</v>
      </c>
      <c r="H189" s="188">
        <f t="shared" ca="1" si="17"/>
        <v>18.410931174089068</v>
      </c>
      <c r="I189" s="188" cm="1">
        <f t="array" aca="1" ref="I189" ca="1">SUMIFS(StockCode[Opening Value],StockCode[Stock Code],$C$56)+SUMIFS(MoveAmount,MoveDate,"&lt;"&amp;$B189+1,MoveCode,$C$56,MoveType,$D$71)</f>
        <v>18190</v>
      </c>
    </row>
    <row r="190" spans="1:9" ht="24" customHeight="1" x14ac:dyDescent="0.3">
      <c r="B190" s="189">
        <f t="shared" ca="1" si="14"/>
        <v>44377</v>
      </c>
      <c r="C190" s="188">
        <f t="shared" ca="1" si="15"/>
        <v>18190</v>
      </c>
      <c r="D190" s="188" cm="1">
        <f t="array" aca="1" ref="D190" ca="1">SUMIFS(MoveQty,MoveDate,"&gt;"&amp;DATE(YEAR(B190),MONTH(B190),1),MoveDate,"&lt;"&amp;$B190+1,MoveCode,$C$56,MoveType,$D$71)</f>
        <v>0</v>
      </c>
      <c r="E190" s="188">
        <f t="shared" ca="1" si="16"/>
        <v>0</v>
      </c>
      <c r="F190" s="188" cm="1">
        <f t="array" aca="1" ref="F190" ca="1">SUMIFS(MoveAmount,MoveDate,"&gt;"&amp;DATE(YEAR(B190),MONTH(B190),1),MoveDate,"&lt;"&amp;$B190+1,MoveCode,$C$56,MoveType,$D$71)</f>
        <v>0</v>
      </c>
      <c r="G190" s="188" cm="1">
        <f t="array" aca="1" ref="G190" ca="1">SUMIFS(StockCode[Opening Quantity],StockCode[Stock Code],$C$56)+SUMIFS(MoveQty,MoveDate,"&lt;"&amp;$B190+1,MoveCode,$C$56,MoveType,$D$71)</f>
        <v>988</v>
      </c>
      <c r="H190" s="188">
        <f t="shared" ca="1" si="17"/>
        <v>18.410931174089068</v>
      </c>
      <c r="I190" s="188" cm="1">
        <f t="array" aca="1" ref="I190" ca="1">SUMIFS(StockCode[Opening Value],StockCode[Stock Code],$C$56)+SUMIFS(MoveAmount,MoveDate,"&lt;"&amp;$B190+1,MoveCode,$C$56,MoveType,$D$71)</f>
        <v>18190</v>
      </c>
    </row>
    <row r="191" spans="1:9" ht="24" customHeight="1" x14ac:dyDescent="0.3">
      <c r="B191" s="189">
        <f t="shared" ca="1" si="14"/>
        <v>44408</v>
      </c>
      <c r="C191" s="188">
        <f t="shared" ca="1" si="15"/>
        <v>24459.585876587247</v>
      </c>
      <c r="D191" s="188" cm="1">
        <f t="array" aca="1" ref="D191" ca="1">SUMIFS(MoveQty,MoveDate,"&gt;"&amp;DATE(YEAR(B191),MONTH(B191),1),MoveDate,"&lt;"&amp;$B191+1,MoveCode,$C$56,MoveType,$D$71)</f>
        <v>-186.25999999999979</v>
      </c>
      <c r="E191" s="188">
        <f t="shared" ca="1" si="16"/>
        <v>-33.66039877905753</v>
      </c>
      <c r="F191" s="188" cm="1">
        <f t="array" aca="1" ref="F191" ca="1">SUMIFS(MoveAmount,MoveDate,"&gt;"&amp;DATE(YEAR(B191),MONTH(B191),1),MoveDate,"&lt;"&amp;$B191+1,MoveCode,$C$56,MoveType,$D$71)</f>
        <v>6269.5858765872481</v>
      </c>
      <c r="G191" s="188" cm="1">
        <f t="array" aca="1" ref="G191" ca="1">SUMIFS(StockCode[Opening Quantity],StockCode[Stock Code],$C$56)+SUMIFS(MoveQty,MoveDate,"&lt;"&amp;$B191+1,MoveCode,$C$56,MoveType,$D$71)</f>
        <v>801.74000000000024</v>
      </c>
      <c r="H191" s="188">
        <f t="shared" ca="1" si="17"/>
        <v>30.508127169141169</v>
      </c>
      <c r="I191" s="188" cm="1">
        <f t="array" aca="1" ref="I191" ca="1">SUMIFS(StockCode[Opening Value],StockCode[Stock Code],$C$56)+SUMIFS(MoveAmount,MoveDate,"&lt;"&amp;$B191+1,MoveCode,$C$56,MoveType,$D$71)</f>
        <v>24459.585876587247</v>
      </c>
    </row>
    <row r="192" spans="1:9" ht="24" customHeight="1" x14ac:dyDescent="0.3">
      <c r="B192" s="189">
        <f t="shared" ca="1" si="14"/>
        <v>44439</v>
      </c>
      <c r="C192" s="188">
        <f t="shared" ca="1" si="15"/>
        <v>31558.063491967645</v>
      </c>
      <c r="D192" s="188" cm="1">
        <f t="array" aca="1" ref="D192" ca="1">SUMIFS(MoveQty,MoveDate,"&gt;"&amp;DATE(YEAR(B192),MONTH(B192),1),MoveDate,"&lt;"&amp;$B192+1,MoveCode,$C$56,MoveType,$D$71)</f>
        <v>-85.499999999999844</v>
      </c>
      <c r="E192" s="188">
        <f t="shared" ca="1" si="16"/>
        <v>-83.023130004449627</v>
      </c>
      <c r="F192" s="188" cm="1">
        <f t="array" aca="1" ref="F192" ca="1">SUMIFS(MoveAmount,MoveDate,"&gt;"&amp;DATE(YEAR(B192),MONTH(B192),1),MoveDate,"&lt;"&amp;$B192+1,MoveCode,$C$56,MoveType,$D$71)</f>
        <v>7098.4776153804296</v>
      </c>
      <c r="G192" s="188" cm="1">
        <f t="array" aca="1" ref="G192" ca="1">SUMIFS(StockCode[Opening Quantity],StockCode[Stock Code],$C$56)+SUMIFS(MoveQty,MoveDate,"&lt;"&amp;$B192+1,MoveCode,$C$56,MoveType,$D$71)</f>
        <v>716.24000000000012</v>
      </c>
      <c r="H192" s="188">
        <f t="shared" ca="1" si="17"/>
        <v>44.060738707650565</v>
      </c>
      <c r="I192" s="188" cm="1">
        <f t="array" aca="1" ref="I192" ca="1">SUMIFS(StockCode[Opening Value],StockCode[Stock Code],$C$56)+SUMIFS(MoveAmount,MoveDate,"&lt;"&amp;$B192+1,MoveCode,$C$56,MoveType,$D$71)</f>
        <v>31558.063491967645</v>
      </c>
    </row>
    <row r="193" spans="1:11" ht="24" customHeight="1" x14ac:dyDescent="0.3">
      <c r="A193" s="190" t="s">
        <v>213</v>
      </c>
      <c r="B193" s="191"/>
      <c r="C193" s="129" t="s">
        <v>214</v>
      </c>
      <c r="D193" s="192" t="s">
        <v>187</v>
      </c>
      <c r="E193" s="192" t="s">
        <v>171</v>
      </c>
      <c r="F193" s="193" t="s">
        <v>199</v>
      </c>
      <c r="G193" s="194" t="s">
        <v>200</v>
      </c>
      <c r="H193" s="194"/>
      <c r="I193" s="194"/>
      <c r="J193" s="195"/>
      <c r="K193" s="181"/>
    </row>
    <row r="194" spans="1:11" ht="24" customHeight="1" x14ac:dyDescent="0.3">
      <c r="A194" s="175"/>
      <c r="B194" s="176" t="str">
        <f t="array" aca="1" ref="B194" ca="1">IF(ISERROR(INDEX(StockMaster,SMALL(IF(DBUsageValue&gt;=LARGE(DBUsageValue,MIN(5,CodeCount)),ROW(DBUsageValue)-ROW(StockCodes!$A$5)),ROW(1:1)),COLUMN(StockCodes!$A$5))),"",INDEX(StockMaster,SMALL(IF(DBUsageValue&gt;=LARGE(DBUsageValue,MIN(5,CodeCount)),ROW(DBUsageValue)-ROW(StockCodes!$A$5)),ROW(1:1)),COLUMN(StockCodes!$A$5)))</f>
        <v>PM2005</v>
      </c>
      <c r="C194" s="129" t="str">
        <f ca="1">B194&amp;" "&amp;IF(ISNA(VLOOKUP($B194,StockMaster,COLUMN(StockCodes!$B$5),0)),"",VLOOKUP($B194,StockMaster,COLUMN(StockCodes!$B$5),0))</f>
        <v>PM2005 Labels</v>
      </c>
      <c r="D194" s="176">
        <f ca="1">IF(ISNA(VLOOKUP($B194,StockMaster,COLUMN(StockCodes!$T$5),0)),"",VLOOKUP($B194,StockMaster,COLUMN(StockCodes!$T$5),0))</f>
        <v>14.06</v>
      </c>
      <c r="E194" s="196">
        <f ca="1">IF(ISNA(VLOOKUP($B194,StockMaster,COLUMN(StockCodes!$W$5),0)),"",VLOOKUP($B194,StockMaster,COLUMN(StockCodes!$W$5),0))</f>
        <v>6397.1288185322246</v>
      </c>
      <c r="F194" s="196">
        <f ca="1">IF(ISNUMBER(E194)=FALSE,"",RANK(E194,$E$194:$E$198,0))</f>
        <v>3</v>
      </c>
      <c r="G194" s="176">
        <f ca="1">IF(ISNUMBER(F194)=FALSE,"",F194+COUNTIF($F$194:$F194,$F194)-1)</f>
        <v>3</v>
      </c>
      <c r="H194" s="194"/>
      <c r="I194" s="194"/>
      <c r="J194" s="197"/>
      <c r="K194" s="181"/>
    </row>
    <row r="195" spans="1:11" ht="24" customHeight="1" x14ac:dyDescent="0.3">
      <c r="A195" s="198"/>
      <c r="B195" s="176" t="str">
        <f t="array" aca="1" ref="B195" ca="1">IF(ISERROR(INDEX(StockMaster,SMALL(IF(DBUsageValue&gt;=LARGE(DBUsageValue,MIN(5,CodeCount)),ROW(DBUsageValue)-ROW(StockCodes!$A$5)),ROW(2:2)),COLUMN(StockCodes!$A$5))),"",INDEX(StockMaster,SMALL(IF(DBUsageValue&gt;=LARGE(DBUsageValue,MIN(5,CodeCount)),ROW(DBUsageValue)-ROW(StockCodes!$A$5)),ROW(2:2)),COLUMN(StockCodes!$A$5)))</f>
        <v>PM2015</v>
      </c>
      <c r="C195" s="129" t="str">
        <f ca="1">B195&amp;" "&amp;IF(ISNA(VLOOKUP($B195,StockMaster,COLUMN(StockCodes!$B$5),0)),"",VLOOKUP($B195,StockMaster,COLUMN(StockCodes!$B$5),0))</f>
        <v>PM2015 Boxes</v>
      </c>
      <c r="D195" s="176">
        <f ca="1">IF(ISNA(VLOOKUP($B195,StockMaster,COLUMN(StockCodes!$T$5),0)),"",VLOOKUP($B195,StockMaster,COLUMN(StockCodes!$T$5),0))</f>
        <v>4972.6400000000003</v>
      </c>
      <c r="E195" s="196">
        <f ca="1">IF(ISNA(VLOOKUP($B195,StockMaster,COLUMN(StockCodes!$W$5),0)),"",VLOOKUP($B195,StockMaster,COLUMN(StockCodes!$W$5),0))</f>
        <v>5251.7059873920171</v>
      </c>
      <c r="F195" s="196">
        <f t="shared" ref="F195:F198" ca="1" si="18">IF(ISNUMBER(E195)=FALSE,"",RANK(E195,$E$194:$E$198,0))</f>
        <v>4</v>
      </c>
      <c r="G195" s="176">
        <f ca="1">IF(ISNUMBER(F195)=FALSE,"",F195+COUNTIF($F$194:$F195,$F195)-1)</f>
        <v>4</v>
      </c>
      <c r="H195" s="194"/>
      <c r="I195" s="194"/>
      <c r="J195" s="199"/>
      <c r="K195" s="181"/>
    </row>
    <row r="196" spans="1:11" ht="24" customHeight="1" x14ac:dyDescent="0.3">
      <c r="A196" s="198"/>
      <c r="B196" s="176" t="str">
        <f t="array" aca="1" ref="B196" ca="1">IF(ISERROR(INDEX(StockMaster,SMALL(IF(DBUsageValue&gt;=LARGE(DBUsageValue,MIN(5,CodeCount)),ROW(DBUsageValue)-ROW(StockCodes!$A$5)),ROW(3:3)),COLUMN(StockCodes!$A$5))),"",INDEX(StockMaster,SMALL(IF(DBUsageValue&gt;=LARGE(DBUsageValue,MIN(5,CodeCount)),ROW(DBUsageValue)-ROW(StockCodes!$A$5)),ROW(3:3)),COLUMN(StockCodes!$A$5)))</f>
        <v>RM1000</v>
      </c>
      <c r="C196" s="129" t="str">
        <f ca="1">B196&amp;" "&amp;IF(ISNA(VLOOKUP($B196,StockMaster,COLUMN(StockCodes!$B$5),0)),"",VLOOKUP($B196,StockMaster,COLUMN(StockCodes!$B$5),0))</f>
        <v>RM1000 Meat</v>
      </c>
      <c r="D196" s="176">
        <f ca="1">IF(ISNA(VLOOKUP($B196,StockMaster,COLUMN(StockCodes!$T$5),0)),"",VLOOKUP($B196,StockMaster,COLUMN(StockCodes!$T$5),0))</f>
        <v>3240</v>
      </c>
      <c r="E196" s="196">
        <f ca="1">IF(ISNA(VLOOKUP($B196,StockMaster,COLUMN(StockCodes!$W$5),0)),"",VLOOKUP($B196,StockMaster,COLUMN(StockCodes!$W$5),0))</f>
        <v>159696.72557233815</v>
      </c>
      <c r="F196" s="196">
        <f t="shared" ca="1" si="18"/>
        <v>1</v>
      </c>
      <c r="G196" s="176">
        <f ca="1">IF(ISNUMBER(F196)=FALSE,"",F196+COUNTIF($F$194:$F196,$F196)-1)</f>
        <v>1</v>
      </c>
      <c r="H196" s="194"/>
      <c r="I196" s="194"/>
      <c r="J196" s="199"/>
      <c r="K196" s="181"/>
    </row>
    <row r="197" spans="1:11" ht="24" customHeight="1" x14ac:dyDescent="0.3">
      <c r="A197" s="198"/>
      <c r="B197" s="176" t="str">
        <f t="array" aca="1" ref="B197" ca="1">IF(ISERROR(INDEX(StockMaster,SMALL(IF(DBUsageValue&gt;=LARGE(DBUsageValue,MIN(5,CodeCount)),ROW(DBUsageValue)-ROW(StockCodes!$A$5)),ROW(4:4)),COLUMN(StockCodes!$A$5))),"",INDEX(StockMaster,SMALL(IF(DBUsageValue&gt;=LARGE(DBUsageValue,MIN(5,CodeCount)),ROW(DBUsageValue)-ROW(StockCodes!$A$5)),ROW(4:4)),COLUMN(StockCodes!$A$5)))</f>
        <v>RM1005</v>
      </c>
      <c r="C197" s="129" t="str">
        <f ca="1">B197&amp;" "&amp;IF(ISNA(VLOOKUP($B197,StockMaster,COLUMN(StockCodes!$B$5),0)),"",VLOOKUP($B197,StockMaster,COLUMN(StockCodes!$B$5),0))</f>
        <v>RM1005 Bread Rolls</v>
      </c>
      <c r="D197" s="176">
        <f ca="1">IF(ISNA(VLOOKUP($B197,StockMaster,COLUMN(StockCodes!$T$5),0)),"",VLOOKUP($B197,StockMaster,COLUMN(StockCodes!$T$5),0))</f>
        <v>350.72</v>
      </c>
      <c r="E197" s="196">
        <f ca="1">IF(ISNA(VLOOKUP($B197,StockMaster,COLUMN(StockCodes!$W$5),0)),"",VLOOKUP($B197,StockMaster,COLUMN(StockCodes!$W$5),0))</f>
        <v>14327.241695807948</v>
      </c>
      <c r="F197" s="196">
        <f t="shared" ca="1" si="18"/>
        <v>2</v>
      </c>
      <c r="G197" s="176">
        <f ca="1">IF(ISNUMBER(F197)=FALSE,"",F197+COUNTIF($F$194:$F197,$F197)-1)</f>
        <v>2</v>
      </c>
      <c r="H197" s="194"/>
      <c r="I197" s="194"/>
      <c r="J197" s="199"/>
      <c r="K197" s="181"/>
    </row>
    <row r="198" spans="1:11" ht="24" customHeight="1" x14ac:dyDescent="0.3">
      <c r="A198" s="166"/>
      <c r="B198" s="176" t="str">
        <f t="array" aca="1" ref="B198" ca="1">IF(ISERROR(INDEX(StockMaster,SMALL(IF(DBUsageValue&gt;=LARGE(DBUsageValue,MIN(5,CodeCount)),ROW(DBUsageValue)-ROW(StockCodes!$A$5)),ROW(5:5)),COLUMN(StockCodes!$A$5))),"",INDEX(StockMaster,SMALL(IF(DBUsageValue&gt;=LARGE(DBUsageValue,MIN(5,CodeCount)),ROW(DBUsageValue)-ROW(StockCodes!$A$5)),ROW(5:5)),COLUMN(StockCodes!$A$5)))</f>
        <v>RM1025</v>
      </c>
      <c r="C198" s="129" t="str">
        <f ca="1">B198&amp;" "&amp;IF(ISNA(VLOOKUP($B198,StockMaster,COLUMN(StockCodes!$B$5),0)),"",VLOOKUP($B198,StockMaster,COLUMN(StockCodes!$B$5),0))</f>
        <v>RM1025 Onions</v>
      </c>
      <c r="D198" s="176">
        <f ca="1">IF(ISNA(VLOOKUP($B198,StockMaster,COLUMN(StockCodes!$T$5),0)),"",VLOOKUP($B198,StockMaster,COLUMN(StockCodes!$T$5),0))</f>
        <v>87.06</v>
      </c>
      <c r="E198" s="196">
        <f ca="1">IF(ISNA(VLOOKUP($B198,StockMaster,COLUMN(StockCodes!$W$5),0)),"",VLOOKUP($B198,StockMaster,COLUMN(StockCodes!$W$5),0))</f>
        <v>1118.7975358059257</v>
      </c>
      <c r="F198" s="196">
        <f t="shared" ca="1" si="18"/>
        <v>5</v>
      </c>
      <c r="G198" s="176">
        <f ca="1">IF(ISNUMBER(F198)=FALSE,"",F198+COUNTIF($F$194:$F198,$F198)-1)</f>
        <v>5</v>
      </c>
      <c r="H198" s="194"/>
      <c r="I198" s="194"/>
      <c r="J198" s="200"/>
      <c r="K198" s="181"/>
    </row>
    <row r="199" spans="1:11" ht="24" customHeight="1" x14ac:dyDescent="0.3">
      <c r="A199" s="190" t="s">
        <v>215</v>
      </c>
      <c r="B199" s="191"/>
      <c r="C199" s="129" t="s">
        <v>214</v>
      </c>
      <c r="D199" s="192" t="s">
        <v>187</v>
      </c>
      <c r="E199" s="192" t="s">
        <v>171</v>
      </c>
      <c r="F199" s="184" t="s">
        <v>217</v>
      </c>
      <c r="G199" s="193" t="s">
        <v>199</v>
      </c>
      <c r="H199" s="194" t="s">
        <v>200</v>
      </c>
    </row>
    <row r="200" spans="1:11" ht="24" customHeight="1" x14ac:dyDescent="0.3">
      <c r="A200" s="175"/>
      <c r="B200" s="176" t="str">
        <f t="array" aca="1" ref="B200" ca="1">IF(ISERROR(INDEX(StockMaster,SMALL(IF(DBAdjustValueABS&gt;=LARGE(DBAdjustValueABS,MIN(5,CodeCount)),ROW(DBAdjustValueABS)-ROW(StockCodes!$A$5)),ROW(1:1)),COLUMN(StockCodes!$A$5))),"",INDEX(StockMaster,SMALL(IF(DBAdjustValueABS&gt;=LARGE(DBAdjustValueABS,MIN(5,CodeCount)),ROW(DBAdjustValueABS)-ROW(StockCodes!$A$5)),ROW(1:1)),COLUMN(StockCodes!$A$5)))</f>
        <v>PM2000</v>
      </c>
      <c r="C200" s="129" t="str">
        <f ca="1">B200&amp;" "&amp;IF(ISNA(VLOOKUP($B200,StockMaster,COLUMN(StockCodes!$B$5),0)),"",VLOOKUP($B200,StockMaster,COLUMN(StockCodes!$B$5),0))</f>
        <v>PM2000 Plastic Wrap</v>
      </c>
      <c r="D200" s="176">
        <f ca="1">IF(ISNA(VLOOKUP($B200,StockMaster,COLUMN(StockCodes!$U$5),0)),"",VLOOKUP($B200,StockMaster,COLUMN(StockCodes!$U$5),0))</f>
        <v>-1.2800000000000007</v>
      </c>
      <c r="E200" s="176">
        <f ca="1">IF(ISNA(VLOOKUP($B200,StockMaster,COLUMN(StockCodes!$X$5),0)),"",VLOOKUP($B200,StockMaster,COLUMN(StockCodes!$X$5),0))</f>
        <v>-26.25693399311951</v>
      </c>
      <c r="F200" s="201">
        <f ca="1">IF(ISNUMBER(E200)=FALSE,"",ABS(E200))</f>
        <v>26.25693399311951</v>
      </c>
      <c r="G200" s="196">
        <f ca="1">IF(ISNUMBER(F200)=FALSE,"",RANK(F200,$F$200:$F$204,0))</f>
        <v>5</v>
      </c>
      <c r="H200" s="176">
        <f ca="1">IF(ISNUMBER(G200)=FALSE,"",G200+COUNTIF($G$200:$G200,$G200)-1)</f>
        <v>5</v>
      </c>
    </row>
    <row r="201" spans="1:11" ht="24" customHeight="1" x14ac:dyDescent="0.3">
      <c r="A201" s="198"/>
      <c r="B201" s="176" t="str">
        <f t="array" aca="1" ref="B201" ca="1">IF(ISERROR(INDEX(StockMaster,SMALL(IF(DBAdjustValueABS&gt;=LARGE(DBAdjustValueABS,MIN(5,CodeCount)),ROW(DBAdjustValueABS)-ROW(StockCodes!$A$5)),ROW(2:2)),COLUMN(StockCodes!$A$5))),"",INDEX(StockMaster,SMALL(IF(DBAdjustValueABS&gt;=LARGE(DBAdjustValueABS,MIN(5,CodeCount)),ROW(DBAdjustValueABS)-ROW(StockCodes!$A$5)),ROW(2:2)),COLUMN(StockCodes!$A$5)))</f>
        <v>PM2005</v>
      </c>
      <c r="C201" s="129" t="str">
        <f ca="1">B201&amp;" "&amp;IF(ISNA(VLOOKUP($B201,StockMaster,COLUMN(StockCodes!$B$5),0)),"",VLOOKUP($B201,StockMaster,COLUMN(StockCodes!$B$5),0))</f>
        <v>PM2005 Labels</v>
      </c>
      <c r="D201" s="176">
        <f ca="1">IF(ISNA(VLOOKUP($B201,StockMaster,COLUMN(StockCodes!$U$5),0)),"",VLOOKUP($B201,StockMaster,COLUMN(StockCodes!$U$5),0))</f>
        <v>-0.94</v>
      </c>
      <c r="E201" s="176">
        <f ca="1">IF(ISNA(VLOOKUP($B201,StockMaster,COLUMN(StockCodes!$X$5),0)),"",VLOOKUP($B201,StockMaster,COLUMN(StockCodes!$X$5),0))</f>
        <v>-422.87118146777533</v>
      </c>
      <c r="F201" s="201">
        <f t="shared" ref="F201:F204" ca="1" si="19">IF(ISNUMBER(E201)=FALSE,"",ABS(E201))</f>
        <v>422.87118146777533</v>
      </c>
      <c r="G201" s="196">
        <f t="shared" ref="G201:G204" ca="1" si="20">IF(ISNUMBER(F201)=FALSE,"",RANK(F201,$F$200:$F$204,0))</f>
        <v>3</v>
      </c>
      <c r="H201" s="176">
        <f ca="1">IF(ISNUMBER(G201)=FALSE,"",G201+COUNTIF($G$200:$G201,$G201)-1)</f>
        <v>3</v>
      </c>
    </row>
    <row r="202" spans="1:11" ht="24" customHeight="1" x14ac:dyDescent="0.3">
      <c r="A202" s="198"/>
      <c r="B202" s="176" t="str">
        <f t="array" aca="1" ref="B202" ca="1">IF(ISERROR(INDEX(StockMaster,SMALL(IF(DBAdjustValueABS&gt;=LARGE(DBAdjustValueABS,MIN(5,CodeCount)),ROW(DBAdjustValueABS)-ROW(StockCodes!$A$5)),ROW(3:3)),COLUMN(StockCodes!$A$5))),"",INDEX(StockMaster,SMALL(IF(DBAdjustValueABS&gt;=LARGE(DBAdjustValueABS,MIN(5,CodeCount)),ROW(DBAdjustValueABS)-ROW(StockCodes!$A$5)),ROW(3:3)),COLUMN(StockCodes!$A$5)))</f>
        <v>RM1000</v>
      </c>
      <c r="C202" s="129" t="str">
        <f ca="1">B202&amp;" "&amp;IF(ISNA(VLOOKUP($B202,StockMaster,COLUMN(StockCodes!$B$5),0)),"",VLOOKUP($B202,StockMaster,COLUMN(StockCodes!$B$5),0))</f>
        <v>RM1000 Meat</v>
      </c>
      <c r="D202" s="176">
        <f ca="1">IF(ISNA(VLOOKUP($B202,StockMaster,COLUMN(StockCodes!$U$5),0)),"",VLOOKUP($B202,StockMaster,COLUMN(StockCodes!$U$5),0))</f>
        <v>-220</v>
      </c>
      <c r="E202" s="176">
        <f ca="1">IF(ISNA(VLOOKUP($B202,StockMaster,COLUMN(StockCodes!$X$5),0)),"",VLOOKUP($B202,StockMaster,COLUMN(StockCodes!$X$5),0))</f>
        <v>-10872.739818337881</v>
      </c>
      <c r="F202" s="201">
        <f t="shared" ca="1" si="19"/>
        <v>10872.739818337881</v>
      </c>
      <c r="G202" s="196">
        <f t="shared" ca="1" si="20"/>
        <v>1</v>
      </c>
      <c r="H202" s="176">
        <f ca="1">IF(ISNUMBER(G202)=FALSE,"",G202+COUNTIF($G$200:$G202,$G202)-1)</f>
        <v>1</v>
      </c>
    </row>
    <row r="203" spans="1:11" ht="24" customHeight="1" x14ac:dyDescent="0.3">
      <c r="A203" s="198"/>
      <c r="B203" s="176" t="str">
        <f t="array" aca="1" ref="B203" ca="1">IF(ISERROR(INDEX(StockMaster,SMALL(IF(DBAdjustValueABS&gt;=LARGE(DBAdjustValueABS,MIN(5,CodeCount)),ROW(DBAdjustValueABS)-ROW(StockCodes!$A$5)),ROW(4:4)),COLUMN(StockCodes!$A$5))),"",INDEX(StockMaster,SMALL(IF(DBAdjustValueABS&gt;=LARGE(DBAdjustValueABS,MIN(5,CodeCount)),ROW(DBAdjustValueABS)-ROW(StockCodes!$A$5)),ROW(4:4)),COLUMN(StockCodes!$A$5)))</f>
        <v>RM1005</v>
      </c>
      <c r="C203" s="129" t="str">
        <f ca="1">B203&amp;" "&amp;IF(ISNA(VLOOKUP($B203,StockMaster,COLUMN(StockCodes!$B$5),0)),"",VLOOKUP($B203,StockMaster,COLUMN(StockCodes!$B$5),0))</f>
        <v>RM1005 Bread Rolls</v>
      </c>
      <c r="D203" s="176">
        <f ca="1">IF(ISNA(VLOOKUP($B203,StockMaster,COLUMN(StockCodes!$U$5),0)),"",VLOOKUP($B203,StockMaster,COLUMN(StockCodes!$U$5),0))</f>
        <v>-3.2800000000000007</v>
      </c>
      <c r="E203" s="176">
        <f ca="1">IF(ISNA(VLOOKUP($B203,StockMaster,COLUMN(StockCodes!$X$5),0)),"",VLOOKUP($B203,StockMaster,COLUMN(StockCodes!$X$5),0))</f>
        <v>-135.39481637517406</v>
      </c>
      <c r="F203" s="201">
        <f t="shared" ca="1" si="19"/>
        <v>135.39481637517406</v>
      </c>
      <c r="G203" s="196">
        <f t="shared" ca="1" si="20"/>
        <v>4</v>
      </c>
      <c r="H203" s="176">
        <f ca="1">IF(ISNUMBER(G203)=FALSE,"",G203+COUNTIF($G$200:$G203,$G203)-1)</f>
        <v>4</v>
      </c>
    </row>
    <row r="204" spans="1:11" ht="24" customHeight="1" x14ac:dyDescent="0.3">
      <c r="A204" s="166"/>
      <c r="B204" s="176" t="str">
        <f t="array" aca="1" ref="B204" ca="1">IF(ISERROR(INDEX(StockMaster,SMALL(IF(DBAdjustValueABS&gt;=LARGE(DBAdjustValueABS,MIN(5,CodeCount)),ROW(DBAdjustValueABS)-ROW(StockCodes!$A$5)),ROW(5:5)),COLUMN(StockCodes!$A$5))),"",INDEX(StockMaster,SMALL(IF(DBAdjustValueABS&gt;=LARGE(DBAdjustValueABS,MIN(5,CodeCount)),ROW(DBAdjustValueABS)-ROW(StockCodes!$A$5)),ROW(5:5)),COLUMN(StockCodes!$A$5)))</f>
        <v>RM1020</v>
      </c>
      <c r="C204" s="129" t="str">
        <f ca="1">B204&amp;" "&amp;IF(ISNA(VLOOKUP($B204,StockMaster,COLUMN(StockCodes!$B$5),0)),"",VLOOKUP($B204,StockMaster,COLUMN(StockCodes!$B$5),0))</f>
        <v>RM1020 Gurkins</v>
      </c>
      <c r="D204" s="176">
        <f ca="1">IF(ISNA(VLOOKUP($B204,StockMaster,COLUMN(StockCodes!$U$5),0)),"",VLOOKUP($B204,StockMaster,COLUMN(StockCodes!$U$5),0))</f>
        <v>75.260000000000005</v>
      </c>
      <c r="E204" s="176">
        <f ca="1">IF(ISNA(VLOOKUP($B204,StockMaster,COLUMN(StockCodes!$X$5),0)),"",VLOOKUP($B204,StockMaster,COLUMN(StockCodes!$X$5),0))</f>
        <v>588.83187979762113</v>
      </c>
      <c r="F204" s="201">
        <f t="shared" ca="1" si="19"/>
        <v>588.83187979762113</v>
      </c>
      <c r="G204" s="196">
        <f t="shared" ca="1" si="20"/>
        <v>2</v>
      </c>
      <c r="H204" s="176">
        <f ca="1">IF(ISNUMBER(G204)=FALSE,"",G204+COUNTIF($G$200:$G204,$G204)-1)</f>
        <v>2</v>
      </c>
    </row>
    <row r="205" spans="1:11" ht="24" customHeight="1" x14ac:dyDescent="0.3">
      <c r="A205" s="190" t="s">
        <v>222</v>
      </c>
      <c r="B205" s="191"/>
      <c r="C205" s="129" t="s">
        <v>214</v>
      </c>
      <c r="D205" s="192" t="s">
        <v>187</v>
      </c>
      <c r="E205" s="192" t="s">
        <v>171</v>
      </c>
      <c r="F205" s="193" t="s">
        <v>199</v>
      </c>
      <c r="G205" s="194" t="s">
        <v>200</v>
      </c>
      <c r="H205" s="194"/>
      <c r="I205" s="194"/>
    </row>
    <row r="206" spans="1:11" ht="24" customHeight="1" x14ac:dyDescent="0.3">
      <c r="A206" s="175"/>
      <c r="B206" s="176" t="str">
        <f t="array" aca="1" ref="B206" ca="1">IF(ISERROR(INDEX(StockMaster,SMALL(IF(DBPurchValue&gt;=LARGE(DBPurchValue,MIN(5,CodeCount)),ROW(DBPurchValue)-ROW(StockCodes!$A$5)),ROW(1:1)),COLUMN(StockCodes!$A$5))),"",INDEX(StockMaster,SMALL(IF(DBPurchValue&gt;=LARGE(DBPurchValue,MIN(5,CodeCount)),ROW(DBPurchValue)-ROW(StockCodes!$A$5)),ROW(1:1)),COLUMN(StockCodes!$A$5)))</f>
        <v>PM2005</v>
      </c>
      <c r="C206" s="129" t="str">
        <f ca="1">B206&amp;" "&amp;IF(ISNA(VLOOKUP($B206,StockMaster,COLUMN(StockCodes!$B$5),0)),"",VLOOKUP($B206,StockMaster,COLUMN(StockCodes!$B$5),0))</f>
        <v>PM2005 Labels</v>
      </c>
      <c r="D206" s="176">
        <f ca="1">IF(ISNA(VLOOKUP($B206,StockMaster,COLUMN(StockCodes!$S$5),0)),"",VLOOKUP($B206,StockMaster,COLUMN(StockCodes!$S$5),0))</f>
        <v>14</v>
      </c>
      <c r="E206" s="196">
        <f ca="1">IF(ISNA(VLOOKUP($B206,StockMaster,COLUMN(StockCodes!$V$5),0)),"",VLOOKUP($B206,StockMaster,COLUMN(StockCodes!$V$5),0))</f>
        <v>6470</v>
      </c>
      <c r="F206" s="196">
        <f ca="1">IF(ISNUMBER(E206)=FALSE,"",RANK(E206,$E$206:$E$210,0))</f>
        <v>3</v>
      </c>
      <c r="G206" s="176">
        <f ca="1">IF(ISNUMBER(F206)=FALSE,"",F206+COUNTIF($F$206:$F206,$F206)-1)</f>
        <v>3</v>
      </c>
      <c r="H206" s="194"/>
      <c r="I206" s="194"/>
    </row>
    <row r="207" spans="1:11" ht="24" customHeight="1" x14ac:dyDescent="0.3">
      <c r="A207" s="198"/>
      <c r="B207" s="176" t="str">
        <f t="array" aca="1" ref="B207" ca="1">IF(ISERROR(INDEX(StockMaster,SMALL(IF(DBPurchValue&gt;=LARGE(DBPurchValue,MIN(5,CodeCount)),ROW(DBPurchValue)-ROW(StockCodes!$A$5)),ROW(2:2)),COLUMN(StockCodes!$A$5))),"",INDEX(StockMaster,SMALL(IF(DBPurchValue&gt;=LARGE(DBPurchValue,MIN(5,CodeCount)),ROW(DBPurchValue)-ROW(StockCodes!$A$5)),ROW(2:2)),COLUMN(StockCodes!$A$5)))</f>
        <v>PM2015</v>
      </c>
      <c r="C207" s="129" t="str">
        <f ca="1">B207&amp;" "&amp;IF(ISNA(VLOOKUP($B207,StockMaster,COLUMN(StockCodes!$B$5),0)),"",VLOOKUP($B207,StockMaster,COLUMN(StockCodes!$B$5),0))</f>
        <v>PM2015 Boxes</v>
      </c>
      <c r="D207" s="176">
        <f ca="1">IF(ISNA(VLOOKUP($B207,StockMaster,COLUMN(StockCodes!$S$5),0)),"",VLOOKUP($B207,StockMaster,COLUMN(StockCodes!$S$5),0))</f>
        <v>4400</v>
      </c>
      <c r="E207" s="196">
        <f ca="1">IF(ISNA(VLOOKUP($B207,StockMaster,COLUMN(StockCodes!$V$5),0)),"",VLOOKUP($B207,StockMaster,COLUMN(StockCodes!$V$5),0))</f>
        <v>4560</v>
      </c>
      <c r="F207" s="196">
        <f t="shared" ref="F207:F210" ca="1" si="21">IF(ISNUMBER(E207)=FALSE,"",RANK(E207,$E$206:$E$210,0))</f>
        <v>4</v>
      </c>
      <c r="G207" s="176">
        <f ca="1">IF(ISNUMBER(F207)=FALSE,"",F207+COUNTIF($F$206:$F207,$F207)-1)</f>
        <v>4</v>
      </c>
      <c r="H207" s="194"/>
      <c r="I207" s="194"/>
    </row>
    <row r="208" spans="1:11" ht="24" customHeight="1" x14ac:dyDescent="0.3">
      <c r="A208" s="198"/>
      <c r="B208" s="176" t="str">
        <f t="array" aca="1" ref="B208" ca="1">IF(ISERROR(INDEX(StockMaster,SMALL(IF(DBPurchValue&gt;=LARGE(DBPurchValue,MIN(5,CodeCount)),ROW(DBPurchValue)-ROW(StockCodes!$A$5)),ROW(3:3)),COLUMN(StockCodes!$A$5))),"",INDEX(StockMaster,SMALL(IF(DBPurchValue&gt;=LARGE(DBPurchValue,MIN(5,CodeCount)),ROW(DBPurchValue)-ROW(StockCodes!$A$5)),ROW(3:3)),COLUMN(StockCodes!$A$5)))</f>
        <v>RM1000</v>
      </c>
      <c r="C208" s="129" t="str">
        <f ca="1">B208&amp;" "&amp;IF(ISNA(VLOOKUP($B208,StockMaster,COLUMN(StockCodes!$B$5),0)),"",VLOOKUP($B208,StockMaster,COLUMN(StockCodes!$B$5),0))</f>
        <v>RM1000 Meat</v>
      </c>
      <c r="D208" s="176">
        <f ca="1">IF(ISNA(VLOOKUP($B208,StockMaster,COLUMN(StockCodes!$S$5),0)),"",VLOOKUP($B208,StockMaster,COLUMN(StockCodes!$S$5),0))</f>
        <v>3760</v>
      </c>
      <c r="E208" s="196">
        <f ca="1">IF(ISNA(VLOOKUP($B208,StockMaster,COLUMN(StockCodes!$V$5),0)),"",VLOOKUP($B208,StockMaster,COLUMN(StockCodes!$V$5),0))</f>
        <v>185840</v>
      </c>
      <c r="F208" s="196">
        <f t="shared" ca="1" si="21"/>
        <v>1</v>
      </c>
      <c r="G208" s="176">
        <f ca="1">IF(ISNUMBER(F208)=FALSE,"",F208+COUNTIF($F$206:$F208,$F208)-1)</f>
        <v>1</v>
      </c>
      <c r="H208" s="194"/>
      <c r="I208" s="194"/>
    </row>
    <row r="209" spans="1:9" ht="24" customHeight="1" x14ac:dyDescent="0.3">
      <c r="A209" s="198"/>
      <c r="B209" s="176" t="str">
        <f t="array" aca="1" ref="B209" ca="1">IF(ISERROR(INDEX(StockMaster,SMALL(IF(DBPurchValue&gt;=LARGE(DBPurchValue,MIN(5,CodeCount)),ROW(DBPurchValue)-ROW(StockCodes!$A$5)),ROW(4:4)),COLUMN(StockCodes!$A$5))),"",INDEX(StockMaster,SMALL(IF(DBPurchValue&gt;=LARGE(DBPurchValue,MIN(5,CodeCount)),ROW(DBPurchValue)-ROW(StockCodes!$A$5)),ROW(4:4)),COLUMN(StockCodes!$A$5)))</f>
        <v>RM1005</v>
      </c>
      <c r="C209" s="129" t="str">
        <f ca="1">B209&amp;" "&amp;IF(ISNA(VLOOKUP($B209,StockMaster,COLUMN(StockCodes!$B$5),0)),"",VLOOKUP($B209,StockMaster,COLUMN(StockCodes!$B$5),0))</f>
        <v>RM1005 Bread Rolls</v>
      </c>
      <c r="D209" s="176">
        <f ca="1">IF(ISNA(VLOOKUP($B209,StockMaster,COLUMN(StockCodes!$S$5),0)),"",VLOOKUP($B209,StockMaster,COLUMN(StockCodes!$S$5),0))</f>
        <v>314</v>
      </c>
      <c r="E209" s="196">
        <f ca="1">IF(ISNA(VLOOKUP($B209,StockMaster,COLUMN(StockCodes!$V$5),0)),"",VLOOKUP($B209,StockMaster,COLUMN(StockCodes!$V$5),0))</f>
        <v>13080</v>
      </c>
      <c r="F209" s="196">
        <f t="shared" ca="1" si="21"/>
        <v>2</v>
      </c>
      <c r="G209" s="176">
        <f ca="1">IF(ISNUMBER(F209)=FALSE,"",F209+COUNTIF($F$206:$F209,$F209)-1)</f>
        <v>2</v>
      </c>
      <c r="H209" s="194"/>
      <c r="I209" s="194"/>
    </row>
    <row r="210" spans="1:9" ht="24" customHeight="1" x14ac:dyDescent="0.3">
      <c r="A210" s="166"/>
      <c r="B210" s="176" t="str">
        <f t="array" aca="1" ref="B210" ca="1">IF(ISERROR(INDEX(StockMaster,SMALL(IF(DBPurchValue&gt;=LARGE(DBPurchValue,MIN(5,CodeCount)),ROW(DBPurchValue)-ROW(StockCodes!$A$5)),ROW(5:5)),COLUMN(StockCodes!$A$5))),"",INDEX(StockMaster,SMALL(IF(DBPurchValue&gt;=LARGE(DBPurchValue,MIN(5,CodeCount)),ROW(DBPurchValue)-ROW(StockCodes!$A$5)),ROW(5:5)),COLUMN(StockCodes!$A$5)))</f>
        <v>RM1025</v>
      </c>
      <c r="C210" s="129" t="str">
        <f ca="1">B210&amp;" "&amp;IF(ISNA(VLOOKUP($B210,StockMaster,COLUMN(StockCodes!$B$5),0)),"",VLOOKUP($B210,StockMaster,COLUMN(StockCodes!$B$5),0))</f>
        <v>RM1025 Onions</v>
      </c>
      <c r="D210" s="176">
        <f ca="1">IF(ISNA(VLOOKUP($B210,StockMaster,COLUMN(StockCodes!$S$5),0)),"",VLOOKUP($B210,StockMaster,COLUMN(StockCodes!$S$5),0))</f>
        <v>74</v>
      </c>
      <c r="E210" s="196">
        <f ca="1">IF(ISNA(VLOOKUP($B210,StockMaster,COLUMN(StockCodes!$V$5),0)),"",VLOOKUP($B210,StockMaster,COLUMN(StockCodes!$V$5),0))</f>
        <v>1006</v>
      </c>
      <c r="F210" s="196">
        <f t="shared" ca="1" si="21"/>
        <v>5</v>
      </c>
      <c r="G210" s="176">
        <f ca="1">IF(ISNUMBER(F210)=FALSE,"",F210+COUNTIF($F$206:$F210,$F210)-1)</f>
        <v>5</v>
      </c>
      <c r="H210" s="194"/>
      <c r="I210" s="194"/>
    </row>
    <row r="211" spans="1:9" ht="24" customHeight="1" x14ac:dyDescent="0.3">
      <c r="A211" s="190" t="s">
        <v>226</v>
      </c>
      <c r="B211" s="191"/>
      <c r="C211" s="129" t="s">
        <v>214</v>
      </c>
      <c r="D211" s="192" t="s">
        <v>228</v>
      </c>
      <c r="E211" s="192" t="s">
        <v>229</v>
      </c>
      <c r="F211" s="184" t="s">
        <v>217</v>
      </c>
      <c r="G211" s="193" t="s">
        <v>199</v>
      </c>
      <c r="H211" s="194" t="s">
        <v>200</v>
      </c>
      <c r="I211" s="184" t="s">
        <v>184</v>
      </c>
    </row>
    <row r="212" spans="1:9" ht="24" customHeight="1" x14ac:dyDescent="0.3">
      <c r="A212" s="175"/>
      <c r="B212" s="176" t="str">
        <f t="array" aca="1" ref="B212" ca="1">IF(ISERROR(INDEX(StockMaster,SMALL(IF(DBPriceVarABS&gt;=LARGE(DBPriceVarABS,MIN(5,CodeCount)),ROW(DBPriceVarABS)-ROW(StockCodes!$A$5)),ROW(1:1)),COLUMN(StockCodes!$A$5))),"",INDEX(StockMaster,SMALL(IF(DBPriceVarABS&gt;=LARGE(DBPriceVarABS,MIN(5,CodeCount)),ROW(DBPriceVarABS)-ROW(StockCodes!$A$5)),ROW(1:1)),COLUMN(StockCodes!$A$5)))</f>
        <v>PM2005</v>
      </c>
      <c r="C212" s="129" t="str">
        <f ca="1">B212&amp;" "&amp;IF(ISNA(VLOOKUP($B212,StockMaster,COLUMN(StockCodes!$B$5),0)),"",VLOOKUP($B212,StockMaster,COLUMN(StockCodes!$B$5),0))</f>
        <v>PM2005 Labels</v>
      </c>
      <c r="D212" s="176">
        <f ca="1">IF(ISNA(VLOOKUP($B212,StockMaster,COLUMN(StockCodes!$Z$5),0)),"",VLOOKUP($B212,StockMaster,COLUMN(StockCodes!$Z$5),0))</f>
        <v>-506.07857025502551</v>
      </c>
      <c r="E212" s="202">
        <f t="shared" ref="E212:E215" ca="1" si="22">IF(ISNUMBER(D212)=FALSE,"",IF(I212=0,0,D212/I212))</f>
        <v>-7.8219253517005483E-2</v>
      </c>
      <c r="F212" s="201">
        <f ca="1">IF(ISNUMBER(D212)=FALSE,"",ABS(D212))</f>
        <v>506.07857025502551</v>
      </c>
      <c r="G212" s="196">
        <f ca="1">IF(ISNUMBER(F212)=FALSE,"",RANK(F212,$F$212:$F$216,0))</f>
        <v>2</v>
      </c>
      <c r="H212" s="176">
        <f ca="1">IF(ISNUMBER(G212)=FALSE,"",G212+COUNTIF($G$212:$G212,$G212)-1)</f>
        <v>2</v>
      </c>
      <c r="I212" s="176">
        <f ca="1">IF(ISNA(VLOOKUP($B212,StockMaster,COLUMN(StockCodes!$V$5),0)),"",VLOOKUP($B212,StockMaster,COLUMN(StockCodes!$V$5),0))</f>
        <v>6470</v>
      </c>
    </row>
    <row r="213" spans="1:9" ht="24" customHeight="1" x14ac:dyDescent="0.3">
      <c r="A213" s="198"/>
      <c r="B213" s="176" t="str">
        <f t="array" aca="1" ref="B213" ca="1">IF(ISERROR(INDEX(StockMaster,SMALL(IF(DBPriceVarABS&gt;=LARGE(DBPriceVarABS,MIN(5,CodeCount)),ROW(DBPriceVarABS)-ROW(StockCodes!$A$5)),ROW(2:2)),COLUMN(StockCodes!$A$5))),"",INDEX(StockMaster,SMALL(IF(DBPriceVarABS&gt;=LARGE(DBPriceVarABS,MIN(5,CodeCount)),ROW(DBPriceVarABS)-ROW(StockCodes!$A$5)),ROW(2:2)),COLUMN(StockCodes!$A$5)))</f>
        <v>PM2015</v>
      </c>
      <c r="C213" s="129" t="str">
        <f ca="1">B213&amp;" "&amp;IF(ISNA(VLOOKUP($B213,StockMaster,COLUMN(StockCodes!$B$5),0)),"",VLOOKUP($B213,StockMaster,COLUMN(StockCodes!$B$5),0))</f>
        <v>PM2015 Boxes</v>
      </c>
      <c r="D213" s="176">
        <f ca="1">IF(ISNA(VLOOKUP($B213,StockMaster,COLUMN(StockCodes!$Z$5),0)),"",VLOOKUP($B213,StockMaster,COLUMN(StockCodes!$Z$5),0))</f>
        <v>191.92091908510588</v>
      </c>
      <c r="E213" s="202">
        <f t="shared" ca="1" si="22"/>
        <v>4.2087920851996904E-2</v>
      </c>
      <c r="F213" s="201">
        <f t="shared" ref="F213:F216" ca="1" si="23">IF(ISNUMBER(D213)=FALSE,"",ABS(D213))</f>
        <v>191.92091908510588</v>
      </c>
      <c r="G213" s="196">
        <f t="shared" ref="G213:G216" ca="1" si="24">IF(ISNUMBER(F213)=FALSE,"",RANK(F213,$F$212:$F$216,0))</f>
        <v>5</v>
      </c>
      <c r="H213" s="176">
        <f ca="1">IF(ISNUMBER(G213)=FALSE,"",G213+COUNTIF($G$212:$G213,$G213)-1)</f>
        <v>5</v>
      </c>
      <c r="I213" s="176">
        <f ca="1">IF(ISNA(VLOOKUP($B213,StockMaster,COLUMN(StockCodes!$V$5),0)),"",VLOOKUP($B213,StockMaster,COLUMN(StockCodes!$V$5),0))</f>
        <v>4560</v>
      </c>
    </row>
    <row r="214" spans="1:9" ht="24" customHeight="1" x14ac:dyDescent="0.3">
      <c r="A214" s="198"/>
      <c r="B214" s="176" t="str">
        <f t="array" aca="1" ref="B214" ca="1">IF(ISERROR(INDEX(StockMaster,SMALL(IF(DBPriceVarABS&gt;=LARGE(DBPriceVarABS,MIN(5,CodeCount)),ROW(DBPriceVarABS)-ROW(StockCodes!$A$5)),ROW(3:3)),COLUMN(StockCodes!$A$5))),"",INDEX(StockMaster,SMALL(IF(DBPriceVarABS&gt;=LARGE(DBPriceVarABS,MIN(5,CodeCount)),ROW(DBPriceVarABS)-ROW(StockCodes!$A$5)),ROW(3:3)),COLUMN(StockCodes!$A$5)))</f>
        <v>RM1000</v>
      </c>
      <c r="C214" s="129" t="str">
        <f ca="1">B214&amp;" "&amp;IF(ISNA(VLOOKUP($B214,StockMaster,COLUMN(StockCodes!$B$5),0)),"",VLOOKUP($B214,StockMaster,COLUMN(StockCodes!$B$5),0))</f>
        <v>RM1000 Meat</v>
      </c>
      <c r="D214" s="176">
        <f ca="1">IF(ISNA(VLOOKUP($B214,StockMaster,COLUMN(StockCodes!$Z$5),0)),"",VLOOKUP($B214,StockMaster,COLUMN(StockCodes!$Z$5),0))</f>
        <v>1239.3677980620982</v>
      </c>
      <c r="E214" s="202">
        <f t="shared" ca="1" si="22"/>
        <v>6.669004509589422E-3</v>
      </c>
      <c r="F214" s="201">
        <f t="shared" ca="1" si="23"/>
        <v>1239.3677980620982</v>
      </c>
      <c r="G214" s="196">
        <f t="shared" ca="1" si="24"/>
        <v>1</v>
      </c>
      <c r="H214" s="176">
        <f ca="1">IF(ISNUMBER(G214)=FALSE,"",G214+COUNTIF($G$212:$G214,$G214)-1)</f>
        <v>1</v>
      </c>
      <c r="I214" s="176">
        <f ca="1">IF(ISNA(VLOOKUP($B214,StockMaster,COLUMN(StockCodes!$V$5),0)),"",VLOOKUP($B214,StockMaster,COLUMN(StockCodes!$V$5),0))</f>
        <v>185840</v>
      </c>
    </row>
    <row r="215" spans="1:9" ht="24" customHeight="1" x14ac:dyDescent="0.3">
      <c r="A215" s="198"/>
      <c r="B215" s="176" t="str">
        <f t="array" aca="1" ref="B215" ca="1">IF(ISERROR(INDEX(StockMaster,SMALL(IF(DBPriceVarABS&gt;=LARGE(DBPriceVarABS,MIN(5,CodeCount)),ROW(DBPriceVarABS)-ROW(StockCodes!$A$5)),ROW(4:4)),COLUMN(StockCodes!$A$5))),"",INDEX(StockMaster,SMALL(IF(DBPriceVarABS&gt;=LARGE(DBPriceVarABS,MIN(5,CodeCount)),ROW(DBPriceVarABS)-ROW(StockCodes!$A$5)),ROW(4:4)),COLUMN(StockCodes!$A$5)))</f>
        <v>RM1005</v>
      </c>
      <c r="C215" s="129" t="str">
        <f ca="1">B215&amp;" "&amp;IF(ISNA(VLOOKUP($B215,StockMaster,COLUMN(StockCodes!$B$5),0)),"",VLOOKUP($B215,StockMaster,COLUMN(StockCodes!$B$5),0))</f>
        <v>RM1005 Bread Rolls</v>
      </c>
      <c r="D215" s="176">
        <f ca="1">IF(ISNA(VLOOKUP($B215,StockMaster,COLUMN(StockCodes!$Z$5),0)),"",VLOOKUP($B215,StockMaster,COLUMN(StockCodes!$Z$5),0))</f>
        <v>-479.73982629394027</v>
      </c>
      <c r="E215" s="202">
        <f t="shared" ca="1" si="22"/>
        <v>-3.6677356750301246E-2</v>
      </c>
      <c r="F215" s="201">
        <f t="shared" ca="1" si="23"/>
        <v>479.73982629394027</v>
      </c>
      <c r="G215" s="196">
        <f t="shared" ca="1" si="24"/>
        <v>3</v>
      </c>
      <c r="H215" s="176">
        <f ca="1">IF(ISNUMBER(G215)=FALSE,"",G215+COUNTIF($G$212:$G215,$G215)-1)</f>
        <v>3</v>
      </c>
      <c r="I215" s="176">
        <f ca="1">IF(ISNA(VLOOKUP($B215,StockMaster,COLUMN(StockCodes!$V$5),0)),"",VLOOKUP($B215,StockMaster,COLUMN(StockCodes!$V$5),0))</f>
        <v>13080</v>
      </c>
    </row>
    <row r="216" spans="1:9" ht="24" customHeight="1" x14ac:dyDescent="0.3">
      <c r="A216" s="166"/>
      <c r="B216" s="176" t="str">
        <f t="array" aca="1" ref="B216" ca="1">IF(ISERROR(INDEX(StockMaster,SMALL(IF(DBPriceVarABS&gt;=LARGE(DBPriceVarABS,MIN(5,CodeCount)),ROW(DBPriceVarABS)-ROW(StockCodes!$A$5)),ROW(5:5)),COLUMN(StockCodes!$A$5))),"",INDEX(StockMaster,SMALL(IF(DBPriceVarABS&gt;=LARGE(DBPriceVarABS,MIN(5,CodeCount)),ROW(DBPriceVarABS)-ROW(StockCodes!$A$5)),ROW(5:5)),COLUMN(StockCodes!$A$5)))</f>
        <v>RM1025</v>
      </c>
      <c r="C216" s="129" t="str">
        <f ca="1">B216&amp;" "&amp;IF(ISNA(VLOOKUP($B216,StockMaster,COLUMN(StockCodes!$B$5),0)),"",VLOOKUP($B216,StockMaster,COLUMN(StockCodes!$B$5),0))</f>
        <v>RM1025 Onions</v>
      </c>
      <c r="D216" s="176">
        <f ca="1">IF(ISNA(VLOOKUP($B216,StockMaster,COLUMN(StockCodes!$Z$5),0)),"",VLOOKUP($B216,StockMaster,COLUMN(StockCodes!$Z$5),0))</f>
        <v>-409.80759601286627</v>
      </c>
      <c r="E216" s="202">
        <f ca="1">IF(ISNUMBER(D216)=FALSE,"",IF(I216=0,0,D216/I216))</f>
        <v>-0.40736341551974781</v>
      </c>
      <c r="F216" s="201">
        <f t="shared" ca="1" si="23"/>
        <v>409.80759601286627</v>
      </c>
      <c r="G216" s="196">
        <f t="shared" ca="1" si="24"/>
        <v>4</v>
      </c>
      <c r="H216" s="176">
        <f ca="1">IF(ISNUMBER(G216)=FALSE,"",G216+COUNTIF($G$212:$G216,$G216)-1)</f>
        <v>4</v>
      </c>
      <c r="I216" s="176">
        <f ca="1">IF(ISNA(VLOOKUP($B216,StockMaster,COLUMN(StockCodes!$V$5),0)),"",VLOOKUP($B216,StockMaster,COLUMN(StockCodes!$V$5),0))</f>
        <v>1006</v>
      </c>
    </row>
  </sheetData>
  <mergeCells count="30">
    <mergeCell ref="B2:B5"/>
    <mergeCell ref="C4:D4"/>
    <mergeCell ref="C2:F3"/>
    <mergeCell ref="C5:D5"/>
    <mergeCell ref="B6:B13"/>
    <mergeCell ref="C6:D13"/>
    <mergeCell ref="E6:F13"/>
    <mergeCell ref="G12:H12"/>
    <mergeCell ref="G2:J2"/>
    <mergeCell ref="G3:J3"/>
    <mergeCell ref="G4:J4"/>
    <mergeCell ref="G5:J5"/>
    <mergeCell ref="G6:J6"/>
    <mergeCell ref="G7:H7"/>
    <mergeCell ref="G8:H8"/>
    <mergeCell ref="G9:H9"/>
    <mergeCell ref="G10:H10"/>
    <mergeCell ref="G11:H11"/>
    <mergeCell ref="G13:H13"/>
    <mergeCell ref="H14:I14"/>
    <mergeCell ref="H15:I15"/>
    <mergeCell ref="B16:J25"/>
    <mergeCell ref="B43:C44"/>
    <mergeCell ref="F43:H44"/>
    <mergeCell ref="B26:E34"/>
    <mergeCell ref="F26:J34"/>
    <mergeCell ref="B14:F14"/>
    <mergeCell ref="B15:F15"/>
    <mergeCell ref="B35:C36"/>
    <mergeCell ref="F35:H36"/>
  </mergeCells>
  <dataValidations count="5">
    <dataValidation type="list" allowBlank="1" showInputMessage="1" showErrorMessage="1" errorTitle="Invalid Data" error="Select a valid item from the list box." sqref="C5:D5" xr:uid="{05D03E83-3BA1-46ED-B47E-52C5D1CB14FB}">
      <formula1>StockCodeOnly</formula1>
    </dataValidation>
    <dataValidation type="date" operator="greaterThan" allowBlank="1" showInputMessage="1" showErrorMessage="1" errorTitle="Invalid Date" error="Enter a valid date in accordance with your system date settings." sqref="E5:F5" xr:uid="{7A428BCA-B4C5-42F4-BA6E-EB8DEAC70E13}">
      <formula1>36526</formula1>
    </dataValidation>
    <dataValidation type="list" allowBlank="1" showInputMessage="1" showErrorMessage="1" errorTitle="Invalid Data" error="Select a valid item from the list box." sqref="J15" xr:uid="{0A235E6F-EECD-448B-AB94-1E47B98B4631}">
      <formula1>"All,Purchase,Usage,Adjustment"</formula1>
    </dataValidation>
    <dataValidation type="list" allowBlank="1" showInputMessage="1" showErrorMessage="1" errorTitle="Invalid Data" error="Select a valid item from the list box." sqref="H15:I15" xr:uid="{99938295-A9FF-44BD-BC6C-D06A18845352}">
      <formula1>"Quantity,Cost,Amount"</formula1>
    </dataValidation>
    <dataValidation type="list" allowBlank="1" showInputMessage="1" showErrorMessage="1" errorTitle="Invalid Data" error="Select a valid item from the list box." sqref="G15" xr:uid="{DF09D54C-3C9E-4A4A-B847-FD7ABCD53091}">
      <formula1>"Movement,Balance"</formula1>
    </dataValidation>
  </dataValidations>
  <pageMargins left="0.7" right="0.7" top="0.75" bottom="0.75" header="0.3" footer="0.3"/>
  <pageSetup paperSize="9" scale="47"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48"/>
  <sheetViews>
    <sheetView zoomScale="95" zoomScaleNormal="95" workbookViewId="0">
      <pane ySplit="4" topLeftCell="A5" activePane="bottomLeft" state="frozen"/>
      <selection pane="bottomLeft" activeCell="A4" sqref="A4"/>
    </sheetView>
  </sheetViews>
  <sheetFormatPr defaultColWidth="9.140625" defaultRowHeight="16.149999999999999" customHeight="1" x14ac:dyDescent="0.25"/>
  <cols>
    <col min="1" max="1" width="10.7109375" style="3" customWidth="1"/>
    <col min="2" max="2" width="10.7109375" style="37" customWidth="1"/>
    <col min="3" max="4" width="20.7109375" style="37" customWidth="1"/>
    <col min="5" max="5" width="15.7109375" style="38" customWidth="1"/>
    <col min="6" max="11" width="12.7109375" style="3" customWidth="1"/>
    <col min="12" max="16384" width="9.140625" style="3"/>
  </cols>
  <sheetData>
    <row r="1" spans="1:5" s="27" customFormat="1" ht="16.149999999999999" customHeight="1" x14ac:dyDescent="0.25">
      <c r="A1" s="98" t="s">
        <v>146</v>
      </c>
      <c r="B1" s="25"/>
      <c r="C1" s="25"/>
      <c r="D1" s="25"/>
      <c r="E1" s="26"/>
    </row>
    <row r="2" spans="1:5" s="29" customFormat="1" ht="16.149999999999999" customHeight="1" x14ac:dyDescent="0.25">
      <c r="A2" s="28" t="s">
        <v>13</v>
      </c>
      <c r="E2" s="30"/>
    </row>
    <row r="3" spans="1:5" s="29" customFormat="1" ht="16.149999999999999" customHeight="1" x14ac:dyDescent="0.2">
      <c r="A3" s="31" t="s">
        <v>44</v>
      </c>
      <c r="B3" s="28"/>
      <c r="C3" s="28"/>
      <c r="D3" s="28"/>
      <c r="E3" s="32">
        <f>SUBTOTAL(109,Sale[[#Data],[Exclusive Sales Amount]])</f>
        <v>292757</v>
      </c>
    </row>
    <row r="4" spans="1:5" s="36" customFormat="1" ht="25.5" x14ac:dyDescent="0.25">
      <c r="A4" s="33" t="s">
        <v>55</v>
      </c>
      <c r="B4" s="209" t="s">
        <v>7</v>
      </c>
      <c r="C4" s="34" t="s">
        <v>8</v>
      </c>
      <c r="D4" s="34" t="s">
        <v>52</v>
      </c>
      <c r="E4" s="35" t="s">
        <v>15</v>
      </c>
    </row>
    <row r="5" spans="1:5" ht="16.149999999999999" customHeight="1" x14ac:dyDescent="0.25">
      <c r="A5" s="3" t="s">
        <v>48</v>
      </c>
      <c r="B5" s="37">
        <v>44378</v>
      </c>
      <c r="C5" s="37" t="s">
        <v>37</v>
      </c>
      <c r="D5" s="37" t="s">
        <v>14</v>
      </c>
      <c r="E5" s="38">
        <v>4800</v>
      </c>
    </row>
    <row r="6" spans="1:5" ht="16.149999999999999" customHeight="1" x14ac:dyDescent="0.25">
      <c r="A6" s="3" t="s">
        <v>48</v>
      </c>
      <c r="B6" s="37">
        <v>44379</v>
      </c>
      <c r="C6" s="37" t="s">
        <v>37</v>
      </c>
      <c r="D6" s="37" t="s">
        <v>14</v>
      </c>
      <c r="E6" s="38">
        <v>4200</v>
      </c>
    </row>
    <row r="7" spans="1:5" ht="16.149999999999999" customHeight="1" x14ac:dyDescent="0.25">
      <c r="A7" s="3" t="s">
        <v>48</v>
      </c>
      <c r="B7" s="37">
        <v>44382</v>
      </c>
      <c r="C7" s="37" t="s">
        <v>37</v>
      </c>
      <c r="D7" s="37" t="s">
        <v>14</v>
      </c>
      <c r="E7" s="38">
        <v>5300</v>
      </c>
    </row>
    <row r="8" spans="1:5" ht="16.149999999999999" customHeight="1" x14ac:dyDescent="0.25">
      <c r="A8" s="3" t="s">
        <v>48</v>
      </c>
      <c r="B8" s="37">
        <v>44383</v>
      </c>
      <c r="C8" s="37" t="s">
        <v>37</v>
      </c>
      <c r="D8" s="37" t="s">
        <v>14</v>
      </c>
      <c r="E8" s="38">
        <v>4500</v>
      </c>
    </row>
    <row r="9" spans="1:5" ht="16.149999999999999" customHeight="1" x14ac:dyDescent="0.25">
      <c r="A9" s="3" t="s">
        <v>48</v>
      </c>
      <c r="B9" s="37">
        <v>44384</v>
      </c>
      <c r="C9" s="37" t="s">
        <v>37</v>
      </c>
      <c r="D9" s="37" t="s">
        <v>14</v>
      </c>
      <c r="E9" s="38">
        <v>4800</v>
      </c>
    </row>
    <row r="10" spans="1:5" ht="16.149999999999999" customHeight="1" x14ac:dyDescent="0.25">
      <c r="A10" s="3" t="s">
        <v>48</v>
      </c>
      <c r="B10" s="37">
        <v>44385</v>
      </c>
      <c r="C10" s="37" t="s">
        <v>37</v>
      </c>
      <c r="D10" s="37" t="s">
        <v>14</v>
      </c>
      <c r="E10" s="38">
        <v>4250</v>
      </c>
    </row>
    <row r="11" spans="1:5" ht="16.149999999999999" customHeight="1" x14ac:dyDescent="0.25">
      <c r="A11" s="3" t="s">
        <v>48</v>
      </c>
      <c r="B11" s="37">
        <v>44386</v>
      </c>
      <c r="C11" s="37" t="s">
        <v>37</v>
      </c>
      <c r="D11" s="37" t="s">
        <v>14</v>
      </c>
      <c r="E11" s="38">
        <v>3800</v>
      </c>
    </row>
    <row r="12" spans="1:5" ht="16.149999999999999" customHeight="1" x14ac:dyDescent="0.25">
      <c r="A12" s="3" t="s">
        <v>48</v>
      </c>
      <c r="B12" s="37">
        <v>44389</v>
      </c>
      <c r="C12" s="37" t="s">
        <v>37</v>
      </c>
      <c r="D12" s="37" t="s">
        <v>14</v>
      </c>
      <c r="E12" s="38">
        <v>4700</v>
      </c>
    </row>
    <row r="13" spans="1:5" ht="16.149999999999999" customHeight="1" x14ac:dyDescent="0.25">
      <c r="A13" s="3" t="s">
        <v>48</v>
      </c>
      <c r="B13" s="37">
        <v>44390</v>
      </c>
      <c r="C13" s="37" t="s">
        <v>37</v>
      </c>
      <c r="D13" s="37" t="s">
        <v>14</v>
      </c>
      <c r="E13" s="38">
        <v>4230</v>
      </c>
    </row>
    <row r="14" spans="1:5" ht="16.149999999999999" customHeight="1" x14ac:dyDescent="0.25">
      <c r="A14" s="3" t="s">
        <v>48</v>
      </c>
      <c r="B14" s="37">
        <v>44391</v>
      </c>
      <c r="C14" s="37" t="s">
        <v>37</v>
      </c>
      <c r="D14" s="37" t="s">
        <v>14</v>
      </c>
      <c r="E14" s="38">
        <v>5820</v>
      </c>
    </row>
    <row r="15" spans="1:5" ht="16.149999999999999" customHeight="1" x14ac:dyDescent="0.25">
      <c r="A15" s="3" t="s">
        <v>48</v>
      </c>
      <c r="B15" s="37">
        <v>44392</v>
      </c>
      <c r="C15" s="37" t="s">
        <v>37</v>
      </c>
      <c r="D15" s="37" t="s">
        <v>14</v>
      </c>
      <c r="E15" s="38">
        <v>5750</v>
      </c>
    </row>
    <row r="16" spans="1:5" ht="16.149999999999999" customHeight="1" x14ac:dyDescent="0.25">
      <c r="A16" s="3" t="s">
        <v>48</v>
      </c>
      <c r="B16" s="37">
        <v>44393</v>
      </c>
      <c r="C16" s="37" t="s">
        <v>37</v>
      </c>
      <c r="D16" s="37" t="s">
        <v>14</v>
      </c>
      <c r="E16" s="38">
        <v>3720</v>
      </c>
    </row>
    <row r="17" spans="1:5" ht="16.149999999999999" customHeight="1" x14ac:dyDescent="0.25">
      <c r="A17" s="3" t="s">
        <v>48</v>
      </c>
      <c r="B17" s="37">
        <v>44396</v>
      </c>
      <c r="C17" s="37" t="s">
        <v>37</v>
      </c>
      <c r="D17" s="37" t="s">
        <v>14</v>
      </c>
      <c r="E17" s="38">
        <v>6320</v>
      </c>
    </row>
    <row r="18" spans="1:5" ht="16.149999999999999" customHeight="1" x14ac:dyDescent="0.25">
      <c r="A18" s="3" t="s">
        <v>48</v>
      </c>
      <c r="B18" s="37">
        <v>44397</v>
      </c>
      <c r="C18" s="37" t="s">
        <v>37</v>
      </c>
      <c r="D18" s="37" t="s">
        <v>14</v>
      </c>
      <c r="E18" s="38">
        <v>6900</v>
      </c>
    </row>
    <row r="19" spans="1:5" ht="16.149999999999999" customHeight="1" x14ac:dyDescent="0.25">
      <c r="A19" s="3" t="s">
        <v>48</v>
      </c>
      <c r="B19" s="37">
        <v>44398</v>
      </c>
      <c r="C19" s="37" t="s">
        <v>37</v>
      </c>
      <c r="D19" s="37" t="s">
        <v>14</v>
      </c>
      <c r="E19" s="38">
        <v>7100</v>
      </c>
    </row>
    <row r="20" spans="1:5" ht="16.149999999999999" customHeight="1" x14ac:dyDescent="0.25">
      <c r="A20" s="3" t="s">
        <v>48</v>
      </c>
      <c r="B20" s="37">
        <v>44399</v>
      </c>
      <c r="C20" s="37" t="s">
        <v>37</v>
      </c>
      <c r="D20" s="37" t="s">
        <v>14</v>
      </c>
      <c r="E20" s="38">
        <v>6640</v>
      </c>
    </row>
    <row r="21" spans="1:5" ht="16.149999999999999" customHeight="1" x14ac:dyDescent="0.25">
      <c r="A21" s="3" t="s">
        <v>48</v>
      </c>
      <c r="B21" s="37">
        <v>44400</v>
      </c>
      <c r="C21" s="37" t="s">
        <v>37</v>
      </c>
      <c r="D21" s="37" t="s">
        <v>14</v>
      </c>
      <c r="E21" s="38">
        <v>7500</v>
      </c>
    </row>
    <row r="22" spans="1:5" ht="16.149999999999999" customHeight="1" x14ac:dyDescent="0.25">
      <c r="A22" s="3" t="s">
        <v>48</v>
      </c>
      <c r="B22" s="37">
        <v>44403</v>
      </c>
      <c r="C22" s="37" t="s">
        <v>37</v>
      </c>
      <c r="D22" s="37" t="s">
        <v>14</v>
      </c>
      <c r="E22" s="38">
        <v>6518</v>
      </c>
    </row>
    <row r="23" spans="1:5" ht="16.149999999999999" customHeight="1" x14ac:dyDescent="0.25">
      <c r="A23" s="3" t="s">
        <v>48</v>
      </c>
      <c r="B23" s="37">
        <v>44404</v>
      </c>
      <c r="C23" s="37" t="s">
        <v>37</v>
      </c>
      <c r="D23" s="37" t="s">
        <v>14</v>
      </c>
      <c r="E23" s="38">
        <v>7730</v>
      </c>
    </row>
    <row r="24" spans="1:5" ht="16.149999999999999" customHeight="1" x14ac:dyDescent="0.25">
      <c r="A24" s="3" t="s">
        <v>48</v>
      </c>
      <c r="B24" s="37">
        <v>44405</v>
      </c>
      <c r="C24" s="37" t="s">
        <v>37</v>
      </c>
      <c r="D24" s="37" t="s">
        <v>14</v>
      </c>
      <c r="E24" s="38">
        <v>8240</v>
      </c>
    </row>
    <row r="25" spans="1:5" ht="16.149999999999999" customHeight="1" x14ac:dyDescent="0.25">
      <c r="A25" s="3" t="s">
        <v>48</v>
      </c>
      <c r="B25" s="37">
        <v>44406</v>
      </c>
      <c r="C25" s="37" t="s">
        <v>37</v>
      </c>
      <c r="D25" s="37" t="s">
        <v>14</v>
      </c>
      <c r="E25" s="38">
        <v>8105</v>
      </c>
    </row>
    <row r="26" spans="1:5" ht="16.149999999999999" customHeight="1" x14ac:dyDescent="0.25">
      <c r="A26" s="3" t="s">
        <v>48</v>
      </c>
      <c r="B26" s="37">
        <v>44407</v>
      </c>
      <c r="C26" s="37" t="s">
        <v>37</v>
      </c>
      <c r="D26" s="37" t="s">
        <v>14</v>
      </c>
      <c r="E26" s="38">
        <v>7290</v>
      </c>
    </row>
    <row r="27" spans="1:5" ht="16.149999999999999" customHeight="1" x14ac:dyDescent="0.25">
      <c r="A27" s="3" t="s">
        <v>48</v>
      </c>
      <c r="B27" s="37">
        <v>44410</v>
      </c>
      <c r="C27" s="37" t="s">
        <v>37</v>
      </c>
      <c r="D27" s="37" t="s">
        <v>14</v>
      </c>
      <c r="E27" s="38">
        <v>6420</v>
      </c>
    </row>
    <row r="28" spans="1:5" ht="16.149999999999999" customHeight="1" x14ac:dyDescent="0.25">
      <c r="A28" s="3" t="s">
        <v>48</v>
      </c>
      <c r="B28" s="37">
        <v>44411</v>
      </c>
      <c r="C28" s="37" t="s">
        <v>37</v>
      </c>
      <c r="D28" s="37" t="s">
        <v>14</v>
      </c>
      <c r="E28" s="38">
        <v>7800</v>
      </c>
    </row>
    <row r="29" spans="1:5" ht="16.149999999999999" customHeight="1" x14ac:dyDescent="0.25">
      <c r="A29" s="3" t="s">
        <v>48</v>
      </c>
      <c r="B29" s="37">
        <v>44412</v>
      </c>
      <c r="C29" s="37" t="s">
        <v>37</v>
      </c>
      <c r="D29" s="37" t="s">
        <v>14</v>
      </c>
      <c r="E29" s="38">
        <v>7924</v>
      </c>
    </row>
    <row r="30" spans="1:5" ht="16.149999999999999" customHeight="1" x14ac:dyDescent="0.25">
      <c r="A30" s="3" t="s">
        <v>48</v>
      </c>
      <c r="B30" s="37">
        <v>44413</v>
      </c>
      <c r="C30" s="37" t="s">
        <v>37</v>
      </c>
      <c r="D30" s="37" t="s">
        <v>14</v>
      </c>
      <c r="E30" s="38">
        <v>8120</v>
      </c>
    </row>
    <row r="31" spans="1:5" ht="16.149999999999999" customHeight="1" x14ac:dyDescent="0.25">
      <c r="A31" s="3" t="s">
        <v>48</v>
      </c>
      <c r="B31" s="37">
        <v>44414</v>
      </c>
      <c r="C31" s="37" t="s">
        <v>37</v>
      </c>
      <c r="D31" s="37" t="s">
        <v>14</v>
      </c>
      <c r="E31" s="38">
        <v>7430</v>
      </c>
    </row>
    <row r="32" spans="1:5" ht="16.149999999999999" customHeight="1" x14ac:dyDescent="0.25">
      <c r="A32" s="3" t="s">
        <v>48</v>
      </c>
      <c r="B32" s="37">
        <v>44417</v>
      </c>
      <c r="C32" s="37" t="s">
        <v>37</v>
      </c>
      <c r="D32" s="37" t="s">
        <v>14</v>
      </c>
      <c r="E32" s="38">
        <v>6300</v>
      </c>
    </row>
    <row r="33" spans="1:5" ht="16.149999999999999" customHeight="1" x14ac:dyDescent="0.25">
      <c r="A33" s="3" t="s">
        <v>48</v>
      </c>
      <c r="B33" s="37">
        <v>44418</v>
      </c>
      <c r="C33" s="37" t="s">
        <v>37</v>
      </c>
      <c r="D33" s="37" t="s">
        <v>14</v>
      </c>
      <c r="E33" s="38">
        <v>7400</v>
      </c>
    </row>
    <row r="34" spans="1:5" ht="16.149999999999999" customHeight="1" x14ac:dyDescent="0.25">
      <c r="A34" s="3" t="s">
        <v>48</v>
      </c>
      <c r="B34" s="37">
        <v>44419</v>
      </c>
      <c r="C34" s="37" t="s">
        <v>37</v>
      </c>
      <c r="D34" s="37" t="s">
        <v>14</v>
      </c>
      <c r="E34" s="38">
        <v>6800</v>
      </c>
    </row>
    <row r="35" spans="1:5" ht="16.149999999999999" customHeight="1" x14ac:dyDescent="0.25">
      <c r="A35" s="3" t="s">
        <v>48</v>
      </c>
      <c r="B35" s="37">
        <v>44420</v>
      </c>
      <c r="C35" s="37" t="s">
        <v>37</v>
      </c>
      <c r="D35" s="37" t="s">
        <v>14</v>
      </c>
      <c r="E35" s="38">
        <v>8200</v>
      </c>
    </row>
    <row r="36" spans="1:5" ht="16.149999999999999" customHeight="1" x14ac:dyDescent="0.25">
      <c r="A36" s="3" t="s">
        <v>48</v>
      </c>
      <c r="B36" s="37">
        <v>44421</v>
      </c>
      <c r="C36" s="37" t="s">
        <v>37</v>
      </c>
      <c r="D36" s="37" t="s">
        <v>14</v>
      </c>
      <c r="E36" s="38">
        <v>7800</v>
      </c>
    </row>
    <row r="37" spans="1:5" ht="16.149999999999999" customHeight="1" x14ac:dyDescent="0.25">
      <c r="A37" s="3" t="s">
        <v>48</v>
      </c>
      <c r="B37" s="37">
        <v>44424</v>
      </c>
      <c r="C37" s="37" t="s">
        <v>37</v>
      </c>
      <c r="D37" s="37" t="s">
        <v>14</v>
      </c>
      <c r="E37" s="38">
        <v>7200</v>
      </c>
    </row>
    <row r="38" spans="1:5" ht="16.149999999999999" customHeight="1" x14ac:dyDescent="0.25">
      <c r="A38" s="3" t="s">
        <v>48</v>
      </c>
      <c r="B38" s="37">
        <v>44425</v>
      </c>
      <c r="C38" s="37" t="s">
        <v>37</v>
      </c>
      <c r="D38" s="37" t="s">
        <v>14</v>
      </c>
      <c r="E38" s="38">
        <v>6540</v>
      </c>
    </row>
    <row r="39" spans="1:5" ht="16.149999999999999" customHeight="1" x14ac:dyDescent="0.25">
      <c r="A39" s="3" t="s">
        <v>48</v>
      </c>
      <c r="B39" s="37">
        <v>44426</v>
      </c>
      <c r="C39" s="37" t="s">
        <v>37</v>
      </c>
      <c r="D39" s="37" t="s">
        <v>14</v>
      </c>
      <c r="E39" s="38">
        <v>6420</v>
      </c>
    </row>
    <row r="40" spans="1:5" ht="16.149999999999999" customHeight="1" x14ac:dyDescent="0.25">
      <c r="A40" s="3" t="s">
        <v>48</v>
      </c>
      <c r="B40" s="37">
        <v>44427</v>
      </c>
      <c r="C40" s="37" t="s">
        <v>37</v>
      </c>
      <c r="D40" s="37" t="s">
        <v>14</v>
      </c>
      <c r="E40" s="38">
        <v>7830</v>
      </c>
    </row>
    <row r="41" spans="1:5" ht="16.149999999999999" customHeight="1" x14ac:dyDescent="0.25">
      <c r="A41" s="3" t="s">
        <v>48</v>
      </c>
      <c r="B41" s="37">
        <v>44428</v>
      </c>
      <c r="C41" s="37" t="s">
        <v>37</v>
      </c>
      <c r="D41" s="37" t="s">
        <v>14</v>
      </c>
      <c r="E41" s="38">
        <v>8205</v>
      </c>
    </row>
    <row r="42" spans="1:5" ht="16.149999999999999" customHeight="1" x14ac:dyDescent="0.25">
      <c r="A42" s="3" t="s">
        <v>48</v>
      </c>
      <c r="B42" s="37">
        <v>44431</v>
      </c>
      <c r="C42" s="37" t="s">
        <v>37</v>
      </c>
      <c r="D42" s="37" t="s">
        <v>14</v>
      </c>
      <c r="E42" s="38">
        <v>7840</v>
      </c>
    </row>
    <row r="43" spans="1:5" ht="16.149999999999999" customHeight="1" x14ac:dyDescent="0.25">
      <c r="A43" s="3" t="s">
        <v>48</v>
      </c>
      <c r="B43" s="37">
        <v>44432</v>
      </c>
      <c r="C43" s="37" t="s">
        <v>37</v>
      </c>
      <c r="D43" s="37" t="s">
        <v>14</v>
      </c>
      <c r="E43" s="38">
        <v>7910</v>
      </c>
    </row>
    <row r="44" spans="1:5" ht="16.149999999999999" customHeight="1" x14ac:dyDescent="0.25">
      <c r="A44" s="3" t="s">
        <v>48</v>
      </c>
      <c r="B44" s="37">
        <v>44433</v>
      </c>
      <c r="C44" s="37" t="s">
        <v>37</v>
      </c>
      <c r="D44" s="37" t="s">
        <v>14</v>
      </c>
      <c r="E44" s="38">
        <v>7005</v>
      </c>
    </row>
    <row r="45" spans="1:5" ht="16.149999999999999" customHeight="1" x14ac:dyDescent="0.25">
      <c r="A45" s="3" t="s">
        <v>48</v>
      </c>
      <c r="B45" s="37">
        <v>44434</v>
      </c>
      <c r="C45" s="37" t="s">
        <v>37</v>
      </c>
      <c r="D45" s="37" t="s">
        <v>14</v>
      </c>
      <c r="E45" s="38">
        <v>8350</v>
      </c>
    </row>
    <row r="46" spans="1:5" ht="16.149999999999999" customHeight="1" x14ac:dyDescent="0.25">
      <c r="A46" s="3" t="s">
        <v>48</v>
      </c>
      <c r="B46" s="37">
        <v>44435</v>
      </c>
      <c r="C46" s="37" t="s">
        <v>37</v>
      </c>
      <c r="D46" s="37" t="s">
        <v>14</v>
      </c>
      <c r="E46" s="38">
        <v>7960</v>
      </c>
    </row>
    <row r="47" spans="1:5" ht="16.149999999999999" customHeight="1" x14ac:dyDescent="0.25">
      <c r="A47" s="3" t="s">
        <v>48</v>
      </c>
      <c r="B47" s="37">
        <v>44438</v>
      </c>
      <c r="C47" s="37" t="s">
        <v>37</v>
      </c>
      <c r="D47" s="37" t="s">
        <v>14</v>
      </c>
      <c r="E47" s="38">
        <v>7870</v>
      </c>
    </row>
    <row r="48" spans="1:5" ht="16.149999999999999" customHeight="1" x14ac:dyDescent="0.25">
      <c r="A48" s="3" t="s">
        <v>48</v>
      </c>
      <c r="B48" s="37">
        <v>44439</v>
      </c>
      <c r="C48" s="37" t="s">
        <v>37</v>
      </c>
      <c r="D48" s="37" t="s">
        <v>14</v>
      </c>
      <c r="E48" s="38">
        <v>7220</v>
      </c>
    </row>
  </sheetData>
  <phoneticPr fontId="2" type="noConversion"/>
  <dataValidations count="1">
    <dataValidation type="date" operator="greaterThan" allowBlank="1" showInputMessage="1" showErrorMessage="1" errorTitle="Invalid Date" error="Enter a valid date in accordance with the regional date settings that are specified in the System Control Panel." sqref="B5:B48" xr:uid="{00000000-0002-0000-0700-000000000000}">
      <formula1>40179</formula1>
    </dataValidation>
  </dataValidations>
  <pageMargins left="0.55118110236220474" right="0.55118110236220474" top="0.59055118110236227" bottom="0.59055118110236227" header="0.31496062992125984" footer="0.31496062992125984"/>
  <pageSetup paperSize="9" fitToHeight="0" orientation="portrait" r:id="rId1"/>
  <headerFooter alignWithMargins="0">
    <oddFooter>&amp;C&amp;9Page &amp;P of &amp;N</oddFooter>
  </headerFooter>
  <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K47"/>
  <sheetViews>
    <sheetView zoomScale="95" zoomScaleNormal="95" workbookViewId="0">
      <selection activeCell="A6" sqref="A6:B6"/>
    </sheetView>
  </sheetViews>
  <sheetFormatPr defaultColWidth="9.140625" defaultRowHeight="16.149999999999999" customHeight="1" x14ac:dyDescent="0.25"/>
  <cols>
    <col min="1" max="1" width="15.7109375" style="16" customWidth="1"/>
    <col min="2" max="5" width="17.7109375" style="3" customWidth="1"/>
    <col min="6" max="6" width="3.7109375" style="3" customWidth="1"/>
    <col min="7" max="7" width="20.7109375" style="203" customWidth="1"/>
    <col min="8" max="10" width="20.7109375" style="79" customWidth="1"/>
    <col min="11" max="11" width="20.7109375" style="19" customWidth="1"/>
    <col min="12" max="16" width="20.7109375" style="3" customWidth="1"/>
    <col min="17" max="16384" width="9.140625" style="3"/>
  </cols>
  <sheetData>
    <row r="1" spans="1:11" ht="16.149999999999999" customHeight="1" x14ac:dyDescent="0.25">
      <c r="A1" s="99" t="s">
        <v>87</v>
      </c>
      <c r="E1" s="4" t="str">
        <f>IF(AND(ISBLANK(E3)=FALSE,E3&lt;E2),"Error! The From date cannot be after the To date!","")</f>
        <v/>
      </c>
    </row>
    <row r="2" spans="1:11" s="6" customFormat="1" ht="16.149999999999999" customHeight="1" x14ac:dyDescent="0.25">
      <c r="A2" s="5" t="s">
        <v>82</v>
      </c>
      <c r="D2" s="7" t="s">
        <v>70</v>
      </c>
      <c r="E2" s="8">
        <v>44424</v>
      </c>
      <c r="F2" s="9">
        <f>IF(ISBLANK(E2)=TRUE,IF(MIN(MoveDate)=0,DATE(YEAR($E$3),MONTH($E$3),1),DATE(YEAR(MIN(MoveDate)),MONTH(MIN(MoveDate)),1)),E2)</f>
        <v>44424</v>
      </c>
      <c r="G2" s="204"/>
      <c r="H2" s="117"/>
      <c r="I2" s="117"/>
      <c r="J2" s="117"/>
      <c r="K2" s="126"/>
    </row>
    <row r="3" spans="1:11" s="6" customFormat="1" ht="16.149999999999999" customHeight="1" x14ac:dyDescent="0.25">
      <c r="A3" s="5"/>
      <c r="D3" s="7" t="s">
        <v>71</v>
      </c>
      <c r="E3" s="8">
        <v>44439</v>
      </c>
      <c r="F3" s="9">
        <f ca="1">IF(ISBLANK(E3)=TRUE,DATE(YEAR(TODAY()),MONTH(TODAY())+1,0),E3)</f>
        <v>44439</v>
      </c>
      <c r="G3" s="204"/>
      <c r="H3" s="117"/>
      <c r="I3" s="117"/>
      <c r="J3" s="117"/>
      <c r="K3" s="126"/>
    </row>
    <row r="4" spans="1:11" s="6" customFormat="1" ht="16.149999999999999" customHeight="1" x14ac:dyDescent="0.2">
      <c r="A4" s="10" t="s">
        <v>44</v>
      </c>
      <c r="G4" s="204"/>
      <c r="H4" s="117"/>
      <c r="I4" s="117"/>
      <c r="J4" s="117"/>
      <c r="K4" s="126"/>
    </row>
    <row r="5" spans="1:11" s="12" customFormat="1" ht="18" customHeight="1" x14ac:dyDescent="0.25">
      <c r="A5" s="11"/>
      <c r="D5" s="13">
        <f ca="1">$F$3</f>
        <v>44439</v>
      </c>
      <c r="E5" s="14">
        <f ca="1">F3</f>
        <v>44439</v>
      </c>
      <c r="G5" s="205"/>
      <c r="H5" s="124"/>
      <c r="I5" s="124"/>
      <c r="J5" s="124"/>
      <c r="K5" s="127"/>
    </row>
    <row r="6" spans="1:11" s="12" customFormat="1" ht="18" customHeight="1" x14ac:dyDescent="0.25">
      <c r="A6" s="280"/>
      <c r="B6" s="281"/>
      <c r="C6" s="15" t="s">
        <v>81</v>
      </c>
      <c r="D6" s="15" t="s">
        <v>16</v>
      </c>
      <c r="E6" s="15" t="s">
        <v>17</v>
      </c>
      <c r="G6" s="205"/>
      <c r="H6" s="124"/>
      <c r="I6" s="124"/>
      <c r="J6" s="124"/>
      <c r="K6" s="127"/>
    </row>
    <row r="8" spans="1:11" ht="16.149999999999999" customHeight="1" x14ac:dyDescent="0.25">
      <c r="A8" s="16" t="s">
        <v>77</v>
      </c>
      <c r="C8" s="17">
        <f ca="1">SUMIFS(SaleAmount,SaleDate,"&gt;="&amp;$F$2,SaleDate,"&lt;"&amp;$F$3+1)</f>
        <v>90350</v>
      </c>
      <c r="D8" s="17">
        <f ca="1">SUMIFS(SaleAmount,SaleDate,"&gt;="&amp;DATE(YEAR($F$3),MONTH($F$3),1),SaleDate,"&lt;"&amp;$F$3+1)</f>
        <v>164544</v>
      </c>
      <c r="E8" s="17">
        <f ca="1">SUMIFS(SaleAmount,SaleDate,"&gt;="&amp;DATE(YEAR($F$3),1,1),SaleDate,"&lt;"&amp;$F$3+1)</f>
        <v>292757</v>
      </c>
    </row>
    <row r="10" spans="1:11" ht="16.149999999999999" customHeight="1" x14ac:dyDescent="0.25">
      <c r="A10" s="16" t="s">
        <v>78</v>
      </c>
      <c r="C10" s="17">
        <f ca="1">-SUMIFS(MoveAmount,MoveDate,"&gt;="&amp;$F$2,MoveDate,"&lt;"&amp;$F$3+1,MoveType,"&lt;&gt;"&amp;"Purchase")</f>
        <v>67565.016803529361</v>
      </c>
      <c r="D10" s="17">
        <f ca="1">-SUMIFS(MoveAmount,MoveDate,"&gt;="&amp;DATE(YEAR($F$3),MONTH($F$3),1),MoveDate,"&lt;"&amp;$F$3+1,MoveType,"&lt;&gt;"&amp;"Purchase")</f>
        <v>105253.32238461962</v>
      </c>
      <c r="E10" s="17">
        <f ca="1">-SUMIFS(MoveAmount,MoveDate,"&gt;="&amp;DATE(YEAR($F$3),1,1),MoveDate,"&lt;"&amp;$F$3+1,MoveType,"&lt;&gt;"&amp;"Purchase")</f>
        <v>198876.53650803232</v>
      </c>
    </row>
    <row r="12" spans="1:11" ht="16.149999999999999" customHeight="1" x14ac:dyDescent="0.25">
      <c r="A12" s="16" t="s">
        <v>79</v>
      </c>
      <c r="C12" s="17">
        <f ca="1">SUM(C8,-C10)</f>
        <v>22784.983196470639</v>
      </c>
      <c r="D12" s="17">
        <f ca="1">SUM(D8,-D10)</f>
        <v>59290.67761538038</v>
      </c>
      <c r="E12" s="17">
        <f ca="1">SUM(E8,-E10)</f>
        <v>93880.463491967676</v>
      </c>
    </row>
    <row r="14" spans="1:11" s="19" customFormat="1" ht="16.149999999999999" customHeight="1" x14ac:dyDescent="0.25">
      <c r="A14" s="18" t="s">
        <v>80</v>
      </c>
      <c r="C14" s="19">
        <f ca="1">IF(C8=0,0,C12/C8)</f>
        <v>0.25218575757023398</v>
      </c>
      <c r="D14" s="19">
        <f ca="1">IF(D8=0,0,D12/D8)</f>
        <v>0.36033327022182748</v>
      </c>
      <c r="E14" s="19">
        <f ca="1">IF(E8=0,0,E12/E8)</f>
        <v>0.32067709223679597</v>
      </c>
      <c r="G14" s="206"/>
      <c r="H14" s="79"/>
      <c r="I14" s="79"/>
      <c r="J14" s="79"/>
    </row>
    <row r="16" spans="1:11" s="12" customFormat="1" ht="18" customHeight="1" x14ac:dyDescent="0.25">
      <c r="A16" s="20" t="s">
        <v>232</v>
      </c>
      <c r="B16" s="21" t="s">
        <v>77</v>
      </c>
      <c r="C16" s="21" t="s">
        <v>78</v>
      </c>
      <c r="D16" s="21" t="s">
        <v>79</v>
      </c>
      <c r="E16" s="22" t="s">
        <v>80</v>
      </c>
      <c r="G16" s="207" t="s">
        <v>231</v>
      </c>
      <c r="H16" s="125" t="s">
        <v>77</v>
      </c>
      <c r="I16" s="125" t="s">
        <v>78</v>
      </c>
      <c r="J16" s="125" t="s">
        <v>79</v>
      </c>
      <c r="K16" s="22" t="s">
        <v>80</v>
      </c>
    </row>
    <row r="17" spans="1:11" ht="16.149999999999999" customHeight="1" x14ac:dyDescent="0.25">
      <c r="A17" s="23">
        <f ca="1">DATE(YEAR(F3),MONTH(F3),1)</f>
        <v>44409</v>
      </c>
      <c r="B17" s="17" cm="1">
        <f t="array" aca="1" ref="B17" ca="1">IF(ISNUMBER($A17)&lt;&gt;TRUE,"",SUMIFS(SaleAmount,SaleDate,$A17))</f>
        <v>0</v>
      </c>
      <c r="C17" s="17" cm="1">
        <f t="array" aca="1" ref="C17" ca="1">IF(ISNUMBER($A17)&lt;&gt;TRUE,"",-SUMIFS(MoveAmount,MoveDate,"&gt;"&amp;$A17,MoveDate,"&lt;"&amp;$A17+1,MoveType,"&lt;&gt;"&amp;"Purchase"))</f>
        <v>0</v>
      </c>
      <c r="D17" s="17">
        <f t="shared" ref="D17:D47" ca="1" si="0">IF(ISNUMBER($A17)&lt;&gt;TRUE,"",$B17-$C17)</f>
        <v>0</v>
      </c>
      <c r="E17" s="19">
        <f t="shared" ref="E17:E47" ca="1" si="1">IF(ISNUMBER($A17)&lt;&gt;TRUE,"",IF($B17=0,0,$D17/$B17))</f>
        <v>0</v>
      </c>
      <c r="G17" s="203">
        <f ca="1">F3</f>
        <v>44439</v>
      </c>
      <c r="H17" s="79" cm="1">
        <f t="array" aca="1" ref="H17" ca="1">SUMIFS(SaleAmount,SaleDate,"&gt;="&amp;DATE(YEAR($G17),MONTH($G17),1),SaleDate,"&lt;"&amp;$G17+1)</f>
        <v>164544</v>
      </c>
      <c r="I17" s="79" cm="1">
        <f t="array" aca="1" ref="I17" ca="1">-SUMIFS(MoveAmount,MoveDate,"&gt;="&amp;DATE(YEAR($G17),MONTH($G17),1),MoveDate,"&lt;"&amp;$G17+1,MoveType,"&lt;&gt;Purchase")</f>
        <v>105253.32238461962</v>
      </c>
      <c r="J17" s="79">
        <f ca="1">H17-I17</f>
        <v>59290.67761538038</v>
      </c>
      <c r="K17" s="19">
        <f ca="1">IF(H17=0,0,J17/H17)</f>
        <v>0.36033327022182748</v>
      </c>
    </row>
    <row r="18" spans="1:11" ht="16.149999999999999" customHeight="1" x14ac:dyDescent="0.25">
      <c r="A18" s="23">
        <f t="shared" ref="A18:A44" ca="1" si="2">A17+1</f>
        <v>44410</v>
      </c>
      <c r="B18" s="17" cm="1">
        <f t="array" aca="1" ref="B18" ca="1">IF(ISNUMBER($A18)&lt;&gt;TRUE,"",SUMIFS(SaleAmount,SaleDate,$A18))</f>
        <v>6420</v>
      </c>
      <c r="C18" s="17" cm="1">
        <f t="array" aca="1" ref="C18" ca="1">IF(ISNUMBER($A18)&lt;&gt;TRUE,"",-SUMIFS(MoveAmount,MoveDate,"&gt;"&amp;$A18,MoveDate,"&lt;"&amp;$A18+1,MoveType,"&lt;&gt;"&amp;"Purchase"))</f>
        <v>0</v>
      </c>
      <c r="D18" s="17">
        <f t="shared" ca="1" si="0"/>
        <v>6420</v>
      </c>
      <c r="E18" s="19">
        <f t="shared" ca="1" si="1"/>
        <v>1</v>
      </c>
      <c r="G18" s="203">
        <f ca="1">DATE(YEAR(G17),MONTH(G17),0)</f>
        <v>44408</v>
      </c>
      <c r="H18" s="79" cm="1">
        <f t="array" aca="1" ref="H18" ca="1">SUMIFS(SaleAmount,SaleDate,"&gt;="&amp;DATE(YEAR($G18),MONTH($G18),1),SaleDate,"&lt;"&amp;$G18+1)</f>
        <v>128213</v>
      </c>
      <c r="I18" s="79" cm="1">
        <f t="array" aca="1" ref="I18" ca="1">-SUMIFS(MoveAmount,MoveDate,"&gt;="&amp;DATE(YEAR($G18),MONTH($G18),1),MoveDate,"&lt;"&amp;$G18+1,MoveType,"&lt;&gt;Purchase")</f>
        <v>93623.214123412748</v>
      </c>
      <c r="J18" s="79">
        <f t="shared" ref="J18:J28" ca="1" si="3">H18-I18</f>
        <v>34589.785876587252</v>
      </c>
      <c r="K18" s="19">
        <f t="shared" ref="K18:K28" ca="1" si="4">IF(H18=0,0,J18/H18)</f>
        <v>0.26978376511420255</v>
      </c>
    </row>
    <row r="19" spans="1:11" ht="16.149999999999999" customHeight="1" x14ac:dyDescent="0.25">
      <c r="A19" s="23">
        <f t="shared" ca="1" si="2"/>
        <v>44411</v>
      </c>
      <c r="B19" s="17" cm="1">
        <f t="array" aca="1" ref="B19" ca="1">IF(ISNUMBER($A19)&lt;&gt;TRUE,"",SUMIFS(SaleAmount,SaleDate,$A19))</f>
        <v>7800</v>
      </c>
      <c r="C19" s="17" cm="1">
        <f t="array" aca="1" ref="C19" ca="1">IF(ISNUMBER($A19)&lt;&gt;TRUE,"",-SUMIFS(MoveAmount,MoveDate,"&gt;"&amp;$A19,MoveDate,"&lt;"&amp;$A19+1,MoveType,"&lt;&gt;"&amp;"Purchase"))</f>
        <v>0</v>
      </c>
      <c r="D19" s="17">
        <f t="shared" ca="1" si="0"/>
        <v>7800</v>
      </c>
      <c r="E19" s="19">
        <f t="shared" ca="1" si="1"/>
        <v>1</v>
      </c>
      <c r="G19" s="203">
        <f ca="1">DATE(YEAR(G18),MONTH(G18),0)</f>
        <v>44377</v>
      </c>
      <c r="H19" s="79" cm="1">
        <f t="array" aca="1" ref="H19" ca="1">SUMIFS(SaleAmount,SaleDate,"&gt;="&amp;DATE(YEAR($G19),MONTH($G19),1),SaleDate,"&lt;"&amp;$G19+1)</f>
        <v>0</v>
      </c>
      <c r="I19" s="79" cm="1">
        <f t="array" aca="1" ref="I19" ca="1">-SUMIFS(MoveAmount,MoveDate,"&gt;="&amp;DATE(YEAR($G19),MONTH($G19),1),MoveDate,"&lt;"&amp;$G19+1,MoveType,"&lt;&gt;Purchase")</f>
        <v>0</v>
      </c>
      <c r="J19" s="79">
        <f t="shared" ca="1" si="3"/>
        <v>0</v>
      </c>
      <c r="K19" s="19">
        <f t="shared" ca="1" si="4"/>
        <v>0</v>
      </c>
    </row>
    <row r="20" spans="1:11" ht="16.149999999999999" customHeight="1" x14ac:dyDescent="0.25">
      <c r="A20" s="23">
        <f t="shared" ca="1" si="2"/>
        <v>44412</v>
      </c>
      <c r="B20" s="17" cm="1">
        <f t="array" aca="1" ref="B20" ca="1">IF(ISNUMBER($A20)&lt;&gt;TRUE,"",SUMIFS(SaleAmount,SaleDate,$A20))</f>
        <v>7924</v>
      </c>
      <c r="C20" s="17" cm="1">
        <f t="array" aca="1" ref="C20" ca="1">IF(ISNUMBER($A20)&lt;&gt;TRUE,"",-SUMIFS(MoveAmount,MoveDate,"&gt;"&amp;$A20,MoveDate,"&lt;"&amp;$A20+1,MoveType,"&lt;&gt;"&amp;"Purchase"))</f>
        <v>0</v>
      </c>
      <c r="D20" s="17">
        <f t="shared" ca="1" si="0"/>
        <v>7924</v>
      </c>
      <c r="E20" s="19">
        <f t="shared" ca="1" si="1"/>
        <v>1</v>
      </c>
      <c r="G20" s="203">
        <f ca="1">DATE(YEAR(G19),MONTH(G19),0)</f>
        <v>44347</v>
      </c>
      <c r="H20" s="79" cm="1">
        <f t="array" aca="1" ref="H20" ca="1">SUMIFS(SaleAmount,SaleDate,"&gt;="&amp;DATE(YEAR($G20),MONTH($G20),1),SaleDate,"&lt;"&amp;$G20+1)</f>
        <v>0</v>
      </c>
      <c r="I20" s="79" cm="1">
        <f t="array" aca="1" ref="I20" ca="1">-SUMIFS(MoveAmount,MoveDate,"&gt;="&amp;DATE(YEAR($G20),MONTH($G20),1),MoveDate,"&lt;"&amp;$G20+1,MoveType,"&lt;&gt;Purchase")</f>
        <v>0</v>
      </c>
      <c r="J20" s="79">
        <f t="shared" ca="1" si="3"/>
        <v>0</v>
      </c>
      <c r="K20" s="19">
        <f t="shared" ca="1" si="4"/>
        <v>0</v>
      </c>
    </row>
    <row r="21" spans="1:11" ht="16.149999999999999" customHeight="1" x14ac:dyDescent="0.25">
      <c r="A21" s="23">
        <f t="shared" ca="1" si="2"/>
        <v>44413</v>
      </c>
      <c r="B21" s="17" cm="1">
        <f t="array" aca="1" ref="B21" ca="1">IF(ISNUMBER($A21)&lt;&gt;TRUE,"",SUMIFS(SaleAmount,SaleDate,$A21))</f>
        <v>8120</v>
      </c>
      <c r="C21" s="17" cm="1">
        <f t="array" aca="1" ref="C21" ca="1">IF(ISNUMBER($A21)&lt;&gt;TRUE,"",-SUMIFS(MoveAmount,MoveDate,"&gt;"&amp;$A21,MoveDate,"&lt;"&amp;$A21+1,MoveType,"&lt;&gt;"&amp;"Purchase"))</f>
        <v>0</v>
      </c>
      <c r="D21" s="17">
        <f t="shared" ca="1" si="0"/>
        <v>8120</v>
      </c>
      <c r="E21" s="19">
        <f t="shared" ca="1" si="1"/>
        <v>1</v>
      </c>
      <c r="G21" s="203">
        <f t="shared" ref="G21:G28" ca="1" si="5">DATE(YEAR(G20),MONTH(G20),0)</f>
        <v>44316</v>
      </c>
      <c r="H21" s="79" cm="1">
        <f t="array" aca="1" ref="H21" ca="1">SUMIFS(SaleAmount,SaleDate,"&gt;="&amp;DATE(YEAR($G21),MONTH($G21),1),SaleDate,"&lt;"&amp;$G21+1)</f>
        <v>0</v>
      </c>
      <c r="I21" s="79" cm="1">
        <f t="array" aca="1" ref="I21" ca="1">-SUMIFS(MoveAmount,MoveDate,"&gt;="&amp;DATE(YEAR($G21),MONTH($G21),1),MoveDate,"&lt;"&amp;$G21+1,MoveType,"&lt;&gt;Purchase")</f>
        <v>0</v>
      </c>
      <c r="J21" s="79">
        <f t="shared" ca="1" si="3"/>
        <v>0</v>
      </c>
      <c r="K21" s="19">
        <f t="shared" ca="1" si="4"/>
        <v>0</v>
      </c>
    </row>
    <row r="22" spans="1:11" ht="16.149999999999999" customHeight="1" x14ac:dyDescent="0.25">
      <c r="A22" s="23">
        <f t="shared" ca="1" si="2"/>
        <v>44414</v>
      </c>
      <c r="B22" s="17" cm="1">
        <f t="array" aca="1" ref="B22" ca="1">IF(ISNUMBER($A22)&lt;&gt;TRUE,"",SUMIFS(SaleAmount,SaleDate,$A22))</f>
        <v>7430</v>
      </c>
      <c r="C22" s="17" cm="1">
        <f t="array" aca="1" ref="C22" ca="1">IF(ISNUMBER($A22)&lt;&gt;TRUE,"",-SUMIFS(MoveAmount,MoveDate,"&gt;"&amp;$A22,MoveDate,"&lt;"&amp;$A22+1,MoveType,"&lt;&gt;"&amp;"Purchase"))</f>
        <v>15207.67008267131</v>
      </c>
      <c r="D22" s="17">
        <f t="shared" ca="1" si="0"/>
        <v>-7777.6700826713095</v>
      </c>
      <c r="E22" s="19">
        <f t="shared" ca="1" si="1"/>
        <v>-1.0467927432935813</v>
      </c>
      <c r="G22" s="203">
        <f t="shared" ca="1" si="5"/>
        <v>44286</v>
      </c>
      <c r="H22" s="79" cm="1">
        <f t="array" aca="1" ref="H22" ca="1">SUMIFS(SaleAmount,SaleDate,"&gt;="&amp;DATE(YEAR($G22),MONTH($G22),1),SaleDate,"&lt;"&amp;$G22+1)</f>
        <v>0</v>
      </c>
      <c r="I22" s="79" cm="1">
        <f t="array" aca="1" ref="I22" ca="1">-SUMIFS(MoveAmount,MoveDate,"&gt;="&amp;DATE(YEAR($G22),MONTH($G22),1),MoveDate,"&lt;"&amp;$G22+1,MoveType,"&lt;&gt;Purchase")</f>
        <v>0</v>
      </c>
      <c r="J22" s="79">
        <f t="shared" ca="1" si="3"/>
        <v>0</v>
      </c>
      <c r="K22" s="19">
        <f t="shared" ca="1" si="4"/>
        <v>0</v>
      </c>
    </row>
    <row r="23" spans="1:11" ht="16.149999999999999" customHeight="1" x14ac:dyDescent="0.25">
      <c r="A23" s="23">
        <f t="shared" ca="1" si="2"/>
        <v>44415</v>
      </c>
      <c r="B23" s="17" cm="1">
        <f t="array" aca="1" ref="B23" ca="1">IF(ISNUMBER($A23)&lt;&gt;TRUE,"",SUMIFS(SaleAmount,SaleDate,$A23))</f>
        <v>0</v>
      </c>
      <c r="C23" s="17" cm="1">
        <f t="array" aca="1" ref="C23" ca="1">IF(ISNUMBER($A23)&lt;&gt;TRUE,"",-SUMIFS(MoveAmount,MoveDate,"&gt;"&amp;$A23,MoveDate,"&lt;"&amp;$A23+1,MoveType,"&lt;&gt;"&amp;"Purchase"))</f>
        <v>0</v>
      </c>
      <c r="D23" s="17">
        <f t="shared" ca="1" si="0"/>
        <v>0</v>
      </c>
      <c r="E23" s="19">
        <f t="shared" ca="1" si="1"/>
        <v>0</v>
      </c>
      <c r="G23" s="203">
        <f t="shared" ca="1" si="5"/>
        <v>44255</v>
      </c>
      <c r="H23" s="79" cm="1">
        <f t="array" aca="1" ref="H23" ca="1">SUMIFS(SaleAmount,SaleDate,"&gt;="&amp;DATE(YEAR($G23),MONTH($G23),1),SaleDate,"&lt;"&amp;$G23+1)</f>
        <v>0</v>
      </c>
      <c r="I23" s="79" cm="1">
        <f t="array" aca="1" ref="I23" ca="1">-SUMIFS(MoveAmount,MoveDate,"&gt;="&amp;DATE(YEAR($G23),MONTH($G23),1),MoveDate,"&lt;"&amp;$G23+1,MoveType,"&lt;&gt;Purchase")</f>
        <v>0</v>
      </c>
      <c r="J23" s="79">
        <f t="shared" ca="1" si="3"/>
        <v>0</v>
      </c>
      <c r="K23" s="19">
        <f t="shared" ca="1" si="4"/>
        <v>0</v>
      </c>
    </row>
    <row r="24" spans="1:11" ht="16.149999999999999" customHeight="1" x14ac:dyDescent="0.25">
      <c r="A24" s="23">
        <f t="shared" ca="1" si="2"/>
        <v>44416</v>
      </c>
      <c r="B24" s="17" cm="1">
        <f t="array" aca="1" ref="B24" ca="1">IF(ISNUMBER($A24)&lt;&gt;TRUE,"",SUMIFS(SaleAmount,SaleDate,$A24))</f>
        <v>0</v>
      </c>
      <c r="C24" s="17" cm="1">
        <f t="array" aca="1" ref="C24" ca="1">IF(ISNUMBER($A24)&lt;&gt;TRUE,"",-SUMIFS(MoveAmount,MoveDate,"&gt;"&amp;$A24,MoveDate,"&lt;"&amp;$A24+1,MoveType,"&lt;&gt;"&amp;"Purchase"))</f>
        <v>0</v>
      </c>
      <c r="D24" s="17">
        <f t="shared" ca="1" si="0"/>
        <v>0</v>
      </c>
      <c r="E24" s="19">
        <f t="shared" ca="1" si="1"/>
        <v>0</v>
      </c>
      <c r="G24" s="203">
        <f t="shared" ca="1" si="5"/>
        <v>44227</v>
      </c>
      <c r="H24" s="79" cm="1">
        <f t="array" aca="1" ref="H24" ca="1">SUMIFS(SaleAmount,SaleDate,"&gt;="&amp;DATE(YEAR($G24),MONTH($G24),1),SaleDate,"&lt;"&amp;$G24+1)</f>
        <v>0</v>
      </c>
      <c r="I24" s="79" cm="1">
        <f t="array" aca="1" ref="I24" ca="1">-SUMIFS(MoveAmount,MoveDate,"&gt;="&amp;DATE(YEAR($G24),MONTH($G24),1),MoveDate,"&lt;"&amp;$G24+1,MoveType,"&lt;&gt;Purchase")</f>
        <v>0</v>
      </c>
      <c r="J24" s="79">
        <f t="shared" ca="1" si="3"/>
        <v>0</v>
      </c>
      <c r="K24" s="19">
        <f t="shared" ca="1" si="4"/>
        <v>0</v>
      </c>
    </row>
    <row r="25" spans="1:11" ht="16.149999999999999" customHeight="1" x14ac:dyDescent="0.25">
      <c r="A25" s="23">
        <f t="shared" ca="1" si="2"/>
        <v>44417</v>
      </c>
      <c r="B25" s="17" cm="1">
        <f t="array" aca="1" ref="B25" ca="1">IF(ISNUMBER($A25)&lt;&gt;TRUE,"",SUMIFS(SaleAmount,SaleDate,$A25))</f>
        <v>6300</v>
      </c>
      <c r="C25" s="17" cm="1">
        <f t="array" aca="1" ref="C25" ca="1">IF(ISNUMBER($A25)&lt;&gt;TRUE,"",-SUMIFS(MoveAmount,MoveDate,"&gt;"&amp;$A25,MoveDate,"&lt;"&amp;$A25+1,MoveType,"&lt;&gt;"&amp;"Purchase"))</f>
        <v>0</v>
      </c>
      <c r="D25" s="17">
        <f t="shared" ca="1" si="0"/>
        <v>6300</v>
      </c>
      <c r="E25" s="19">
        <f t="shared" ca="1" si="1"/>
        <v>1</v>
      </c>
      <c r="G25" s="203">
        <f t="shared" ca="1" si="5"/>
        <v>44196</v>
      </c>
      <c r="H25" s="79" cm="1">
        <f t="array" aca="1" ref="H25" ca="1">SUMIFS(SaleAmount,SaleDate,"&gt;="&amp;DATE(YEAR($G25),MONTH($G25),1),SaleDate,"&lt;"&amp;$G25+1)</f>
        <v>0</v>
      </c>
      <c r="I25" s="79" cm="1">
        <f t="array" aca="1" ref="I25" ca="1">-SUMIFS(MoveAmount,MoveDate,"&gt;="&amp;DATE(YEAR($G25),MONTH($G25),1),MoveDate,"&lt;"&amp;$G25+1,MoveType,"&lt;&gt;Purchase")</f>
        <v>0</v>
      </c>
      <c r="J25" s="79">
        <f t="shared" ca="1" si="3"/>
        <v>0</v>
      </c>
      <c r="K25" s="19">
        <f t="shared" ca="1" si="4"/>
        <v>0</v>
      </c>
    </row>
    <row r="26" spans="1:11" ht="16.149999999999999" customHeight="1" x14ac:dyDescent="0.25">
      <c r="A26" s="23">
        <f t="shared" ca="1" si="2"/>
        <v>44418</v>
      </c>
      <c r="B26" s="17" cm="1">
        <f t="array" aca="1" ref="B26" ca="1">IF(ISNUMBER($A26)&lt;&gt;TRUE,"",SUMIFS(SaleAmount,SaleDate,$A26))</f>
        <v>7400</v>
      </c>
      <c r="C26" s="17" cm="1">
        <f t="array" aca="1" ref="C26" ca="1">IF(ISNUMBER($A26)&lt;&gt;TRUE,"",-SUMIFS(MoveAmount,MoveDate,"&gt;"&amp;$A26,MoveDate,"&lt;"&amp;$A26+1,MoveType,"&lt;&gt;"&amp;"Purchase"))</f>
        <v>0</v>
      </c>
      <c r="D26" s="17">
        <f t="shared" ca="1" si="0"/>
        <v>7400</v>
      </c>
      <c r="E26" s="19">
        <f t="shared" ca="1" si="1"/>
        <v>1</v>
      </c>
      <c r="G26" s="203">
        <f t="shared" ca="1" si="5"/>
        <v>44165</v>
      </c>
      <c r="H26" s="79" cm="1">
        <f t="array" aca="1" ref="H26" ca="1">SUMIFS(SaleAmount,SaleDate,"&gt;="&amp;DATE(YEAR($G26),MONTH($G26),1),SaleDate,"&lt;"&amp;$G26+1)</f>
        <v>0</v>
      </c>
      <c r="I26" s="79" cm="1">
        <f t="array" aca="1" ref="I26" ca="1">-SUMIFS(MoveAmount,MoveDate,"&gt;="&amp;DATE(YEAR($G26),MONTH($G26),1),MoveDate,"&lt;"&amp;$G26+1,MoveType,"&lt;&gt;Purchase")</f>
        <v>0</v>
      </c>
      <c r="J26" s="79">
        <f t="shared" ca="1" si="3"/>
        <v>0</v>
      </c>
      <c r="K26" s="19">
        <f t="shared" ca="1" si="4"/>
        <v>0</v>
      </c>
    </row>
    <row r="27" spans="1:11" ht="16.149999999999999" customHeight="1" x14ac:dyDescent="0.25">
      <c r="A27" s="23">
        <f t="shared" ca="1" si="2"/>
        <v>44419</v>
      </c>
      <c r="B27" s="17" cm="1">
        <f t="array" aca="1" ref="B27" ca="1">IF(ISNUMBER($A27)&lt;&gt;TRUE,"",SUMIFS(SaleAmount,SaleDate,$A27))</f>
        <v>6800</v>
      </c>
      <c r="C27" s="17" cm="1">
        <f t="array" aca="1" ref="C27" ca="1">IF(ISNUMBER($A27)&lt;&gt;TRUE,"",-SUMIFS(MoveAmount,MoveDate,"&gt;"&amp;$A27,MoveDate,"&lt;"&amp;$A27+1,MoveType,"&lt;&gt;"&amp;"Purchase"))</f>
        <v>0</v>
      </c>
      <c r="D27" s="17">
        <f t="shared" ca="1" si="0"/>
        <v>6800</v>
      </c>
      <c r="E27" s="19">
        <f t="shared" ca="1" si="1"/>
        <v>1</v>
      </c>
      <c r="G27" s="203">
        <f t="shared" ca="1" si="5"/>
        <v>44135</v>
      </c>
      <c r="H27" s="79" cm="1">
        <f t="array" aca="1" ref="H27" ca="1">SUMIFS(SaleAmount,SaleDate,"&gt;="&amp;DATE(YEAR($G27),MONTH($G27),1),SaleDate,"&lt;"&amp;$G27+1)</f>
        <v>0</v>
      </c>
      <c r="I27" s="79" cm="1">
        <f t="array" aca="1" ref="I27" ca="1">-SUMIFS(MoveAmount,MoveDate,"&gt;="&amp;DATE(YEAR($G27),MONTH($G27),1),MoveDate,"&lt;"&amp;$G27+1,MoveType,"&lt;&gt;Purchase")</f>
        <v>0</v>
      </c>
      <c r="J27" s="79">
        <f t="shared" ca="1" si="3"/>
        <v>0</v>
      </c>
      <c r="K27" s="19">
        <f t="shared" ca="1" si="4"/>
        <v>0</v>
      </c>
    </row>
    <row r="28" spans="1:11" ht="16.149999999999999" customHeight="1" x14ac:dyDescent="0.25">
      <c r="A28" s="23">
        <f t="shared" ca="1" si="2"/>
        <v>44420</v>
      </c>
      <c r="B28" s="17" cm="1">
        <f t="array" aca="1" ref="B28" ca="1">IF(ISNUMBER($A28)&lt;&gt;TRUE,"",SUMIFS(SaleAmount,SaleDate,$A28))</f>
        <v>8200</v>
      </c>
      <c r="C28" s="17" cm="1">
        <f t="array" aca="1" ref="C28" ca="1">IF(ISNUMBER($A28)&lt;&gt;TRUE,"",-SUMIFS(MoveAmount,MoveDate,"&gt;"&amp;$A28,MoveDate,"&lt;"&amp;$A28+1,MoveType,"&lt;&gt;"&amp;"Purchase"))</f>
        <v>0</v>
      </c>
      <c r="D28" s="17">
        <f t="shared" ca="1" si="0"/>
        <v>8200</v>
      </c>
      <c r="E28" s="19">
        <f t="shared" ca="1" si="1"/>
        <v>1</v>
      </c>
      <c r="G28" s="203">
        <f t="shared" ca="1" si="5"/>
        <v>44104</v>
      </c>
      <c r="I28" s="79" cm="1">
        <f t="array" aca="1" ref="I28" ca="1">-SUMIFS(MoveAmount,MoveDate,"&gt;="&amp;DATE(YEAR($G28),MONTH($G28),1),MoveDate,"&lt;"&amp;$G28+1,MoveType,"&lt;&gt;Purchase")</f>
        <v>0</v>
      </c>
      <c r="J28" s="79">
        <f t="shared" ca="1" si="3"/>
        <v>0</v>
      </c>
      <c r="K28" s="19">
        <f t="shared" si="4"/>
        <v>0</v>
      </c>
    </row>
    <row r="29" spans="1:11" ht="16.149999999999999" customHeight="1" x14ac:dyDescent="0.25">
      <c r="A29" s="23">
        <f t="shared" ca="1" si="2"/>
        <v>44421</v>
      </c>
      <c r="B29" s="17" cm="1">
        <f t="array" aca="1" ref="B29" ca="1">IF(ISNUMBER($A29)&lt;&gt;TRUE,"",SUMIFS(SaleAmount,SaleDate,$A29))</f>
        <v>7800</v>
      </c>
      <c r="C29" s="17" cm="1">
        <f t="array" aca="1" ref="C29" ca="1">IF(ISNUMBER($A29)&lt;&gt;TRUE,"",-SUMIFS(MoveAmount,MoveDate,"&gt;"&amp;$A29,MoveDate,"&lt;"&amp;$A29+1,MoveType,"&lt;&gt;"&amp;"Purchase"))</f>
        <v>22480.635498418909</v>
      </c>
      <c r="D29" s="17">
        <f t="shared" ca="1" si="0"/>
        <v>-14680.635498418909</v>
      </c>
      <c r="E29" s="19">
        <f t="shared" ca="1" si="1"/>
        <v>-1.8821327562075525</v>
      </c>
    </row>
    <row r="30" spans="1:11" ht="16.149999999999999" customHeight="1" x14ac:dyDescent="0.25">
      <c r="A30" s="23">
        <f t="shared" ca="1" si="2"/>
        <v>44422</v>
      </c>
      <c r="B30" s="17" cm="1">
        <f t="array" aca="1" ref="B30" ca="1">IF(ISNUMBER($A30)&lt;&gt;TRUE,"",SUMIFS(SaleAmount,SaleDate,$A30))</f>
        <v>0</v>
      </c>
      <c r="C30" s="17" cm="1">
        <f t="array" aca="1" ref="C30" ca="1">IF(ISNUMBER($A30)&lt;&gt;TRUE,"",-SUMIFS(MoveAmount,MoveDate,"&gt;"&amp;$A30,MoveDate,"&lt;"&amp;$A30+1,MoveType,"&lt;&gt;"&amp;"Purchase"))</f>
        <v>0</v>
      </c>
      <c r="D30" s="17">
        <f t="shared" ca="1" si="0"/>
        <v>0</v>
      </c>
      <c r="E30" s="19">
        <f t="shared" ca="1" si="1"/>
        <v>0</v>
      </c>
    </row>
    <row r="31" spans="1:11" ht="16.149999999999999" customHeight="1" x14ac:dyDescent="0.25">
      <c r="A31" s="23">
        <f t="shared" ca="1" si="2"/>
        <v>44423</v>
      </c>
      <c r="B31" s="17" cm="1">
        <f t="array" aca="1" ref="B31" ca="1">IF(ISNUMBER($A31)&lt;&gt;TRUE,"",SUMIFS(SaleAmount,SaleDate,$A31))</f>
        <v>0</v>
      </c>
      <c r="C31" s="17" cm="1">
        <f t="array" aca="1" ref="C31" ca="1">IF(ISNUMBER($A31)&lt;&gt;TRUE,"",-SUMIFS(MoveAmount,MoveDate,"&gt;"&amp;$A31,MoveDate,"&lt;"&amp;$A31+1,MoveType,"&lt;&gt;"&amp;"Purchase"))</f>
        <v>0</v>
      </c>
      <c r="D31" s="17">
        <f t="shared" ca="1" si="0"/>
        <v>0</v>
      </c>
      <c r="E31" s="19">
        <f t="shared" ca="1" si="1"/>
        <v>0</v>
      </c>
    </row>
    <row r="32" spans="1:11" ht="16.149999999999999" customHeight="1" x14ac:dyDescent="0.25">
      <c r="A32" s="23">
        <f t="shared" ca="1" si="2"/>
        <v>44424</v>
      </c>
      <c r="B32" s="17" cm="1">
        <f t="array" aca="1" ref="B32" ca="1">IF(ISNUMBER($A32)&lt;&gt;TRUE,"",SUMIFS(SaleAmount,SaleDate,$A32))</f>
        <v>7200</v>
      </c>
      <c r="C32" s="17" cm="1">
        <f t="array" aca="1" ref="C32" ca="1">IF(ISNUMBER($A32)&lt;&gt;TRUE,"",-SUMIFS(MoveAmount,MoveDate,"&gt;"&amp;$A32,MoveDate,"&lt;"&amp;$A32+1,MoveType,"&lt;&gt;"&amp;"Purchase"))</f>
        <v>0</v>
      </c>
      <c r="D32" s="17">
        <f t="shared" ca="1" si="0"/>
        <v>7200</v>
      </c>
      <c r="E32" s="19">
        <f t="shared" ca="1" si="1"/>
        <v>1</v>
      </c>
    </row>
    <row r="33" spans="1:5" ht="16.149999999999999" customHeight="1" x14ac:dyDescent="0.25">
      <c r="A33" s="23">
        <f t="shared" ca="1" si="2"/>
        <v>44425</v>
      </c>
      <c r="B33" s="17" cm="1">
        <f t="array" aca="1" ref="B33" ca="1">IF(ISNUMBER($A33)&lt;&gt;TRUE,"",SUMIFS(SaleAmount,SaleDate,$A33))</f>
        <v>6540</v>
      </c>
      <c r="C33" s="17" cm="1">
        <f t="array" aca="1" ref="C33" ca="1">IF(ISNUMBER($A33)&lt;&gt;TRUE,"",-SUMIFS(MoveAmount,MoveDate,"&gt;"&amp;$A33,MoveDate,"&lt;"&amp;$A33+1,MoveType,"&lt;&gt;"&amp;"Purchase"))</f>
        <v>0</v>
      </c>
      <c r="D33" s="17">
        <f t="shared" ca="1" si="0"/>
        <v>6540</v>
      </c>
      <c r="E33" s="19">
        <f t="shared" ca="1" si="1"/>
        <v>1</v>
      </c>
    </row>
    <row r="34" spans="1:5" ht="16.149999999999999" customHeight="1" x14ac:dyDescent="0.25">
      <c r="A34" s="23">
        <f t="shared" ca="1" si="2"/>
        <v>44426</v>
      </c>
      <c r="B34" s="17" cm="1">
        <f t="array" aca="1" ref="B34" ca="1">IF(ISNUMBER($A34)&lt;&gt;TRUE,"",SUMIFS(SaleAmount,SaleDate,$A34))</f>
        <v>6420</v>
      </c>
      <c r="C34" s="17" cm="1">
        <f t="array" aca="1" ref="C34" ca="1">IF(ISNUMBER($A34)&lt;&gt;TRUE,"",-SUMIFS(MoveAmount,MoveDate,"&gt;"&amp;$A34,MoveDate,"&lt;"&amp;$A34+1,MoveType,"&lt;&gt;"&amp;"Purchase"))</f>
        <v>0</v>
      </c>
      <c r="D34" s="17">
        <f t="shared" ca="1" si="0"/>
        <v>6420</v>
      </c>
      <c r="E34" s="19">
        <f t="shared" ca="1" si="1"/>
        <v>1</v>
      </c>
    </row>
    <row r="35" spans="1:5" ht="16.149999999999999" customHeight="1" x14ac:dyDescent="0.25">
      <c r="A35" s="23">
        <f t="shared" ca="1" si="2"/>
        <v>44427</v>
      </c>
      <c r="B35" s="17" cm="1">
        <f t="array" aca="1" ref="B35" ca="1">IF(ISNUMBER($A35)&lt;&gt;TRUE,"",SUMIFS(SaleAmount,SaleDate,$A35))</f>
        <v>7830</v>
      </c>
      <c r="C35" s="17" cm="1">
        <f t="array" aca="1" ref="C35" ca="1">IF(ISNUMBER($A35)&lt;&gt;TRUE,"",-SUMIFS(MoveAmount,MoveDate,"&gt;"&amp;$A35,MoveDate,"&lt;"&amp;$A35+1,MoveType,"&lt;&gt;"&amp;"Purchase"))</f>
        <v>0</v>
      </c>
      <c r="D35" s="17">
        <f t="shared" ca="1" si="0"/>
        <v>7830</v>
      </c>
      <c r="E35" s="19">
        <f t="shared" ca="1" si="1"/>
        <v>1</v>
      </c>
    </row>
    <row r="36" spans="1:5" ht="16.149999999999999" customHeight="1" x14ac:dyDescent="0.25">
      <c r="A36" s="23">
        <f t="shared" ca="1" si="2"/>
        <v>44428</v>
      </c>
      <c r="B36" s="17" cm="1">
        <f t="array" aca="1" ref="B36" ca="1">IF(ISNUMBER($A36)&lt;&gt;TRUE,"",SUMIFS(SaleAmount,SaleDate,$A36))</f>
        <v>8205</v>
      </c>
      <c r="C36" s="17" cm="1">
        <f t="array" aca="1" ref="C36" ca="1">IF(ISNUMBER($A36)&lt;&gt;TRUE,"",-SUMIFS(MoveAmount,MoveDate,"&gt;"&amp;$A36,MoveDate,"&lt;"&amp;$A36+1,MoveType,"&lt;&gt;"&amp;"Purchase"))</f>
        <v>24451.524130167512</v>
      </c>
      <c r="D36" s="17">
        <f t="shared" ca="1" si="0"/>
        <v>-16246.524130167512</v>
      </c>
      <c r="E36" s="19">
        <f t="shared" ca="1" si="1"/>
        <v>-1.9800760670527133</v>
      </c>
    </row>
    <row r="37" spans="1:5" ht="16.149999999999999" customHeight="1" x14ac:dyDescent="0.25">
      <c r="A37" s="23">
        <f t="shared" ca="1" si="2"/>
        <v>44429</v>
      </c>
      <c r="B37" s="17" cm="1">
        <f t="array" aca="1" ref="B37" ca="1">IF(ISNUMBER($A37)&lt;&gt;TRUE,"",SUMIFS(SaleAmount,SaleDate,$A37))</f>
        <v>0</v>
      </c>
      <c r="C37" s="17" cm="1">
        <f t="array" aca="1" ref="C37" ca="1">IF(ISNUMBER($A37)&lt;&gt;TRUE,"",-SUMIFS(MoveAmount,MoveDate,"&gt;"&amp;$A37,MoveDate,"&lt;"&amp;$A37+1,MoveType,"&lt;&gt;"&amp;"Purchase"))</f>
        <v>0</v>
      </c>
      <c r="D37" s="17">
        <f t="shared" ca="1" si="0"/>
        <v>0</v>
      </c>
      <c r="E37" s="19">
        <f t="shared" ca="1" si="1"/>
        <v>0</v>
      </c>
    </row>
    <row r="38" spans="1:5" ht="16.149999999999999" customHeight="1" x14ac:dyDescent="0.25">
      <c r="A38" s="23">
        <f t="shared" ca="1" si="2"/>
        <v>44430</v>
      </c>
      <c r="B38" s="17" cm="1">
        <f t="array" aca="1" ref="B38" ca="1">IF(ISNUMBER($A38)&lt;&gt;TRUE,"",SUMIFS(SaleAmount,SaleDate,$A38))</f>
        <v>0</v>
      </c>
      <c r="C38" s="17" cm="1">
        <f t="array" aca="1" ref="C38" ca="1">IF(ISNUMBER($A38)&lt;&gt;TRUE,"",-SUMIFS(MoveAmount,MoveDate,"&gt;"&amp;$A38,MoveDate,"&lt;"&amp;$A38+1,MoveType,"&lt;&gt;"&amp;"Purchase"))</f>
        <v>0</v>
      </c>
      <c r="D38" s="17">
        <f t="shared" ca="1" si="0"/>
        <v>0</v>
      </c>
      <c r="E38" s="19">
        <f t="shared" ca="1" si="1"/>
        <v>0</v>
      </c>
    </row>
    <row r="39" spans="1:5" ht="16.149999999999999" customHeight="1" x14ac:dyDescent="0.25">
      <c r="A39" s="23">
        <f t="shared" ca="1" si="2"/>
        <v>44431</v>
      </c>
      <c r="B39" s="17" cm="1">
        <f t="array" aca="1" ref="B39" ca="1">IF(ISNUMBER($A39)&lt;&gt;TRUE,"",SUMIFS(SaleAmount,SaleDate,$A39))</f>
        <v>7840</v>
      </c>
      <c r="C39" s="17" cm="1">
        <f t="array" aca="1" ref="C39" ca="1">IF(ISNUMBER($A39)&lt;&gt;TRUE,"",-SUMIFS(MoveAmount,MoveDate,"&gt;"&amp;$A39,MoveDate,"&lt;"&amp;$A39+1,MoveType,"&lt;&gt;"&amp;"Purchase"))</f>
        <v>0</v>
      </c>
      <c r="D39" s="17">
        <f t="shared" ca="1" si="0"/>
        <v>7840</v>
      </c>
      <c r="E39" s="19">
        <f t="shared" ca="1" si="1"/>
        <v>1</v>
      </c>
    </row>
    <row r="40" spans="1:5" ht="16.149999999999999" customHeight="1" x14ac:dyDescent="0.25">
      <c r="A40" s="23">
        <f t="shared" ca="1" si="2"/>
        <v>44432</v>
      </c>
      <c r="B40" s="17" cm="1">
        <f t="array" aca="1" ref="B40" ca="1">IF(ISNUMBER($A40)&lt;&gt;TRUE,"",SUMIFS(SaleAmount,SaleDate,$A40))</f>
        <v>7910</v>
      </c>
      <c r="C40" s="17" cm="1">
        <f t="array" aca="1" ref="C40" ca="1">IF(ISNUMBER($A40)&lt;&gt;TRUE,"",-SUMIFS(MoveAmount,MoveDate,"&gt;"&amp;$A40,MoveDate,"&lt;"&amp;$A40+1,MoveType,"&lt;&gt;"&amp;"Purchase"))</f>
        <v>0</v>
      </c>
      <c r="D40" s="17">
        <f t="shared" ca="1" si="0"/>
        <v>7910</v>
      </c>
      <c r="E40" s="19">
        <f t="shared" ca="1" si="1"/>
        <v>1</v>
      </c>
    </row>
    <row r="41" spans="1:5" ht="16.149999999999999" customHeight="1" x14ac:dyDescent="0.25">
      <c r="A41" s="23">
        <f t="shared" ca="1" si="2"/>
        <v>44433</v>
      </c>
      <c r="B41" s="17" cm="1">
        <f t="array" aca="1" ref="B41" ca="1">IF(ISNUMBER($A41)&lt;&gt;TRUE,"",SUMIFS(SaleAmount,SaleDate,$A41))</f>
        <v>7005</v>
      </c>
      <c r="C41" s="17" cm="1">
        <f t="array" aca="1" ref="C41" ca="1">IF(ISNUMBER($A41)&lt;&gt;TRUE,"",-SUMIFS(MoveAmount,MoveDate,"&gt;"&amp;$A41,MoveDate,"&lt;"&amp;$A41+1,MoveType,"&lt;&gt;"&amp;"Purchase"))</f>
        <v>0</v>
      </c>
      <c r="D41" s="17">
        <f t="shared" ca="1" si="0"/>
        <v>7005</v>
      </c>
      <c r="E41" s="19">
        <f t="shared" ca="1" si="1"/>
        <v>1</v>
      </c>
    </row>
    <row r="42" spans="1:5" ht="16.149999999999999" customHeight="1" x14ac:dyDescent="0.25">
      <c r="A42" s="23">
        <f t="shared" ca="1" si="2"/>
        <v>44434</v>
      </c>
      <c r="B42" s="17" cm="1">
        <f t="array" aca="1" ref="B42" ca="1">IF(ISNUMBER($A42)&lt;&gt;TRUE,"",SUMIFS(SaleAmount,SaleDate,$A42))</f>
        <v>8350</v>
      </c>
      <c r="C42" s="17" cm="1">
        <f t="array" aca="1" ref="C42" ca="1">IF(ISNUMBER($A42)&lt;&gt;TRUE,"",-SUMIFS(MoveAmount,MoveDate,"&gt;"&amp;$A42,MoveDate,"&lt;"&amp;$A42+1,MoveType,"&lt;&gt;"&amp;"Purchase"))</f>
        <v>0</v>
      </c>
      <c r="D42" s="17">
        <f t="shared" ca="1" si="0"/>
        <v>8350</v>
      </c>
      <c r="E42" s="19">
        <f t="shared" ca="1" si="1"/>
        <v>1</v>
      </c>
    </row>
    <row r="43" spans="1:5" ht="16.149999999999999" customHeight="1" x14ac:dyDescent="0.25">
      <c r="A43" s="23">
        <f t="shared" ca="1" si="2"/>
        <v>44435</v>
      </c>
      <c r="B43" s="17" cm="1">
        <f t="array" aca="1" ref="B43" ca="1">IF(ISNUMBER($A43)&lt;&gt;TRUE,"",SUMIFS(SaleAmount,SaleDate,$A43))</f>
        <v>7960</v>
      </c>
      <c r="C43" s="17" cm="1">
        <f t="array" aca="1" ref="C43" ca="1">IF(ISNUMBER($A43)&lt;&gt;TRUE,"",-SUMIFS(MoveAmount,MoveDate,"&gt;"&amp;$A43,MoveDate,"&lt;"&amp;$A43+1,MoveType,"&lt;&gt;"&amp;"Purchase"))</f>
        <v>34775.135399308143</v>
      </c>
      <c r="D43" s="17">
        <f t="shared" ca="1" si="0"/>
        <v>-26815.135399308143</v>
      </c>
      <c r="E43" s="19">
        <f t="shared" ca="1" si="1"/>
        <v>-3.3687356029281585</v>
      </c>
    </row>
    <row r="44" spans="1:5" ht="16.149999999999999" customHeight="1" x14ac:dyDescent="0.25">
      <c r="A44" s="23">
        <f t="shared" ca="1" si="2"/>
        <v>44436</v>
      </c>
      <c r="B44" s="17" cm="1">
        <f t="array" aca="1" ref="B44" ca="1">IF(ISNUMBER($A44)&lt;&gt;TRUE,"",SUMIFS(SaleAmount,SaleDate,$A44))</f>
        <v>0</v>
      </c>
      <c r="C44" s="17" cm="1">
        <f t="array" aca="1" ref="C44" ca="1">IF(ISNUMBER($A44)&lt;&gt;TRUE,"",-SUMIFS(MoveAmount,MoveDate,"&gt;"&amp;$A44,MoveDate,"&lt;"&amp;$A44+1,MoveType,"&lt;&gt;"&amp;"Purchase"))</f>
        <v>0</v>
      </c>
      <c r="D44" s="17">
        <f t="shared" ca="1" si="0"/>
        <v>0</v>
      </c>
      <c r="E44" s="19">
        <f t="shared" ca="1" si="1"/>
        <v>0</v>
      </c>
    </row>
    <row r="45" spans="1:5" ht="16.149999999999999" customHeight="1" x14ac:dyDescent="0.25">
      <c r="A45" s="23">
        <f ca="1">IF(MONTH(A44)&lt;&gt;MONTH(DATE(YEAR(A44),MONTH(A44),DAY(A44)+1)),"",A44+1)</f>
        <v>44437</v>
      </c>
      <c r="B45" s="17" cm="1">
        <f t="array" aca="1" ref="B45" ca="1">IF(ISNUMBER($A45)&lt;&gt;TRUE,"",SUMIFS(SaleAmount,SaleDate,$A45))</f>
        <v>0</v>
      </c>
      <c r="C45" s="17" cm="1">
        <f t="array" aca="1" ref="C45" ca="1">IF(ISNUMBER($A45)&lt;&gt;TRUE,"",-SUMIFS(MoveAmount,MoveDate,"&gt;"&amp;$A45,MoveDate,"&lt;"&amp;$A45+1,MoveType,"&lt;&gt;"&amp;"Purchase"))</f>
        <v>0</v>
      </c>
      <c r="D45" s="17">
        <f t="shared" ca="1" si="0"/>
        <v>0</v>
      </c>
      <c r="E45" s="19">
        <f t="shared" ca="1" si="1"/>
        <v>0</v>
      </c>
    </row>
    <row r="46" spans="1:5" ht="16.149999999999999" customHeight="1" x14ac:dyDescent="0.25">
      <c r="A46" s="23">
        <f ca="1">IF(ISNUMBER(A45)&lt;&gt;TRUE,"",IF(MONTH(A45)&lt;&gt;MONTH(DATE(YEAR(A45),MONTH(A45),DAY(A45)+1)),"",A45+1))</f>
        <v>44438</v>
      </c>
      <c r="B46" s="17" cm="1">
        <f t="array" aca="1" ref="B46" ca="1">IF(ISNUMBER($A46)&lt;&gt;TRUE,"",SUMIFS(SaleAmount,SaleDate,$A46))</f>
        <v>7870</v>
      </c>
      <c r="C46" s="17" cm="1">
        <f t="array" aca="1" ref="C46" ca="1">IF(ISNUMBER($A46)&lt;&gt;TRUE,"",-SUMIFS(MoveAmount,MoveDate,"&gt;"&amp;$A46,MoveDate,"&lt;"&amp;$A46+1,MoveType,"&lt;&gt;"&amp;"Purchase"))</f>
        <v>0</v>
      </c>
      <c r="D46" s="17">
        <f t="shared" ca="1" si="0"/>
        <v>7870</v>
      </c>
      <c r="E46" s="19">
        <f t="shared" ca="1" si="1"/>
        <v>1</v>
      </c>
    </row>
    <row r="47" spans="1:5" ht="16.149999999999999" customHeight="1" x14ac:dyDescent="0.25">
      <c r="A47" s="23">
        <f ca="1">IF(ISNUMBER(A46)&lt;&gt;TRUE,"",IF(MONTH(A46)&lt;&gt;MONTH(DATE(YEAR(A46),MONTH(A46),DAY(A46)+1)),"",A46+1))</f>
        <v>44439</v>
      </c>
      <c r="B47" s="17" cm="1">
        <f t="array" aca="1" ref="B47" ca="1">IF(ISNUMBER($A47)&lt;&gt;TRUE,"",SUMIFS(SaleAmount,SaleDate,$A47))</f>
        <v>7220</v>
      </c>
      <c r="C47" s="17" cm="1">
        <f t="array" aca="1" ref="C47" ca="1">IF(ISNUMBER($A47)&lt;&gt;TRUE,"",-SUMIFS(MoveAmount,MoveDate,"&gt;"&amp;$A47,MoveDate,"&lt;"&amp;$A47+1,MoveType,"&lt;&gt;"&amp;"Purchase"))</f>
        <v>8338.3572740537002</v>
      </c>
      <c r="D47" s="17">
        <f t="shared" ca="1" si="0"/>
        <v>-1118.3572740537002</v>
      </c>
      <c r="E47" s="19">
        <f t="shared" ca="1" si="1"/>
        <v>-0.15489712937031858</v>
      </c>
    </row>
  </sheetData>
  <sheetProtection formatCells="0" formatColumns="0" formatRows="0"/>
  <mergeCells count="1">
    <mergeCell ref="A6:B6"/>
  </mergeCells>
  <phoneticPr fontId="2" type="noConversion"/>
  <dataValidations count="2">
    <dataValidation allowBlank="1" errorTitle="Invalid Date" error="This is an invalid date format - please enter a date in accordance with the appropriate regional settings." sqref="A1:A3" xr:uid="{00000000-0002-0000-0800-000000000000}"/>
    <dataValidation type="date" operator="greaterThan" allowBlank="1" showInputMessage="1" showErrorMessage="1" errorTitle="Invalid Date" error="Enter a valid date in accordance with the regional date settings that are specified in your System Control Panel." sqref="E2:E3" xr:uid="{00000000-0002-0000-0800-000001000000}">
      <formula1>40179</formula1>
    </dataValidation>
  </dataValidations>
  <pageMargins left="0.55118110236220474" right="0.55118110236220474" top="0.59055118110236227" bottom="0.59055118110236227" header="0.31496062992125984" footer="0.31496062992125984"/>
  <pageSetup paperSize="9" scale="68" orientation="landscape" r:id="rId1"/>
  <headerFooter alignWithMargins="0">
    <oddFooter>&amp;C&amp;9Page &amp;P of &amp;N</oddFooter>
  </headerFooter>
  <drawing r:id="rId2"/>
</worksheet>
</file>

<file path=customUI/customUI.xml><?xml version="1.0" encoding="utf-8"?>
<customUI xmlns="http://schemas.microsoft.com/office/2006/01/customui">
  <commands>
    <command idMso="FileSave" enabled="false"/>
    <command idMso="FileSaveAs" enabled="false"/>
    <command idMso="FileSaveAsMenu" enabled="false"/>
    <command idMso="FileSaveAsOtherFormats" enabled="false"/>
    <command idMso="FilePrintMenu" enabled="false"/>
    <command idMso="FilePrint" enabled="false"/>
    <command idMso="FilePrintQuick" enabled="false"/>
    <command idMso="FilePrintPreview" enabled="false"/>
    <command idMso="PageSetupPageDialog" enabled="false"/>
    <command idMso="FileSendMenu" enabled="false"/>
    <command idMso="ReviewSendForReview" enabled="false"/>
    <command idMso="SendCopySendNow" enabled="false"/>
    <command idMso="SendCopyToMailRecipient" enabled="false"/>
  </commands>
</customUI>
</file>

<file path=customUI/customUI14.xml><?xml version="1.0" encoding="utf-8"?>
<customUI xmlns="http://schemas.microsoft.com/office/2009/07/customui">
  <commands>
    <command idMso="FileSave" enabled="false"/>
    <command idMso="FileSaveAs" enabled="false"/>
    <command idMso="FileSaveAsMenu" enabled="false"/>
    <command idMso="FileSaveAsOtherFormats" enabled="false"/>
    <command idMso="FilePrintMenu" enabled="false"/>
    <command idMso="FilePrintQuick" enabled="false"/>
    <command idMso="FilePrintPreview" enabled="false"/>
    <command idMso="PrintPreviewAndPrint" enabled="false"/>
    <command idMso="GroupPrintPreviewPrint" enabled="false"/>
    <command idMso="FileSendMenu" enabled="false"/>
    <command idMso="ReviewSendForReview" enabled="false"/>
    <command idMso="SendCopySendNow" enabled="false"/>
    <command idMso="SendCopyToMailRecipient" enabled="false"/>
  </commands>
  <backstage>
    <tab idMso="TabShare" visible="false"/>
    <tab idMso="TabPrint" visible="false"/>
    <tab idMso="TabPublish" visible="false"/>
    <tab idMso="Publish2Tab" visible="false"/>
    <tab idMso="TabSave" visible="false"/>
  </backstage>
</customUI>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35</vt:i4>
      </vt:variant>
    </vt:vector>
  </HeadingPairs>
  <TitlesOfParts>
    <vt:vector size="36" baseType="lpstr">
      <vt:lpstr>Info</vt:lpstr>
      <vt:lpstr>CountCode</vt:lpstr>
      <vt:lpstr>CountError</vt:lpstr>
      <vt:lpstr>DBAdjustQty</vt:lpstr>
      <vt:lpstr>DBAdjustValue</vt:lpstr>
      <vt:lpstr>DBAdjustValueABS</vt:lpstr>
      <vt:lpstr>DBPriceVar</vt:lpstr>
      <vt:lpstr>DBPriceVarABS</vt:lpstr>
      <vt:lpstr>DBPurchQty</vt:lpstr>
      <vt:lpstr>DBPurchValue</vt:lpstr>
      <vt:lpstr>DBUsageQty</vt:lpstr>
      <vt:lpstr>DBUsageValue</vt:lpstr>
      <vt:lpstr>MoveAmount</vt:lpstr>
      <vt:lpstr>MoveCode</vt:lpstr>
      <vt:lpstr>MoveDate</vt:lpstr>
      <vt:lpstr>MoveError</vt:lpstr>
      <vt:lpstr>MoveInvAmount</vt:lpstr>
      <vt:lpstr>MovePrice</vt:lpstr>
      <vt:lpstr>MoveQty</vt:lpstr>
      <vt:lpstr>MoveType</vt:lpstr>
      <vt:lpstr>Dashboard!Print_Area</vt:lpstr>
      <vt:lpstr>Instructions!Print_Area</vt:lpstr>
      <vt:lpstr>StockCodes!Print_Area</vt:lpstr>
      <vt:lpstr>Instructions!Print_Titles</vt:lpstr>
      <vt:lpstr>Movements!Print_Titles</vt:lpstr>
      <vt:lpstr>Sales!Print_Titles</vt:lpstr>
      <vt:lpstr>StockCodes!Print_Titles</vt:lpstr>
      <vt:lpstr>StockCount!Print_Titles</vt:lpstr>
      <vt:lpstr>SaleAmount</vt:lpstr>
      <vt:lpstr>SaleDate</vt:lpstr>
      <vt:lpstr>StockCodeOnly</vt:lpstr>
      <vt:lpstr>StockError</vt:lpstr>
      <vt:lpstr>StockMaster</vt:lpstr>
      <vt:lpstr>StockOpenCost</vt:lpstr>
      <vt:lpstr>StockOpenQty</vt:lpstr>
      <vt:lpstr>StockOpenValue</vt:lpstr>
    </vt:vector>
  </TitlesOfParts>
  <Company>Excel Skills International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Inventory Control Template | Usage Based - Excel Skills</dc:title>
  <dc:subject>Inventory</dc:subject>
  <dc:creator>Excel Skills International</dc:creator>
  <cp:keywords>inventory template</cp:keywords>
  <cp:lastModifiedBy>cloudconvert_17</cp:lastModifiedBy>
  <cp:lastPrinted>2020-10-21T14:40:28Z</cp:lastPrinted>
  <dcterms:created xsi:type="dcterms:W3CDTF">2009-07-14T12:12:46Z</dcterms:created>
  <dcterms:modified xsi:type="dcterms:W3CDTF">2024-01-30T16:26:14Z</dcterms:modified>
  <cp:category>Excel 2007+</cp:category>
  <cp:contentStatus>Version 3.0</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4b6fe854-33d7-410a-be36-2f6d8b2bee91</vt:lpwstr>
  </property>
</Properties>
</file>