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9fe3135ebc9e4b8d" Type="http://schemas.microsoft.com/office/2007/relationships/ui/extensibility" Target="customUI/customUI14.xml"/><Relationship Id="R6561a99005d441b2"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91bde0b6-871f-425d-b339-5743112e0380\"/>
    </mc:Choice>
  </mc:AlternateContent>
  <xr:revisionPtr revIDLastSave="0" documentId="8_{49E6AEC5-F33D-4633-86B1-F634B283FC8A}" xr6:coauthVersionLast="47" xr6:coauthVersionMax="47" xr10:uidLastSave="{00000000-0000-0000-0000-000000000000}"/>
  <bookViews>
    <workbookView xWindow="2340" yWindow="2340" windowWidth="11520" windowHeight="7875" tabRatio="789" xr2:uid="{00000000-000D-0000-FFFF-FFFF00000000}"/>
  </bookViews>
  <sheets>
    <sheet name="Info" sheetId="10" r:id="rId1"/>
    <sheet name="Trial" sheetId="9" state="veryHidden" r:id="rId2"/>
    <sheet name="Instructions" sheetId="6" state="veryHidden" r:id="rId3"/>
    <sheet name="StockCode" sheetId="1" state="veryHidden" r:id="rId4"/>
    <sheet name="BOM" sheetId="2" state="veryHidden" r:id="rId5"/>
    <sheet name="JSetup" sheetId="12" state="veryHidden" r:id="rId6"/>
    <sheet name="JDetails" sheetId="11" state="veryHidden" r:id="rId7"/>
    <sheet name="JReview" sheetId="3" state="veryHidden" r:id="rId8"/>
    <sheet name="ReqPlan" sheetId="4" state="veryHidden" r:id="rId9"/>
  </sheets>
  <definedNames>
    <definedName name="BOMActualCost">BOM[[#Data],[Actual Prod Cost]]</definedName>
    <definedName name="BOMAll">BOM[#Data]</definedName>
    <definedName name="BOMComp">BOM[[#Data],[Component Stock Code]]</definedName>
    <definedName name="BOMCompStatus">BOM[[#Data],[Comp Incl Status]]</definedName>
    <definedName name="BOMCost">BOM[[#Data],[Product Cost]]</definedName>
    <definedName name="BOMError">BOM[[#Data],[Error Code]]</definedName>
    <definedName name="BOMLevel">BOM[[#Data],[Product Level]]</definedName>
    <definedName name="BOMParents">BOM[[#Data],[Product Stock Code]]</definedName>
    <definedName name="BOMRef">ROW(BOM!$A$4)</definedName>
    <definedName name="CostingCode">JReview!$A$10:$A$39</definedName>
    <definedName name="JLevel1">BOM[[#Data],[Level1 JobRequire]]</definedName>
    <definedName name="JLevel2">BOM[[#Data],[Level2 JobRequire]]</definedName>
    <definedName name="JLevel3">BOM[[#Data],[Level3 JobRequire]]</definedName>
    <definedName name="JLevel4">BOM[[#Data],[Level4 JobRequire]]</definedName>
    <definedName name="JLevel5">BOM[[#Data],[Level5 JobRequire]]</definedName>
    <definedName name="JLevel6">BOM[[#Data],[Level6 JobRequire]]</definedName>
    <definedName name="JRCode">JReview!$A$4:$H$6</definedName>
    <definedName name="JRLevel1">BOM[[#Data],[Level1 JobReceipt]]</definedName>
    <definedName name="JRLevel2">BOM[[#Data],[Level2 JobReceipt]]</definedName>
    <definedName name="JRLevel3">BOM[[#Data],[Level3 JobReceipt]]</definedName>
    <definedName name="JRLevel4">BOM[[#Data],[Level4 JobReceipt]]</definedName>
    <definedName name="JRLevel5">BOM[[#Data],[Level5 JobReceipt]]</definedName>
    <definedName name="JRLevel6">BOM[[#Data],[Level6 JobReceipt]]</definedName>
    <definedName name="JSCode">JSetup[[#Data],[Stock Code]]</definedName>
    <definedName name="JSDate">JSetup[[#Data],[Job Date]]</definedName>
    <definedName name="JSError">JSetup[[#Data],[Error Code]]</definedName>
    <definedName name="JSJActual">JSetup[[#Data],[Job Actual]]</definedName>
    <definedName name="JSJob">JSetup[[#Data],[Job No]]</definedName>
    <definedName name="JSJPrice">JSetup[[#Data],[Job Price]]</definedName>
    <definedName name="JSJStd">JSetup[[#Data],[Job STD]]</definedName>
    <definedName name="JSJUsage">JSetup[[#Data],[Job Usage]]</definedName>
    <definedName name="JSJVar">JSetup[[#Data],[Job Var]]</definedName>
    <definedName name="JSRef">ROW(JSetup!$A$4)</definedName>
    <definedName name="JSRequired">JSetup[[#Data],[Qty Required]]</definedName>
    <definedName name="JSStd">JSetup[[#Data],[STD Value]]</definedName>
    <definedName name="JSUnique">JSetup[[#Data],[JUnique]]</definedName>
    <definedName name="JTDate">JTrans[[#Data],[Job Date]]</definedName>
    <definedName name="JTError">JTrans[[#Data],[Error Code]]</definedName>
    <definedName name="JTFGCode">JTrans[[#Data],[FG Code]]</definedName>
    <definedName name="JTJob">JTrans[[#Data],[Job No]]</definedName>
    <definedName name="JTPrice">JTrans[[#Data],[Price Var]]</definedName>
    <definedName name="JTQty">JTrans[[#Data],[Quantity]]</definedName>
    <definedName name="JTStockCode">JTrans[[#Data],[Stock Code]]</definedName>
    <definedName name="JTType">JTrans[[#Data],[Type]]</definedName>
    <definedName name="JTValue">JTrans[[#Data],[TrnValue]]</definedName>
    <definedName name="_xlnm.Print_Area" localSheetId="2">Instructions!$A$1:$A$649</definedName>
    <definedName name="_xlnm.Print_Titles" localSheetId="4">BOM!$A:$B,BOM!$1:$4</definedName>
    <definedName name="_xlnm.Print_Titles" localSheetId="2">Instructions!$1:$4</definedName>
    <definedName name="_xlnm.Print_Titles" localSheetId="6">JDetails!$1:$4</definedName>
    <definedName name="_xlnm.Print_Titles" localSheetId="7">JReview!$1:$9</definedName>
    <definedName name="_xlnm.Print_Titles" localSheetId="5">JSetup!$1:$4</definedName>
    <definedName name="_xlnm.Print_Titles" localSheetId="8">ReqPlan!$1:$6</definedName>
    <definedName name="_xlnm.Print_Titles" localSheetId="3">StockCode!$1:$4</definedName>
    <definedName name="Require">Forecast[#Data]</definedName>
    <definedName name="RequireCode">Forecast[[#Data],[Stock Code]]</definedName>
    <definedName name="RequireError">Forecast[[#Data],[Error Code]]</definedName>
    <definedName name="RequireMValue">Forecast[[#Data],[Value]]</definedName>
    <definedName name="RLevel1">BOM[[#Data],[Level1 ReqPlan]]</definedName>
    <definedName name="RLevel2">BOM[[#Data],[Level2 ReqPlan]]</definedName>
    <definedName name="RLevel3">BOM[[#Data],[Level3 ReqPlan]]</definedName>
    <definedName name="RLevel4">BOM[[#Data],[Level4 ReqPlan]]</definedName>
    <definedName name="RLevel5">BOM[[#Data],[Level5 ReqPlan]]</definedName>
    <definedName name="RLevel6">BOM[[#Data],[Level6 ReqPlan]]</definedName>
    <definedName name="StockCodes">StockCode[[#Data],[Stock Code]]</definedName>
    <definedName name="StockError">StockCode[[#Data],[Error Code]]</definedName>
    <definedName name="StockJRQty">StockCode[[#Data],[Job Qty Required]]</definedName>
    <definedName name="StockJRStatus">StockCode[[#Data],[Job Review Status]]</definedName>
    <definedName name="StockMaster">StockCode[#Data]</definedName>
    <definedName name="StockRef">ROW(StockCode!$A$4)</definedName>
    <definedName name="StockRPQty">StockCode[[#Data],[Req Plan Qty]]</definedName>
    <definedName name="StockRPStatus">StockCode[[#Data],[Req Plan Status]]</definedName>
    <definedName name="TLevel1">BOM[[#Data],[Level1 TotIssued]]</definedName>
    <definedName name="TLevel2">BOM[[#Data],[Level2 TotIssued]]</definedName>
    <definedName name="TLevel3">BOM[[#Data],[Level3 TotIssued]]</definedName>
    <definedName name="TLevel4">BOM[[#Data],[Level4 TotIssued]]</definedName>
    <definedName name="TLevel5">BOM[[#Data],[Level5 TotIssued]]</definedName>
    <definedName name="TLevel6">BOM[[#Data],[Level6 TotIssued]]</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6" i="4" l="1" a="1"/>
  <c r="D26" i="4" s="1"/>
  <c r="D25" i="4" a="1"/>
  <c r="D25" i="4" s="1"/>
  <c r="D24" i="4" a="1"/>
  <c r="D24" i="4" s="1"/>
  <c r="D23" i="4" a="1"/>
  <c r="D23" i="4" s="1"/>
  <c r="D22" i="4" a="1"/>
  <c r="D22" i="4" s="1"/>
  <c r="D21" i="4" a="1"/>
  <c r="D21" i="4" s="1"/>
  <c r="D20" i="4" a="1"/>
  <c r="D20" i="4" s="1"/>
  <c r="D19" i="4" a="1"/>
  <c r="D19" i="4" s="1"/>
  <c r="D18" i="4" a="1"/>
  <c r="D18" i="4" s="1"/>
  <c r="D17" i="4" a="1"/>
  <c r="D17" i="4" s="1"/>
  <c r="D16" i="4" a="1"/>
  <c r="D16" i="4" s="1"/>
  <c r="D15" i="4" a="1"/>
  <c r="D15" i="4" s="1"/>
  <c r="D14" i="4" a="1"/>
  <c r="D14" i="4" s="1"/>
  <c r="D13" i="4" a="1"/>
  <c r="D13" i="4" s="1"/>
  <c r="D12" i="4" a="1"/>
  <c r="D12" i="4" s="1"/>
  <c r="D11" i="4" a="1"/>
  <c r="D11" i="4" s="1"/>
  <c r="D10" i="4" a="1"/>
  <c r="D10" i="4" s="1"/>
  <c r="D9" i="4" a="1"/>
  <c r="D9" i="4" s="1"/>
  <c r="D8" i="4" a="1"/>
  <c r="D8" i="4" s="1"/>
  <c r="U11" i="12" a="1"/>
  <c r="U11" i="12" s="1"/>
  <c r="T11" i="12"/>
  <c r="U10" i="12" a="1"/>
  <c r="U10" i="12" s="1"/>
  <c r="T10" i="12"/>
  <c r="U9" i="12" a="1"/>
  <c r="U9" i="12" s="1"/>
  <c r="T9" i="12"/>
  <c r="U8" i="12" a="1"/>
  <c r="U8" i="12" s="1"/>
  <c r="T8" i="12"/>
  <c r="U7" i="12" a="1"/>
  <c r="U7" i="12" s="1"/>
  <c r="T7" i="12"/>
  <c r="U6" i="12" a="1"/>
  <c r="U6" i="12" s="1"/>
  <c r="T6" i="12"/>
  <c r="AT47" i="2" a="1"/>
  <c r="AT47" i="2" s="1"/>
  <c r="AS47" i="2" a="1"/>
  <c r="AS47" i="2" s="1"/>
  <c r="AR47" i="2" a="1"/>
  <c r="AR47" i="2" s="1"/>
  <c r="AQ47" i="2" a="1"/>
  <c r="AQ47" i="2" s="1"/>
  <c r="AP47" i="2" a="1"/>
  <c r="AP47" i="2" s="1"/>
  <c r="AO47" i="2"/>
  <c r="AN47" i="2" a="1"/>
  <c r="AN47" i="2" s="1"/>
  <c r="AM47" i="2" a="1"/>
  <c r="AM47" i="2" s="1"/>
  <c r="AL47" i="2" a="1"/>
  <c r="AL47" i="2" s="1"/>
  <c r="AK47" i="2" a="1"/>
  <c r="AK47" i="2" s="1"/>
  <c r="AJ47" i="2" a="1"/>
  <c r="AJ47" i="2" s="1"/>
  <c r="AH47" i="2" a="1"/>
  <c r="AH47" i="2" s="1"/>
  <c r="AG47" i="2" a="1"/>
  <c r="AG47" i="2" s="1"/>
  <c r="AF47" i="2" a="1"/>
  <c r="AF47" i="2" s="1"/>
  <c r="AE47" i="2" a="1"/>
  <c r="AE47" i="2" s="1"/>
  <c r="AD47" i="2" a="1"/>
  <c r="AD47" i="2" s="1"/>
  <c r="AB47" i="2" a="1"/>
  <c r="AB47" i="2" s="1"/>
  <c r="AA47" i="2" a="1"/>
  <c r="AA47" i="2" s="1"/>
  <c r="Z47" i="2" a="1"/>
  <c r="Z47" i="2" s="1"/>
  <c r="Y47" i="2" a="1"/>
  <c r="Y47" i="2" s="1"/>
  <c r="X47" i="2" a="1"/>
  <c r="X47" i="2" s="1"/>
  <c r="AT46" i="2" a="1"/>
  <c r="AT46" i="2" s="1"/>
  <c r="AS46" i="2" a="1"/>
  <c r="AS46" i="2" s="1"/>
  <c r="AR46" i="2" a="1"/>
  <c r="AR46" i="2" s="1"/>
  <c r="AQ46" i="2" a="1"/>
  <c r="AQ46" i="2" s="1"/>
  <c r="AP46" i="2" a="1"/>
  <c r="AP46" i="2" s="1"/>
  <c r="AO46" i="2"/>
  <c r="AN46" i="2" a="1"/>
  <c r="AN46" i="2" s="1"/>
  <c r="AM46" i="2" a="1"/>
  <c r="AM46" i="2" s="1"/>
  <c r="AL46" i="2" a="1"/>
  <c r="AL46" i="2" s="1"/>
  <c r="AK46" i="2" a="1"/>
  <c r="AK46" i="2" s="1"/>
  <c r="AJ46" i="2" a="1"/>
  <c r="AJ46" i="2" s="1"/>
  <c r="AH46" i="2" a="1"/>
  <c r="AH46" i="2" s="1"/>
  <c r="AG46" i="2" a="1"/>
  <c r="AG46" i="2" s="1"/>
  <c r="AF46" i="2" a="1"/>
  <c r="AF46" i="2" s="1"/>
  <c r="AE46" i="2" a="1"/>
  <c r="AE46" i="2" s="1"/>
  <c r="AD46" i="2" a="1"/>
  <c r="AD46" i="2" s="1"/>
  <c r="AB46" i="2" a="1"/>
  <c r="AB46" i="2" s="1"/>
  <c r="AA46" i="2" a="1"/>
  <c r="AA46" i="2" s="1"/>
  <c r="Z46" i="2" a="1"/>
  <c r="Z46" i="2" s="1"/>
  <c r="Y46" i="2" a="1"/>
  <c r="Y46" i="2" s="1"/>
  <c r="X46" i="2" a="1"/>
  <c r="X46" i="2" s="1"/>
  <c r="AT45" i="2" a="1"/>
  <c r="AT45" i="2" s="1"/>
  <c r="AS45" i="2" a="1"/>
  <c r="AS45" i="2" s="1"/>
  <c r="AR45" i="2" a="1"/>
  <c r="AR45" i="2" s="1"/>
  <c r="AQ45" i="2" a="1"/>
  <c r="AQ45" i="2" s="1"/>
  <c r="AP45" i="2" a="1"/>
  <c r="AP45" i="2" s="1"/>
  <c r="AO45" i="2"/>
  <c r="AN45" i="2" a="1"/>
  <c r="AN45" i="2" s="1"/>
  <c r="AM45" i="2" a="1"/>
  <c r="AM45" i="2" s="1"/>
  <c r="AL45" i="2" a="1"/>
  <c r="AL45" i="2" s="1"/>
  <c r="AK45" i="2" a="1"/>
  <c r="AK45" i="2" s="1"/>
  <c r="AJ45" i="2" a="1"/>
  <c r="AJ45" i="2" s="1"/>
  <c r="AH45" i="2" a="1"/>
  <c r="AH45" i="2" s="1"/>
  <c r="AG45" i="2" a="1"/>
  <c r="AG45" i="2" s="1"/>
  <c r="AF45" i="2" a="1"/>
  <c r="AF45" i="2" s="1"/>
  <c r="AE45" i="2" a="1"/>
  <c r="AE45" i="2" s="1"/>
  <c r="AD45" i="2" a="1"/>
  <c r="AD45" i="2" s="1"/>
  <c r="AB45" i="2" a="1"/>
  <c r="AB45" i="2" s="1"/>
  <c r="AA45" i="2" a="1"/>
  <c r="AA45" i="2" s="1"/>
  <c r="Z45" i="2" a="1"/>
  <c r="Z45" i="2" s="1"/>
  <c r="Y45" i="2" a="1"/>
  <c r="Y45" i="2" s="1"/>
  <c r="X45" i="2" a="1"/>
  <c r="X45" i="2" s="1"/>
  <c r="AT44" i="2" a="1"/>
  <c r="AT44" i="2" s="1"/>
  <c r="AS44" i="2" a="1"/>
  <c r="AS44" i="2" s="1"/>
  <c r="AR44" i="2" a="1"/>
  <c r="AR44" i="2" s="1"/>
  <c r="AQ44" i="2" a="1"/>
  <c r="AQ44" i="2" s="1"/>
  <c r="AP44" i="2" a="1"/>
  <c r="AP44" i="2" s="1"/>
  <c r="AO44" i="2"/>
  <c r="AN44" i="2" a="1"/>
  <c r="AN44" i="2" s="1"/>
  <c r="AM44" i="2" a="1"/>
  <c r="AM44" i="2" s="1"/>
  <c r="AL44" i="2" a="1"/>
  <c r="AL44" i="2" s="1"/>
  <c r="AK44" i="2" a="1"/>
  <c r="AK44" i="2" s="1"/>
  <c r="AJ44" i="2" a="1"/>
  <c r="AJ44" i="2" s="1"/>
  <c r="AH44" i="2" a="1"/>
  <c r="AH44" i="2" s="1"/>
  <c r="AG44" i="2" a="1"/>
  <c r="AG44" i="2" s="1"/>
  <c r="AF44" i="2" a="1"/>
  <c r="AF44" i="2" s="1"/>
  <c r="AE44" i="2" a="1"/>
  <c r="AE44" i="2" s="1"/>
  <c r="AD44" i="2" a="1"/>
  <c r="AD44" i="2" s="1"/>
  <c r="AB44" i="2" a="1"/>
  <c r="AB44" i="2" s="1"/>
  <c r="AA44" i="2" a="1"/>
  <c r="AA44" i="2" s="1"/>
  <c r="Z44" i="2" a="1"/>
  <c r="Z44" i="2" s="1"/>
  <c r="Y44" i="2" a="1"/>
  <c r="Y44" i="2" s="1"/>
  <c r="X44" i="2" a="1"/>
  <c r="X44" i="2" s="1"/>
  <c r="AT43" i="2" a="1"/>
  <c r="AT43" i="2" s="1"/>
  <c r="AS43" i="2" a="1"/>
  <c r="AS43" i="2" s="1"/>
  <c r="AR43" i="2" a="1"/>
  <c r="AR43" i="2" s="1"/>
  <c r="AQ43" i="2" a="1"/>
  <c r="AQ43" i="2" s="1"/>
  <c r="AP43" i="2" a="1"/>
  <c r="AP43" i="2" s="1"/>
  <c r="AO43" i="2"/>
  <c r="AN43" i="2" a="1"/>
  <c r="AN43" i="2" s="1"/>
  <c r="AM43" i="2" a="1"/>
  <c r="AM43" i="2" s="1"/>
  <c r="AL43" i="2" a="1"/>
  <c r="AL43" i="2" s="1"/>
  <c r="AK43" i="2"/>
  <c r="AK43" i="2" a="1"/>
  <c r="AJ43" i="2" a="1"/>
  <c r="AJ43" i="2" s="1"/>
  <c r="AH43" i="2" a="1"/>
  <c r="AH43" i="2" s="1"/>
  <c r="AG43" i="2" a="1"/>
  <c r="AG43" i="2" s="1"/>
  <c r="AF43" i="2" a="1"/>
  <c r="AF43" i="2" s="1"/>
  <c r="AE43" i="2" a="1"/>
  <c r="AE43" i="2" s="1"/>
  <c r="AD43" i="2" a="1"/>
  <c r="AD43" i="2" s="1"/>
  <c r="AB43" i="2" a="1"/>
  <c r="AB43" i="2" s="1"/>
  <c r="AA43" i="2" a="1"/>
  <c r="AA43" i="2" s="1"/>
  <c r="Z43" i="2" a="1"/>
  <c r="Z43" i="2" s="1"/>
  <c r="Y43" i="2" a="1"/>
  <c r="Y43" i="2" s="1"/>
  <c r="X43" i="2" a="1"/>
  <c r="X43" i="2" s="1"/>
  <c r="AT42" i="2" a="1"/>
  <c r="AT42" i="2" s="1"/>
  <c r="AS42" i="2" a="1"/>
  <c r="AS42" i="2" s="1"/>
  <c r="AR42" i="2" a="1"/>
  <c r="AR42" i="2" s="1"/>
  <c r="AQ42" i="2" a="1"/>
  <c r="AQ42" i="2" s="1"/>
  <c r="AP42" i="2" a="1"/>
  <c r="AP42" i="2" s="1"/>
  <c r="AO42" i="2"/>
  <c r="AN42" i="2" a="1"/>
  <c r="AN42" i="2" s="1"/>
  <c r="AM42" i="2" a="1"/>
  <c r="AM42" i="2" s="1"/>
  <c r="AL42" i="2" a="1"/>
  <c r="AL42" i="2" s="1"/>
  <c r="AK42" i="2"/>
  <c r="AK42" i="2" a="1"/>
  <c r="AJ42" i="2" a="1"/>
  <c r="AJ42" i="2" s="1"/>
  <c r="AH42" i="2" a="1"/>
  <c r="AH42" i="2" s="1"/>
  <c r="AG42" i="2" a="1"/>
  <c r="AG42" i="2" s="1"/>
  <c r="AF42" i="2" a="1"/>
  <c r="AF42" i="2" s="1"/>
  <c r="AE42" i="2" a="1"/>
  <c r="AE42" i="2" s="1"/>
  <c r="AD42" i="2" a="1"/>
  <c r="AD42" i="2" s="1"/>
  <c r="AB42" i="2" a="1"/>
  <c r="AB42" i="2" s="1"/>
  <c r="AA42" i="2" a="1"/>
  <c r="AA42" i="2" s="1"/>
  <c r="Z42" i="2" a="1"/>
  <c r="Z42" i="2" s="1"/>
  <c r="Y42" i="2" a="1"/>
  <c r="Y42" i="2" s="1"/>
  <c r="X42" i="2" a="1"/>
  <c r="X42" i="2" s="1"/>
  <c r="AT41" i="2" a="1"/>
  <c r="AT41" i="2" s="1"/>
  <c r="AS41" i="2" a="1"/>
  <c r="AS41" i="2" s="1"/>
  <c r="AR41" i="2" a="1"/>
  <c r="AR41" i="2" s="1"/>
  <c r="AQ41" i="2" a="1"/>
  <c r="AQ41" i="2" s="1"/>
  <c r="AP41" i="2" a="1"/>
  <c r="AP41" i="2" s="1"/>
  <c r="AO41" i="2"/>
  <c r="AN41" i="2" a="1"/>
  <c r="AN41" i="2" s="1"/>
  <c r="AM41" i="2" a="1"/>
  <c r="AM41" i="2" s="1"/>
  <c r="AL41" i="2" a="1"/>
  <c r="AL41" i="2" s="1"/>
  <c r="AK41" i="2" a="1"/>
  <c r="AK41" i="2" s="1"/>
  <c r="AJ41" i="2" a="1"/>
  <c r="AJ41" i="2" s="1"/>
  <c r="AH41" i="2" a="1"/>
  <c r="AH41" i="2" s="1"/>
  <c r="AG41" i="2" a="1"/>
  <c r="AG41" i="2" s="1"/>
  <c r="AF41" i="2" a="1"/>
  <c r="AF41" i="2" s="1"/>
  <c r="AE41" i="2" a="1"/>
  <c r="AE41" i="2" s="1"/>
  <c r="AD41" i="2" a="1"/>
  <c r="AD41" i="2" s="1"/>
  <c r="AB41" i="2" a="1"/>
  <c r="AB41" i="2" s="1"/>
  <c r="AA41" i="2" a="1"/>
  <c r="AA41" i="2" s="1"/>
  <c r="Z41" i="2" a="1"/>
  <c r="Z41" i="2" s="1"/>
  <c r="Y41" i="2" a="1"/>
  <c r="Y41" i="2" s="1"/>
  <c r="X41" i="2" a="1"/>
  <c r="X41" i="2" s="1"/>
  <c r="AT40" i="2" a="1"/>
  <c r="AT40" i="2" s="1"/>
  <c r="AS40" i="2" a="1"/>
  <c r="AS40" i="2" s="1"/>
  <c r="AR40" i="2" a="1"/>
  <c r="AR40" i="2" s="1"/>
  <c r="AQ40" i="2" a="1"/>
  <c r="AQ40" i="2" s="1"/>
  <c r="AP40" i="2" a="1"/>
  <c r="AP40" i="2" s="1"/>
  <c r="AO40" i="2"/>
  <c r="AN40" i="2" a="1"/>
  <c r="AN40" i="2" s="1"/>
  <c r="AM40" i="2" a="1"/>
  <c r="AM40" i="2" s="1"/>
  <c r="AL40" i="2" a="1"/>
  <c r="AL40" i="2" s="1"/>
  <c r="AK40" i="2" a="1"/>
  <c r="AK40" i="2" s="1"/>
  <c r="AJ40" i="2" a="1"/>
  <c r="AJ40" i="2" s="1"/>
  <c r="AH40" i="2" a="1"/>
  <c r="AH40" i="2" s="1"/>
  <c r="AG40" i="2" a="1"/>
  <c r="AG40" i="2" s="1"/>
  <c r="AF40" i="2" a="1"/>
  <c r="AF40" i="2" s="1"/>
  <c r="AE40" i="2" a="1"/>
  <c r="AE40" i="2" s="1"/>
  <c r="AD40" i="2" a="1"/>
  <c r="AD40" i="2" s="1"/>
  <c r="AB40" i="2" a="1"/>
  <c r="AB40" i="2" s="1"/>
  <c r="AA40" i="2" a="1"/>
  <c r="AA40" i="2" s="1"/>
  <c r="Z40" i="2" a="1"/>
  <c r="Z40" i="2" s="1"/>
  <c r="Y40" i="2" a="1"/>
  <c r="Y40" i="2" s="1"/>
  <c r="X40" i="2" a="1"/>
  <c r="X40" i="2" s="1"/>
  <c r="AT39" i="2" a="1"/>
  <c r="AT39" i="2" s="1"/>
  <c r="AS39" i="2" a="1"/>
  <c r="AS39" i="2" s="1"/>
  <c r="AR39" i="2" a="1"/>
  <c r="AR39" i="2" s="1"/>
  <c r="AQ39" i="2" a="1"/>
  <c r="AQ39" i="2" s="1"/>
  <c r="AP39" i="2" a="1"/>
  <c r="AP39" i="2" s="1"/>
  <c r="AO39" i="2"/>
  <c r="AN39" i="2" a="1"/>
  <c r="AN39" i="2" s="1"/>
  <c r="AM39" i="2" a="1"/>
  <c r="AM39" i="2" s="1"/>
  <c r="AL39" i="2" a="1"/>
  <c r="AL39" i="2" s="1"/>
  <c r="AK39" i="2" a="1"/>
  <c r="AK39" i="2" s="1"/>
  <c r="AJ39" i="2" a="1"/>
  <c r="AJ39" i="2" s="1"/>
  <c r="AH39" i="2" a="1"/>
  <c r="AH39" i="2" s="1"/>
  <c r="AG39" i="2" a="1"/>
  <c r="AG39" i="2" s="1"/>
  <c r="AF39" i="2" a="1"/>
  <c r="AF39" i="2" s="1"/>
  <c r="AE39" i="2" a="1"/>
  <c r="AE39" i="2" s="1"/>
  <c r="AD39" i="2" a="1"/>
  <c r="AD39" i="2" s="1"/>
  <c r="AB39" i="2" a="1"/>
  <c r="AB39" i="2" s="1"/>
  <c r="AA39" i="2" a="1"/>
  <c r="AA39" i="2" s="1"/>
  <c r="Z39" i="2" a="1"/>
  <c r="Z39" i="2" s="1"/>
  <c r="Y39" i="2" a="1"/>
  <c r="Y39" i="2" s="1"/>
  <c r="X39" i="2" a="1"/>
  <c r="X39" i="2" s="1"/>
  <c r="AT38" i="2" a="1"/>
  <c r="AT38" i="2" s="1"/>
  <c r="AS38" i="2" a="1"/>
  <c r="AS38" i="2" s="1"/>
  <c r="AR38" i="2" a="1"/>
  <c r="AR38" i="2" s="1"/>
  <c r="AQ38" i="2" a="1"/>
  <c r="AQ38" i="2" s="1"/>
  <c r="AP38" i="2" a="1"/>
  <c r="AP38" i="2" s="1"/>
  <c r="AO38" i="2"/>
  <c r="AN38" i="2" a="1"/>
  <c r="AN38" i="2" s="1"/>
  <c r="AM38" i="2" a="1"/>
  <c r="AM38" i="2" s="1"/>
  <c r="AL38" i="2" a="1"/>
  <c r="AL38" i="2" s="1"/>
  <c r="AK38" i="2" a="1"/>
  <c r="AK38" i="2" s="1"/>
  <c r="AJ38" i="2" a="1"/>
  <c r="AJ38" i="2" s="1"/>
  <c r="AH38" i="2" a="1"/>
  <c r="AH38" i="2" s="1"/>
  <c r="AG38" i="2" a="1"/>
  <c r="AG38" i="2" s="1"/>
  <c r="AF38" i="2" a="1"/>
  <c r="AF38" i="2" s="1"/>
  <c r="AE38" i="2" a="1"/>
  <c r="AE38" i="2" s="1"/>
  <c r="AD38" i="2" a="1"/>
  <c r="AD38" i="2" s="1"/>
  <c r="AB38" i="2"/>
  <c r="AB38" i="2" a="1"/>
  <c r="AA38" i="2" a="1"/>
  <c r="AA38" i="2" s="1"/>
  <c r="Z38" i="2" a="1"/>
  <c r="Z38" i="2" s="1"/>
  <c r="Y38" i="2"/>
  <c r="Y38" i="2" a="1"/>
  <c r="X38" i="2" a="1"/>
  <c r="X38" i="2" s="1"/>
  <c r="AT37" i="2" a="1"/>
  <c r="AT37" i="2" s="1"/>
  <c r="AS37" i="2" a="1"/>
  <c r="AS37" i="2" s="1"/>
  <c r="AR37" i="2" a="1"/>
  <c r="AR37" i="2" s="1"/>
  <c r="AQ37" i="2" a="1"/>
  <c r="AQ37" i="2" s="1"/>
  <c r="AP37" i="2" a="1"/>
  <c r="AP37" i="2" s="1"/>
  <c r="AO37" i="2"/>
  <c r="AN37" i="2" a="1"/>
  <c r="AN37" i="2" s="1"/>
  <c r="AM37" i="2" a="1"/>
  <c r="AM37" i="2" s="1"/>
  <c r="AL37" i="2" a="1"/>
  <c r="AL37" i="2" s="1"/>
  <c r="AK37" i="2" a="1"/>
  <c r="AK37" i="2" s="1"/>
  <c r="AJ37" i="2" a="1"/>
  <c r="AJ37" i="2" s="1"/>
  <c r="AH37" i="2" a="1"/>
  <c r="AH37" i="2" s="1"/>
  <c r="AG37" i="2" a="1"/>
  <c r="AG37" i="2" s="1"/>
  <c r="AF37" i="2" a="1"/>
  <c r="AF37" i="2" s="1"/>
  <c r="AE37" i="2" a="1"/>
  <c r="AE37" i="2" s="1"/>
  <c r="AD37" i="2" a="1"/>
  <c r="AD37" i="2" s="1"/>
  <c r="AB37" i="2" a="1"/>
  <c r="AB37" i="2" s="1"/>
  <c r="AA37" i="2" a="1"/>
  <c r="AA37" i="2" s="1"/>
  <c r="Z37" i="2" a="1"/>
  <c r="Z37" i="2" s="1"/>
  <c r="Y37" i="2" a="1"/>
  <c r="Y37" i="2" s="1"/>
  <c r="X37" i="2" a="1"/>
  <c r="X37" i="2" s="1"/>
  <c r="AT36" i="2" a="1"/>
  <c r="AT36" i="2" s="1"/>
  <c r="AS36" i="2" a="1"/>
  <c r="AS36" i="2" s="1"/>
  <c r="AR36" i="2" a="1"/>
  <c r="AR36" i="2" s="1"/>
  <c r="AQ36" i="2" a="1"/>
  <c r="AQ36" i="2" s="1"/>
  <c r="AP36" i="2" a="1"/>
  <c r="AP36" i="2" s="1"/>
  <c r="AO36" i="2"/>
  <c r="AN36" i="2" a="1"/>
  <c r="AN36" i="2" s="1"/>
  <c r="AM36" i="2" a="1"/>
  <c r="AM36" i="2" s="1"/>
  <c r="AL36" i="2" a="1"/>
  <c r="AL36" i="2" s="1"/>
  <c r="AK36" i="2" a="1"/>
  <c r="AK36" i="2" s="1"/>
  <c r="AJ36" i="2" a="1"/>
  <c r="AJ36" i="2" s="1"/>
  <c r="AH36" i="2" a="1"/>
  <c r="AH36" i="2" s="1"/>
  <c r="AG36" i="2" a="1"/>
  <c r="AG36" i="2" s="1"/>
  <c r="AF36" i="2" a="1"/>
  <c r="AF36" i="2" s="1"/>
  <c r="AE36" i="2" a="1"/>
  <c r="AE36" i="2" s="1"/>
  <c r="AD36" i="2" a="1"/>
  <c r="AD36" i="2" s="1"/>
  <c r="AB36" i="2" a="1"/>
  <c r="AB36" i="2" s="1"/>
  <c r="AA36" i="2" a="1"/>
  <c r="AA36" i="2" s="1"/>
  <c r="Z36" i="2" a="1"/>
  <c r="Z36" i="2" s="1"/>
  <c r="Y36" i="2" a="1"/>
  <c r="Y36" i="2" s="1"/>
  <c r="X36" i="2" a="1"/>
  <c r="X36" i="2" s="1"/>
  <c r="AT35" i="2" a="1"/>
  <c r="AT35" i="2" s="1"/>
  <c r="AS35" i="2" a="1"/>
  <c r="AS35" i="2" s="1"/>
  <c r="AR35" i="2" a="1"/>
  <c r="AR35" i="2" s="1"/>
  <c r="AQ35" i="2" a="1"/>
  <c r="AQ35" i="2" s="1"/>
  <c r="AP35" i="2" a="1"/>
  <c r="AP35" i="2" s="1"/>
  <c r="AO35" i="2"/>
  <c r="AN35" i="2" a="1"/>
  <c r="AN35" i="2" s="1"/>
  <c r="AM35" i="2" a="1"/>
  <c r="AM35" i="2" s="1"/>
  <c r="AL35" i="2" a="1"/>
  <c r="AL35" i="2" s="1"/>
  <c r="AK35" i="2" a="1"/>
  <c r="AK35" i="2" s="1"/>
  <c r="AJ35" i="2" a="1"/>
  <c r="AJ35" i="2" s="1"/>
  <c r="AH35" i="2" a="1"/>
  <c r="AH35" i="2" s="1"/>
  <c r="AG35" i="2" a="1"/>
  <c r="AG35" i="2" s="1"/>
  <c r="AF35" i="2" a="1"/>
  <c r="AF35" i="2" s="1"/>
  <c r="AE35" i="2" a="1"/>
  <c r="AE35" i="2" s="1"/>
  <c r="AD35" i="2" a="1"/>
  <c r="AD35" i="2" s="1"/>
  <c r="AB35" i="2" a="1"/>
  <c r="AB35" i="2" s="1"/>
  <c r="AA35" i="2" a="1"/>
  <c r="AA35" i="2" s="1"/>
  <c r="Z35" i="2" a="1"/>
  <c r="Z35" i="2" s="1"/>
  <c r="Y35" i="2" a="1"/>
  <c r="Y35" i="2" s="1"/>
  <c r="X35" i="2" a="1"/>
  <c r="X35" i="2" s="1"/>
  <c r="AT34" i="2" a="1"/>
  <c r="AT34" i="2" s="1"/>
  <c r="AS34" i="2" a="1"/>
  <c r="AS34" i="2" s="1"/>
  <c r="AR34" i="2" a="1"/>
  <c r="AR34" i="2" s="1"/>
  <c r="AQ34" i="2" a="1"/>
  <c r="AQ34" i="2" s="1"/>
  <c r="AP34" i="2" a="1"/>
  <c r="AP34" i="2" s="1"/>
  <c r="AO34" i="2"/>
  <c r="AN34" i="2" a="1"/>
  <c r="AN34" i="2" s="1"/>
  <c r="AM34" i="2" a="1"/>
  <c r="AM34" i="2" s="1"/>
  <c r="AL34" i="2" a="1"/>
  <c r="AL34" i="2" s="1"/>
  <c r="AK34" i="2" a="1"/>
  <c r="AK34" i="2" s="1"/>
  <c r="AJ34" i="2" a="1"/>
  <c r="AJ34" i="2" s="1"/>
  <c r="AH34" i="2" a="1"/>
  <c r="AH34" i="2" s="1"/>
  <c r="AG34" i="2" a="1"/>
  <c r="AG34" i="2" s="1"/>
  <c r="AF34" i="2" a="1"/>
  <c r="AF34" i="2" s="1"/>
  <c r="AE34" i="2" a="1"/>
  <c r="AE34" i="2" s="1"/>
  <c r="AD34" i="2"/>
  <c r="AD34" i="2" a="1"/>
  <c r="AB34" i="2" a="1"/>
  <c r="AB34" i="2" s="1"/>
  <c r="AA34" i="2" a="1"/>
  <c r="AA34" i="2" s="1"/>
  <c r="Z34" i="2" a="1"/>
  <c r="Z34" i="2" s="1"/>
  <c r="Y34" i="2" a="1"/>
  <c r="Y34" i="2" s="1"/>
  <c r="X34" i="2" a="1"/>
  <c r="X34" i="2" s="1"/>
  <c r="AT33" i="2" a="1"/>
  <c r="AT33" i="2" s="1"/>
  <c r="AS33" i="2" a="1"/>
  <c r="AS33" i="2" s="1"/>
  <c r="AR33" i="2" a="1"/>
  <c r="AR33" i="2" s="1"/>
  <c r="AQ33" i="2" a="1"/>
  <c r="AQ33" i="2" s="1"/>
  <c r="AP33" i="2" a="1"/>
  <c r="AP33" i="2" s="1"/>
  <c r="AO33" i="2"/>
  <c r="AN33" i="2" a="1"/>
  <c r="AN33" i="2" s="1"/>
  <c r="AM33" i="2" a="1"/>
  <c r="AM33" i="2" s="1"/>
  <c r="AL33" i="2" a="1"/>
  <c r="AL33" i="2" s="1"/>
  <c r="AK33" i="2" a="1"/>
  <c r="AK33" i="2" s="1"/>
  <c r="AJ33" i="2" a="1"/>
  <c r="AJ33" i="2" s="1"/>
  <c r="AH33" i="2" a="1"/>
  <c r="AH33" i="2" s="1"/>
  <c r="AG33" i="2" a="1"/>
  <c r="AG33" i="2" s="1"/>
  <c r="AF33" i="2" a="1"/>
  <c r="AF33" i="2" s="1"/>
  <c r="AE33" i="2" a="1"/>
  <c r="AE33" i="2" s="1"/>
  <c r="AD33" i="2" a="1"/>
  <c r="AD33" i="2" s="1"/>
  <c r="AB33" i="2" a="1"/>
  <c r="AB33" i="2" s="1"/>
  <c r="AA33" i="2" a="1"/>
  <c r="AA33" i="2" s="1"/>
  <c r="Z33" i="2" a="1"/>
  <c r="Z33" i="2" s="1"/>
  <c r="Y33" i="2" a="1"/>
  <c r="Y33" i="2" s="1"/>
  <c r="X33" i="2" a="1"/>
  <c r="X33" i="2" s="1"/>
  <c r="AT32" i="2" a="1"/>
  <c r="AT32" i="2" s="1"/>
  <c r="AS32" i="2" a="1"/>
  <c r="AS32" i="2" s="1"/>
  <c r="AR32" i="2" a="1"/>
  <c r="AR32" i="2" s="1"/>
  <c r="AQ32" i="2" a="1"/>
  <c r="AQ32" i="2" s="1"/>
  <c r="AP32" i="2" a="1"/>
  <c r="AP32" i="2" s="1"/>
  <c r="AO32" i="2"/>
  <c r="AN32" i="2" a="1"/>
  <c r="AN32" i="2" s="1"/>
  <c r="AM32" i="2" a="1"/>
  <c r="AM32" i="2" s="1"/>
  <c r="AL32" i="2" a="1"/>
  <c r="AL32" i="2" s="1"/>
  <c r="AK32" i="2" a="1"/>
  <c r="AK32" i="2" s="1"/>
  <c r="AJ32" i="2" a="1"/>
  <c r="AJ32" i="2" s="1"/>
  <c r="AH32" i="2" a="1"/>
  <c r="AH32" i="2" s="1"/>
  <c r="AG32" i="2" a="1"/>
  <c r="AG32" i="2" s="1"/>
  <c r="AF32" i="2" a="1"/>
  <c r="AF32" i="2" s="1"/>
  <c r="AE32" i="2" a="1"/>
  <c r="AE32" i="2" s="1"/>
  <c r="AD32" i="2" a="1"/>
  <c r="AD32" i="2" s="1"/>
  <c r="AB32" i="2" a="1"/>
  <c r="AB32" i="2" s="1"/>
  <c r="AA32" i="2" a="1"/>
  <c r="AA32" i="2" s="1"/>
  <c r="Z32" i="2" a="1"/>
  <c r="Z32" i="2" s="1"/>
  <c r="Y32" i="2" a="1"/>
  <c r="Y32" i="2" s="1"/>
  <c r="X32" i="2" a="1"/>
  <c r="X32" i="2" s="1"/>
  <c r="AT31" i="2" a="1"/>
  <c r="AT31" i="2" s="1"/>
  <c r="AS31" i="2" a="1"/>
  <c r="AS31" i="2" s="1"/>
  <c r="AR31" i="2" a="1"/>
  <c r="AR31" i="2" s="1"/>
  <c r="AQ31" i="2" a="1"/>
  <c r="AQ31" i="2" s="1"/>
  <c r="AP31" i="2" a="1"/>
  <c r="AP31" i="2" s="1"/>
  <c r="AO31" i="2"/>
  <c r="AN31" i="2" a="1"/>
  <c r="AN31" i="2" s="1"/>
  <c r="AM31" i="2" a="1"/>
  <c r="AM31" i="2" s="1"/>
  <c r="AL31" i="2" a="1"/>
  <c r="AL31" i="2" s="1"/>
  <c r="AK31" i="2" a="1"/>
  <c r="AK31" i="2" s="1"/>
  <c r="AJ31" i="2" a="1"/>
  <c r="AJ31" i="2" s="1"/>
  <c r="AH31" i="2" a="1"/>
  <c r="AH31" i="2" s="1"/>
  <c r="AG31" i="2" a="1"/>
  <c r="AG31" i="2" s="1"/>
  <c r="AF31" i="2" a="1"/>
  <c r="AF31" i="2" s="1"/>
  <c r="AE31" i="2" a="1"/>
  <c r="AE31" i="2" s="1"/>
  <c r="AD31" i="2" a="1"/>
  <c r="AD31" i="2" s="1"/>
  <c r="AB31" i="2" a="1"/>
  <c r="AB31" i="2" s="1"/>
  <c r="AA31" i="2" a="1"/>
  <c r="AA31" i="2" s="1"/>
  <c r="Z31" i="2" a="1"/>
  <c r="Z31" i="2" s="1"/>
  <c r="Y31" i="2" a="1"/>
  <c r="Y31" i="2" s="1"/>
  <c r="X31" i="2" a="1"/>
  <c r="X31" i="2" s="1"/>
  <c r="AT30" i="2" a="1"/>
  <c r="AT30" i="2" s="1"/>
  <c r="AS30" i="2" a="1"/>
  <c r="AS30" i="2" s="1"/>
  <c r="AR30" i="2" a="1"/>
  <c r="AR30" i="2" s="1"/>
  <c r="AQ30" i="2" a="1"/>
  <c r="AQ30" i="2" s="1"/>
  <c r="AP30" i="2" a="1"/>
  <c r="AP30" i="2" s="1"/>
  <c r="AO30" i="2"/>
  <c r="AN30" i="2" a="1"/>
  <c r="AN30" i="2" s="1"/>
  <c r="AM30" i="2" a="1"/>
  <c r="AM30" i="2" s="1"/>
  <c r="AL30" i="2" a="1"/>
  <c r="AL30" i="2" s="1"/>
  <c r="AK30" i="2" a="1"/>
  <c r="AK30" i="2" s="1"/>
  <c r="AJ30" i="2" a="1"/>
  <c r="AJ30" i="2" s="1"/>
  <c r="AH30" i="2" a="1"/>
  <c r="AH30" i="2" s="1"/>
  <c r="AG30" i="2" a="1"/>
  <c r="AG30" i="2" s="1"/>
  <c r="AF30" i="2" a="1"/>
  <c r="AF30" i="2" s="1"/>
  <c r="AE30" i="2" a="1"/>
  <c r="AE30" i="2" s="1"/>
  <c r="AD30" i="2" a="1"/>
  <c r="AD30" i="2" s="1"/>
  <c r="AB30" i="2" a="1"/>
  <c r="AB30" i="2" s="1"/>
  <c r="AA30" i="2" a="1"/>
  <c r="AA30" i="2" s="1"/>
  <c r="Z30" i="2" a="1"/>
  <c r="Z30" i="2" s="1"/>
  <c r="Y30" i="2" a="1"/>
  <c r="Y30" i="2" s="1"/>
  <c r="X30" i="2" a="1"/>
  <c r="X30" i="2" s="1"/>
  <c r="AT29" i="2" a="1"/>
  <c r="AT29" i="2" s="1"/>
  <c r="AS29" i="2" a="1"/>
  <c r="AS29" i="2" s="1"/>
  <c r="AR29" i="2" a="1"/>
  <c r="AR29" i="2" s="1"/>
  <c r="AQ29" i="2" a="1"/>
  <c r="AQ29" i="2" s="1"/>
  <c r="AP29" i="2" a="1"/>
  <c r="AP29" i="2" s="1"/>
  <c r="AO29" i="2"/>
  <c r="AN29" i="2" a="1"/>
  <c r="AN29" i="2" s="1"/>
  <c r="AM29" i="2" a="1"/>
  <c r="AM29" i="2" s="1"/>
  <c r="AL29" i="2" a="1"/>
  <c r="AL29" i="2" s="1"/>
  <c r="AK29" i="2" a="1"/>
  <c r="AK29" i="2" s="1"/>
  <c r="AJ29" i="2" a="1"/>
  <c r="AJ29" i="2" s="1"/>
  <c r="AH29" i="2" a="1"/>
  <c r="AH29" i="2" s="1"/>
  <c r="AG29" i="2" a="1"/>
  <c r="AG29" i="2" s="1"/>
  <c r="AF29" i="2" a="1"/>
  <c r="AF29" i="2" s="1"/>
  <c r="AE29" i="2" a="1"/>
  <c r="AE29" i="2" s="1"/>
  <c r="AD29" i="2" a="1"/>
  <c r="AD29" i="2" s="1"/>
  <c r="AB29" i="2" a="1"/>
  <c r="AB29" i="2" s="1"/>
  <c r="AA29" i="2" a="1"/>
  <c r="AA29" i="2" s="1"/>
  <c r="Z29" i="2" a="1"/>
  <c r="Z29" i="2" s="1"/>
  <c r="Y29" i="2" a="1"/>
  <c r="Y29" i="2" s="1"/>
  <c r="X29" i="2" a="1"/>
  <c r="X29" i="2" s="1"/>
  <c r="AT28" i="2" a="1"/>
  <c r="AT28" i="2" s="1"/>
  <c r="AS28" i="2" a="1"/>
  <c r="AS28" i="2" s="1"/>
  <c r="AR28" i="2" a="1"/>
  <c r="AR28" i="2" s="1"/>
  <c r="AQ28" i="2" a="1"/>
  <c r="AQ28" i="2" s="1"/>
  <c r="AP28" i="2" a="1"/>
  <c r="AP28" i="2" s="1"/>
  <c r="AO28" i="2"/>
  <c r="AN28" i="2" a="1"/>
  <c r="AN28" i="2" s="1"/>
  <c r="AM28" i="2" a="1"/>
  <c r="AM28" i="2" s="1"/>
  <c r="AL28" i="2" a="1"/>
  <c r="AL28" i="2" s="1"/>
  <c r="AK28" i="2" a="1"/>
  <c r="AK28" i="2" s="1"/>
  <c r="AJ28" i="2" a="1"/>
  <c r="AJ28" i="2" s="1"/>
  <c r="AH28" i="2" a="1"/>
  <c r="AH28" i="2" s="1"/>
  <c r="AG28" i="2" a="1"/>
  <c r="AG28" i="2" s="1"/>
  <c r="AF28" i="2" a="1"/>
  <c r="AF28" i="2" s="1"/>
  <c r="AE28" i="2"/>
  <c r="AE28" i="2" a="1"/>
  <c r="AD28" i="2" a="1"/>
  <c r="AD28" i="2" s="1"/>
  <c r="AB28" i="2" a="1"/>
  <c r="AB28" i="2" s="1"/>
  <c r="AA28" i="2" a="1"/>
  <c r="AA28" i="2" s="1"/>
  <c r="Z28" i="2" a="1"/>
  <c r="Z28" i="2" s="1"/>
  <c r="Y28" i="2" a="1"/>
  <c r="Y28" i="2" s="1"/>
  <c r="X28" i="2" a="1"/>
  <c r="X28" i="2" s="1"/>
  <c r="AT27" i="2" a="1"/>
  <c r="AT27" i="2" s="1"/>
  <c r="AS27" i="2" a="1"/>
  <c r="AS27" i="2" s="1"/>
  <c r="AR27" i="2" a="1"/>
  <c r="AR27" i="2" s="1"/>
  <c r="AQ27" i="2" a="1"/>
  <c r="AQ27" i="2" s="1"/>
  <c r="AP27" i="2" a="1"/>
  <c r="AP27" i="2" s="1"/>
  <c r="AO27" i="2"/>
  <c r="AN27" i="2" a="1"/>
  <c r="AN27" i="2" s="1"/>
  <c r="AM27" i="2" a="1"/>
  <c r="AM27" i="2" s="1"/>
  <c r="AL27" i="2" a="1"/>
  <c r="AL27" i="2" s="1"/>
  <c r="AK27" i="2" a="1"/>
  <c r="AK27" i="2" s="1"/>
  <c r="AJ27" i="2" a="1"/>
  <c r="AJ27" i="2" s="1"/>
  <c r="AH27" i="2" a="1"/>
  <c r="AH27" i="2" s="1"/>
  <c r="AG27" i="2" a="1"/>
  <c r="AG27" i="2" s="1"/>
  <c r="AF27" i="2" a="1"/>
  <c r="AF27" i="2" s="1"/>
  <c r="AE27" i="2" a="1"/>
  <c r="AE27" i="2" s="1"/>
  <c r="AD27" i="2" a="1"/>
  <c r="AD27" i="2" s="1"/>
  <c r="AB27" i="2"/>
  <c r="AB27" i="2" a="1"/>
  <c r="AA27" i="2" a="1"/>
  <c r="AA27" i="2" s="1"/>
  <c r="Z27" i="2" a="1"/>
  <c r="Z27" i="2" s="1"/>
  <c r="Y27" i="2" a="1"/>
  <c r="Y27" i="2" s="1"/>
  <c r="X27" i="2" a="1"/>
  <c r="X27" i="2" s="1"/>
  <c r="AT26" i="2" a="1"/>
  <c r="AT26" i="2" s="1"/>
  <c r="AS26" i="2" a="1"/>
  <c r="AS26" i="2" s="1"/>
  <c r="AR26" i="2" a="1"/>
  <c r="AR26" i="2" s="1"/>
  <c r="AQ26" i="2" a="1"/>
  <c r="AQ26" i="2" s="1"/>
  <c r="AP26" i="2" a="1"/>
  <c r="AP26" i="2" s="1"/>
  <c r="AO26" i="2"/>
  <c r="AN26" i="2" a="1"/>
  <c r="AN26" i="2" s="1"/>
  <c r="AM26" i="2" a="1"/>
  <c r="AM26" i="2" s="1"/>
  <c r="AL26" i="2" a="1"/>
  <c r="AL26" i="2" s="1"/>
  <c r="AK26" i="2" a="1"/>
  <c r="AK26" i="2" s="1"/>
  <c r="AJ26" i="2" a="1"/>
  <c r="AJ26" i="2" s="1"/>
  <c r="AH26" i="2" a="1"/>
  <c r="AH26" i="2" s="1"/>
  <c r="AG26" i="2" a="1"/>
  <c r="AG26" i="2" s="1"/>
  <c r="AF26" i="2" a="1"/>
  <c r="AF26" i="2" s="1"/>
  <c r="AE26" i="2" a="1"/>
  <c r="AE26" i="2" s="1"/>
  <c r="AD26" i="2" a="1"/>
  <c r="AD26" i="2" s="1"/>
  <c r="AB26" i="2" a="1"/>
  <c r="AB26" i="2" s="1"/>
  <c r="AA26" i="2" a="1"/>
  <c r="AA26" i="2" s="1"/>
  <c r="Z26" i="2" a="1"/>
  <c r="Z26" i="2" s="1"/>
  <c r="Y26" i="2" a="1"/>
  <c r="Y26" i="2" s="1"/>
  <c r="X26" i="2" a="1"/>
  <c r="X26" i="2" s="1"/>
  <c r="AO25" i="2"/>
  <c r="AO24" i="2"/>
  <c r="AO23" i="2"/>
  <c r="AO22" i="2"/>
  <c r="AO21" i="2"/>
  <c r="AO20" i="2"/>
  <c r="AO19" i="2"/>
  <c r="AO18" i="2"/>
  <c r="AO17" i="2"/>
  <c r="AO16" i="2"/>
  <c r="AO15" i="2"/>
  <c r="AO14" i="2"/>
  <c r="AO13" i="2"/>
  <c r="AO12" i="2"/>
  <c r="AO11" i="2"/>
  <c r="AO10" i="2"/>
  <c r="AO9" i="2"/>
  <c r="AO8" i="2"/>
  <c r="AO7" i="2"/>
  <c r="AO6" i="2"/>
  <c r="I25" i="1" a="1"/>
  <c r="I25" i="1" s="1"/>
  <c r="I24" i="1" a="1"/>
  <c r="I24" i="1" s="1"/>
  <c r="I17" i="1" a="1"/>
  <c r="I17" i="1" s="1"/>
  <c r="I16" i="1" a="1"/>
  <c r="I16" i="1" s="1"/>
  <c r="I15" i="1" a="1"/>
  <c r="I15" i="1" s="1"/>
  <c r="I14" i="1" a="1"/>
  <c r="I14" i="1" s="1"/>
  <c r="I13" i="1" a="1"/>
  <c r="I13" i="1" s="1"/>
  <c r="I12" i="1" a="1"/>
  <c r="I12" i="1" s="1"/>
  <c r="I11" i="1" a="1"/>
  <c r="I11" i="1" s="1"/>
  <c r="I10" i="1" a="1"/>
  <c r="I10" i="1" s="1"/>
  <c r="I9" i="1" a="1"/>
  <c r="I9" i="1" s="1"/>
  <c r="I8" i="1" a="1"/>
  <c r="I8"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F8" i="1" a="1"/>
  <c r="F8" i="1" s="1"/>
  <c r="F7" i="1" a="1"/>
  <c r="F7" i="1" s="1"/>
  <c r="F6" i="1" a="1"/>
  <c r="F6" i="1" s="1"/>
  <c r="D7" i="4"/>
  <c r="D7" i="4" a="1"/>
  <c r="U5" i="12" a="1"/>
  <c r="U5" i="12" s="1"/>
  <c r="F5" i="1" a="1"/>
  <c r="F5" i="1" s="1"/>
  <c r="U1" i="12" l="1" a="1"/>
  <c r="U1" i="12" s="1"/>
  <c r="I70" i="11"/>
  <c r="K70" i="11"/>
  <c r="Q70" i="11"/>
  <c r="I10" i="11" l="1"/>
  <c r="K10" i="11"/>
  <c r="Q10" i="11"/>
  <c r="I11" i="11"/>
  <c r="K11" i="11"/>
  <c r="Q11" i="11"/>
  <c r="I12" i="11"/>
  <c r="K12" i="11"/>
  <c r="Q12" i="11"/>
  <c r="F7" i="12"/>
  <c r="H7" i="12"/>
  <c r="I7" i="12"/>
  <c r="J7" i="12" s="1"/>
  <c r="I5" i="11"/>
  <c r="K5" i="11"/>
  <c r="Q5" i="11"/>
  <c r="I6" i="11"/>
  <c r="I7" i="11"/>
  <c r="I8" i="11"/>
  <c r="I9" i="11"/>
  <c r="I13" i="11"/>
  <c r="I14" i="11"/>
  <c r="I15" i="11"/>
  <c r="I16" i="11"/>
  <c r="I17" i="11"/>
  <c r="I18" i="11"/>
  <c r="I19" i="11"/>
  <c r="I20" i="11"/>
  <c r="I21" i="11"/>
  <c r="I22" i="11"/>
  <c r="I23" i="11"/>
  <c r="K6" i="11"/>
  <c r="K7" i="11"/>
  <c r="K8" i="11"/>
  <c r="K9" i="11"/>
  <c r="K13" i="11"/>
  <c r="K14" i="11"/>
  <c r="K15" i="11"/>
  <c r="K16" i="11"/>
  <c r="K17" i="11"/>
  <c r="K18" i="11"/>
  <c r="K19" i="11"/>
  <c r="K20" i="11"/>
  <c r="K21" i="11"/>
  <c r="K22" i="11"/>
  <c r="K23" i="11"/>
  <c r="Q6" i="11"/>
  <c r="Q7" i="11"/>
  <c r="Q8" i="11"/>
  <c r="Q9" i="11"/>
  <c r="Q13" i="11"/>
  <c r="Q14" i="11"/>
  <c r="Q15" i="11"/>
  <c r="Q16" i="11"/>
  <c r="Q17" i="11"/>
  <c r="Q18" i="11"/>
  <c r="Q19" i="11"/>
  <c r="Q20" i="11"/>
  <c r="Q21" i="11"/>
  <c r="Q23" i="11"/>
  <c r="F5" i="12"/>
  <c r="H5" i="12"/>
  <c r="I5" i="12"/>
  <c r="J5" i="12" s="1"/>
  <c r="T5" i="12"/>
  <c r="P6" i="11" s="1"/>
  <c r="F6" i="12"/>
  <c r="H6" i="12"/>
  <c r="I6" i="12"/>
  <c r="J6" i="12" s="1"/>
  <c r="F8" i="12"/>
  <c r="H8" i="12"/>
  <c r="I8" i="12"/>
  <c r="J8" i="12" s="1"/>
  <c r="P19" i="11" l="1"/>
  <c r="P13" i="11"/>
  <c r="P12" i="11"/>
  <c r="P11" i="11"/>
  <c r="P10" i="11"/>
  <c r="P23" i="11"/>
  <c r="P22" i="11"/>
  <c r="P21" i="11"/>
  <c r="P20" i="11"/>
  <c r="P18" i="11"/>
  <c r="P17" i="11"/>
  <c r="P16" i="11"/>
  <c r="P15" i="11"/>
  <c r="P14" i="11"/>
  <c r="P5" i="11"/>
  <c r="P9" i="11"/>
  <c r="P8" i="11"/>
  <c r="P7" i="11"/>
  <c r="C7" i="4"/>
  <c r="C8" i="4"/>
  <c r="C9" i="4"/>
  <c r="C10" i="4"/>
  <c r="C11" i="4"/>
  <c r="C12" i="4"/>
  <c r="C13" i="4"/>
  <c r="C14" i="4"/>
  <c r="C15" i="4"/>
  <c r="C16" i="4"/>
  <c r="C17" i="4"/>
  <c r="C18" i="4"/>
  <c r="C19" i="4"/>
  <c r="C20" i="4"/>
  <c r="C21" i="4"/>
  <c r="C22" i="4"/>
  <c r="C23" i="4"/>
  <c r="C24" i="4"/>
  <c r="C25" i="4"/>
  <c r="C26" i="4"/>
  <c r="E1" i="3"/>
  <c r="N5" i="1" l="1"/>
  <c r="N6" i="1"/>
  <c r="N7" i="1"/>
  <c r="H5" i="1" l="1"/>
  <c r="H6" i="1"/>
  <c r="H7" i="1"/>
  <c r="H8" i="1"/>
  <c r="T8" i="1" s="1"/>
  <c r="H9" i="1"/>
  <c r="T9" i="1" s="1"/>
  <c r="H10" i="1"/>
  <c r="T10" i="1" s="1"/>
  <c r="H11" i="1"/>
  <c r="T11" i="1" s="1"/>
  <c r="H12" i="1"/>
  <c r="T12" i="1" s="1"/>
  <c r="H13" i="1"/>
  <c r="T13" i="1" s="1"/>
  <c r="H14" i="1"/>
  <c r="T14" i="1" s="1"/>
  <c r="H15" i="1"/>
  <c r="T15" i="1" s="1"/>
  <c r="H16" i="1"/>
  <c r="T16" i="1" s="1"/>
  <c r="H17" i="1"/>
  <c r="T17" i="1" s="1"/>
  <c r="H18" i="1"/>
  <c r="H19" i="1"/>
  <c r="H20" i="1"/>
  <c r="H21" i="1"/>
  <c r="H22" i="1"/>
  <c r="H23" i="1"/>
  <c r="H24" i="1"/>
  <c r="T24" i="1" s="1"/>
  <c r="H25" i="1"/>
  <c r="T25" i="1" s="1"/>
  <c r="H9" i="12"/>
  <c r="H10" i="12"/>
  <c r="H11" i="12"/>
  <c r="Q5" i="1" l="1"/>
  <c r="Q6" i="1"/>
  <c r="Q7" i="1"/>
  <c r="Q24" i="11" l="1"/>
  <c r="Q30" i="11"/>
  <c r="Q31" i="11"/>
  <c r="Q32" i="11"/>
  <c r="Q33" i="11"/>
  <c r="Q34" i="11"/>
  <c r="Q35" i="11"/>
  <c r="Q36" i="11"/>
  <c r="Q37" i="11"/>
  <c r="Q40" i="11"/>
  <c r="Q41" i="11"/>
  <c r="Q42" i="11"/>
  <c r="Q43" i="11"/>
  <c r="Q44" i="11"/>
  <c r="Q45" i="11"/>
  <c r="Q46" i="11"/>
  <c r="Q48" i="11"/>
  <c r="Q49" i="11"/>
  <c r="Q50" i="11"/>
  <c r="Q51" i="11"/>
  <c r="Q52" i="11"/>
  <c r="Q53" i="11"/>
  <c r="Q54" i="11"/>
  <c r="Q55" i="11"/>
  <c r="Q56" i="11"/>
  <c r="Q57" i="11"/>
  <c r="Q58" i="11"/>
  <c r="Q59" i="11"/>
  <c r="Q60" i="11"/>
  <c r="Q61" i="11"/>
  <c r="Q62" i="11"/>
  <c r="Q63" i="11"/>
  <c r="Q64" i="11"/>
  <c r="Q65" i="11"/>
  <c r="Q66" i="11"/>
  <c r="Q67" i="11"/>
  <c r="Q68" i="11"/>
  <c r="Q69" i="11"/>
  <c r="Q71" i="11"/>
  <c r="Q72" i="11"/>
  <c r="Q73" i="11"/>
  <c r="Q74" i="11"/>
  <c r="Q75" i="11"/>
  <c r="Q76" i="11"/>
  <c r="Q77" i="11"/>
  <c r="Q78" i="11"/>
  <c r="Q79" i="11"/>
  <c r="P58" i="11" l="1"/>
  <c r="P66" i="11"/>
  <c r="P70" i="11"/>
  <c r="P24" i="11"/>
  <c r="P33" i="11"/>
  <c r="P43" i="11"/>
  <c r="P50" i="11" l="1"/>
  <c r="P73" i="11"/>
  <c r="P78" i="11"/>
  <c r="P1" i="1"/>
  <c r="P79" i="11"/>
  <c r="P77" i="11"/>
  <c r="P76" i="11"/>
  <c r="P75" i="11"/>
  <c r="P74" i="11"/>
  <c r="P72" i="11"/>
  <c r="P71" i="11"/>
  <c r="P69" i="11"/>
  <c r="P68" i="11"/>
  <c r="P67" i="11"/>
  <c r="P65" i="11"/>
  <c r="P64" i="11"/>
  <c r="P63" i="11"/>
  <c r="P62" i="11"/>
  <c r="P61" i="11"/>
  <c r="P60" i="11"/>
  <c r="P59" i="11"/>
  <c r="P57" i="11"/>
  <c r="P56" i="11"/>
  <c r="P55" i="11"/>
  <c r="P54" i="11"/>
  <c r="P53" i="11"/>
  <c r="P52" i="11"/>
  <c r="P51" i="11"/>
  <c r="P49" i="11"/>
  <c r="P48" i="11"/>
  <c r="P47" i="11"/>
  <c r="P46" i="11"/>
  <c r="P45" i="11"/>
  <c r="P44" i="11"/>
  <c r="P42" i="11"/>
  <c r="P41" i="11"/>
  <c r="P40" i="11"/>
  <c r="P39" i="11"/>
  <c r="P38" i="11"/>
  <c r="P37" i="11"/>
  <c r="P36" i="11"/>
  <c r="P35" i="11"/>
  <c r="P34" i="11"/>
  <c r="P32" i="11"/>
  <c r="P31" i="11"/>
  <c r="P30" i="11"/>
  <c r="P29" i="11"/>
  <c r="P28" i="11"/>
  <c r="P27" i="11"/>
  <c r="P26" i="11"/>
  <c r="P25" i="11"/>
  <c r="K5" i="1" l="1"/>
  <c r="K6" i="1"/>
  <c r="K7" i="1"/>
  <c r="J5" i="1"/>
  <c r="J6" i="1"/>
  <c r="J7" i="1"/>
  <c r="I79" i="11"/>
  <c r="K79" i="11"/>
  <c r="I78" i="11"/>
  <c r="K78" i="11"/>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AP20" i="2" l="1" a="1"/>
  <c r="AP20" i="2" s="1"/>
  <c r="AP21" i="2" a="1"/>
  <c r="AP21" i="2" s="1"/>
  <c r="AS9" i="2" a="1"/>
  <c r="AS9" i="2" s="1"/>
  <c r="AF9" i="2" a="1"/>
  <c r="AF9" i="2" s="1"/>
  <c r="AL8" i="2" a="1"/>
  <c r="AL8" i="2" s="1"/>
  <c r="Y8" i="2" a="1"/>
  <c r="Y8" i="2" s="1"/>
  <c r="AN9" i="2" a="1"/>
  <c r="AN9" i="2" s="1"/>
  <c r="AR8" i="2" a="1"/>
  <c r="AR8" i="2" s="1"/>
  <c r="AM8" i="2" a="1"/>
  <c r="AM8" i="2" s="1"/>
  <c r="AH8" i="2" a="1"/>
  <c r="AH8" i="2" s="1"/>
  <c r="AQ7" i="2" a="1"/>
  <c r="AQ7" i="2" s="1"/>
  <c r="AH7" i="2" a="1"/>
  <c r="AH7" i="2" s="1"/>
  <c r="AN6" i="2" a="1"/>
  <c r="AN6" i="2" s="1"/>
  <c r="AA6" i="2" a="1"/>
  <c r="AA6" i="2" s="1"/>
  <c r="AN7" i="2" a="1"/>
  <c r="AN7" i="2" s="1"/>
  <c r="AG6" i="2" a="1"/>
  <c r="AG6" i="2" s="1"/>
  <c r="AS8" i="2" a="1"/>
  <c r="AS8" i="2" s="1"/>
  <c r="AK6" i="2" a="1"/>
  <c r="AK6" i="2" s="1"/>
  <c r="Y9" i="2" a="1"/>
  <c r="Y9" i="2" s="1"/>
  <c r="AG8" i="2" a="1"/>
  <c r="AG8" i="2" s="1"/>
  <c r="AB8" i="2" a="1"/>
  <c r="AB8" i="2" s="1"/>
  <c r="AL7" i="2" a="1"/>
  <c r="AL7" i="2" s="1"/>
  <c r="Y7" i="2" a="1"/>
  <c r="Y7" i="2" s="1"/>
  <c r="AR6" i="2" a="1"/>
  <c r="AR6" i="2" s="1"/>
  <c r="AE6" i="2" a="1"/>
  <c r="AE6" i="2" s="1"/>
  <c r="AA9" i="2" a="1"/>
  <c r="AA9" i="2" s="1"/>
  <c r="AT9" i="2" a="1"/>
  <c r="AT9" i="2" s="1"/>
  <c r="AM7" i="2" a="1"/>
  <c r="AM7" i="2" s="1"/>
  <c r="AF6" i="2" a="1"/>
  <c r="AF6" i="2" s="1"/>
  <c r="AR9" i="2" a="1"/>
  <c r="AR9" i="2" s="1"/>
  <c r="AM9" i="2" a="1"/>
  <c r="AM9" i="2" s="1"/>
  <c r="AH9" i="2" a="1"/>
  <c r="AH9" i="2" s="1"/>
  <c r="AQ8" i="2" a="1"/>
  <c r="AQ8" i="2" s="1"/>
  <c r="AT7" i="2" a="1"/>
  <c r="AT7" i="2" s="1"/>
  <c r="AP7" i="2" a="1"/>
  <c r="AP7" i="2" s="1"/>
  <c r="AG7" i="2" a="1"/>
  <c r="AG7" i="2" s="1"/>
  <c r="AM6" i="2" a="1"/>
  <c r="AM6" i="2" s="1"/>
  <c r="Z6" i="2" a="1"/>
  <c r="Z6" i="2" s="1"/>
  <c r="AH6" i="2" a="1"/>
  <c r="AH6" i="2" s="1"/>
  <c r="AE8" i="2" a="1"/>
  <c r="AE8" i="2" s="1"/>
  <c r="AT6" i="2" a="1"/>
  <c r="AT6" i="2" s="1"/>
  <c r="AP8" i="2" a="1"/>
  <c r="AP8" i="2" s="1"/>
  <c r="AK8" i="2" a="1"/>
  <c r="AK8" i="2" s="1"/>
  <c r="AF8" i="2" a="1"/>
  <c r="AF8" i="2" s="1"/>
  <c r="AA8" i="2" a="1"/>
  <c r="AA8" i="2" s="1"/>
  <c r="AK7" i="2" a="1"/>
  <c r="AK7" i="2" s="1"/>
  <c r="AB7" i="2" a="1"/>
  <c r="AB7" i="2" s="1"/>
  <c r="AQ6" i="2" a="1"/>
  <c r="AQ6" i="2" s="1"/>
  <c r="AA7" i="2" a="1"/>
  <c r="AA7" i="2" s="1"/>
  <c r="AK9" i="2" a="1"/>
  <c r="AK9" i="2" s="1"/>
  <c r="AE7" i="2" a="1"/>
  <c r="AE7" i="2" s="1"/>
  <c r="AE9" i="2" a="1"/>
  <c r="AE9" i="2" s="1"/>
  <c r="Z7" i="2" a="1"/>
  <c r="Z7" i="2" s="1"/>
  <c r="AQ9" i="2" a="1"/>
  <c r="AQ9" i="2" s="1"/>
  <c r="AL9" i="2" a="1"/>
  <c r="AL9" i="2" s="1"/>
  <c r="AG9" i="2" a="1"/>
  <c r="AG9" i="2" s="1"/>
  <c r="AB9" i="2" a="1"/>
  <c r="AB9" i="2" s="1"/>
  <c r="AT8" i="2" a="1"/>
  <c r="AT8" i="2" s="1"/>
  <c r="AS7" i="2" a="1"/>
  <c r="AS7" i="2" s="1"/>
  <c r="AF7" i="2" a="1"/>
  <c r="AF7" i="2" s="1"/>
  <c r="AL6" i="2" a="1"/>
  <c r="AL6" i="2" s="1"/>
  <c r="Y6" i="2" a="1"/>
  <c r="Y6" i="2" s="1"/>
  <c r="AP9" i="2" a="1"/>
  <c r="AP9" i="2" s="1"/>
  <c r="AR7" i="2" a="1"/>
  <c r="AR7" i="2" s="1"/>
  <c r="Z9" i="2" a="1"/>
  <c r="Z9" i="2" s="1"/>
  <c r="AS6" i="2" a="1"/>
  <c r="AS6" i="2" s="1"/>
  <c r="Z8" i="2" a="1"/>
  <c r="Z8" i="2" s="1"/>
  <c r="AP6" i="2" a="1"/>
  <c r="AP6" i="2" s="1"/>
  <c r="AN8" i="2" a="1"/>
  <c r="AN8" i="2" s="1"/>
  <c r="AB6" i="2" a="1"/>
  <c r="AB6" i="2" s="1"/>
  <c r="AT19" i="2" a="1"/>
  <c r="AT19" i="2" s="1"/>
  <c r="AP19" i="2" a="1"/>
  <c r="AP19" i="2" s="1"/>
  <c r="AG19" i="2" a="1"/>
  <c r="AG19" i="2" s="1"/>
  <c r="AM18" i="2" a="1"/>
  <c r="AM18" i="2" s="1"/>
  <c r="Z18" i="2" a="1"/>
  <c r="Z18" i="2" s="1"/>
  <c r="AS17" i="2" a="1"/>
  <c r="AS17" i="2" s="1"/>
  <c r="AF17" i="2" a="1"/>
  <c r="AF17" i="2" s="1"/>
  <c r="AL16" i="2" a="1"/>
  <c r="AL16" i="2" s="1"/>
  <c r="Y16" i="2" a="1"/>
  <c r="Y16" i="2" s="1"/>
  <c r="AK19" i="2" a="1"/>
  <c r="AK19" i="2" s="1"/>
  <c r="AB19" i="2" a="1"/>
  <c r="AB19" i="2" s="1"/>
  <c r="AQ18" i="2" a="1"/>
  <c r="AQ18" i="2" s="1"/>
  <c r="AH18" i="2" a="1"/>
  <c r="AH18" i="2" s="1"/>
  <c r="AN17" i="2" a="1"/>
  <c r="AN17" i="2" s="1"/>
  <c r="AA17" i="2" a="1"/>
  <c r="AA17" i="2" s="1"/>
  <c r="AT16" i="2" a="1"/>
  <c r="AT16" i="2" s="1"/>
  <c r="AP16" i="2" a="1"/>
  <c r="AP16" i="2" s="1"/>
  <c r="AQ11" i="2" s="1" a="1"/>
  <c r="AQ11" i="2" s="1"/>
  <c r="AG16" i="2" a="1"/>
  <c r="AG16" i="2" s="1"/>
  <c r="AS19" i="2" a="1"/>
  <c r="AS19" i="2" s="1"/>
  <c r="AF19" i="2" a="1"/>
  <c r="AF19" i="2" s="1"/>
  <c r="AL18" i="2" a="1"/>
  <c r="AL18" i="2" s="1"/>
  <c r="Y18" i="2" a="1"/>
  <c r="Y18" i="2" s="1"/>
  <c r="AR17" i="2" a="1"/>
  <c r="AR17" i="2" s="1"/>
  <c r="AE17" i="2" a="1"/>
  <c r="AE17" i="2" s="1"/>
  <c r="AK16" i="2" a="1"/>
  <c r="AK16" i="2" s="1"/>
  <c r="AB16" i="2" a="1"/>
  <c r="AB16" i="2" s="1"/>
  <c r="AN19" i="2" a="1"/>
  <c r="AN19" i="2" s="1"/>
  <c r="AA19" i="2" a="1"/>
  <c r="AA19" i="2" s="1"/>
  <c r="AT18" i="2" a="1"/>
  <c r="AT18" i="2" s="1"/>
  <c r="AP18" i="2" a="1"/>
  <c r="AP18" i="2" s="1"/>
  <c r="AG18" i="2" a="1"/>
  <c r="AG18" i="2" s="1"/>
  <c r="AM17" i="2" a="1"/>
  <c r="AM17" i="2" s="1"/>
  <c r="Z17" i="2" a="1"/>
  <c r="Z17" i="2" s="1"/>
  <c r="AS16" i="2" a="1"/>
  <c r="AS16" i="2" s="1"/>
  <c r="AF16" i="2" a="1"/>
  <c r="AF16" i="2" s="1"/>
  <c r="AR19" i="2" a="1"/>
  <c r="AR19" i="2" s="1"/>
  <c r="AE19" i="2" a="1"/>
  <c r="AE19" i="2" s="1"/>
  <c r="AK18" i="2" a="1"/>
  <c r="AK18" i="2" s="1"/>
  <c r="AB18" i="2" a="1"/>
  <c r="AB18" i="2" s="1"/>
  <c r="AQ17" i="2" a="1"/>
  <c r="AQ17" i="2" s="1"/>
  <c r="AH17" i="2" a="1"/>
  <c r="AH17" i="2" s="1"/>
  <c r="AN16" i="2" a="1"/>
  <c r="AN16" i="2" s="1"/>
  <c r="AA16" i="2" a="1"/>
  <c r="AA16" i="2" s="1"/>
  <c r="AM19" i="2" a="1"/>
  <c r="AM19" i="2" s="1"/>
  <c r="Z19" i="2" a="1"/>
  <c r="Z19" i="2" s="1"/>
  <c r="AS18" i="2" a="1"/>
  <c r="AS18" i="2" s="1"/>
  <c r="AF18" i="2" a="1"/>
  <c r="AF18" i="2" s="1"/>
  <c r="AL17" i="2" a="1"/>
  <c r="AL17" i="2" s="1"/>
  <c r="Y17" i="2" a="1"/>
  <c r="Y17" i="2" s="1"/>
  <c r="AR16" i="2" a="1"/>
  <c r="AR16" i="2" s="1"/>
  <c r="AE18" i="2" a="1"/>
  <c r="AE18" i="2" s="1"/>
  <c r="AK17" i="2" a="1"/>
  <c r="AK17" i="2" s="1"/>
  <c r="AQ16" i="2" a="1"/>
  <c r="AQ16" i="2" s="1"/>
  <c r="AE16" i="2" a="1"/>
  <c r="AE16" i="2" s="1"/>
  <c r="AP17" i="2" a="1"/>
  <c r="AP17" i="2" s="1"/>
  <c r="AL19" i="2" a="1"/>
  <c r="AL19" i="2" s="1"/>
  <c r="AR18" i="2" a="1"/>
  <c r="AR18" i="2" s="1"/>
  <c r="AA18" i="2" a="1"/>
  <c r="AA18" i="2" s="1"/>
  <c r="AG17" i="2" a="1"/>
  <c r="AG17" i="2" s="1"/>
  <c r="AQ19" i="2" a="1"/>
  <c r="AQ19" i="2" s="1"/>
  <c r="Y19" i="2" a="1"/>
  <c r="Y19" i="2" s="1"/>
  <c r="AH19" i="2" a="1"/>
  <c r="AH19" i="2" s="1"/>
  <c r="AN18" i="2" a="1"/>
  <c r="AN18" i="2" s="1"/>
  <c r="AT17" i="2" a="1"/>
  <c r="AT17" i="2" s="1"/>
  <c r="AM16" i="2" a="1"/>
  <c r="AM16" i="2" s="1"/>
  <c r="AB17" i="2" a="1"/>
  <c r="AB17" i="2" s="1"/>
  <c r="Z16" i="2" a="1"/>
  <c r="Z16" i="2" s="1"/>
  <c r="AH16" i="2" a="1"/>
  <c r="AH16" i="2" s="1"/>
  <c r="AM25" i="2" a="1"/>
  <c r="AM25" i="2" s="1"/>
  <c r="Z25" i="2" a="1"/>
  <c r="Z25" i="2" s="1"/>
  <c r="AS24" i="2" a="1"/>
  <c r="AS24" i="2" s="1"/>
  <c r="AF24" i="2" a="1"/>
  <c r="AF24" i="2" s="1"/>
  <c r="AL23" i="2" a="1"/>
  <c r="AL23" i="2" s="1"/>
  <c r="Y23" i="2" a="1"/>
  <c r="Y23" i="2" s="1"/>
  <c r="AR22" i="2" a="1"/>
  <c r="AR22" i="2" s="1"/>
  <c r="AS21" i="2" s="1" a="1"/>
  <c r="AS21" i="2" s="1"/>
  <c r="AE22" i="2" a="1"/>
  <c r="AE22" i="2" s="1"/>
  <c r="AF20" i="2" s="1" a="1"/>
  <c r="AF20" i="2" s="1"/>
  <c r="AQ25" i="2" a="1"/>
  <c r="AQ25" i="2" s="1"/>
  <c r="AH25" i="2" a="1"/>
  <c r="AH25" i="2" s="1"/>
  <c r="AN24" i="2" a="1"/>
  <c r="AN24" i="2" s="1"/>
  <c r="AA24" i="2" a="1"/>
  <c r="AA24" i="2" s="1"/>
  <c r="AT23" i="2" a="1"/>
  <c r="AT23" i="2" s="1"/>
  <c r="AP23" i="2" a="1"/>
  <c r="AP23" i="2" s="1"/>
  <c r="AL25" i="2" a="1"/>
  <c r="AL25" i="2" s="1"/>
  <c r="AT25" i="2" a="1"/>
  <c r="AT25" i="2" s="1"/>
  <c r="AK25" i="2" a="1"/>
  <c r="AK25" i="2" s="1"/>
  <c r="AB25" i="2" a="1"/>
  <c r="AB25" i="2" s="1"/>
  <c r="AQ24" i="2" a="1"/>
  <c r="AQ24" i="2" s="1"/>
  <c r="AH24" i="2" a="1"/>
  <c r="AH24" i="2" s="1"/>
  <c r="AN23" i="2" a="1"/>
  <c r="AN23" i="2" s="1"/>
  <c r="AA23" i="2" a="1"/>
  <c r="AA23" i="2" s="1"/>
  <c r="AT22" i="2" a="1"/>
  <c r="AT22" i="2" s="1"/>
  <c r="AP22" i="2" a="1"/>
  <c r="AP22" i="2" s="1"/>
  <c r="AQ21" i="2" s="1" a="1"/>
  <c r="AQ21" i="2" s="1"/>
  <c r="AG22" i="2" a="1"/>
  <c r="AG22" i="2" s="1"/>
  <c r="AH20" i="2" s="1" a="1"/>
  <c r="AH20" i="2" s="1"/>
  <c r="AN25" i="2" a="1"/>
  <c r="AN25" i="2" s="1"/>
  <c r="AA25" i="2" a="1"/>
  <c r="AA25" i="2" s="1"/>
  <c r="AT24" i="2" a="1"/>
  <c r="AT24" i="2" s="1"/>
  <c r="AP24" i="2" a="1"/>
  <c r="AP24" i="2" s="1"/>
  <c r="AG24" i="2" a="1"/>
  <c r="AG24" i="2" s="1"/>
  <c r="AM23" i="2" a="1"/>
  <c r="AM23" i="2" s="1"/>
  <c r="Z23" i="2" a="1"/>
  <c r="Z23" i="2" s="1"/>
  <c r="AS22" i="2" a="1"/>
  <c r="AS22" i="2" s="1"/>
  <c r="AT20" i="2" s="1" a="1"/>
  <c r="AT20" i="2" s="1"/>
  <c r="AF22" i="2" a="1"/>
  <c r="AF22" i="2" s="1"/>
  <c r="AG21" i="2" s="1" a="1"/>
  <c r="AG21" i="2" s="1"/>
  <c r="Z24" i="2" a="1"/>
  <c r="Z24" i="2" s="1"/>
  <c r="AG23" i="2" a="1"/>
  <c r="AG23" i="2" s="1"/>
  <c r="AQ22" i="2" a="1"/>
  <c r="AQ22" i="2" s="1"/>
  <c r="AR21" i="2" s="1" a="1"/>
  <c r="AR21" i="2" s="1"/>
  <c r="Y24" i="2" a="1"/>
  <c r="Y24" i="2" s="1"/>
  <c r="AS25" i="2" a="1"/>
  <c r="AS25" i="2" s="1"/>
  <c r="AF23" i="2" a="1"/>
  <c r="AF23" i="2" s="1"/>
  <c r="AH22" i="2" a="1"/>
  <c r="AH22" i="2" s="1"/>
  <c r="AB22" i="2" a="1"/>
  <c r="AB22" i="2" s="1"/>
  <c r="AR25" i="2" a="1"/>
  <c r="AR25" i="2" s="1"/>
  <c r="Y25" i="2" a="1"/>
  <c r="Y25" i="2" s="1"/>
  <c r="AE24" i="2" a="1"/>
  <c r="AE24" i="2" s="1"/>
  <c r="AE23" i="2" a="1"/>
  <c r="AE23" i="2" s="1"/>
  <c r="AN22" i="2" a="1"/>
  <c r="AN22" i="2" s="1"/>
  <c r="AA22" i="2" a="1"/>
  <c r="AA22" i="2" s="1"/>
  <c r="AB21" i="2" s="1" a="1"/>
  <c r="AB21" i="2" s="1"/>
  <c r="AP25" i="2" a="1"/>
  <c r="AP25" i="2" s="1"/>
  <c r="AG25" i="2" a="1"/>
  <c r="AG25" i="2" s="1"/>
  <c r="AM24" i="2" a="1"/>
  <c r="AM24" i="2" s="1"/>
  <c r="AS23" i="2" a="1"/>
  <c r="AS23" i="2" s="1"/>
  <c r="AK23" i="2" a="1"/>
  <c r="AK23" i="2" s="1"/>
  <c r="AM22" i="2" a="1"/>
  <c r="AM22" i="2" s="1"/>
  <c r="AN20" i="2" s="1" a="1"/>
  <c r="AN20" i="2" s="1"/>
  <c r="Z22" i="2" a="1"/>
  <c r="Z22" i="2" s="1"/>
  <c r="AA20" i="2" s="1" a="1"/>
  <c r="AA20" i="2" s="1"/>
  <c r="AF25" i="2" a="1"/>
  <c r="AF25" i="2" s="1"/>
  <c r="AL24" i="2" a="1"/>
  <c r="AL24" i="2" s="1"/>
  <c r="AR23" i="2" a="1"/>
  <c r="AR23" i="2" s="1"/>
  <c r="AE25" i="2" a="1"/>
  <c r="AE25" i="2" s="1"/>
  <c r="AK24" i="2" a="1"/>
  <c r="AK24" i="2" s="1"/>
  <c r="AB24" i="2" a="1"/>
  <c r="AB24" i="2" s="1"/>
  <c r="AQ23" i="2" a="1"/>
  <c r="AQ23" i="2" s="1"/>
  <c r="AB23" i="2" a="1"/>
  <c r="AB23" i="2" s="1"/>
  <c r="AL22" i="2" a="1"/>
  <c r="AL22" i="2" s="1"/>
  <c r="AM20" i="2" s="1" a="1"/>
  <c r="AM20" i="2" s="1"/>
  <c r="Y22" i="2" a="1"/>
  <c r="Y22" i="2" s="1"/>
  <c r="Z20" i="2" s="1" a="1"/>
  <c r="Z20" i="2" s="1"/>
  <c r="AR24" i="2" a="1"/>
  <c r="AR24" i="2" s="1"/>
  <c r="AH23" i="2" a="1"/>
  <c r="AH23" i="2" s="1"/>
  <c r="AK22" i="2" a="1"/>
  <c r="AK22" i="2" s="1"/>
  <c r="AL21" i="2" s="1" a="1"/>
  <c r="AL21" i="2" s="1"/>
  <c r="AR15" i="2" a="1"/>
  <c r="AR15" i="2" s="1"/>
  <c r="AE15" i="2" a="1"/>
  <c r="AE15" i="2" s="1"/>
  <c r="AK14" i="2" a="1"/>
  <c r="AK14" i="2" s="1"/>
  <c r="AB14" i="2" a="1"/>
  <c r="AB14" i="2" s="1"/>
  <c r="AQ13" i="2" a="1"/>
  <c r="AQ13" i="2" s="1"/>
  <c r="AH13" i="2" a="1"/>
  <c r="AH13" i="2" s="1"/>
  <c r="AN12" i="2" a="1"/>
  <c r="AN12" i="2" s="1"/>
  <c r="AA12" i="2" a="1"/>
  <c r="AA12" i="2" s="1"/>
  <c r="AM15" i="2" a="1"/>
  <c r="AM15" i="2" s="1"/>
  <c r="Z15" i="2" a="1"/>
  <c r="Z15" i="2" s="1"/>
  <c r="AS14" i="2" a="1"/>
  <c r="AS14" i="2" s="1"/>
  <c r="AF14" i="2" a="1"/>
  <c r="AF14" i="2" s="1"/>
  <c r="AL13" i="2" a="1"/>
  <c r="AL13" i="2" s="1"/>
  <c r="Y13" i="2" a="1"/>
  <c r="Y13" i="2" s="1"/>
  <c r="AR12" i="2" a="1"/>
  <c r="AR12" i="2" s="1"/>
  <c r="AE12" i="2" a="1"/>
  <c r="AE12" i="2" s="1"/>
  <c r="AQ15" i="2" a="1"/>
  <c r="AQ15" i="2" s="1"/>
  <c r="AH15" i="2" a="1"/>
  <c r="AH15" i="2" s="1"/>
  <c r="AL15" i="2" a="1"/>
  <c r="AL15" i="2" s="1"/>
  <c r="Y15" i="2" a="1"/>
  <c r="Y15" i="2" s="1"/>
  <c r="AR14" i="2" a="1"/>
  <c r="AR14" i="2" s="1"/>
  <c r="AE14" i="2" a="1"/>
  <c r="AE14" i="2" s="1"/>
  <c r="AK13" i="2" a="1"/>
  <c r="AK13" i="2" s="1"/>
  <c r="AB13" i="2" a="1"/>
  <c r="AB13" i="2" s="1"/>
  <c r="AQ12" i="2" a="1"/>
  <c r="AQ12" i="2" s="1"/>
  <c r="AH12" i="2" a="1"/>
  <c r="AH12" i="2" s="1"/>
  <c r="AT15" i="2" a="1"/>
  <c r="AT15" i="2" s="1"/>
  <c r="AP15" i="2" a="1"/>
  <c r="AP15" i="2" s="1"/>
  <c r="AG15" i="2" a="1"/>
  <c r="AG15" i="2" s="1"/>
  <c r="AM14" i="2" a="1"/>
  <c r="AM14" i="2" s="1"/>
  <c r="Z14" i="2" a="1"/>
  <c r="Z14" i="2" s="1"/>
  <c r="AS13" i="2" a="1"/>
  <c r="AS13" i="2" s="1"/>
  <c r="AF13" i="2" a="1"/>
  <c r="AF13" i="2" s="1"/>
  <c r="AL12" i="2" a="1"/>
  <c r="AL12" i="2" s="1"/>
  <c r="Y12" i="2" a="1"/>
  <c r="Y12" i="2" s="1"/>
  <c r="AF15" i="2" a="1"/>
  <c r="AF15" i="2" s="1"/>
  <c r="Z12" i="2" a="1"/>
  <c r="Z12" i="2" s="1"/>
  <c r="AT12" i="2" a="1"/>
  <c r="AT12" i="2" s="1"/>
  <c r="AK12" i="2" a="1"/>
  <c r="AK12" i="2" s="1"/>
  <c r="AT14" i="2" a="1"/>
  <c r="AT14" i="2" s="1"/>
  <c r="AL14" i="2" a="1"/>
  <c r="AL14" i="2" s="1"/>
  <c r="AR13" i="2" a="1"/>
  <c r="AR13" i="2" s="1"/>
  <c r="AA13" i="2" a="1"/>
  <c r="AA13" i="2" s="1"/>
  <c r="AP12" i="2" a="1"/>
  <c r="AP12" i="2" s="1"/>
  <c r="AG12" i="2" a="1"/>
  <c r="AG12" i="2" s="1"/>
  <c r="AP14" i="2" a="1"/>
  <c r="AP14" i="2" s="1"/>
  <c r="AA15" i="2" a="1"/>
  <c r="AA15" i="2" s="1"/>
  <c r="AS15" i="2" a="1"/>
  <c r="AS15" i="2" s="1"/>
  <c r="AM13" i="2" a="1"/>
  <c r="AM13" i="2" s="1"/>
  <c r="AN15" i="2" a="1"/>
  <c r="AN15" i="2" s="1"/>
  <c r="AB15" i="2" a="1"/>
  <c r="AB15" i="2" s="1"/>
  <c r="AQ14" i="2" a="1"/>
  <c r="AQ14" i="2" s="1"/>
  <c r="AA14" i="2" a="1"/>
  <c r="AA14" i="2" s="1"/>
  <c r="AP13" i="2" a="1"/>
  <c r="AP13" i="2" s="1"/>
  <c r="Z13" i="2" a="1"/>
  <c r="Z13" i="2" s="1"/>
  <c r="AF12" i="2" a="1"/>
  <c r="AF12" i="2" s="1"/>
  <c r="Y14" i="2" a="1"/>
  <c r="Y14" i="2" s="1"/>
  <c r="AB12" i="2" a="1"/>
  <c r="AB12" i="2" s="1"/>
  <c r="AN14" i="2" a="1"/>
  <c r="AN14" i="2" s="1"/>
  <c r="AS12" i="2" a="1"/>
  <c r="AS12" i="2" s="1"/>
  <c r="AK15" i="2" a="1"/>
  <c r="AK15" i="2" s="1"/>
  <c r="AH14" i="2" a="1"/>
  <c r="AH14" i="2" s="1"/>
  <c r="AG13" i="2" a="1"/>
  <c r="AG13" i="2" s="1"/>
  <c r="AM12" i="2" a="1"/>
  <c r="AM12" i="2" s="1"/>
  <c r="AG14" i="2" a="1"/>
  <c r="AG14" i="2" s="1"/>
  <c r="AT13" i="2" a="1"/>
  <c r="AT13" i="2" s="1"/>
  <c r="AN13" i="2" a="1"/>
  <c r="AN13" i="2" s="1"/>
  <c r="AE13" i="2" a="1"/>
  <c r="AE13" i="2" s="1"/>
  <c r="AP11" i="2" a="1"/>
  <c r="AP11" i="2" s="1"/>
  <c r="AP10" i="2" a="1"/>
  <c r="AP10" i="2" s="1"/>
  <c r="AM5" i="2" a="1"/>
  <c r="AM5" i="2" s="1"/>
  <c r="AG5" i="2" a="1"/>
  <c r="AG5" i="2" s="1"/>
  <c r="AA5" i="2" a="1"/>
  <c r="AA5" i="2" s="1"/>
  <c r="AS5" i="2" a="1"/>
  <c r="AS5" i="2" s="1"/>
  <c r="AF5" i="2" a="1"/>
  <c r="AF5" i="2" s="1"/>
  <c r="AR5" i="2" a="1"/>
  <c r="AR5" i="2" s="1"/>
  <c r="AL5" i="2" a="1"/>
  <c r="AL5" i="2" s="1"/>
  <c r="Z5" i="2" a="1"/>
  <c r="Z5" i="2" s="1"/>
  <c r="AK5" i="2" a="1"/>
  <c r="AK5" i="2" s="1"/>
  <c r="AE5" i="2" a="1"/>
  <c r="AE5" i="2" s="1"/>
  <c r="Y5" i="2" a="1"/>
  <c r="Y5" i="2" s="1"/>
  <c r="AQ5" i="2" a="1"/>
  <c r="AQ5" i="2" s="1"/>
  <c r="AN5" i="2" a="1"/>
  <c r="AN5" i="2" s="1"/>
  <c r="AH5" i="2" a="1"/>
  <c r="AH5" i="2" s="1"/>
  <c r="AB5" i="2" a="1"/>
  <c r="AB5" i="2" s="1"/>
  <c r="AT5" i="2" a="1"/>
  <c r="AT5" i="2" s="1"/>
  <c r="I26" i="11"/>
  <c r="K26" i="11"/>
  <c r="I74" i="11"/>
  <c r="I75" i="11"/>
  <c r="I76" i="11"/>
  <c r="I77" i="11"/>
  <c r="K74" i="11"/>
  <c r="K75" i="11"/>
  <c r="K76" i="11"/>
  <c r="K77" i="11"/>
  <c r="I73" i="11"/>
  <c r="K73" i="11"/>
  <c r="AQ10" i="2" l="1" a="1"/>
  <c r="AQ10" i="2" s="1"/>
  <c r="AA21" i="2" a="1"/>
  <c r="AA21" i="2" s="1"/>
  <c r="AQ20" i="2" a="1"/>
  <c r="AQ20" i="2" s="1"/>
  <c r="AR10" i="2" s="1" a="1"/>
  <c r="AR10" i="2" s="1"/>
  <c r="AR20" i="2" a="1"/>
  <c r="AR20" i="2" s="1"/>
  <c r="AS11" i="2" s="1" a="1"/>
  <c r="AS11" i="2" s="1"/>
  <c r="AT21" i="2" a="1"/>
  <c r="AT21" i="2" s="1"/>
  <c r="AA10" i="2" a="1"/>
  <c r="AA10" i="2" s="1"/>
  <c r="AA11" i="2" a="1"/>
  <c r="AA11" i="2" s="1"/>
  <c r="AN11" i="2" a="1"/>
  <c r="AN11" i="2" s="1"/>
  <c r="AN10" i="2" a="1"/>
  <c r="AN10" i="2" s="1"/>
  <c r="AB10" i="2" a="1"/>
  <c r="AB10" i="2" s="1"/>
  <c r="AB11" i="2" a="1"/>
  <c r="AB11" i="2" s="1"/>
  <c r="AG10" i="2" a="1"/>
  <c r="AG10" i="2" s="1"/>
  <c r="AF21" i="2" a="1"/>
  <c r="AF21" i="2" s="1"/>
  <c r="AS20" i="2" a="1"/>
  <c r="AS20" i="2" s="1"/>
  <c r="AM21" i="2" a="1"/>
  <c r="AM21" i="2" s="1"/>
  <c r="Z21" i="2" a="1"/>
  <c r="Z21" i="2" s="1"/>
  <c r="AB20" i="2" a="1"/>
  <c r="AB20" i="2" s="1"/>
  <c r="AN21" i="2" a="1"/>
  <c r="AN21" i="2" s="1"/>
  <c r="AR11" i="2" a="1"/>
  <c r="AR11" i="2" s="1"/>
  <c r="AL20" i="2" a="1"/>
  <c r="AL20" i="2" s="1"/>
  <c r="AM11" i="2" s="1" a="1"/>
  <c r="AM11" i="2" s="1"/>
  <c r="AG11" i="2" a="1"/>
  <c r="AG11" i="2" s="1"/>
  <c r="AG20" i="2" a="1"/>
  <c r="AG20" i="2" s="1"/>
  <c r="AH21" i="2" a="1"/>
  <c r="AH21" i="2" s="1"/>
  <c r="J1" i="3"/>
  <c r="AS10" i="2" l="1" a="1"/>
  <c r="AS10" i="2" s="1"/>
  <c r="AM10" i="2" a="1"/>
  <c r="AM10" i="2" s="1"/>
  <c r="AH10" i="2" a="1"/>
  <c r="AH10" i="2" s="1"/>
  <c r="AH11" i="2" a="1"/>
  <c r="AH11" i="2" s="1"/>
  <c r="AT11" i="2" a="1"/>
  <c r="AT11" i="2" s="1"/>
  <c r="AT10" i="2" a="1"/>
  <c r="AT10" i="2" s="1"/>
  <c r="I67" i="11"/>
  <c r="I68" i="11"/>
  <c r="I69" i="11"/>
  <c r="I71" i="11"/>
  <c r="I72" i="11"/>
  <c r="K67" i="11"/>
  <c r="K68" i="11"/>
  <c r="K69" i="11"/>
  <c r="K71" i="11"/>
  <c r="K72" i="11"/>
  <c r="I66" i="11"/>
  <c r="K66" i="11"/>
  <c r="I59" i="11"/>
  <c r="I60" i="11"/>
  <c r="I61" i="11"/>
  <c r="I62" i="11"/>
  <c r="I63" i="11"/>
  <c r="I64" i="11"/>
  <c r="I65" i="11"/>
  <c r="K59" i="11"/>
  <c r="K60" i="11"/>
  <c r="K61" i="11"/>
  <c r="K62" i="11"/>
  <c r="K63" i="11"/>
  <c r="K64" i="11"/>
  <c r="K65" i="11"/>
  <c r="I58" i="11"/>
  <c r="K58" i="11"/>
  <c r="I51" i="11"/>
  <c r="I52" i="11"/>
  <c r="I53" i="11"/>
  <c r="I54" i="11"/>
  <c r="I55" i="11"/>
  <c r="I56" i="11"/>
  <c r="I57" i="11"/>
  <c r="K51" i="11"/>
  <c r="K52" i="11"/>
  <c r="K53" i="11"/>
  <c r="K54" i="11"/>
  <c r="K55" i="11"/>
  <c r="K56" i="11"/>
  <c r="K57" i="11"/>
  <c r="I50" i="11"/>
  <c r="K50" i="11"/>
  <c r="I44" i="11"/>
  <c r="I45" i="11"/>
  <c r="I46" i="11"/>
  <c r="I47" i="11"/>
  <c r="I48" i="11"/>
  <c r="I49" i="11"/>
  <c r="K44" i="11"/>
  <c r="K45" i="11"/>
  <c r="K46" i="11"/>
  <c r="K47" i="11"/>
  <c r="K48" i="11"/>
  <c r="K49" i="11"/>
  <c r="I43" i="11"/>
  <c r="K43" i="11"/>
  <c r="I32" i="11"/>
  <c r="K32" i="11"/>
  <c r="T5" i="2" l="1"/>
  <c r="U5" i="2" s="1"/>
  <c r="T6" i="2"/>
  <c r="U6" i="2" s="1"/>
  <c r="T7" i="2"/>
  <c r="U7" i="2" s="1"/>
  <c r="T8" i="2"/>
  <c r="U8" i="2" s="1"/>
  <c r="T9" i="2"/>
  <c r="U9" i="2" s="1"/>
  <c r="T10" i="2"/>
  <c r="U10" i="2" s="1"/>
  <c r="T11" i="2"/>
  <c r="U11" i="2" s="1"/>
  <c r="T12" i="2"/>
  <c r="U12" i="2" s="1"/>
  <c r="T13" i="2"/>
  <c r="U13" i="2" s="1"/>
  <c r="T14" i="2"/>
  <c r="U14" i="2" s="1"/>
  <c r="T15" i="2"/>
  <c r="U15" i="2" s="1"/>
  <c r="T17" i="2"/>
  <c r="U17" i="2" s="1"/>
  <c r="T18" i="2"/>
  <c r="U18" i="2" s="1"/>
  <c r="T19" i="2"/>
  <c r="U19" i="2" s="1"/>
  <c r="T21" i="2"/>
  <c r="U21" i="2" s="1"/>
  <c r="T23" i="2"/>
  <c r="U23" i="2" s="1"/>
  <c r="T24" i="2"/>
  <c r="U24" i="2" s="1"/>
  <c r="T25" i="2"/>
  <c r="U25" i="2" s="1"/>
  <c r="T29" i="2"/>
  <c r="U29" i="2" s="1"/>
  <c r="T30" i="2"/>
  <c r="U30" i="2" s="1"/>
  <c r="T31" i="2"/>
  <c r="U31" i="2" s="1"/>
  <c r="T32" i="2"/>
  <c r="U32" i="2" s="1"/>
  <c r="T36" i="2"/>
  <c r="U36" i="2" s="1"/>
  <c r="T37" i="2"/>
  <c r="U37" i="2" s="1"/>
  <c r="T38" i="2"/>
  <c r="U38" i="2" s="1"/>
  <c r="T39" i="2"/>
  <c r="U39" i="2" s="1"/>
  <c r="T40" i="2"/>
  <c r="U40" i="2" s="1"/>
  <c r="T41" i="2"/>
  <c r="U41" i="2" s="1"/>
  <c r="T44" i="2"/>
  <c r="U44" i="2" s="1"/>
  <c r="T45" i="2"/>
  <c r="U45" i="2" s="1"/>
  <c r="T46" i="2"/>
  <c r="U46" i="2" s="1"/>
  <c r="T47" i="2"/>
  <c r="U47" i="2" s="1"/>
  <c r="S10" i="11" l="1"/>
  <c r="S70" i="11"/>
  <c r="S12" i="11"/>
  <c r="S11" i="11"/>
  <c r="S5" i="11"/>
  <c r="S6" i="11"/>
  <c r="S7" i="11"/>
  <c r="S8" i="11"/>
  <c r="S9" i="11"/>
  <c r="S13" i="11"/>
  <c r="S14" i="11"/>
  <c r="S15" i="11"/>
  <c r="S16" i="11"/>
  <c r="S17" i="11"/>
  <c r="S18" i="11"/>
  <c r="S19" i="11"/>
  <c r="S20" i="11"/>
  <c r="S21" i="11"/>
  <c r="S22" i="11"/>
  <c r="S23" i="11"/>
  <c r="S78" i="11"/>
  <c r="S79" i="11"/>
  <c r="S26" i="11"/>
  <c r="S73" i="11"/>
  <c r="S74" i="11"/>
  <c r="S75" i="11"/>
  <c r="S76" i="11"/>
  <c r="S77" i="11"/>
  <c r="S66" i="11"/>
  <c r="S67" i="11"/>
  <c r="S68" i="11"/>
  <c r="S69" i="11"/>
  <c r="S71" i="11"/>
  <c r="S72" i="11"/>
  <c r="S58" i="11"/>
  <c r="S59" i="11"/>
  <c r="S60" i="11"/>
  <c r="S61" i="11"/>
  <c r="S62" i="11"/>
  <c r="S63" i="11"/>
  <c r="S64" i="11"/>
  <c r="S65" i="11"/>
  <c r="S51" i="11"/>
  <c r="S52" i="11"/>
  <c r="S53" i="11"/>
  <c r="S54" i="11"/>
  <c r="S55" i="11"/>
  <c r="S56" i="11"/>
  <c r="S57" i="11"/>
  <c r="S50" i="11"/>
  <c r="S44" i="11"/>
  <c r="S45" i="11"/>
  <c r="S46" i="11"/>
  <c r="S47" i="11"/>
  <c r="S48" i="11"/>
  <c r="S49" i="11"/>
  <c r="S32" i="11"/>
  <c r="S43" i="11"/>
  <c r="J5" i="3"/>
  <c r="J6" i="3"/>
  <c r="I5" i="3"/>
  <c r="I6" i="3"/>
  <c r="S24" i="11"/>
  <c r="S25" i="11"/>
  <c r="S27" i="11"/>
  <c r="S28" i="11"/>
  <c r="S29" i="11"/>
  <c r="S30" i="11"/>
  <c r="S31" i="11"/>
  <c r="S33" i="11"/>
  <c r="S34" i="11"/>
  <c r="S35" i="11"/>
  <c r="S36" i="11"/>
  <c r="S37" i="11"/>
  <c r="S38" i="11"/>
  <c r="S39" i="11"/>
  <c r="S40" i="11"/>
  <c r="S41" i="11"/>
  <c r="S42" i="11"/>
  <c r="A6" i="3" a="1"/>
  <c r="A6" i="3" s="1"/>
  <c r="A5" i="3" a="1"/>
  <c r="A5" i="3" s="1"/>
  <c r="A4" i="3" a="1"/>
  <c r="A4" i="3" s="1"/>
  <c r="AC47" i="2" l="1"/>
  <c r="AI46" i="2"/>
  <c r="AC39" i="2"/>
  <c r="AI38" i="2"/>
  <c r="AC23" i="2"/>
  <c r="AI22" i="2"/>
  <c r="AC44" i="2"/>
  <c r="AI43" i="2"/>
  <c r="AC36" i="2"/>
  <c r="AI35" i="2"/>
  <c r="AC41" i="2"/>
  <c r="AI40" i="2"/>
  <c r="AC33" i="2"/>
  <c r="AC46" i="2"/>
  <c r="AI45" i="2"/>
  <c r="AC38" i="2"/>
  <c r="AI37" i="2"/>
  <c r="AC43" i="2"/>
  <c r="AI42" i="2"/>
  <c r="AC35" i="2"/>
  <c r="AI34" i="2"/>
  <c r="AI47" i="2"/>
  <c r="AC40" i="2"/>
  <c r="AI39" i="2"/>
  <c r="AC45" i="2"/>
  <c r="AI44" i="2"/>
  <c r="AC37" i="2"/>
  <c r="AI36" i="2"/>
  <c r="AC22" i="2"/>
  <c r="AI21" i="2"/>
  <c r="AC16" i="2"/>
  <c r="AI15" i="2"/>
  <c r="AC8" i="2"/>
  <c r="AI25" i="2"/>
  <c r="AI20" i="2"/>
  <c r="AC13" i="2"/>
  <c r="AI12" i="2"/>
  <c r="AC21" i="2"/>
  <c r="AC18" i="2"/>
  <c r="AI17" i="2"/>
  <c r="AC42" i="2"/>
  <c r="AI41" i="2"/>
  <c r="AC15" i="2"/>
  <c r="AI14" i="2"/>
  <c r="AI33" i="2"/>
  <c r="AC24" i="2"/>
  <c r="AC20" i="2"/>
  <c r="AI19" i="2"/>
  <c r="AC12" i="2"/>
  <c r="AI11" i="2"/>
  <c r="AI23" i="2"/>
  <c r="AC17" i="2"/>
  <c r="AC25" i="2"/>
  <c r="AI9" i="2"/>
  <c r="AC14" i="2"/>
  <c r="AC7" i="2"/>
  <c r="AI6" i="2"/>
  <c r="AI8" i="2"/>
  <c r="AI7" i="2"/>
  <c r="AI13" i="2"/>
  <c r="AC9" i="2"/>
  <c r="AI24" i="2"/>
  <c r="AI10" i="2"/>
  <c r="AI16" i="2"/>
  <c r="AC11" i="2"/>
  <c r="AC10" i="2"/>
  <c r="AC6" i="2"/>
  <c r="AI18" i="2"/>
  <c r="AC34" i="2"/>
  <c r="AC19" i="2"/>
  <c r="B6" i="3"/>
  <c r="E6" i="3" a="1"/>
  <c r="E6" i="3" s="1"/>
  <c r="D6" i="3" a="1"/>
  <c r="D6" i="3" s="1"/>
  <c r="B4" i="3"/>
  <c r="E4" i="3" a="1"/>
  <c r="E4" i="3" s="1"/>
  <c r="AI28" i="2" s="1"/>
  <c r="D4" i="3" a="1"/>
  <c r="D4" i="3" s="1"/>
  <c r="AC32" i="2" s="1"/>
  <c r="B5" i="3"/>
  <c r="E5" i="3" a="1"/>
  <c r="E5" i="3" s="1"/>
  <c r="D5" i="3" a="1"/>
  <c r="D5" i="3" s="1"/>
  <c r="F5" i="3"/>
  <c r="F6" i="3"/>
  <c r="C5" i="3"/>
  <c r="C6" i="3"/>
  <c r="C4" i="3"/>
  <c r="AC28" i="2" l="1"/>
  <c r="AC29" i="2"/>
  <c r="AC26" i="2"/>
  <c r="AC27" i="2"/>
  <c r="AD18" i="2" s="1" a="1"/>
  <c r="AD18" i="2" s="1"/>
  <c r="AJ8" i="2" a="1"/>
  <c r="AJ8" i="2" s="1"/>
  <c r="AJ9" i="2" a="1"/>
  <c r="AJ9" i="2" s="1"/>
  <c r="AJ7" i="2" a="1"/>
  <c r="AJ7" i="2" s="1"/>
  <c r="AJ6" i="2" a="1"/>
  <c r="AJ6" i="2" s="1"/>
  <c r="AI29" i="2"/>
  <c r="AJ20" i="2" a="1"/>
  <c r="AJ20" i="2" s="1"/>
  <c r="AJ21" i="2" a="1"/>
  <c r="AJ21" i="2" s="1"/>
  <c r="AC30" i="2"/>
  <c r="AJ10" i="2" a="1"/>
  <c r="AJ10" i="2" s="1"/>
  <c r="AJ11" i="2" a="1"/>
  <c r="AJ11" i="2" s="1"/>
  <c r="AI26" i="2"/>
  <c r="AI27" i="2"/>
  <c r="AI30" i="2"/>
  <c r="AD17" i="2" a="1"/>
  <c r="AD17" i="2" s="1"/>
  <c r="AD6" i="2" a="1"/>
  <c r="AD6" i="2" s="1"/>
  <c r="AD7" i="2" a="1"/>
  <c r="AD7" i="2" s="1"/>
  <c r="AD9" i="2" a="1"/>
  <c r="AD9" i="2" s="1"/>
  <c r="AD8" i="2" a="1"/>
  <c r="AD8" i="2" s="1"/>
  <c r="AC31" i="2"/>
  <c r="AD11" i="2" a="1"/>
  <c r="AD11" i="2" s="1"/>
  <c r="AD10" i="2" a="1"/>
  <c r="AD10" i="2" s="1"/>
  <c r="AJ23" i="2" a="1"/>
  <c r="AJ23" i="2" s="1"/>
  <c r="AJ25" i="2" a="1"/>
  <c r="AJ25" i="2" s="1"/>
  <c r="AJ22" i="2" a="1"/>
  <c r="AJ22" i="2" s="1"/>
  <c r="AJ24" i="2" a="1"/>
  <c r="AJ24" i="2" s="1"/>
  <c r="AD23" i="2" a="1"/>
  <c r="AD23" i="2" s="1"/>
  <c r="AD25" i="2" a="1"/>
  <c r="AD25" i="2" s="1"/>
  <c r="AD22" i="2" a="1"/>
  <c r="AD22" i="2" s="1"/>
  <c r="AD24" i="2" a="1"/>
  <c r="AD24" i="2" s="1"/>
  <c r="AD14" i="2" a="1"/>
  <c r="AD14" i="2" s="1"/>
  <c r="AD13" i="2" a="1"/>
  <c r="AD13" i="2" s="1"/>
  <c r="AD12" i="2" a="1"/>
  <c r="AD12" i="2" s="1"/>
  <c r="AD15" i="2" a="1"/>
  <c r="AD15" i="2" s="1"/>
  <c r="AI31" i="2"/>
  <c r="AD20" i="2" a="1"/>
  <c r="AD20" i="2" s="1"/>
  <c r="AD21" i="2" a="1"/>
  <c r="AD21" i="2" s="1"/>
  <c r="AI32" i="2"/>
  <c r="F4" i="3"/>
  <c r="AI5" i="2"/>
  <c r="AD16" i="2" l="1" a="1"/>
  <c r="AD16" i="2" s="1"/>
  <c r="AE10" i="2" s="1" a="1"/>
  <c r="AE10" i="2" s="1"/>
  <c r="AD19" i="2" a="1"/>
  <c r="AD19" i="2" s="1"/>
  <c r="AE20" i="2" a="1"/>
  <c r="AE20" i="2" s="1"/>
  <c r="AE21" i="2" a="1"/>
  <c r="AE21" i="2" s="1"/>
  <c r="AJ17" i="2" a="1"/>
  <c r="AJ17" i="2" s="1"/>
  <c r="AJ16" i="2" a="1"/>
  <c r="AJ16" i="2" s="1"/>
  <c r="AJ19" i="2" a="1"/>
  <c r="AJ19" i="2" s="1"/>
  <c r="AJ18" i="2" a="1"/>
  <c r="AJ18" i="2" s="1"/>
  <c r="AK21" i="2" a="1"/>
  <c r="AK21" i="2" s="1"/>
  <c r="AK20" i="2" a="1"/>
  <c r="AK20" i="2" s="1"/>
  <c r="AJ13" i="2" a="1"/>
  <c r="AJ13" i="2" s="1"/>
  <c r="AJ12" i="2" a="1"/>
  <c r="AJ12" i="2" s="1"/>
  <c r="AJ15" i="2" a="1"/>
  <c r="AJ15" i="2" s="1"/>
  <c r="AJ14" i="2" a="1"/>
  <c r="AJ14" i="2" s="1"/>
  <c r="AJ5" i="2" a="1"/>
  <c r="AJ5" i="2" s="1"/>
  <c r="I9" i="12"/>
  <c r="I10" i="12"/>
  <c r="I11" i="12"/>
  <c r="AE11" i="2" l="1" a="1"/>
  <c r="AE11" i="2" s="1"/>
  <c r="AF10" i="2" a="1"/>
  <c r="AF10" i="2" s="1"/>
  <c r="AF11" i="2" a="1"/>
  <c r="AF11" i="2" s="1"/>
  <c r="AK10" i="2" a="1"/>
  <c r="AK10" i="2" s="1"/>
  <c r="AK11" i="2" a="1"/>
  <c r="AK11" i="2" s="1"/>
  <c r="AL10" i="2" a="1"/>
  <c r="AL10" i="2" s="1"/>
  <c r="AL11" i="2" a="1"/>
  <c r="AL11" i="2" s="1"/>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I42" i="11"/>
  <c r="K42" i="11"/>
  <c r="R1" i="1"/>
  <c r="Z6" i="1" l="1" a="1"/>
  <c r="Z6" i="1" s="1"/>
  <c r="Z7" i="1" a="1"/>
  <c r="Z7" i="1" s="1"/>
  <c r="W6" i="1" a="1"/>
  <c r="W6" i="1" s="1"/>
  <c r="W7" i="1" a="1"/>
  <c r="W7" i="1" s="1"/>
  <c r="W5" i="1" a="1"/>
  <c r="W5" i="1" s="1"/>
  <c r="Z5" i="1" a="1"/>
  <c r="Z5" i="1" s="1"/>
  <c r="S2" i="1"/>
  <c r="P5" i="1"/>
  <c r="R5" i="1"/>
  <c r="R6" i="1"/>
  <c r="R7" i="1"/>
  <c r="R8" i="1"/>
  <c r="R9" i="1"/>
  <c r="R10" i="1"/>
  <c r="R11" i="1"/>
  <c r="R12" i="1"/>
  <c r="R13" i="1"/>
  <c r="R14" i="1"/>
  <c r="R15" i="1"/>
  <c r="R16" i="1"/>
  <c r="R17" i="1"/>
  <c r="R18" i="1"/>
  <c r="R19" i="1"/>
  <c r="R20" i="1"/>
  <c r="R21" i="1"/>
  <c r="R22" i="1"/>
  <c r="R23" i="1"/>
  <c r="R24" i="1"/>
  <c r="R25" i="1"/>
  <c r="P25" i="1"/>
  <c r="V25" i="1" s="1" a="1"/>
  <c r="V25" i="1" s="1"/>
  <c r="P24" i="1"/>
  <c r="V24" i="1" s="1" a="1"/>
  <c r="V24" i="1" s="1"/>
  <c r="P23" i="1"/>
  <c r="Z23" i="1" s="1" a="1"/>
  <c r="Z23" i="1" s="1"/>
  <c r="P22" i="1"/>
  <c r="Z22" i="1" s="1" a="1"/>
  <c r="Z22" i="1" s="1"/>
  <c r="P21" i="1"/>
  <c r="Z21" i="1" s="1" a="1"/>
  <c r="Z21" i="1" s="1"/>
  <c r="P20" i="1"/>
  <c r="Z20" i="1" s="1" a="1"/>
  <c r="Z20" i="1" s="1"/>
  <c r="P19" i="1"/>
  <c r="Z19" i="1" s="1" a="1"/>
  <c r="Z19" i="1" s="1"/>
  <c r="P18" i="1"/>
  <c r="Z18" i="1" s="1" a="1"/>
  <c r="Z18" i="1" s="1"/>
  <c r="P17" i="1"/>
  <c r="V17" i="1" s="1" a="1"/>
  <c r="V17" i="1" s="1"/>
  <c r="P16" i="1"/>
  <c r="V16" i="1" s="1" a="1"/>
  <c r="V16" i="1" s="1"/>
  <c r="P15" i="1"/>
  <c r="V15" i="1" s="1" a="1"/>
  <c r="V15" i="1" s="1"/>
  <c r="P14" i="1"/>
  <c r="V14" i="1" s="1" a="1"/>
  <c r="V14" i="1" s="1"/>
  <c r="P13" i="1"/>
  <c r="V13" i="1" s="1" a="1"/>
  <c r="V13" i="1" s="1"/>
  <c r="P12" i="1"/>
  <c r="V12" i="1" s="1" a="1"/>
  <c r="V12" i="1" s="1"/>
  <c r="P11" i="1"/>
  <c r="V11" i="1" s="1" a="1"/>
  <c r="V11" i="1" s="1"/>
  <c r="P10" i="1"/>
  <c r="V10" i="1" s="1" a="1"/>
  <c r="V10" i="1" s="1"/>
  <c r="P9" i="1"/>
  <c r="V9" i="1" s="1" a="1"/>
  <c r="V9" i="1" s="1"/>
  <c r="P8" i="1"/>
  <c r="V8" i="1" s="1" a="1"/>
  <c r="V8" i="1" s="1"/>
  <c r="P7" i="1"/>
  <c r="P6" i="1"/>
  <c r="AO5" i="2"/>
  <c r="F10" i="4"/>
  <c r="G10" i="4" s="1"/>
  <c r="F11" i="4"/>
  <c r="G11" i="4" s="1"/>
  <c r="F12" i="4"/>
  <c r="G12" i="4" s="1"/>
  <c r="F13" i="4"/>
  <c r="G13" i="4" s="1"/>
  <c r="F14" i="4"/>
  <c r="G14" i="4" s="1"/>
  <c r="F15" i="4"/>
  <c r="G15" i="4" s="1"/>
  <c r="F16" i="4"/>
  <c r="G16" i="4" s="1"/>
  <c r="F17" i="4"/>
  <c r="G17" i="4" s="1"/>
  <c r="F18" i="4"/>
  <c r="G18" i="4" s="1"/>
  <c r="F19" i="4"/>
  <c r="G19" i="4" s="1"/>
  <c r="F20" i="4"/>
  <c r="G20" i="4" s="1"/>
  <c r="F21" i="4"/>
  <c r="G21" i="4" s="1"/>
  <c r="F22" i="4"/>
  <c r="G22" i="4" s="1"/>
  <c r="F23" i="4"/>
  <c r="G23" i="4" s="1"/>
  <c r="F24" i="4"/>
  <c r="G24" i="4" s="1"/>
  <c r="F25" i="4"/>
  <c r="G25" i="4" s="1"/>
  <c r="F26" i="4"/>
  <c r="G26" i="4" s="1"/>
  <c r="B7" i="4"/>
  <c r="B8" i="4"/>
  <c r="B9" i="4"/>
  <c r="B10" i="4"/>
  <c r="B11" i="4"/>
  <c r="B12" i="4"/>
  <c r="B13" i="4"/>
  <c r="B14" i="4"/>
  <c r="B15" i="4"/>
  <c r="B16" i="4"/>
  <c r="B17" i="4"/>
  <c r="B18" i="4"/>
  <c r="B19" i="4"/>
  <c r="B20" i="4"/>
  <c r="B21" i="4"/>
  <c r="B22" i="4"/>
  <c r="B23" i="4"/>
  <c r="B24" i="4"/>
  <c r="B25" i="4"/>
  <c r="B26" i="4"/>
  <c r="V22" i="1" l="1" a="1"/>
  <c r="V22" i="1" s="1"/>
  <c r="W22" i="1" a="1"/>
  <c r="W22" i="1" s="1"/>
  <c r="V23" i="1" a="1"/>
  <c r="V23" i="1" s="1"/>
  <c r="W23" i="1" a="1"/>
  <c r="W23" i="1" s="1"/>
  <c r="V21" i="1" a="1"/>
  <c r="V21" i="1" s="1"/>
  <c r="W21" i="1" a="1"/>
  <c r="W21" i="1" s="1"/>
  <c r="V18" i="1" a="1"/>
  <c r="V18" i="1" s="1"/>
  <c r="W18" i="1" a="1"/>
  <c r="W18" i="1" s="1"/>
  <c r="V19" i="1" a="1"/>
  <c r="V19" i="1" s="1"/>
  <c r="W19" i="1" a="1"/>
  <c r="W19" i="1" s="1"/>
  <c r="V20" i="1" a="1"/>
  <c r="V20" i="1" s="1"/>
  <c r="W20" i="1" a="1"/>
  <c r="W20" i="1" s="1"/>
  <c r="AP5" i="2" a="1"/>
  <c r="AP5" i="2" s="1"/>
  <c r="W33" i="2"/>
  <c r="W34" i="2"/>
  <c r="W35" i="2"/>
  <c r="W36" i="2"/>
  <c r="W37" i="2"/>
  <c r="W38" i="2"/>
  <c r="W39" i="2"/>
  <c r="W40" i="2"/>
  <c r="W41" i="2"/>
  <c r="W42" i="2"/>
  <c r="W43" i="2"/>
  <c r="W44" i="2"/>
  <c r="W45" i="2"/>
  <c r="W46" i="2"/>
  <c r="W47" i="2"/>
  <c r="W5" i="2"/>
  <c r="W6" i="2"/>
  <c r="W7" i="2"/>
  <c r="W8" i="2"/>
  <c r="W9" i="2"/>
  <c r="W10" i="2"/>
  <c r="W11" i="2"/>
  <c r="W12" i="2"/>
  <c r="W13" i="2"/>
  <c r="W14" i="2"/>
  <c r="W15" i="2"/>
  <c r="W16" i="2"/>
  <c r="W17" i="2"/>
  <c r="W18" i="2"/>
  <c r="W19" i="2"/>
  <c r="W20" i="2"/>
  <c r="W21" i="2"/>
  <c r="W22" i="2"/>
  <c r="W23" i="2"/>
  <c r="W24" i="2"/>
  <c r="W25" i="2"/>
  <c r="W26" i="2"/>
  <c r="W27" i="2"/>
  <c r="W28" i="2"/>
  <c r="W29" i="2"/>
  <c r="W30" i="2"/>
  <c r="W31" i="2"/>
  <c r="W32" i="2"/>
  <c r="J9" i="12"/>
  <c r="J10" i="12"/>
  <c r="J11" i="12"/>
  <c r="L5" i="1"/>
  <c r="M5" i="1" s="1"/>
  <c r="L6" i="1"/>
  <c r="M6" i="1" s="1"/>
  <c r="L7" i="1"/>
  <c r="M7" i="1" s="1"/>
  <c r="L8" i="1"/>
  <c r="L9" i="1"/>
  <c r="L10" i="1"/>
  <c r="L11" i="1"/>
  <c r="L12" i="1"/>
  <c r="L13" i="1"/>
  <c r="L14" i="1"/>
  <c r="L15" i="1"/>
  <c r="L16" i="1"/>
  <c r="L17" i="1"/>
  <c r="L18" i="1"/>
  <c r="L19" i="1"/>
  <c r="L20" i="1"/>
  <c r="L21" i="1"/>
  <c r="L22" i="1"/>
  <c r="L23" i="1"/>
  <c r="L24" i="1"/>
  <c r="L25" i="1"/>
  <c r="K24" i="11"/>
  <c r="K25" i="11"/>
  <c r="K27" i="11"/>
  <c r="K28" i="11"/>
  <c r="K29" i="11"/>
  <c r="K30" i="11"/>
  <c r="K31" i="11"/>
  <c r="K33" i="11"/>
  <c r="K34" i="11"/>
  <c r="K35" i="11"/>
  <c r="K36" i="11"/>
  <c r="K37" i="11"/>
  <c r="K38" i="11"/>
  <c r="K39" i="11"/>
  <c r="K40" i="11"/>
  <c r="K41" i="11"/>
  <c r="I24" i="11"/>
  <c r="I25" i="11"/>
  <c r="I27" i="11"/>
  <c r="I28" i="11"/>
  <c r="I29" i="11"/>
  <c r="I30" i="11"/>
  <c r="I31" i="11"/>
  <c r="I33" i="11"/>
  <c r="I34" i="11"/>
  <c r="I35" i="11"/>
  <c r="I36" i="11"/>
  <c r="I37" i="11"/>
  <c r="I38" i="11"/>
  <c r="I39" i="11"/>
  <c r="I40" i="11"/>
  <c r="I41" i="11"/>
  <c r="X23" i="2" l="1" a="1"/>
  <c r="X23" i="2" s="1"/>
  <c r="X25" i="2" a="1"/>
  <c r="X25" i="2" s="1"/>
  <c r="X22" i="2" a="1"/>
  <c r="X22" i="2" s="1"/>
  <c r="X24" i="2" a="1"/>
  <c r="X24" i="2" s="1"/>
  <c r="X21" i="2" a="1"/>
  <c r="X21" i="2" s="1"/>
  <c r="X20" i="2" a="1"/>
  <c r="X20" i="2" s="1"/>
  <c r="X17" i="2" a="1"/>
  <c r="X17" i="2" s="1"/>
  <c r="X19" i="2" a="1"/>
  <c r="X19" i="2" s="1"/>
  <c r="X18" i="2" a="1"/>
  <c r="X18" i="2" s="1"/>
  <c r="X16" i="2" a="1"/>
  <c r="X16" i="2" s="1"/>
  <c r="X10" i="2" a="1"/>
  <c r="X10" i="2" s="1"/>
  <c r="X11" i="2" a="1"/>
  <c r="X11" i="2" s="1"/>
  <c r="X8" i="2" a="1"/>
  <c r="X8" i="2" s="1"/>
  <c r="X6" i="2" a="1"/>
  <c r="X6" i="2" s="1"/>
  <c r="X7" i="2" a="1"/>
  <c r="X7" i="2" s="1"/>
  <c r="X9" i="2" a="1"/>
  <c r="X9" i="2" s="1"/>
  <c r="X12" i="2" a="1"/>
  <c r="X12" i="2" s="1"/>
  <c r="X13" i="2" a="1"/>
  <c r="X13" i="2" s="1"/>
  <c r="X14" i="2" a="1"/>
  <c r="X14" i="2" s="1"/>
  <c r="X15" i="2" a="1"/>
  <c r="X15" i="2" s="1"/>
  <c r="X5" i="2" a="1"/>
  <c r="X5" i="2" s="1"/>
  <c r="F9" i="12"/>
  <c r="F10" i="12"/>
  <c r="F11" i="12"/>
  <c r="Y20" i="2" l="1" a="1"/>
  <c r="Y20" i="2" s="1"/>
  <c r="Y21" i="2" a="1"/>
  <c r="Y21" i="2" s="1"/>
  <c r="Y10" i="2" a="1"/>
  <c r="Y10" i="2" s="1"/>
  <c r="Y11" i="2" a="1"/>
  <c r="Y11" i="2" s="1"/>
  <c r="AC5" i="2"/>
  <c r="Z10" i="2" l="1" a="1"/>
  <c r="Z10" i="2" s="1"/>
  <c r="Z11" i="2" a="1"/>
  <c r="Z11" i="2" s="1"/>
  <c r="AD5" i="2" a="1"/>
  <c r="AD5" i="2" s="1"/>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O19" i="2"/>
  <c r="P19" i="2" s="1"/>
  <c r="O21" i="2"/>
  <c r="P21" i="2" s="1"/>
  <c r="O23" i="2"/>
  <c r="O24" i="2"/>
  <c r="P24" i="2" s="1"/>
  <c r="O25" i="2"/>
  <c r="P25" i="2" s="1"/>
  <c r="O29" i="2"/>
  <c r="O30" i="2"/>
  <c r="P30" i="2" s="1"/>
  <c r="O31" i="2"/>
  <c r="P31" i="2" s="1"/>
  <c r="O32" i="2"/>
  <c r="P32" i="2" s="1"/>
  <c r="O36" i="2"/>
  <c r="P36" i="2" s="1"/>
  <c r="O37" i="2"/>
  <c r="P37" i="2" s="1"/>
  <c r="O38" i="2"/>
  <c r="P38" i="2" s="1"/>
  <c r="O39" i="2"/>
  <c r="P39" i="2" s="1"/>
  <c r="O40" i="2"/>
  <c r="P40" i="2" s="1"/>
  <c r="O41" i="2"/>
  <c r="P41" i="2" s="1"/>
  <c r="O44" i="2"/>
  <c r="P44" i="2" s="1"/>
  <c r="O45" i="2"/>
  <c r="P45" i="2" s="1"/>
  <c r="O46" i="2"/>
  <c r="P46" i="2" s="1"/>
  <c r="O47" i="2"/>
  <c r="P47" i="2" s="1"/>
  <c r="P23" i="2"/>
  <c r="P29" i="2"/>
  <c r="G17" i="1"/>
  <c r="G18" i="1"/>
  <c r="G19" i="1"/>
  <c r="G20" i="1"/>
  <c r="G21" i="1"/>
  <c r="G22" i="1"/>
  <c r="G23" i="1"/>
  <c r="G24" i="1"/>
  <c r="G25" i="1"/>
  <c r="J78" i="11" l="1"/>
  <c r="H78" i="11" s="1"/>
  <c r="K32" i="2"/>
  <c r="L32" i="2" s="1"/>
  <c r="K41" i="2"/>
  <c r="L41" i="2" s="1"/>
  <c r="K47" i="2"/>
  <c r="L47" i="2" s="1"/>
  <c r="K19" i="2"/>
  <c r="L19" i="2" s="1"/>
  <c r="K21" i="2"/>
  <c r="L21" i="2" s="1"/>
  <c r="K25" i="2"/>
  <c r="L25" i="2" s="1"/>
  <c r="K31" i="2"/>
  <c r="L31" i="2" s="1"/>
  <c r="K40" i="2"/>
  <c r="L40" i="2" s="1"/>
  <c r="K46" i="2"/>
  <c r="L46" i="2" s="1"/>
  <c r="K34" i="2"/>
  <c r="K22" i="2"/>
  <c r="K27" i="2"/>
  <c r="K26" i="2"/>
  <c r="K33" i="2"/>
  <c r="K42" i="2"/>
  <c r="K20" i="2"/>
  <c r="K28" i="2"/>
  <c r="K35" i="2"/>
  <c r="K43" i="2"/>
  <c r="K39" i="2"/>
  <c r="L39" i="2" s="1"/>
  <c r="O5" i="1"/>
  <c r="O5" i="2"/>
  <c r="O6" i="2"/>
  <c r="O7" i="2"/>
  <c r="O8" i="2"/>
  <c r="O9" i="2"/>
  <c r="P9" i="2" s="1"/>
  <c r="O10" i="2"/>
  <c r="O12" i="2"/>
  <c r="O17" i="2"/>
  <c r="O18" i="2"/>
  <c r="R78" i="11" l="1"/>
  <c r="Q17" i="1"/>
  <c r="S17" i="1" s="1"/>
  <c r="N17" i="1"/>
  <c r="N25" i="1"/>
  <c r="Q25" i="1"/>
  <c r="J17" i="1"/>
  <c r="M17" i="1" s="1"/>
  <c r="K17" i="1"/>
  <c r="K25" i="1"/>
  <c r="R43" i="2"/>
  <c r="S43" i="2" s="1"/>
  <c r="L43" i="2"/>
  <c r="R35" i="2"/>
  <c r="S35" i="2" s="1"/>
  <c r="L35" i="2"/>
  <c r="R28" i="2"/>
  <c r="S28" i="2" s="1"/>
  <c r="L28" i="2"/>
  <c r="R20" i="2"/>
  <c r="S20" i="2" s="1"/>
  <c r="L20" i="2"/>
  <c r="R42" i="2"/>
  <c r="S42" i="2" s="1"/>
  <c r="L42" i="2"/>
  <c r="R33" i="2"/>
  <c r="S33" i="2" s="1"/>
  <c r="L33" i="2"/>
  <c r="R26" i="2"/>
  <c r="S26" i="2" s="1"/>
  <c r="L26" i="2"/>
  <c r="R27" i="2"/>
  <c r="S27" i="2" s="1"/>
  <c r="L27" i="2"/>
  <c r="R22" i="2"/>
  <c r="S22" i="2" s="1"/>
  <c r="L22" i="2"/>
  <c r="R34" i="2"/>
  <c r="S34" i="2" s="1"/>
  <c r="L34" i="2"/>
  <c r="J25" i="1"/>
  <c r="M25" i="1" s="1"/>
  <c r="M39" i="2"/>
  <c r="N39" i="2" s="1"/>
  <c r="Q39" i="2" s="1"/>
  <c r="M43" i="2"/>
  <c r="N43" i="2" s="1"/>
  <c r="M35" i="2"/>
  <c r="N35" i="2" s="1"/>
  <c r="M28" i="2"/>
  <c r="N28" i="2" s="1"/>
  <c r="M20" i="2"/>
  <c r="N20" i="2" s="1"/>
  <c r="M42" i="2"/>
  <c r="N42" i="2" s="1"/>
  <c r="M33" i="2"/>
  <c r="N33" i="2" s="1"/>
  <c r="M26" i="2"/>
  <c r="N26" i="2" s="1"/>
  <c r="M27" i="2"/>
  <c r="N27" i="2" s="1"/>
  <c r="M22" i="2"/>
  <c r="N22" i="2" s="1"/>
  <c r="M34" i="2"/>
  <c r="N34" i="2" s="1"/>
  <c r="M46" i="2"/>
  <c r="N46" i="2" s="1"/>
  <c r="Q46" i="2" s="1"/>
  <c r="M40" i="2"/>
  <c r="N40" i="2" s="1"/>
  <c r="Q40" i="2" s="1"/>
  <c r="M31" i="2"/>
  <c r="N31" i="2" s="1"/>
  <c r="Q31" i="2" s="1"/>
  <c r="M25" i="2"/>
  <c r="N25" i="2" s="1"/>
  <c r="Q25" i="2" s="1"/>
  <c r="M21" i="2"/>
  <c r="N21" i="2" s="1"/>
  <c r="Q21" i="2" s="1"/>
  <c r="M19" i="2"/>
  <c r="N19" i="2" s="1"/>
  <c r="Q19" i="2" s="1"/>
  <c r="M47" i="2"/>
  <c r="N47" i="2" s="1"/>
  <c r="Q47" i="2" s="1"/>
  <c r="M41" i="2"/>
  <c r="N41" i="2" s="1"/>
  <c r="Q41" i="2" s="1"/>
  <c r="M32" i="2"/>
  <c r="N32" i="2" s="1"/>
  <c r="Q32" i="2" s="1"/>
  <c r="O7" i="1"/>
  <c r="O6" i="1"/>
  <c r="P5" i="2"/>
  <c r="G7" i="1"/>
  <c r="G7" i="12" s="1"/>
  <c r="E7" i="12" s="1"/>
  <c r="G15" i="2"/>
  <c r="F15" i="2"/>
  <c r="G18" i="2"/>
  <c r="F18" i="2"/>
  <c r="G17" i="2"/>
  <c r="F17" i="2"/>
  <c r="G16" i="2"/>
  <c r="F16" i="2"/>
  <c r="G5" i="2"/>
  <c r="F5" i="2"/>
  <c r="G8" i="2"/>
  <c r="F8" i="2"/>
  <c r="G7" i="2"/>
  <c r="F7" i="2"/>
  <c r="G6" i="2"/>
  <c r="F6" i="2"/>
  <c r="G14" i="2"/>
  <c r="F14" i="2"/>
  <c r="G13" i="2"/>
  <c r="F13" i="2"/>
  <c r="G12" i="2"/>
  <c r="F12" i="2"/>
  <c r="G11" i="2"/>
  <c r="F11" i="2"/>
  <c r="G10" i="2"/>
  <c r="F10" i="2"/>
  <c r="G9" i="2"/>
  <c r="F9" i="2"/>
  <c r="P18" i="2"/>
  <c r="P17" i="2"/>
  <c r="P8" i="2"/>
  <c r="P7" i="2"/>
  <c r="P6" i="2"/>
  <c r="P12" i="2"/>
  <c r="P10" i="2"/>
  <c r="G5" i="1"/>
  <c r="G8" i="1"/>
  <c r="G6" i="1"/>
  <c r="G6" i="12" s="1"/>
  <c r="E6" i="12" s="1"/>
  <c r="G9" i="1"/>
  <c r="G1" i="4"/>
  <c r="J15" i="2"/>
  <c r="J18" i="2"/>
  <c r="J17" i="2"/>
  <c r="J16" i="2"/>
  <c r="J5" i="2"/>
  <c r="J8" i="2"/>
  <c r="J7" i="2"/>
  <c r="J6" i="2"/>
  <c r="J14" i="2"/>
  <c r="J13" i="2"/>
  <c r="J12" i="2"/>
  <c r="J11" i="2"/>
  <c r="J10" i="2"/>
  <c r="J9" i="2"/>
  <c r="I15" i="2"/>
  <c r="I18" i="2"/>
  <c r="I17" i="2"/>
  <c r="I16" i="2"/>
  <c r="I5" i="2"/>
  <c r="I8" i="2"/>
  <c r="I7" i="2"/>
  <c r="I6" i="2"/>
  <c r="I14" i="2"/>
  <c r="I13" i="2"/>
  <c r="I12" i="2"/>
  <c r="I11" i="2"/>
  <c r="I10" i="2"/>
  <c r="I9" i="2"/>
  <c r="G16" i="1"/>
  <c r="J19" i="11" s="1"/>
  <c r="R19" i="11" s="1"/>
  <c r="G15" i="1"/>
  <c r="G14" i="1"/>
  <c r="G13" i="1"/>
  <c r="J11" i="11" s="1"/>
  <c r="G12" i="1"/>
  <c r="G11" i="1"/>
  <c r="G10" i="1"/>
  <c r="H19" i="11" l="1"/>
  <c r="J12" i="11"/>
  <c r="J56" i="11"/>
  <c r="J64" i="11"/>
  <c r="J22" i="11"/>
  <c r="H22" i="11" s="1"/>
  <c r="J9" i="11"/>
  <c r="J71" i="11"/>
  <c r="J31" i="11"/>
  <c r="J18" i="11"/>
  <c r="J6" i="11"/>
  <c r="H6" i="11" s="1"/>
  <c r="J70" i="11"/>
  <c r="H70" i="11" s="1"/>
  <c r="G5" i="12"/>
  <c r="E5" i="12" s="1"/>
  <c r="G8" i="12"/>
  <c r="E8" i="12" s="1"/>
  <c r="J5" i="11"/>
  <c r="J30" i="11"/>
  <c r="J72" i="11"/>
  <c r="J65" i="11"/>
  <c r="J10" i="11"/>
  <c r="J73" i="11"/>
  <c r="J23" i="11"/>
  <c r="J13" i="11"/>
  <c r="J57" i="11"/>
  <c r="J77" i="11"/>
  <c r="Y17" i="1"/>
  <c r="U25" i="1"/>
  <c r="U17" i="1"/>
  <c r="J7" i="11"/>
  <c r="J15" i="11"/>
  <c r="J20" i="11"/>
  <c r="J16" i="11"/>
  <c r="J8" i="11"/>
  <c r="J26" i="11"/>
  <c r="H26" i="11" s="1"/>
  <c r="H11" i="11"/>
  <c r="R11" i="11"/>
  <c r="J21" i="11"/>
  <c r="J17" i="11"/>
  <c r="J79" i="11"/>
  <c r="H79" i="11" s="1"/>
  <c r="J14" i="11"/>
  <c r="R6" i="11"/>
  <c r="Q23" i="1"/>
  <c r="S23" i="1" s="1"/>
  <c r="N23" i="1"/>
  <c r="Q22" i="1"/>
  <c r="S22" i="1" s="1"/>
  <c r="N22" i="1"/>
  <c r="Q21" i="1"/>
  <c r="S21" i="1" s="1"/>
  <c r="N21" i="1"/>
  <c r="Q20" i="1"/>
  <c r="S20" i="1" s="1"/>
  <c r="N20" i="1"/>
  <c r="Q18" i="1"/>
  <c r="S18" i="1" s="1"/>
  <c r="N18" i="1"/>
  <c r="S25" i="1"/>
  <c r="Y25" i="1" s="1"/>
  <c r="J23" i="1"/>
  <c r="M23" i="1" s="1"/>
  <c r="K23" i="1"/>
  <c r="J22" i="1"/>
  <c r="M22" i="1" s="1"/>
  <c r="K22" i="1"/>
  <c r="J21" i="1"/>
  <c r="M21" i="1" s="1"/>
  <c r="K21" i="1"/>
  <c r="J20" i="1"/>
  <c r="M20" i="1" s="1"/>
  <c r="K20" i="1"/>
  <c r="J18" i="1"/>
  <c r="M18" i="1" s="1"/>
  <c r="K18" i="1"/>
  <c r="J75" i="11"/>
  <c r="H75" i="11" s="1"/>
  <c r="J67" i="11"/>
  <c r="H67" i="11" s="1"/>
  <c r="J59" i="11"/>
  <c r="H59" i="11" s="1"/>
  <c r="J51" i="11"/>
  <c r="H51" i="11" s="1"/>
  <c r="J46" i="11"/>
  <c r="H46" i="11" s="1"/>
  <c r="J47" i="11"/>
  <c r="H47" i="11" s="1"/>
  <c r="J76" i="11"/>
  <c r="H76" i="11" s="1"/>
  <c r="J68" i="11"/>
  <c r="H68" i="11" s="1"/>
  <c r="J60" i="11"/>
  <c r="H60" i="11" s="1"/>
  <c r="J52" i="11"/>
  <c r="H52" i="11" s="1"/>
  <c r="J48" i="11"/>
  <c r="H48" i="11" s="1"/>
  <c r="J61" i="11"/>
  <c r="H61" i="11" s="1"/>
  <c r="J53" i="11"/>
  <c r="H53" i="11" s="1"/>
  <c r="J62" i="11"/>
  <c r="H62" i="11" s="1"/>
  <c r="J54" i="11"/>
  <c r="H54" i="11" s="1"/>
  <c r="J69" i="11"/>
  <c r="H69" i="11" s="1"/>
  <c r="J63" i="11"/>
  <c r="H63" i="11" s="1"/>
  <c r="J55" i="11"/>
  <c r="H55" i="11" s="1"/>
  <c r="J49" i="11"/>
  <c r="H49" i="11" s="1"/>
  <c r="J32" i="11"/>
  <c r="H32" i="11" s="1"/>
  <c r="J45" i="11"/>
  <c r="H45" i="11" s="1"/>
  <c r="J74" i="11"/>
  <c r="H74" i="11" s="1"/>
  <c r="J44" i="11"/>
  <c r="H44" i="11" s="1"/>
  <c r="J58" i="11"/>
  <c r="H58" i="11" s="1"/>
  <c r="J50" i="11"/>
  <c r="H50" i="11" s="1"/>
  <c r="J66" i="11"/>
  <c r="H66" i="11" s="1"/>
  <c r="J43" i="11"/>
  <c r="H43" i="11" s="1"/>
  <c r="S6" i="1"/>
  <c r="S5" i="1"/>
  <c r="S7" i="1"/>
  <c r="J36" i="11"/>
  <c r="H36" i="11" s="1"/>
  <c r="J37" i="11"/>
  <c r="H37" i="11" s="1"/>
  <c r="J38" i="11"/>
  <c r="H38" i="11" s="1"/>
  <c r="J40" i="11"/>
  <c r="H40" i="11" s="1"/>
  <c r="J41" i="11"/>
  <c r="H41" i="11" s="1"/>
  <c r="J42" i="11"/>
  <c r="H42" i="11" s="1"/>
  <c r="J35" i="11"/>
  <c r="H35" i="11" s="1"/>
  <c r="J34" i="11"/>
  <c r="H34" i="11" s="1"/>
  <c r="J39" i="11"/>
  <c r="H39" i="11" s="1"/>
  <c r="G11" i="12"/>
  <c r="E11" i="12" s="1"/>
  <c r="J28" i="11"/>
  <c r="H28" i="11" s="1"/>
  <c r="G10" i="12"/>
  <c r="E10" i="12" s="1"/>
  <c r="J33" i="11"/>
  <c r="H33" i="11" s="1"/>
  <c r="G9" i="12"/>
  <c r="E9" i="12" s="1"/>
  <c r="J29" i="11"/>
  <c r="H29" i="11" s="1"/>
  <c r="J27" i="11"/>
  <c r="H27" i="11" s="1"/>
  <c r="J25" i="11"/>
  <c r="H25" i="11" s="1"/>
  <c r="J24" i="11"/>
  <c r="H24" i="11" s="1"/>
  <c r="K23" i="2"/>
  <c r="L23" i="2" s="1"/>
  <c r="K24" i="2"/>
  <c r="L24" i="2" s="1"/>
  <c r="K29" i="2"/>
  <c r="L29" i="2" s="1"/>
  <c r="K36" i="2"/>
  <c r="L36" i="2" s="1"/>
  <c r="K44" i="2"/>
  <c r="L44" i="2" s="1"/>
  <c r="K30" i="2"/>
  <c r="L30" i="2" s="1"/>
  <c r="K37" i="2"/>
  <c r="L37" i="2" s="1"/>
  <c r="K45" i="2"/>
  <c r="L45" i="2" s="1"/>
  <c r="K38" i="2"/>
  <c r="L38" i="2" s="1"/>
  <c r="K7" i="2"/>
  <c r="L7" i="2" s="1"/>
  <c r="K17" i="2"/>
  <c r="L17" i="2" s="1"/>
  <c r="K8" i="2"/>
  <c r="L8" i="2" s="1"/>
  <c r="K18" i="2"/>
  <c r="L18" i="2" s="1"/>
  <c r="K9" i="2"/>
  <c r="L9" i="2" s="1"/>
  <c r="K10" i="2"/>
  <c r="L10" i="2" s="1"/>
  <c r="N13" i="1" s="1"/>
  <c r="K11" i="2"/>
  <c r="L11" i="2" s="1"/>
  <c r="K12" i="2"/>
  <c r="L12" i="2" s="1"/>
  <c r="K13" i="2"/>
  <c r="L13" i="2" s="1"/>
  <c r="K14" i="2"/>
  <c r="L14" i="2" s="1"/>
  <c r="K6" i="2"/>
  <c r="L6" i="2" s="1"/>
  <c r="K16" i="2"/>
  <c r="K5" i="2"/>
  <c r="L5" i="2" s="1"/>
  <c r="K15" i="2"/>
  <c r="L15" i="2" s="1"/>
  <c r="M23" i="2" l="1"/>
  <c r="N23" i="2" s="1"/>
  <c r="Q23" i="2" s="1"/>
  <c r="R79" i="11"/>
  <c r="H23" i="11"/>
  <c r="R23" i="11"/>
  <c r="H64" i="11"/>
  <c r="R64" i="11"/>
  <c r="H13" i="11"/>
  <c r="R13" i="11"/>
  <c r="H65" i="11"/>
  <c r="R65" i="11"/>
  <c r="R18" i="11"/>
  <c r="H18" i="11"/>
  <c r="H72" i="11"/>
  <c r="M72" i="11"/>
  <c r="N72" i="11" s="1"/>
  <c r="R72" i="11"/>
  <c r="H31" i="11"/>
  <c r="R31" i="11"/>
  <c r="H77" i="11"/>
  <c r="R77" i="11"/>
  <c r="H73" i="11"/>
  <c r="R73" i="11"/>
  <c r="H30" i="11"/>
  <c r="R30" i="11"/>
  <c r="H71" i="11"/>
  <c r="R71" i="11"/>
  <c r="H56" i="11"/>
  <c r="R56" i="11"/>
  <c r="H57" i="11"/>
  <c r="R57" i="11"/>
  <c r="R10" i="11"/>
  <c r="H10" i="11"/>
  <c r="H5" i="11"/>
  <c r="R5" i="11"/>
  <c r="H9" i="11"/>
  <c r="R9" i="11"/>
  <c r="H12" i="11"/>
  <c r="R12" i="11"/>
  <c r="L9" i="11"/>
  <c r="L64" i="11"/>
  <c r="L71" i="11"/>
  <c r="L23" i="11"/>
  <c r="L65" i="11"/>
  <c r="L72" i="11"/>
  <c r="U22" i="1"/>
  <c r="H14" i="11"/>
  <c r="R14" i="11"/>
  <c r="H17" i="11"/>
  <c r="R17" i="11"/>
  <c r="H21" i="11"/>
  <c r="R21" i="11"/>
  <c r="H8" i="11"/>
  <c r="R8" i="11"/>
  <c r="H16" i="11"/>
  <c r="R16" i="11"/>
  <c r="H20" i="11"/>
  <c r="R20" i="11"/>
  <c r="H15" i="11"/>
  <c r="R15" i="11"/>
  <c r="H7" i="11"/>
  <c r="R7" i="11"/>
  <c r="L6" i="11"/>
  <c r="L14" i="11"/>
  <c r="M14" i="11" s="1"/>
  <c r="N14" i="11" s="1"/>
  <c r="L15" i="11"/>
  <c r="M15" i="11" s="1"/>
  <c r="L20" i="11"/>
  <c r="M6" i="11"/>
  <c r="N6" i="11" s="1"/>
  <c r="T22" i="1"/>
  <c r="T23" i="1"/>
  <c r="R24" i="11"/>
  <c r="R33" i="11"/>
  <c r="R34" i="11"/>
  <c r="R42" i="11"/>
  <c r="R41" i="11"/>
  <c r="R37" i="11"/>
  <c r="R36" i="11"/>
  <c r="R43" i="11"/>
  <c r="R66" i="11"/>
  <c r="R50" i="11"/>
  <c r="R58" i="11"/>
  <c r="R44" i="11"/>
  <c r="R74" i="11"/>
  <c r="R45" i="11"/>
  <c r="R32" i="11"/>
  <c r="R49" i="11"/>
  <c r="R48" i="11"/>
  <c r="R52" i="11"/>
  <c r="R60" i="11"/>
  <c r="R68" i="11"/>
  <c r="R76" i="11"/>
  <c r="M51" i="11"/>
  <c r="R51" i="11"/>
  <c r="R59" i="11"/>
  <c r="R67" i="11"/>
  <c r="R75" i="11"/>
  <c r="L79" i="11"/>
  <c r="M79" i="11" s="1"/>
  <c r="N79" i="11" s="1"/>
  <c r="Q10" i="1"/>
  <c r="S10" i="1" s="1"/>
  <c r="N10" i="1"/>
  <c r="Q9" i="1"/>
  <c r="S9" i="1" s="1"/>
  <c r="N9" i="1"/>
  <c r="Q12" i="1"/>
  <c r="S12" i="1" s="1"/>
  <c r="N12" i="1"/>
  <c r="Q8" i="1"/>
  <c r="S8" i="1" s="1"/>
  <c r="N8" i="1"/>
  <c r="N24" i="1"/>
  <c r="Q15" i="1"/>
  <c r="S15" i="1" s="1"/>
  <c r="N15" i="1"/>
  <c r="Q14" i="1"/>
  <c r="S14" i="1" s="1"/>
  <c r="N14" i="1"/>
  <c r="Q11" i="1"/>
  <c r="S11" i="1" s="1"/>
  <c r="N11" i="1"/>
  <c r="Q16" i="1"/>
  <c r="S16" i="1" s="1"/>
  <c r="N16" i="1"/>
  <c r="J10" i="1"/>
  <c r="M10" i="1" s="1"/>
  <c r="K10" i="1"/>
  <c r="J9" i="1"/>
  <c r="M9" i="1" s="1"/>
  <c r="K9" i="1"/>
  <c r="J12" i="1"/>
  <c r="M12" i="1" s="1"/>
  <c r="K12" i="1"/>
  <c r="J8" i="1"/>
  <c r="M8" i="1" s="1"/>
  <c r="K8" i="1"/>
  <c r="J13" i="1"/>
  <c r="M13" i="1" s="1"/>
  <c r="K13" i="1"/>
  <c r="K24" i="1"/>
  <c r="J15" i="1"/>
  <c r="M15" i="1" s="1"/>
  <c r="K15" i="1"/>
  <c r="J14" i="1"/>
  <c r="M14" i="1" s="1"/>
  <c r="K14" i="1"/>
  <c r="J11" i="1"/>
  <c r="M11" i="1" s="1"/>
  <c r="K11" i="1"/>
  <c r="J16" i="1"/>
  <c r="M16" i="1" s="1"/>
  <c r="K16" i="1"/>
  <c r="R16" i="2"/>
  <c r="S16" i="2" s="1"/>
  <c r="L16" i="2"/>
  <c r="J24" i="1"/>
  <c r="M24" i="1" s="1"/>
  <c r="L59" i="11"/>
  <c r="L67" i="11"/>
  <c r="L34" i="11"/>
  <c r="M34" i="11" s="1"/>
  <c r="L37" i="11"/>
  <c r="M37" i="11" s="1"/>
  <c r="M38" i="2"/>
  <c r="N38" i="2" s="1"/>
  <c r="Q38" i="2" s="1"/>
  <c r="M45" i="2"/>
  <c r="N45" i="2" s="1"/>
  <c r="Q45" i="2" s="1"/>
  <c r="M37" i="2"/>
  <c r="N37" i="2" s="1"/>
  <c r="Q37" i="2" s="1"/>
  <c r="M30" i="2"/>
  <c r="N30" i="2" s="1"/>
  <c r="Q30" i="2" s="1"/>
  <c r="M44" i="2"/>
  <c r="N44" i="2" s="1"/>
  <c r="Q44" i="2" s="1"/>
  <c r="M36" i="2"/>
  <c r="N36" i="2" s="1"/>
  <c r="Q36" i="2" s="1"/>
  <c r="M29" i="2"/>
  <c r="N29" i="2" s="1"/>
  <c r="Q29" i="2" s="1"/>
  <c r="M24" i="2"/>
  <c r="N24" i="2" s="1"/>
  <c r="Q24" i="2" s="1"/>
  <c r="M15" i="2"/>
  <c r="N15" i="2" s="1"/>
  <c r="M5" i="2"/>
  <c r="N5" i="2" s="1"/>
  <c r="Q5" i="2" s="1"/>
  <c r="M16" i="2"/>
  <c r="N16" i="2" s="1"/>
  <c r="M6" i="2"/>
  <c r="N6" i="2" s="1"/>
  <c r="Q6" i="2" s="1"/>
  <c r="M14" i="2"/>
  <c r="N14" i="2" s="1"/>
  <c r="M13" i="2"/>
  <c r="N13" i="2" s="1"/>
  <c r="M12" i="2"/>
  <c r="N12" i="2" s="1"/>
  <c r="Q12" i="2" s="1"/>
  <c r="M11" i="2"/>
  <c r="N11" i="2" s="1"/>
  <c r="M10" i="2"/>
  <c r="N10" i="2" s="1"/>
  <c r="Q10" i="2" s="1"/>
  <c r="M9" i="2"/>
  <c r="N9" i="2" s="1"/>
  <c r="Q9" i="2" s="1"/>
  <c r="M18" i="2"/>
  <c r="N18" i="2" s="1"/>
  <c r="Q18" i="2" s="1"/>
  <c r="M8" i="2"/>
  <c r="N8" i="2" s="1"/>
  <c r="Q8" i="2" s="1"/>
  <c r="M17" i="2"/>
  <c r="N17" i="2" s="1"/>
  <c r="Q17" i="2" s="1"/>
  <c r="M7" i="2"/>
  <c r="N7" i="2" s="1"/>
  <c r="Q7" i="2" s="1"/>
  <c r="I18" i="1" l="1" a="1"/>
  <c r="I18" i="1" s="1"/>
  <c r="AA18" i="1" s="1" a="1"/>
  <c r="AA18" i="1" s="1"/>
  <c r="O72" i="11"/>
  <c r="N15" i="11"/>
  <c r="O15" i="11"/>
  <c r="O6" i="11"/>
  <c r="O14" i="11"/>
  <c r="M67" i="11"/>
  <c r="O67" i="11" s="1"/>
  <c r="M59" i="11"/>
  <c r="N59" i="11" s="1"/>
  <c r="M65" i="11"/>
  <c r="N65" i="11" s="1"/>
  <c r="M23" i="11"/>
  <c r="N23" i="11" s="1"/>
  <c r="M71" i="11"/>
  <c r="N71" i="11" s="1"/>
  <c r="M64" i="11"/>
  <c r="N64" i="11" s="1"/>
  <c r="M9" i="11"/>
  <c r="N9" i="11" s="1"/>
  <c r="Y11" i="1"/>
  <c r="Y8" i="1"/>
  <c r="Y9" i="1"/>
  <c r="Y10" i="1"/>
  <c r="U11" i="1"/>
  <c r="U8" i="1"/>
  <c r="U9" i="1"/>
  <c r="U10" i="1"/>
  <c r="M20" i="11"/>
  <c r="N20" i="11" s="1"/>
  <c r="Q19" i="1"/>
  <c r="S19" i="1" s="1"/>
  <c r="N19" i="1"/>
  <c r="N37" i="11"/>
  <c r="O37" i="11"/>
  <c r="N34" i="11"/>
  <c r="O34" i="11"/>
  <c r="O79" i="11"/>
  <c r="J19" i="1"/>
  <c r="M19" i="1" s="1"/>
  <c r="K19" i="1"/>
  <c r="N51" i="11"/>
  <c r="O28" i="2"/>
  <c r="P28" i="2" s="1"/>
  <c r="Q28" i="2" s="1"/>
  <c r="O35" i="2"/>
  <c r="P35" i="2" s="1"/>
  <c r="Q35" i="2" s="1"/>
  <c r="O43" i="2"/>
  <c r="P43" i="2" s="1"/>
  <c r="Q43" i="2" s="1"/>
  <c r="O11" i="2"/>
  <c r="P11" i="2" s="1"/>
  <c r="Q11" i="2" s="1"/>
  <c r="O14" i="2"/>
  <c r="P14" i="2" s="1"/>
  <c r="Q14" i="2" s="1"/>
  <c r="W17" i="1" l="1" a="1"/>
  <c r="W17" i="1" s="1"/>
  <c r="AA17" i="1" s="1" a="1"/>
  <c r="AA17" i="1" s="1"/>
  <c r="I19" i="1" a="1"/>
  <c r="I19" i="1" s="1"/>
  <c r="AA19" i="1" s="1" a="1"/>
  <c r="AA19" i="1" s="1"/>
  <c r="N67" i="11"/>
  <c r="O23" i="11"/>
  <c r="O64" i="11"/>
  <c r="O20" i="11"/>
  <c r="Z17" i="1" s="1" a="1"/>
  <c r="Z17" i="1" s="1"/>
  <c r="O65" i="11"/>
  <c r="O9" i="11"/>
  <c r="O71" i="11"/>
  <c r="L21" i="11"/>
  <c r="M21" i="11" s="1"/>
  <c r="N21" i="11" s="1"/>
  <c r="L12" i="11"/>
  <c r="L56" i="11"/>
  <c r="L75" i="11"/>
  <c r="L44" i="11"/>
  <c r="M44" i="11" s="1"/>
  <c r="N44" i="11" s="1"/>
  <c r="Y12" i="1"/>
  <c r="L18" i="11"/>
  <c r="L31" i="11"/>
  <c r="L7" i="11"/>
  <c r="L74" i="11"/>
  <c r="L51" i="11"/>
  <c r="O51" i="11" s="1"/>
  <c r="O59" i="11"/>
  <c r="Y18" i="1"/>
  <c r="Y14" i="1"/>
  <c r="L45" i="11"/>
  <c r="M45" i="11" s="1"/>
  <c r="N45" i="11" s="1"/>
  <c r="U18" i="1"/>
  <c r="U12" i="1"/>
  <c r="U14" i="1"/>
  <c r="T18" i="1"/>
  <c r="L11" i="11"/>
  <c r="L8" i="11"/>
  <c r="Q24" i="1"/>
  <c r="Q13" i="1"/>
  <c r="L25" i="11"/>
  <c r="A39" i="3" a="1"/>
  <c r="A39" i="3" s="1"/>
  <c r="A38" i="3" a="1"/>
  <c r="A38" i="3" s="1"/>
  <c r="A37" i="3" a="1"/>
  <c r="A37" i="3" s="1"/>
  <c r="A36" i="3" a="1"/>
  <c r="A36" i="3" s="1"/>
  <c r="A35" i="3" a="1"/>
  <c r="A35" i="3" s="1"/>
  <c r="A34" i="3" a="1"/>
  <c r="A34" i="3" s="1"/>
  <c r="A33" i="3" a="1"/>
  <c r="A33" i="3" s="1"/>
  <c r="A32" i="3" a="1"/>
  <c r="A32" i="3" s="1"/>
  <c r="A31" i="3" a="1"/>
  <c r="A31" i="3" s="1"/>
  <c r="A30" i="3" a="1"/>
  <c r="A30" i="3" s="1"/>
  <c r="A29" i="3" a="1"/>
  <c r="A29" i="3" s="1"/>
  <c r="A28" i="3" a="1"/>
  <c r="A28" i="3" s="1"/>
  <c r="A27" i="3" a="1"/>
  <c r="A27" i="3" s="1"/>
  <c r="A26" i="3" a="1"/>
  <c r="A26" i="3" s="1"/>
  <c r="A25" i="3" a="1"/>
  <c r="A25" i="3" s="1"/>
  <c r="A24" i="3" a="1"/>
  <c r="A24" i="3" s="1"/>
  <c r="A23" i="3" a="1"/>
  <c r="A23" i="3" s="1"/>
  <c r="A22" i="3" a="1"/>
  <c r="A22" i="3" s="1"/>
  <c r="A21" i="3" a="1"/>
  <c r="A21" i="3" s="1"/>
  <c r="A20" i="3" a="1"/>
  <c r="A20" i="3" s="1"/>
  <c r="A19" i="3" a="1"/>
  <c r="A19" i="3" s="1"/>
  <c r="A18" i="3" a="1"/>
  <c r="A18" i="3" s="1"/>
  <c r="A17" i="3" a="1"/>
  <c r="A17" i="3" s="1"/>
  <c r="A16" i="3" a="1"/>
  <c r="A16" i="3" s="1"/>
  <c r="A15" i="3" a="1"/>
  <c r="A15" i="3" s="1"/>
  <c r="A14" i="3" a="1"/>
  <c r="A14" i="3" s="1"/>
  <c r="A13" i="3" a="1"/>
  <c r="A13" i="3" s="1"/>
  <c r="A12" i="3" a="1"/>
  <c r="A12" i="3" s="1"/>
  <c r="A11" i="3" a="1"/>
  <c r="A11" i="3" s="1"/>
  <c r="A10" i="3" a="1"/>
  <c r="A10" i="3" s="1"/>
  <c r="L78" i="11"/>
  <c r="M78" i="11" s="1"/>
  <c r="L76" i="11"/>
  <c r="M76" i="11" s="1"/>
  <c r="L68" i="11"/>
  <c r="M68" i="11" s="1"/>
  <c r="L53" i="11"/>
  <c r="L61" i="11"/>
  <c r="L48" i="11"/>
  <c r="L52" i="11"/>
  <c r="M52" i="11" s="1"/>
  <c r="O16" i="2"/>
  <c r="P16" i="2" s="1"/>
  <c r="Q16" i="2" s="1"/>
  <c r="I21" i="1" s="1" a="1"/>
  <c r="I21" i="1" s="1"/>
  <c r="AA21" i="1" s="1" a="1"/>
  <c r="AA21" i="1" s="1"/>
  <c r="O20" i="2"/>
  <c r="P20" i="2" s="1"/>
  <c r="Q20" i="2" s="1"/>
  <c r="I22" i="1" s="1" a="1"/>
  <c r="I22" i="1" s="1"/>
  <c r="AA22" i="1" s="1" a="1"/>
  <c r="AA22" i="1" s="1"/>
  <c r="Y19" i="1"/>
  <c r="O13" i="2"/>
  <c r="P13" i="2" s="1"/>
  <c r="Q13" i="2" s="1"/>
  <c r="J21" i="3" l="1" a="1"/>
  <c r="J21" i="3" s="1"/>
  <c r="F21" i="3" a="1"/>
  <c r="F21" i="3" s="1"/>
  <c r="J37" i="3" a="1"/>
  <c r="J37" i="3" s="1"/>
  <c r="F37" i="3" a="1"/>
  <c r="F37" i="3" s="1"/>
  <c r="F14" i="3" a="1"/>
  <c r="F14" i="3" s="1"/>
  <c r="F22" i="3" a="1"/>
  <c r="F22" i="3" s="1"/>
  <c r="J22" i="3" a="1"/>
  <c r="J22" i="3" s="1"/>
  <c r="J30" i="3" a="1"/>
  <c r="J30" i="3" s="1"/>
  <c r="F30" i="3" a="1"/>
  <c r="F30" i="3" s="1"/>
  <c r="F38" i="3" a="1"/>
  <c r="F38" i="3" s="1"/>
  <c r="J38" i="3" a="1"/>
  <c r="J38" i="3" s="1"/>
  <c r="F15" i="3" a="1"/>
  <c r="F15" i="3" s="1"/>
  <c r="J23" i="3" a="1"/>
  <c r="J23" i="3" s="1"/>
  <c r="F23" i="3" a="1"/>
  <c r="F23" i="3" s="1"/>
  <c r="J31" i="3" a="1"/>
  <c r="J31" i="3" s="1"/>
  <c r="F31" i="3" a="1"/>
  <c r="F31" i="3" s="1"/>
  <c r="J39" i="3" a="1"/>
  <c r="J39" i="3" s="1"/>
  <c r="F39" i="3" a="1"/>
  <c r="F39" i="3" s="1"/>
  <c r="F13" i="3" a="1"/>
  <c r="F13" i="3" s="1"/>
  <c r="F29" i="3" a="1"/>
  <c r="F29" i="3" s="1"/>
  <c r="J29" i="3" a="1"/>
  <c r="J29" i="3" s="1"/>
  <c r="F16" i="3" a="1"/>
  <c r="F16" i="3" s="1"/>
  <c r="J24" i="3" a="1"/>
  <c r="J24" i="3" s="1"/>
  <c r="F24" i="3" a="1"/>
  <c r="F24" i="3" s="1"/>
  <c r="J32" i="3" a="1"/>
  <c r="J32" i="3" s="1"/>
  <c r="F32" i="3" a="1"/>
  <c r="F32" i="3" s="1"/>
  <c r="F17" i="3" a="1"/>
  <c r="F17" i="3" s="1"/>
  <c r="J25" i="3" a="1"/>
  <c r="J25" i="3" s="1"/>
  <c r="F25" i="3" a="1"/>
  <c r="F25" i="3" s="1"/>
  <c r="J33" i="3" a="1"/>
  <c r="J33" i="3" s="1"/>
  <c r="F33" i="3" a="1"/>
  <c r="F33" i="3" s="1"/>
  <c r="O22" i="2"/>
  <c r="P22" i="2" s="1"/>
  <c r="Q22" i="2" s="1"/>
  <c r="F18" i="3" a="1"/>
  <c r="F18" i="3" s="1"/>
  <c r="J18" i="3" s="1" a="1"/>
  <c r="J18" i="3" s="1"/>
  <c r="J26" i="3" a="1"/>
  <c r="J26" i="3" s="1"/>
  <c r="F26" i="3" a="1"/>
  <c r="F26" i="3" s="1"/>
  <c r="J34" i="3" a="1"/>
  <c r="J34" i="3" s="1"/>
  <c r="F34" i="3" a="1"/>
  <c r="F34" i="3" s="1"/>
  <c r="F10" i="3" a="1"/>
  <c r="F10" i="3" s="1"/>
  <c r="F19" i="3" a="1"/>
  <c r="F19" i="3" s="1"/>
  <c r="J19" i="3" s="1" a="1"/>
  <c r="J19" i="3" s="1"/>
  <c r="J27" i="3" a="1"/>
  <c r="J27" i="3" s="1"/>
  <c r="F27" i="3" a="1"/>
  <c r="F27" i="3" s="1"/>
  <c r="J35" i="3" a="1"/>
  <c r="J35" i="3" s="1"/>
  <c r="F35" i="3" a="1"/>
  <c r="F35" i="3" s="1"/>
  <c r="O27" i="2"/>
  <c r="P27" i="2" s="1"/>
  <c r="Q27" i="2" s="1"/>
  <c r="I11" i="3"/>
  <c r="F11" i="3" a="1"/>
  <c r="F11" i="3" s="1"/>
  <c r="J11" i="3" s="1" a="1"/>
  <c r="J11" i="3" s="1"/>
  <c r="F12" i="3" a="1"/>
  <c r="F12" i="3" s="1"/>
  <c r="J12" i="3" s="1" a="1"/>
  <c r="J12" i="3" s="1"/>
  <c r="F20" i="3" a="1"/>
  <c r="F20" i="3" s="1"/>
  <c r="J20" i="3" a="1"/>
  <c r="J20" i="3" s="1"/>
  <c r="J28" i="3" a="1"/>
  <c r="J28" i="3" s="1"/>
  <c r="F28" i="3" a="1"/>
  <c r="F28" i="3" s="1"/>
  <c r="F36" i="3" a="1"/>
  <c r="F36" i="3" s="1"/>
  <c r="J36" i="3" a="1"/>
  <c r="J36" i="3" s="1"/>
  <c r="O45" i="11"/>
  <c r="O44" i="11"/>
  <c r="X17" i="1"/>
  <c r="O21" i="11"/>
  <c r="Y15" i="1"/>
  <c r="L77" i="11"/>
  <c r="L57" i="11"/>
  <c r="L35" i="11"/>
  <c r="L46" i="11"/>
  <c r="M74" i="11"/>
  <c r="N74" i="11" s="1"/>
  <c r="M7" i="11"/>
  <c r="N7" i="11" s="1"/>
  <c r="M31" i="11"/>
  <c r="N31" i="11" s="1"/>
  <c r="M18" i="11"/>
  <c r="N18" i="11" s="1"/>
  <c r="M75" i="11"/>
  <c r="N75" i="11" s="1"/>
  <c r="M56" i="11"/>
  <c r="N56" i="11" s="1"/>
  <c r="M12" i="11"/>
  <c r="N12" i="11" s="1"/>
  <c r="U15" i="1"/>
  <c r="U13" i="1"/>
  <c r="U24" i="1"/>
  <c r="U19" i="1"/>
  <c r="M48" i="11"/>
  <c r="N48" i="11" s="1"/>
  <c r="AB17" i="1"/>
  <c r="R39" i="2"/>
  <c r="S39" i="2" s="1"/>
  <c r="V39" i="2" s="1"/>
  <c r="T19" i="1"/>
  <c r="M11" i="11"/>
  <c r="N11" i="11" s="1"/>
  <c r="L10" i="11"/>
  <c r="L22" i="11"/>
  <c r="L17" i="11"/>
  <c r="M17" i="11"/>
  <c r="N17" i="11" s="1"/>
  <c r="M8" i="11"/>
  <c r="N8" i="11" s="1"/>
  <c r="S13" i="1"/>
  <c r="Y13" i="1" s="1"/>
  <c r="S24" i="1"/>
  <c r="Y24" i="1" s="1"/>
  <c r="N52" i="11"/>
  <c r="N68" i="11"/>
  <c r="N76" i="11"/>
  <c r="N78" i="11"/>
  <c r="C10" i="3"/>
  <c r="B10" i="3"/>
  <c r="D10" i="3"/>
  <c r="E10" i="3"/>
  <c r="I10" i="3"/>
  <c r="E11" i="3"/>
  <c r="D11" i="3"/>
  <c r="C11" i="3"/>
  <c r="B11" i="3"/>
  <c r="E12" i="3"/>
  <c r="D12" i="3"/>
  <c r="C12" i="3"/>
  <c r="B12" i="3"/>
  <c r="E13" i="3"/>
  <c r="D13" i="3"/>
  <c r="C13" i="3"/>
  <c r="B13" i="3"/>
  <c r="E14" i="3"/>
  <c r="D14" i="3"/>
  <c r="C14" i="3"/>
  <c r="B14" i="3"/>
  <c r="E15" i="3"/>
  <c r="D15" i="3"/>
  <c r="C15" i="3"/>
  <c r="B15" i="3"/>
  <c r="E16" i="3"/>
  <c r="D16" i="3"/>
  <c r="C16" i="3"/>
  <c r="B16" i="3"/>
  <c r="E17" i="3"/>
  <c r="D17" i="3"/>
  <c r="C17" i="3"/>
  <c r="B17" i="3"/>
  <c r="E18" i="3"/>
  <c r="D18" i="3"/>
  <c r="C18" i="3"/>
  <c r="B18" i="3"/>
  <c r="E19" i="3"/>
  <c r="D19" i="3"/>
  <c r="C19" i="3"/>
  <c r="B19" i="3"/>
  <c r="E20" i="3"/>
  <c r="D20" i="3"/>
  <c r="C20" i="3"/>
  <c r="B20" i="3"/>
  <c r="G20" i="3"/>
  <c r="E21" i="3"/>
  <c r="D21" i="3"/>
  <c r="C21" i="3"/>
  <c r="B21" i="3"/>
  <c r="G21" i="3"/>
  <c r="E22" i="3"/>
  <c r="D22" i="3"/>
  <c r="C22" i="3"/>
  <c r="B22" i="3"/>
  <c r="E23" i="3"/>
  <c r="I23" i="3"/>
  <c r="M23" i="3" s="1"/>
  <c r="D23" i="3"/>
  <c r="C23" i="3"/>
  <c r="B23" i="3"/>
  <c r="E24" i="3"/>
  <c r="I24" i="3"/>
  <c r="N24" i="3"/>
  <c r="D24" i="3"/>
  <c r="C24" i="3"/>
  <c r="B24" i="3"/>
  <c r="E25" i="3"/>
  <c r="O25" i="3"/>
  <c r="N25" i="3"/>
  <c r="M25" i="3"/>
  <c r="L25" i="3"/>
  <c r="K25" i="3"/>
  <c r="I25" i="3"/>
  <c r="H25" i="3"/>
  <c r="G25" i="3"/>
  <c r="D25" i="3"/>
  <c r="C25" i="3"/>
  <c r="B25" i="3"/>
  <c r="E26" i="3"/>
  <c r="O26" i="3"/>
  <c r="N26" i="3"/>
  <c r="M26" i="3"/>
  <c r="L26" i="3"/>
  <c r="K26" i="3"/>
  <c r="I26" i="3"/>
  <c r="H26" i="3"/>
  <c r="G26" i="3"/>
  <c r="D26" i="3"/>
  <c r="C26" i="3"/>
  <c r="B26" i="3"/>
  <c r="E27" i="3"/>
  <c r="O27" i="3"/>
  <c r="N27" i="3"/>
  <c r="M27" i="3"/>
  <c r="L27" i="3"/>
  <c r="K27" i="3"/>
  <c r="I27" i="3"/>
  <c r="H27" i="3"/>
  <c r="G27" i="3"/>
  <c r="D27" i="3"/>
  <c r="C27" i="3"/>
  <c r="B27" i="3"/>
  <c r="E28" i="3"/>
  <c r="O28" i="3"/>
  <c r="N28" i="3"/>
  <c r="M28" i="3"/>
  <c r="L28" i="3"/>
  <c r="K28" i="3"/>
  <c r="I28" i="3"/>
  <c r="H28" i="3"/>
  <c r="G28" i="3"/>
  <c r="D28" i="3"/>
  <c r="C28" i="3"/>
  <c r="B28" i="3"/>
  <c r="E29" i="3"/>
  <c r="O29" i="3"/>
  <c r="N29" i="3"/>
  <c r="M29" i="3"/>
  <c r="L29" i="3"/>
  <c r="K29" i="3"/>
  <c r="I29" i="3"/>
  <c r="H29" i="3"/>
  <c r="G29" i="3"/>
  <c r="D29" i="3"/>
  <c r="C29" i="3"/>
  <c r="B29" i="3"/>
  <c r="E30" i="3"/>
  <c r="O30" i="3"/>
  <c r="N30" i="3"/>
  <c r="M30" i="3"/>
  <c r="L30" i="3"/>
  <c r="K30" i="3"/>
  <c r="I30" i="3"/>
  <c r="H30" i="3"/>
  <c r="G30" i="3"/>
  <c r="D30" i="3"/>
  <c r="C30" i="3"/>
  <c r="B30" i="3"/>
  <c r="E31" i="3"/>
  <c r="O31" i="3"/>
  <c r="N31" i="3"/>
  <c r="M31" i="3"/>
  <c r="L31" i="3"/>
  <c r="K31" i="3"/>
  <c r="I31" i="3"/>
  <c r="H31" i="3"/>
  <c r="G31" i="3"/>
  <c r="D31" i="3"/>
  <c r="C31" i="3"/>
  <c r="B31" i="3"/>
  <c r="E32" i="3"/>
  <c r="O32" i="3"/>
  <c r="N32" i="3"/>
  <c r="M32" i="3"/>
  <c r="L32" i="3"/>
  <c r="K32" i="3"/>
  <c r="I32" i="3"/>
  <c r="H32" i="3"/>
  <c r="G32" i="3"/>
  <c r="D32" i="3"/>
  <c r="C32" i="3"/>
  <c r="B32" i="3"/>
  <c r="E33" i="3"/>
  <c r="O33" i="3"/>
  <c r="N33" i="3"/>
  <c r="M33" i="3"/>
  <c r="L33" i="3"/>
  <c r="K33" i="3"/>
  <c r="I33" i="3"/>
  <c r="H33" i="3"/>
  <c r="G33" i="3"/>
  <c r="D33" i="3"/>
  <c r="C33" i="3"/>
  <c r="B33" i="3"/>
  <c r="E34" i="3"/>
  <c r="O34" i="3"/>
  <c r="N34" i="3"/>
  <c r="M34" i="3"/>
  <c r="L34" i="3"/>
  <c r="K34" i="3"/>
  <c r="I34" i="3"/>
  <c r="H34" i="3"/>
  <c r="G34" i="3"/>
  <c r="D34" i="3"/>
  <c r="C34" i="3"/>
  <c r="B34" i="3"/>
  <c r="E35" i="3"/>
  <c r="O35" i="3"/>
  <c r="N35" i="3"/>
  <c r="M35" i="3"/>
  <c r="L35" i="3"/>
  <c r="K35" i="3"/>
  <c r="I35" i="3"/>
  <c r="H35" i="3"/>
  <c r="G35" i="3"/>
  <c r="D35" i="3"/>
  <c r="C35" i="3"/>
  <c r="B35" i="3"/>
  <c r="E36" i="3"/>
  <c r="O36" i="3"/>
  <c r="N36" i="3"/>
  <c r="M36" i="3"/>
  <c r="L36" i="3"/>
  <c r="K36" i="3"/>
  <c r="I36" i="3"/>
  <c r="H36" i="3"/>
  <c r="G36" i="3"/>
  <c r="D36" i="3"/>
  <c r="C36" i="3"/>
  <c r="B36" i="3"/>
  <c r="E37" i="3"/>
  <c r="O37" i="3"/>
  <c r="N37" i="3"/>
  <c r="M37" i="3"/>
  <c r="L37" i="3"/>
  <c r="K37" i="3"/>
  <c r="I37" i="3"/>
  <c r="H37" i="3"/>
  <c r="G37" i="3"/>
  <c r="D37" i="3"/>
  <c r="C37" i="3"/>
  <c r="B37" i="3"/>
  <c r="E38" i="3"/>
  <c r="O38" i="3"/>
  <c r="N38" i="3"/>
  <c r="M38" i="3"/>
  <c r="L38" i="3"/>
  <c r="K38" i="3"/>
  <c r="I38" i="3"/>
  <c r="H38" i="3"/>
  <c r="G38" i="3"/>
  <c r="D38" i="3"/>
  <c r="C38" i="3"/>
  <c r="B38" i="3"/>
  <c r="E39" i="3"/>
  <c r="O39" i="3"/>
  <c r="N39" i="3"/>
  <c r="M39" i="3"/>
  <c r="L39" i="3"/>
  <c r="K39" i="3"/>
  <c r="I39" i="3"/>
  <c r="H39" i="3"/>
  <c r="G39" i="3"/>
  <c r="D39" i="3"/>
  <c r="C39" i="3"/>
  <c r="B39" i="3"/>
  <c r="L41" i="11"/>
  <c r="M41" i="11" s="1"/>
  <c r="N41" i="11" s="1"/>
  <c r="Y21" i="1"/>
  <c r="O15" i="2"/>
  <c r="P15" i="2" s="1"/>
  <c r="Q15" i="2" s="1"/>
  <c r="Y16" i="1"/>
  <c r="J10" i="3" l="1" a="1"/>
  <c r="J10" i="3" s="1"/>
  <c r="I23" i="1" a="1"/>
  <c r="I23" i="1" s="1"/>
  <c r="I20" i="1" a="1"/>
  <c r="I20" i="1" s="1"/>
  <c r="AA20" i="1" s="1" a="1"/>
  <c r="AA20" i="1" s="1"/>
  <c r="J16" i="3" a="1"/>
  <c r="J16" i="3" s="1"/>
  <c r="J14" i="3" a="1"/>
  <c r="J14" i="3" s="1"/>
  <c r="J15" i="3" a="1"/>
  <c r="J15" i="3" s="1"/>
  <c r="O34" i="2"/>
  <c r="P34" i="2" s="1"/>
  <c r="Q34" i="2" s="1"/>
  <c r="M11" i="3"/>
  <c r="O7" i="11"/>
  <c r="G17" i="3"/>
  <c r="G13" i="3"/>
  <c r="G16" i="3"/>
  <c r="G12" i="3"/>
  <c r="M10" i="3"/>
  <c r="O17" i="11"/>
  <c r="O12" i="11"/>
  <c r="O18" i="11"/>
  <c r="G19" i="3"/>
  <c r="G15" i="3"/>
  <c r="G11" i="3"/>
  <c r="H11" i="3" s="1"/>
  <c r="G18" i="3"/>
  <c r="G14" i="3"/>
  <c r="O11" i="11"/>
  <c r="O56" i="11"/>
  <c r="O8" i="11"/>
  <c r="O31" i="11"/>
  <c r="O74" i="11"/>
  <c r="O75" i="11"/>
  <c r="M57" i="11"/>
  <c r="N57" i="11" s="1"/>
  <c r="M77" i="11"/>
  <c r="N77" i="11" s="1"/>
  <c r="Y22" i="1"/>
  <c r="U16" i="1"/>
  <c r="U23" i="1"/>
  <c r="U20" i="1"/>
  <c r="L70" i="11"/>
  <c r="U21" i="1"/>
  <c r="L63" i="11"/>
  <c r="L54" i="11"/>
  <c r="L62" i="11"/>
  <c r="L55" i="11"/>
  <c r="L36" i="11"/>
  <c r="L40" i="11"/>
  <c r="O48" i="11"/>
  <c r="L39" i="11"/>
  <c r="L47" i="11"/>
  <c r="T20" i="1"/>
  <c r="L28" i="11"/>
  <c r="M10" i="11"/>
  <c r="N10" i="11" s="1"/>
  <c r="L19" i="11"/>
  <c r="T21" i="1"/>
  <c r="M19" i="11"/>
  <c r="N19" i="11" s="1"/>
  <c r="L13" i="11"/>
  <c r="M24" i="3"/>
  <c r="O24" i="3" s="1"/>
  <c r="K24" i="3"/>
  <c r="L24" i="3" s="1"/>
  <c r="G24" i="3"/>
  <c r="H24" i="3" s="1"/>
  <c r="G23" i="3"/>
  <c r="H23" i="3" s="1"/>
  <c r="G22" i="3"/>
  <c r="O41" i="11"/>
  <c r="O78" i="11"/>
  <c r="O76" i="11"/>
  <c r="O68" i="11"/>
  <c r="O52" i="11"/>
  <c r="I13" i="3"/>
  <c r="M13" i="3" s="1"/>
  <c r="I12" i="3"/>
  <c r="I17" i="3"/>
  <c r="M17" i="3" s="1"/>
  <c r="I14" i="3"/>
  <c r="I15" i="3"/>
  <c r="I16" i="3"/>
  <c r="G10" i="3"/>
  <c r="H10" i="3" s="1"/>
  <c r="I22" i="3"/>
  <c r="I20" i="3"/>
  <c r="I21" i="3"/>
  <c r="I19" i="3"/>
  <c r="M21" i="3"/>
  <c r="H21" i="3"/>
  <c r="M22" i="3"/>
  <c r="H22" i="3"/>
  <c r="L73" i="11"/>
  <c r="M73" i="11" s="1"/>
  <c r="L26" i="11"/>
  <c r="L27" i="11"/>
  <c r="L32" i="11"/>
  <c r="L30" i="11"/>
  <c r="M30" i="11" s="1"/>
  <c r="L42" i="11"/>
  <c r="M42" i="11" s="1"/>
  <c r="I18" i="3"/>
  <c r="O42" i="2"/>
  <c r="P42" i="2" s="1"/>
  <c r="Q42" i="2" s="1"/>
  <c r="I7" i="1" s="1" a="1"/>
  <c r="I7" i="1" s="1"/>
  <c r="O33" i="2"/>
  <c r="P33" i="2" s="1"/>
  <c r="Q33" i="2" s="1"/>
  <c r="I6" i="1" s="1" a="1"/>
  <c r="I6" i="1" s="1"/>
  <c r="O26" i="2"/>
  <c r="P26" i="2" s="1"/>
  <c r="Q26" i="2" s="1"/>
  <c r="I5" i="1" s="1" a="1"/>
  <c r="I5" i="1" s="1"/>
  <c r="H12" i="3" l="1"/>
  <c r="Y23" i="1"/>
  <c r="AA23" i="1" a="1"/>
  <c r="AA23" i="1" s="1"/>
  <c r="W16" i="1" a="1"/>
  <c r="W16" i="1" s="1"/>
  <c r="AA16" i="1" s="1" a="1"/>
  <c r="AA16" i="1" s="1"/>
  <c r="Y20" i="1"/>
  <c r="T7" i="1"/>
  <c r="L16" i="11"/>
  <c r="M16" i="11" s="1"/>
  <c r="N16" i="11" s="1"/>
  <c r="J13" i="3" a="1"/>
  <c r="J13" i="3" s="1"/>
  <c r="H14" i="3"/>
  <c r="O19" i="11"/>
  <c r="Z16" i="1" s="1" a="1"/>
  <c r="Z16" i="1" s="1"/>
  <c r="H16" i="3"/>
  <c r="H13" i="3"/>
  <c r="M12" i="3"/>
  <c r="M16" i="3"/>
  <c r="H17" i="3"/>
  <c r="M14" i="3"/>
  <c r="O57" i="11"/>
  <c r="O10" i="11"/>
  <c r="O77" i="11"/>
  <c r="Y5" i="1"/>
  <c r="L38" i="11"/>
  <c r="L69" i="11"/>
  <c r="L49" i="11"/>
  <c r="M49" i="11" s="1"/>
  <c r="N49" i="11" s="1"/>
  <c r="M32" i="11"/>
  <c r="N32" i="11" s="1"/>
  <c r="L5" i="11"/>
  <c r="M36" i="11"/>
  <c r="N36" i="11" s="1"/>
  <c r="Y6" i="1"/>
  <c r="K6" i="12"/>
  <c r="N6" i="12" s="1"/>
  <c r="O6" i="12" s="1" a="1"/>
  <c r="O6" i="12" s="1"/>
  <c r="Y7" i="1"/>
  <c r="K8" i="12"/>
  <c r="N8" i="12" s="1"/>
  <c r="O8" i="12" s="1" a="1"/>
  <c r="O8" i="12" s="1"/>
  <c r="K5" i="12"/>
  <c r="N5" i="12" s="1"/>
  <c r="O5" i="12" s="1" a="1"/>
  <c r="O5" i="12" s="1"/>
  <c r="Q25" i="11"/>
  <c r="Q38" i="11"/>
  <c r="U5" i="1"/>
  <c r="Q22" i="11"/>
  <c r="H6" i="3"/>
  <c r="G6" i="3" s="1"/>
  <c r="M13" i="11"/>
  <c r="N13" i="11" s="1"/>
  <c r="T6" i="1"/>
  <c r="Q26" i="11"/>
  <c r="T5" i="1"/>
  <c r="N42" i="11"/>
  <c r="O42" i="11"/>
  <c r="N30" i="11"/>
  <c r="N73" i="11"/>
  <c r="M15" i="3"/>
  <c r="H15" i="3"/>
  <c r="M20" i="3"/>
  <c r="H20" i="3"/>
  <c r="M19" i="3"/>
  <c r="H19" i="3"/>
  <c r="N23" i="3"/>
  <c r="O23" i="3" s="1"/>
  <c r="K23" i="3"/>
  <c r="L23" i="3" s="1"/>
  <c r="L43" i="11"/>
  <c r="M43" i="11" s="1"/>
  <c r="L66" i="11"/>
  <c r="M66" i="11" s="1"/>
  <c r="L50" i="11"/>
  <c r="M50" i="11" s="1"/>
  <c r="L58" i="11"/>
  <c r="M58" i="11" s="1"/>
  <c r="L33" i="11"/>
  <c r="M33" i="11" s="1"/>
  <c r="H4" i="3"/>
  <c r="L24" i="11"/>
  <c r="M24" i="11" s="1"/>
  <c r="H5" i="3"/>
  <c r="G5" i="3" s="1"/>
  <c r="M18" i="3"/>
  <c r="H18" i="3"/>
  <c r="K11" i="12"/>
  <c r="F8" i="4"/>
  <c r="G8" i="4" s="1"/>
  <c r="F9" i="4"/>
  <c r="G9" i="4" s="1"/>
  <c r="K9" i="12"/>
  <c r="K10" i="12"/>
  <c r="U7" i="1" l="1"/>
  <c r="X7" i="1" s="1"/>
  <c r="L29" i="11"/>
  <c r="L60" i="11"/>
  <c r="J17" i="3" a="1"/>
  <c r="J17" i="3" s="1"/>
  <c r="L5" i="12" a="1"/>
  <c r="L5" i="12" s="1"/>
  <c r="M5" i="12" s="1"/>
  <c r="I4" i="3" a="1"/>
  <c r="I4" i="3" s="1"/>
  <c r="P5" i="12" a="1"/>
  <c r="P5" i="12" s="1"/>
  <c r="K7" i="12"/>
  <c r="N7" i="12" s="1"/>
  <c r="O7" i="12" s="1" a="1"/>
  <c r="O7" i="12" s="1"/>
  <c r="F7" i="4"/>
  <c r="G7" i="4" s="1"/>
  <c r="G5" i="4" s="1"/>
  <c r="U6" i="1"/>
  <c r="X6" i="1" s="1"/>
  <c r="O49" i="11"/>
  <c r="O13" i="11"/>
  <c r="M6" i="3"/>
  <c r="O16" i="11"/>
  <c r="O36" i="11"/>
  <c r="M5" i="11"/>
  <c r="N5" i="11" s="1"/>
  <c r="AB16" i="1"/>
  <c r="O32" i="11"/>
  <c r="Q28" i="11"/>
  <c r="Q39" i="11"/>
  <c r="Q27" i="11"/>
  <c r="Q47" i="11"/>
  <c r="N24" i="11"/>
  <c r="O24" i="11"/>
  <c r="N33" i="11"/>
  <c r="O33" i="11"/>
  <c r="O73" i="11"/>
  <c r="O30" i="11"/>
  <c r="N58" i="11"/>
  <c r="N50" i="11"/>
  <c r="N66" i="11"/>
  <c r="N43" i="11"/>
  <c r="X5" i="1"/>
  <c r="N11" i="12"/>
  <c r="O11" i="12" s="1" a="1"/>
  <c r="O11" i="12" s="1"/>
  <c r="G4" i="3"/>
  <c r="N10" i="12"/>
  <c r="O10" i="12" s="1" a="1"/>
  <c r="O10" i="12" s="1"/>
  <c r="N9" i="12"/>
  <c r="O9" i="12" s="1" a="1"/>
  <c r="O9" i="12" s="1"/>
  <c r="U3" i="1"/>
  <c r="T3" i="1"/>
  <c r="M4" i="3"/>
  <c r="O16" i="1"/>
  <c r="O17" i="1"/>
  <c r="O25" i="1"/>
  <c r="M60" i="11" l="1"/>
  <c r="N60" i="11" s="1"/>
  <c r="S5" i="12" a="1"/>
  <c r="S5" i="12" s="1"/>
  <c r="N3" i="12"/>
  <c r="O5" i="11"/>
  <c r="X16" i="1"/>
  <c r="N18" i="3"/>
  <c r="O18" i="3" s="1"/>
  <c r="K18" i="3"/>
  <c r="L18" i="3" s="1"/>
  <c r="O43" i="11"/>
  <c r="O66" i="11"/>
  <c r="O50" i="11"/>
  <c r="O58" i="11"/>
  <c r="R38" i="2"/>
  <c r="S38" i="2" s="1"/>
  <c r="V38" i="2" s="1"/>
  <c r="O18" i="1"/>
  <c r="O11" i="1"/>
  <c r="O9" i="1"/>
  <c r="O21" i="1"/>
  <c r="O20" i="1"/>
  <c r="O8" i="1"/>
  <c r="O23" i="1"/>
  <c r="O60" i="11" l="1"/>
  <c r="O3" i="12"/>
  <c r="R25" i="11"/>
  <c r="M25" i="11" s="1"/>
  <c r="N25" i="11" s="1"/>
  <c r="O22" i="1"/>
  <c r="O14" i="1"/>
  <c r="O19" i="1"/>
  <c r="O10" i="1"/>
  <c r="O12" i="1"/>
  <c r="W14" i="1" l="1" a="1"/>
  <c r="W14" i="1" s="1"/>
  <c r="AA14" i="1" s="1" a="1"/>
  <c r="AA14" i="1" s="1"/>
  <c r="O25" i="11"/>
  <c r="Z14" i="1" s="1" a="1"/>
  <c r="Z14" i="1" s="1"/>
  <c r="R35" i="11"/>
  <c r="M35" i="11" s="1"/>
  <c r="O35" i="11" s="1"/>
  <c r="S7" i="12" s="1" a="1"/>
  <c r="S7" i="12" s="1"/>
  <c r="K10" i="3"/>
  <c r="L10" i="3" s="1"/>
  <c r="R26" i="11"/>
  <c r="M26" i="11" s="1"/>
  <c r="O26" i="11" s="1"/>
  <c r="O15" i="1"/>
  <c r="O13" i="1"/>
  <c r="O24" i="1"/>
  <c r="X14" i="1" l="1"/>
  <c r="N35" i="11"/>
  <c r="N26" i="11"/>
  <c r="N10" i="3"/>
  <c r="O10" i="3" s="1"/>
  <c r="AB14" i="1"/>
  <c r="R17" i="2"/>
  <c r="S17" i="2" s="1"/>
  <c r="V17" i="2" s="1"/>
  <c r="R23" i="2"/>
  <c r="S23" i="2" s="1"/>
  <c r="V23" i="2" s="1"/>
  <c r="X19" i="1"/>
  <c r="AB22" i="1"/>
  <c r="X22" i="1"/>
  <c r="L7" i="12" l="1" a="1"/>
  <c r="L7" i="12" s="1"/>
  <c r="P7" i="12" a="1"/>
  <c r="P7" i="12" s="1"/>
  <c r="Q7" i="12" s="1"/>
  <c r="R7" i="12" s="1"/>
  <c r="N22" i="3"/>
  <c r="O22" i="3" s="1"/>
  <c r="K22" i="3"/>
  <c r="L22" i="3" s="1"/>
  <c r="I56" i="4" a="1"/>
  <c r="I56" i="4" s="1"/>
  <c r="J56" i="4" s="1"/>
  <c r="I7" i="4" a="1"/>
  <c r="I7" i="4" s="1"/>
  <c r="I8" i="4" a="1"/>
  <c r="I8" i="4" s="1"/>
  <c r="I9" i="4" a="1"/>
  <c r="I9" i="4" s="1"/>
  <c r="I10" i="4" a="1"/>
  <c r="I10" i="4" s="1"/>
  <c r="I11" i="4" a="1"/>
  <c r="I11" i="4" s="1"/>
  <c r="I12" i="4" a="1"/>
  <c r="I12" i="4" s="1"/>
  <c r="I13" i="4" a="1"/>
  <c r="I13" i="4" s="1"/>
  <c r="I14" i="4" a="1"/>
  <c r="I14" i="4" s="1"/>
  <c r="I15" i="4" a="1"/>
  <c r="I15" i="4" s="1"/>
  <c r="I16" i="4" a="1"/>
  <c r="I16" i="4" s="1"/>
  <c r="I17" i="4" a="1"/>
  <c r="I17" i="4" s="1"/>
  <c r="I18" i="4" a="1"/>
  <c r="I18" i="4" s="1"/>
  <c r="I19" i="4" a="1"/>
  <c r="I19" i="4" s="1"/>
  <c r="I20" i="4" a="1"/>
  <c r="I20" i="4" s="1"/>
  <c r="I21" i="4" a="1"/>
  <c r="I21" i="4" s="1"/>
  <c r="I22" i="4" a="1"/>
  <c r="I22" i="4" s="1"/>
  <c r="I23" i="4" a="1"/>
  <c r="I23" i="4" s="1"/>
  <c r="I24" i="4" a="1"/>
  <c r="I24" i="4" s="1"/>
  <c r="I25" i="4" a="1"/>
  <c r="I25" i="4" s="1"/>
  <c r="I26" i="4" a="1"/>
  <c r="I26" i="4" s="1"/>
  <c r="I27" i="4" a="1"/>
  <c r="I27" i="4" s="1"/>
  <c r="I28" i="4" a="1"/>
  <c r="I28" i="4" s="1"/>
  <c r="I29" i="4" a="1"/>
  <c r="I29" i="4" s="1"/>
  <c r="I30" i="4" a="1"/>
  <c r="I30" i="4" s="1"/>
  <c r="I31" i="4" a="1"/>
  <c r="I31" i="4" s="1"/>
  <c r="I32" i="4" a="1"/>
  <c r="I32" i="4" s="1"/>
  <c r="I33" i="4" a="1"/>
  <c r="I33" i="4" s="1"/>
  <c r="I34" i="4" a="1"/>
  <c r="I34" i="4" s="1"/>
  <c r="I35" i="4" a="1"/>
  <c r="I35" i="4" s="1"/>
  <c r="I36" i="4" a="1"/>
  <c r="I36" i="4" s="1"/>
  <c r="I37" i="4" a="1"/>
  <c r="I37" i="4" s="1"/>
  <c r="I38" i="4" a="1"/>
  <c r="I38" i="4" s="1"/>
  <c r="I39" i="4" a="1"/>
  <c r="I39" i="4" s="1"/>
  <c r="I40" i="4" a="1"/>
  <c r="I40" i="4" s="1"/>
  <c r="I41" i="4" a="1"/>
  <c r="I41" i="4" s="1"/>
  <c r="I42" i="4" a="1"/>
  <c r="I42" i="4" s="1"/>
  <c r="I43" i="4" a="1"/>
  <c r="I43" i="4" s="1"/>
  <c r="I44" i="4" a="1"/>
  <c r="I44" i="4" s="1"/>
  <c r="I45" i="4" a="1"/>
  <c r="I45" i="4" s="1"/>
  <c r="I46" i="4" a="1"/>
  <c r="I46" i="4" s="1"/>
  <c r="I47" i="4" a="1"/>
  <c r="I47" i="4" s="1"/>
  <c r="I48" i="4" a="1"/>
  <c r="I48" i="4" s="1"/>
  <c r="I49" i="4" a="1"/>
  <c r="I49" i="4" s="1"/>
  <c r="I50" i="4" a="1"/>
  <c r="I50" i="4" s="1"/>
  <c r="I51" i="4" a="1"/>
  <c r="I51" i="4" s="1"/>
  <c r="I52" i="4" a="1"/>
  <c r="I52" i="4" s="1"/>
  <c r="I53" i="4" a="1"/>
  <c r="I53" i="4" s="1"/>
  <c r="I54" i="4" a="1"/>
  <c r="I54" i="4" s="1"/>
  <c r="I55" i="4" a="1"/>
  <c r="I55" i="4" s="1"/>
  <c r="N56" i="4" l="1"/>
  <c r="L56" i="4"/>
  <c r="M56" i="4"/>
  <c r="K56" i="4"/>
  <c r="N17" i="3"/>
  <c r="O17" i="3" s="1"/>
  <c r="K17" i="3"/>
  <c r="L17" i="3" s="1"/>
  <c r="J55" i="4"/>
  <c r="N55" i="4"/>
  <c r="M55" i="4"/>
  <c r="L55" i="4"/>
  <c r="K55" i="4"/>
  <c r="J54" i="4"/>
  <c r="N54" i="4"/>
  <c r="M54" i="4"/>
  <c r="L54" i="4"/>
  <c r="K54" i="4"/>
  <c r="J53" i="4"/>
  <c r="N53" i="4"/>
  <c r="M53" i="4"/>
  <c r="L53" i="4"/>
  <c r="K53" i="4"/>
  <c r="J52" i="4"/>
  <c r="N52" i="4"/>
  <c r="M52" i="4"/>
  <c r="L52" i="4"/>
  <c r="K52" i="4"/>
  <c r="J51" i="4"/>
  <c r="N51" i="4"/>
  <c r="M51" i="4"/>
  <c r="L51" i="4"/>
  <c r="K51" i="4"/>
  <c r="J50" i="4"/>
  <c r="N50" i="4"/>
  <c r="M50" i="4"/>
  <c r="L50" i="4"/>
  <c r="K50" i="4"/>
  <c r="J49" i="4"/>
  <c r="N49" i="4"/>
  <c r="M49" i="4"/>
  <c r="L49" i="4"/>
  <c r="K49" i="4"/>
  <c r="J48" i="4"/>
  <c r="N48" i="4"/>
  <c r="M48" i="4"/>
  <c r="L48" i="4"/>
  <c r="K48" i="4"/>
  <c r="J47" i="4"/>
  <c r="N47" i="4"/>
  <c r="M47" i="4"/>
  <c r="L47" i="4"/>
  <c r="K47" i="4"/>
  <c r="J46" i="4"/>
  <c r="N46" i="4"/>
  <c r="M46" i="4"/>
  <c r="L46" i="4"/>
  <c r="K46" i="4"/>
  <c r="J45" i="4"/>
  <c r="N45" i="4"/>
  <c r="M45" i="4"/>
  <c r="L45" i="4"/>
  <c r="K45" i="4"/>
  <c r="J44" i="4"/>
  <c r="N44" i="4"/>
  <c r="M44" i="4"/>
  <c r="L44" i="4"/>
  <c r="K44" i="4"/>
  <c r="J43" i="4"/>
  <c r="N43" i="4"/>
  <c r="M43" i="4"/>
  <c r="L43" i="4"/>
  <c r="K43" i="4"/>
  <c r="J42" i="4"/>
  <c r="N42" i="4"/>
  <c r="M42" i="4"/>
  <c r="L42" i="4"/>
  <c r="K42" i="4"/>
  <c r="J41" i="4"/>
  <c r="N41" i="4"/>
  <c r="M41" i="4"/>
  <c r="L41" i="4"/>
  <c r="K41" i="4"/>
  <c r="J40" i="4"/>
  <c r="N40" i="4"/>
  <c r="M40" i="4"/>
  <c r="L40" i="4"/>
  <c r="K40" i="4"/>
  <c r="J39" i="4"/>
  <c r="N39" i="4"/>
  <c r="M39" i="4"/>
  <c r="L39" i="4"/>
  <c r="K39" i="4"/>
  <c r="J38" i="4"/>
  <c r="N38" i="4"/>
  <c r="M38" i="4"/>
  <c r="L38" i="4"/>
  <c r="K38" i="4"/>
  <c r="J37" i="4"/>
  <c r="N37" i="4"/>
  <c r="M37" i="4"/>
  <c r="L37" i="4"/>
  <c r="K37" i="4"/>
  <c r="J36" i="4"/>
  <c r="N36" i="4"/>
  <c r="M36" i="4"/>
  <c r="L36" i="4"/>
  <c r="K36" i="4"/>
  <c r="J35" i="4"/>
  <c r="N35" i="4"/>
  <c r="M35" i="4"/>
  <c r="L35" i="4"/>
  <c r="K35" i="4"/>
  <c r="J34" i="4"/>
  <c r="N34" i="4"/>
  <c r="M34" i="4"/>
  <c r="L34" i="4"/>
  <c r="K34" i="4"/>
  <c r="J33" i="4"/>
  <c r="N33" i="4"/>
  <c r="M33" i="4"/>
  <c r="L33" i="4"/>
  <c r="K33" i="4"/>
  <c r="J32" i="4"/>
  <c r="N32" i="4"/>
  <c r="M32" i="4"/>
  <c r="L32" i="4"/>
  <c r="K32" i="4"/>
  <c r="J31" i="4"/>
  <c r="N31" i="4"/>
  <c r="M31" i="4"/>
  <c r="L31" i="4"/>
  <c r="K31" i="4"/>
  <c r="J30" i="4"/>
  <c r="N30" i="4"/>
  <c r="M30" i="4"/>
  <c r="L30" i="4"/>
  <c r="K30" i="4"/>
  <c r="J29" i="4"/>
  <c r="N29" i="4"/>
  <c r="M29" i="4"/>
  <c r="L29" i="4"/>
  <c r="K29" i="4"/>
  <c r="J28" i="4"/>
  <c r="N28" i="4"/>
  <c r="M28" i="4"/>
  <c r="L28" i="4"/>
  <c r="K28" i="4"/>
  <c r="J27" i="4"/>
  <c r="N27" i="4"/>
  <c r="M27" i="4"/>
  <c r="L27" i="4"/>
  <c r="K27" i="4"/>
  <c r="J26" i="4"/>
  <c r="N26" i="4"/>
  <c r="M26" i="4"/>
  <c r="L26" i="4"/>
  <c r="K26" i="4"/>
  <c r="J25" i="4"/>
  <c r="N25" i="4"/>
  <c r="M25" i="4"/>
  <c r="L25" i="4"/>
  <c r="K25" i="4"/>
  <c r="J24" i="4"/>
  <c r="N24" i="4"/>
  <c r="M24" i="4"/>
  <c r="L24" i="4"/>
  <c r="K24" i="4"/>
  <c r="J23" i="4"/>
  <c r="M23" i="4"/>
  <c r="L23" i="4"/>
  <c r="N23" i="4" s="1"/>
  <c r="K23" i="4"/>
  <c r="J22" i="4"/>
  <c r="M22" i="4"/>
  <c r="L22" i="4"/>
  <c r="N22" i="4" s="1"/>
  <c r="K22" i="4"/>
  <c r="J21" i="4"/>
  <c r="M21" i="4"/>
  <c r="L21" i="4"/>
  <c r="N21" i="4" s="1"/>
  <c r="K21" i="4"/>
  <c r="J20" i="4"/>
  <c r="M20" i="4"/>
  <c r="L20" i="4"/>
  <c r="N20" i="4" s="1"/>
  <c r="K20" i="4"/>
  <c r="J19" i="4"/>
  <c r="M19" i="4"/>
  <c r="L19" i="4"/>
  <c r="N19" i="4" s="1"/>
  <c r="K19" i="4"/>
  <c r="J18" i="4"/>
  <c r="M18" i="4"/>
  <c r="L18" i="4"/>
  <c r="N18" i="4" s="1"/>
  <c r="K18" i="4"/>
  <c r="J17" i="4"/>
  <c r="M17" i="4"/>
  <c r="L17" i="4"/>
  <c r="N17" i="4" s="1"/>
  <c r="K17" i="4"/>
  <c r="J16" i="4"/>
  <c r="M16" i="4"/>
  <c r="L16" i="4"/>
  <c r="K16" i="4"/>
  <c r="J15" i="4"/>
  <c r="M15" i="4"/>
  <c r="L15" i="4"/>
  <c r="K15" i="4"/>
  <c r="J14" i="4"/>
  <c r="M14" i="4"/>
  <c r="L14" i="4"/>
  <c r="K14" i="4"/>
  <c r="J13" i="4"/>
  <c r="M13" i="4"/>
  <c r="L13" i="4"/>
  <c r="K13" i="4"/>
  <c r="M12" i="4"/>
  <c r="L12" i="4"/>
  <c r="K12" i="4"/>
  <c r="J12" i="4"/>
  <c r="J11" i="4"/>
  <c r="K11" i="4"/>
  <c r="L11" i="4"/>
  <c r="M11" i="4"/>
  <c r="M10" i="4"/>
  <c r="L10" i="4"/>
  <c r="K10" i="4"/>
  <c r="J10" i="4"/>
  <c r="M9" i="4"/>
  <c r="L9" i="4"/>
  <c r="K9" i="4"/>
  <c r="J9" i="4"/>
  <c r="J8" i="4"/>
  <c r="K8" i="4"/>
  <c r="L8" i="4"/>
  <c r="M8" i="4"/>
  <c r="J7" i="4"/>
  <c r="K7" i="4"/>
  <c r="L7" i="4"/>
  <c r="M7" i="4"/>
  <c r="N9" i="4" l="1"/>
  <c r="N10" i="4"/>
  <c r="N11" i="4"/>
  <c r="N13" i="4"/>
  <c r="N14" i="4"/>
  <c r="N15" i="4"/>
  <c r="N16" i="4"/>
  <c r="N12" i="4"/>
  <c r="R40" i="11"/>
  <c r="M40" i="11" s="1"/>
  <c r="AB23" i="1"/>
  <c r="N7" i="4"/>
  <c r="N8" i="4"/>
  <c r="Q5" i="12"/>
  <c r="N5" i="4" l="1"/>
  <c r="R5" i="12"/>
  <c r="N12" i="3"/>
  <c r="O12" i="3" s="1"/>
  <c r="N40" i="11"/>
  <c r="O40" i="11"/>
  <c r="K12" i="3" l="1"/>
  <c r="L12" i="3" s="1"/>
  <c r="X23" i="1"/>
  <c r="N16" i="3" l="1"/>
  <c r="O16" i="3" s="1"/>
  <c r="K16" i="3"/>
  <c r="L16" i="3" s="1"/>
  <c r="X21" i="1"/>
  <c r="Y3" i="1"/>
  <c r="X20" i="1"/>
  <c r="R22" i="11" l="1"/>
  <c r="M22" i="11" s="1"/>
  <c r="AB19" i="1"/>
  <c r="N22" i="11" l="1"/>
  <c r="O22" i="11"/>
  <c r="Q29" i="11" l="1"/>
  <c r="R46" i="11" l="1"/>
  <c r="M46" i="11"/>
  <c r="N46" i="11" s="1"/>
  <c r="R47" i="11"/>
  <c r="M47" i="11"/>
  <c r="O47" i="11" s="1"/>
  <c r="R53" i="11"/>
  <c r="M53" i="11"/>
  <c r="N53" i="11" s="1"/>
  <c r="R54" i="11"/>
  <c r="M54" i="11"/>
  <c r="O54" i="11" s="1"/>
  <c r="R55" i="11"/>
  <c r="M55" i="11"/>
  <c r="N55" i="11" s="1"/>
  <c r="R61" i="11"/>
  <c r="M61" i="11"/>
  <c r="N61" i="11" s="1"/>
  <c r="R62" i="11"/>
  <c r="M62" i="11"/>
  <c r="N62" i="11" s="1"/>
  <c r="R63" i="11"/>
  <c r="M63" i="11"/>
  <c r="N63" i="11" s="1"/>
  <c r="R69" i="11"/>
  <c r="M69" i="11"/>
  <c r="N69" i="11" s="1"/>
  <c r="R70" i="11"/>
  <c r="M70" i="11"/>
  <c r="N70" i="11" s="1"/>
  <c r="AB21" i="1"/>
  <c r="R29" i="11"/>
  <c r="M29" i="11" s="1"/>
  <c r="AB20" i="1"/>
  <c r="R39" i="11"/>
  <c r="M39" i="11" s="1"/>
  <c r="R28" i="11"/>
  <c r="M28" i="11" s="1"/>
  <c r="AB18" i="1"/>
  <c r="R38" i="11"/>
  <c r="M38" i="11" s="1"/>
  <c r="R27" i="11"/>
  <c r="M27" i="11" s="1"/>
  <c r="P11" i="12" l="1" a="1"/>
  <c r="P11" i="12" s="1"/>
  <c r="Q11" i="12" s="1"/>
  <c r="L10" i="12" a="1"/>
  <c r="L10" i="12" s="1"/>
  <c r="P10" i="12" a="1"/>
  <c r="P10" i="12" s="1"/>
  <c r="Q10" i="12" s="1"/>
  <c r="L11" i="12" a="1"/>
  <c r="L11" i="12" s="1"/>
  <c r="AA7" i="1" a="1"/>
  <c r="AA7" i="1" s="1"/>
  <c r="V7" i="1" a="1"/>
  <c r="V7" i="1" s="1"/>
  <c r="W8" i="1" a="1"/>
  <c r="W8" i="1" s="1"/>
  <c r="AA8" i="1" s="1" a="1"/>
  <c r="AA8" i="1" s="1"/>
  <c r="W13" i="1" a="1"/>
  <c r="W13" i="1" s="1"/>
  <c r="AA13" i="1" s="1" a="1"/>
  <c r="AA13" i="1" s="1"/>
  <c r="W15" i="1" a="1"/>
  <c r="W15" i="1" s="1"/>
  <c r="AA15" i="1" s="1" a="1"/>
  <c r="AA15" i="1" s="1"/>
  <c r="W12" i="1" a="1"/>
  <c r="W12" i="1" s="1"/>
  <c r="AA12" i="1" s="1" a="1"/>
  <c r="AA12" i="1" s="1"/>
  <c r="W9" i="1" a="1"/>
  <c r="W9" i="1" s="1"/>
  <c r="AA9" i="1" s="1" a="1"/>
  <c r="AA9" i="1" s="1"/>
  <c r="M11" i="12"/>
  <c r="M7" i="12"/>
  <c r="O55" i="11"/>
  <c r="O70" i="11"/>
  <c r="O61" i="11"/>
  <c r="O53" i="11"/>
  <c r="S9" i="12" s="1" a="1"/>
  <c r="S9" i="12" s="1"/>
  <c r="O63" i="11"/>
  <c r="O62" i="11"/>
  <c r="O46" i="11"/>
  <c r="N54" i="11"/>
  <c r="P9" i="12" s="1" a="1"/>
  <c r="P9" i="12" s="1"/>
  <c r="Q9" i="12" s="1"/>
  <c r="N47" i="11"/>
  <c r="O69" i="11"/>
  <c r="N27" i="11"/>
  <c r="P6" i="12" s="1" a="1"/>
  <c r="P6" i="12" s="1"/>
  <c r="Q6" i="12" s="1"/>
  <c r="O27" i="11"/>
  <c r="Z24" i="1" s="1" a="1"/>
  <c r="Z24" i="1" s="1"/>
  <c r="N38" i="11"/>
  <c r="O38" i="11"/>
  <c r="N28" i="11"/>
  <c r="O28" i="11"/>
  <c r="Z25" i="1" s="1" a="1"/>
  <c r="Z25" i="1" s="1"/>
  <c r="N39" i="11"/>
  <c r="P8" i="12" s="1" a="1"/>
  <c r="P8" i="12" s="1"/>
  <c r="Q8" i="12" s="1"/>
  <c r="O39" i="11"/>
  <c r="S8" i="12" s="1" a="1"/>
  <c r="S8" i="12" s="1"/>
  <c r="N29" i="11"/>
  <c r="O29" i="11"/>
  <c r="R8" i="12" l="1"/>
  <c r="R9" i="12"/>
  <c r="S10" i="12" a="1"/>
  <c r="S10" i="12" s="1"/>
  <c r="R10" i="12" s="1"/>
  <c r="S11" i="12" a="1"/>
  <c r="S11" i="12" s="1"/>
  <c r="R11" i="12" s="1"/>
  <c r="S6" i="12" a="1"/>
  <c r="S6" i="12" s="1"/>
  <c r="R6" i="12" s="1"/>
  <c r="W24" i="1" a="1"/>
  <c r="W24" i="1" s="1"/>
  <c r="AA24" i="1" s="1" a="1"/>
  <c r="AA24" i="1" s="1"/>
  <c r="L6" i="12" a="1"/>
  <c r="L6" i="12" s="1"/>
  <c r="M6" i="12" s="1"/>
  <c r="W10" i="1" a="1"/>
  <c r="W10" i="1" s="1"/>
  <c r="AA10" i="1" s="1" a="1"/>
  <c r="AA10" i="1" s="1"/>
  <c r="L8" i="12" a="1"/>
  <c r="L8" i="12" s="1"/>
  <c r="M8" i="12" s="1"/>
  <c r="L9" i="12" a="1"/>
  <c r="L9" i="12" s="1"/>
  <c r="Z10" i="1" a="1"/>
  <c r="Z10" i="1" s="1"/>
  <c r="AA6" i="1" a="1"/>
  <c r="AA6" i="1" s="1"/>
  <c r="AB6" i="1" s="1"/>
  <c r="Z8" i="1" a="1"/>
  <c r="Z8" i="1" s="1"/>
  <c r="Z13" i="1" a="1"/>
  <c r="Z13" i="1" s="1"/>
  <c r="Z11" i="1" a="1"/>
  <c r="Z11" i="1" s="1"/>
  <c r="Z15" i="1" a="1"/>
  <c r="Z15" i="1" s="1"/>
  <c r="Z12" i="1" a="1"/>
  <c r="Z12" i="1" s="1"/>
  <c r="Z9" i="1" a="1"/>
  <c r="Z9" i="1" s="1"/>
  <c r="W11" i="1" a="1"/>
  <c r="W11" i="1" s="1"/>
  <c r="AA11" i="1" s="1" a="1"/>
  <c r="AA11" i="1" s="1"/>
  <c r="R7" i="2" s="1"/>
  <c r="S7" i="2" s="1"/>
  <c r="V7" i="2" s="1"/>
  <c r="W25" i="1" a="1"/>
  <c r="W25" i="1" s="1"/>
  <c r="AA25" i="1" s="1" a="1"/>
  <c r="AA25" i="1" s="1"/>
  <c r="V6" i="1" a="1"/>
  <c r="V6" i="1" s="1"/>
  <c r="X13" i="1"/>
  <c r="X12" i="1"/>
  <c r="X15" i="1"/>
  <c r="V5" i="1" a="1"/>
  <c r="V5" i="1" s="1"/>
  <c r="AA5" i="1" a="1"/>
  <c r="AA5" i="1" s="1"/>
  <c r="AB5" i="1" s="1"/>
  <c r="M9" i="12"/>
  <c r="N19" i="3"/>
  <c r="O19" i="3" s="1"/>
  <c r="AB15" i="1"/>
  <c r="R8" i="2"/>
  <c r="S8" i="2" s="1"/>
  <c r="V8" i="2" s="1"/>
  <c r="X9" i="1"/>
  <c r="N11" i="3"/>
  <c r="O11" i="3" s="1"/>
  <c r="K11" i="3"/>
  <c r="L11" i="3" s="1"/>
  <c r="AB13" i="1"/>
  <c r="R10" i="2"/>
  <c r="S10" i="2" s="1"/>
  <c r="V10" i="2" s="1"/>
  <c r="AB12" i="1"/>
  <c r="R14" i="2"/>
  <c r="S14" i="2" s="1"/>
  <c r="V14" i="2" s="1"/>
  <c r="R30" i="2"/>
  <c r="S30" i="2" s="1"/>
  <c r="V30" i="2" s="1"/>
  <c r="R37" i="2"/>
  <c r="S37" i="2" s="1"/>
  <c r="V37" i="2" s="1"/>
  <c r="R45" i="2"/>
  <c r="S45" i="2" s="1"/>
  <c r="V45" i="2" s="1"/>
  <c r="X8" i="1"/>
  <c r="AB7" i="1"/>
  <c r="N21" i="3"/>
  <c r="O21" i="3" s="1"/>
  <c r="K21" i="3"/>
  <c r="L21" i="3" s="1"/>
  <c r="N20" i="3"/>
  <c r="O20" i="3" s="1"/>
  <c r="K20" i="3"/>
  <c r="L20" i="3" s="1"/>
  <c r="M10" i="12"/>
  <c r="O3" i="11"/>
  <c r="J4" i="3"/>
  <c r="N4" i="3"/>
  <c r="O4" i="3" s="1"/>
  <c r="N3" i="11"/>
  <c r="AB11" i="1" l="1"/>
  <c r="X11" i="1"/>
  <c r="K19" i="3"/>
  <c r="L19" i="3" s="1"/>
  <c r="Z3" i="1"/>
  <c r="V3" i="1"/>
  <c r="S3" i="12"/>
  <c r="AB8" i="1"/>
  <c r="R12" i="2"/>
  <c r="S12" i="2" s="1"/>
  <c r="V12" i="2" s="1"/>
  <c r="AB9" i="1"/>
  <c r="R6" i="2"/>
  <c r="S6" i="2" s="1"/>
  <c r="V6" i="2" s="1"/>
  <c r="X24" i="1"/>
  <c r="X25" i="1"/>
  <c r="X10" i="1"/>
  <c r="X18" i="1"/>
  <c r="W3" i="1"/>
  <c r="P3" i="12"/>
  <c r="K13" i="3"/>
  <c r="L13" i="3" s="1"/>
  <c r="N13" i="3"/>
  <c r="O13" i="3" s="1"/>
  <c r="K14" i="3"/>
  <c r="L14" i="3" s="1"/>
  <c r="N14" i="3"/>
  <c r="O14" i="3" s="1"/>
  <c r="K15" i="3"/>
  <c r="L15" i="3" s="1"/>
  <c r="N15" i="3"/>
  <c r="O15" i="3" s="1"/>
  <c r="N6" i="3" l="1"/>
  <c r="O6" i="3" s="1"/>
  <c r="X3" i="1"/>
  <c r="AB10" i="1"/>
  <c r="R5" i="2"/>
  <c r="S5" i="2" s="1"/>
  <c r="V5" i="2" s="1"/>
  <c r="R13" i="2"/>
  <c r="S13" i="2" s="1"/>
  <c r="V13" i="2" s="1"/>
  <c r="R18" i="2"/>
  <c r="S18" i="2" s="1"/>
  <c r="V18" i="2" s="1"/>
  <c r="R24" i="2"/>
  <c r="S24" i="2" s="1"/>
  <c r="V24" i="2" s="1"/>
  <c r="R29" i="2"/>
  <c r="S29" i="2" s="1"/>
  <c r="V29" i="2" s="1"/>
  <c r="R36" i="2"/>
  <c r="S36" i="2" s="1"/>
  <c r="V36" i="2" s="1"/>
  <c r="R44" i="2"/>
  <c r="S44" i="2" s="1"/>
  <c r="V44" i="2" s="1"/>
  <c r="AB25" i="1"/>
  <c r="R32" i="2"/>
  <c r="S32" i="2" s="1"/>
  <c r="V32" i="2" s="1"/>
  <c r="R41" i="2"/>
  <c r="S41" i="2" s="1"/>
  <c r="V41" i="2" s="1"/>
  <c r="R47" i="2"/>
  <c r="S47" i="2" s="1"/>
  <c r="V47" i="2" s="1"/>
  <c r="AB24" i="1"/>
  <c r="R19" i="2"/>
  <c r="S19" i="2" s="1"/>
  <c r="V19" i="2" s="1"/>
  <c r="R21" i="2"/>
  <c r="S21" i="2" s="1"/>
  <c r="V21" i="2" s="1"/>
  <c r="R25" i="2"/>
  <c r="S25" i="2" s="1"/>
  <c r="V25" i="2" s="1"/>
  <c r="R31" i="2"/>
  <c r="S31" i="2" s="1"/>
  <c r="V31" i="2" s="1"/>
  <c r="R40" i="2"/>
  <c r="S40" i="2" s="1"/>
  <c r="V40" i="2" s="1"/>
  <c r="R46" i="2"/>
  <c r="S46" i="2" s="1"/>
  <c r="V46" i="2" s="1"/>
  <c r="R15" i="2"/>
  <c r="S15" i="2" s="1"/>
  <c r="V15" i="2" s="1"/>
  <c r="R11" i="2"/>
  <c r="S11" i="2" s="1"/>
  <c r="V11" i="2" s="1"/>
  <c r="R9" i="2"/>
  <c r="S9" i="2" s="1"/>
  <c r="V9" i="2" s="1"/>
  <c r="R3" i="12"/>
  <c r="Q3" i="12"/>
  <c r="T26" i="2" l="1"/>
  <c r="U26" i="2" s="1"/>
  <c r="V26" i="2" s="1"/>
  <c r="T33" i="2"/>
  <c r="U33" i="2" s="1"/>
  <c r="V33" i="2" s="1"/>
  <c r="T42" i="2"/>
  <c r="U42" i="2" s="1"/>
  <c r="V42" i="2" s="1"/>
  <c r="T16" i="2"/>
  <c r="U16" i="2" s="1"/>
  <c r="V16" i="2" s="1"/>
  <c r="T27" i="2" s="1"/>
  <c r="U27" i="2" s="1"/>
  <c r="V27" i="2" s="1"/>
  <c r="T20" i="2"/>
  <c r="U20" i="2" s="1"/>
  <c r="V20" i="2" s="1"/>
  <c r="T22" i="2" s="1"/>
  <c r="U22" i="2" s="1"/>
  <c r="V22" i="2" s="1"/>
  <c r="T34" i="2" s="1"/>
  <c r="U34" i="2" s="1"/>
  <c r="V34" i="2" s="1"/>
  <c r="T28" i="2"/>
  <c r="U28" i="2" s="1"/>
  <c r="V28" i="2" s="1"/>
  <c r="T35" i="2"/>
  <c r="U35" i="2" s="1"/>
  <c r="V35" i="2" s="1"/>
  <c r="T43" i="2"/>
  <c r="U43" i="2" s="1"/>
  <c r="V4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<sst xmlns="http://schemas.openxmlformats.org/spreadsheetml/2006/main" count="937" uniqueCount="436">
  <si>
    <t>The first step in customizing the template for your business is to create a unique stock code for each stock component and finished (manufactured) product on the StockCode sheet. Stock components can only be linked to a manufactured product if a stock code has been created for the appropriate stock item.</t>
  </si>
  <si>
    <t>Production Forecast</t>
  </si>
  <si>
    <t>Help &amp; Customization</t>
  </si>
  <si>
    <t>Set-up</t>
  </si>
  <si>
    <t>Stock Code</t>
  </si>
  <si>
    <t>Description</t>
  </si>
  <si>
    <t>UOM</t>
  </si>
  <si>
    <t>Component Stock Code</t>
  </si>
  <si>
    <t>Yield</t>
  </si>
  <si>
    <t>Product Description</t>
  </si>
  <si>
    <t>Component Description</t>
  </si>
  <si>
    <t>Product UOM</t>
  </si>
  <si>
    <t>Component UOM</t>
  </si>
  <si>
    <t>Product Stock Code</t>
  </si>
  <si>
    <t>Input Quantity</t>
  </si>
  <si>
    <t>Product Type</t>
  </si>
  <si>
    <t>Type</t>
  </si>
  <si>
    <t>Product Cost</t>
  </si>
  <si>
    <t>Units</t>
  </si>
  <si>
    <t>www.excel-skills.com</t>
  </si>
  <si>
    <t>Labour &amp; Direct Overheads</t>
  </si>
  <si>
    <t>Note: A very efficient method of adding components to a manufactured product is by copying the components from a similar product, selecting the appropriate new product code from the list box in column A and editing the input quantities and yields of all the components. This method will however only be efficient if components have previously been added to a similar manufactured product on the BOM sheet.</t>
  </si>
  <si>
    <t>Note: The yield basis should also be taken into account when determining the appropriate component input quantity. If the yield that is entered in column D is based on an Input basis, the component quantity that is added at the beginning of the manufacturing process should be entered in column C. If however the yield is based on an Output basis, the component quantity that remains at the end of the manufacturing process should be entered in column C. This is because the input quantity is divided by the yield as part of the component cost calculation.</t>
  </si>
  <si>
    <t>Note: If there is a significant yield loss during the manufacturing process and the incorrect yield basis is used to determine the yield that is entered in column D, the product costing of the manufactured product may be inaccurate. As we've mentioned before, the yield basis also affects the input quantity that needs to be entered. It is therefore important to take the yield basis into account when determining the component input quantity that needs to be entered in column C.</t>
  </si>
  <si>
    <t>Note: Columns A and B both contain list boxes that include all the stock codes that have been created on the StockCode sheet. You therefore need to create a stock code for each manufactured or component product before you will be able to select the appropriate stock code from the list boxes in these columns.</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</si>
  <si>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</si>
  <si>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The following sheets are included in the template:</t>
  </si>
  <si>
    <t>Hours</t>
  </si>
  <si>
    <t>Date Prepared:</t>
  </si>
  <si>
    <t>Quantity</t>
  </si>
  <si>
    <t>© www.excel-skills.com</t>
  </si>
  <si>
    <t>Stock Codes</t>
  </si>
  <si>
    <t>Bills of Material</t>
  </si>
  <si>
    <t>Costing Components Set-up</t>
  </si>
  <si>
    <t>Instructions</t>
  </si>
  <si>
    <t>Error Code</t>
  </si>
  <si>
    <t>Component Type</t>
  </si>
  <si>
    <t>Bought-In Price</t>
  </si>
  <si>
    <t>Bought-In Cost</t>
  </si>
  <si>
    <t>Intermed Comp Cost</t>
  </si>
  <si>
    <t>Intermed Prod Cost</t>
  </si>
  <si>
    <t>1212GHG</t>
  </si>
  <si>
    <t>Garden Shed</t>
  </si>
  <si>
    <t>RM10</t>
  </si>
  <si>
    <t>Steel Plates</t>
  </si>
  <si>
    <t>M2</t>
  </si>
  <si>
    <t>RM25</t>
  </si>
  <si>
    <t>Door Handle</t>
  </si>
  <si>
    <t>RM30</t>
  </si>
  <si>
    <t>Wood</t>
  </si>
  <si>
    <t>RM50</t>
  </si>
  <si>
    <t>Bag</t>
  </si>
  <si>
    <t>RM60</t>
  </si>
  <si>
    <t>Glass</t>
  </si>
  <si>
    <t>RM70</t>
  </si>
  <si>
    <t>Filler</t>
  </si>
  <si>
    <t>SD18</t>
  </si>
  <si>
    <t>SD20</t>
  </si>
  <si>
    <t>Window</t>
  </si>
  <si>
    <t>SD25</t>
  </si>
  <si>
    <t>Roof</t>
  </si>
  <si>
    <t>SD30</t>
  </si>
  <si>
    <t>Window Frame</t>
  </si>
  <si>
    <t>SD35</t>
  </si>
  <si>
    <t>Glazed Window</t>
  </si>
  <si>
    <t>1212PHP</t>
  </si>
  <si>
    <t>Painted Garden Shed</t>
  </si>
  <si>
    <t>1212THT</t>
  </si>
  <si>
    <t>Tools Shed</t>
  </si>
  <si>
    <t>1 Inch Screws</t>
  </si>
  <si>
    <t>RM55</t>
  </si>
  <si>
    <t>2 Inch Screws</t>
  </si>
  <si>
    <t>RM75</t>
  </si>
  <si>
    <t>Swivel</t>
  </si>
  <si>
    <t>RM80</t>
  </si>
  <si>
    <t>Paint - White</t>
  </si>
  <si>
    <t>Drum</t>
  </si>
  <si>
    <t>RM85</t>
  </si>
  <si>
    <t>Paint - Green</t>
  </si>
  <si>
    <t>Door</t>
  </si>
  <si>
    <t>SD40</t>
  </si>
  <si>
    <t>Glazed Window Frame</t>
  </si>
  <si>
    <t>LB10</t>
  </si>
  <si>
    <t>Labour - Grade 1</t>
  </si>
  <si>
    <t>LB15</t>
  </si>
  <si>
    <t>Labour - Grade 2</t>
  </si>
  <si>
    <t>A stock code convention that makes sense in the context of your business should be used and the stock code convention should make it easy to identify stock items based on the stock code that is assigned to each stock item. The template can accommodate any stock code convention but we suggest using a combination of letters and numbers. In our example, we have used a combination of four numbers and three letters for finished products and a combination of two letters and two numbers for bought-in and intermediate stock items.</t>
  </si>
  <si>
    <t>The purpose of the BOM sheet is to create a link between stock components and manufactured products. This is accomplished by entering the appropriate stock code of the manufactured product in column A and entering the stock code of the appropriate component in column B. Multiple stock components can be added to a single manufactured product in order to create a product costing which consists of multiple stock components.</t>
  </si>
  <si>
    <t>Note: The unit of measure (UOM) of the manufactured product is listed in column G. If the unit of measure of the manufactured product is "Units", the input quantity of the component should be sufficient in order to produce 1 unit of the manufactured product but if the unit of measure of the manufactured product is for example "Dozen", the input quantity that is entered should be sufficient in order to produce 12 units of the manufactured product.</t>
  </si>
  <si>
    <t>Note: You may also want to consider entering a calculation in the input quantity column because this approach may make it easier to determine how the input quantity has been calculated (if a calculation has been necessary). For example: if the component unit of measure is dozen and only one unit is used in the manufactured product, the component quantity is calculated by dividing 1 dozen by twelve. You therefore have the option of entering 0.083333 as the input quantity or you can enter the formula "=1/12" in the input quantity column.</t>
  </si>
  <si>
    <t>Example: If we use minced meat in the manufacturing of a beef burger, we have to decide on a yield basis before we can determine the appropriate input quantity that should be specified. If our aim is to produce a 400g burger at the end of the manufacturing process, the quantity is based on the output after manufacturing. We may know that on average 500g of minced meat is required in order to produce a 400g burger at the end of the manufacturing process - the 500g is therefore the Input based quantity. The manufacturing yield can therefore be calculated as 400g divided by 500g which is 80%. If we include a yield of 80% in the product costing, we need to include the output weight (400g) as the input quantity in the costing. The meat component cost is therefore calculated by dividing the 400g by 80% thereby effectively including 500g of meat in our beef burger product costing. If we use the Input basis in our product costing, an input quantity of 500g and yield of 100% should be entered (assuming that there is no meat yield loss prior to the start of the manufacturing process).</t>
  </si>
  <si>
    <t>Example: Our example beef burger includes one slice of onions. With this component, we are not really concerned about the output weight because we have already decided that only one slice of onions will be included on our beef burger. The unit of measure of the onions component is kilogram and we therefore need to calculate the input quantity of this component based on how many slices are included in a kilogram of onions. The quantity that represents one slice then needs to be entered in the Input Quantity column. In principle, we are calculating the input quantity based on the Input yield basis and the yield therefore needs to be entered as 100%. We do however know that after the slicing process is completed, 5% of the onions that we purchased do not end up as sliced onions and is therefore lost before the start of the manufacturing process. We also need to take this yield loss into account in order to compile an accurate beef burger product costing. A yield of 95% is therefore entered even though we used the Input basis in determining the appropriate component input quantity.</t>
  </si>
  <si>
    <t>For the purpose of compiling product costings, stock codes also need to be created for all labour, direct overheads and even distribution costs that need to be included in the product costings. These stock codes should be seen as cost centre codes instead of stock codes which are represented by physical stock on hand.</t>
  </si>
  <si>
    <t>You can create multiple labour stock codes on the StockCode sheet if there are different labour rates for different staff members. All the applicable labour stock codes then need to be added separately on the BOM sheet. Additional stock codes do not need to be created if only the production time (input quantity) differs between products because different production times can be accommodated by entering different input quantities for each product on the BOM sheet. It is only when the labour pay rates differ that separate stock codes are required.</t>
  </si>
  <si>
    <t>Error Codes</t>
  </si>
  <si>
    <t>■ E1 - this error code means that a duplicated stock code has been entered in the appropriate row. The error can be corrected by simply deleting one of the duplicated entries.</t>
  </si>
  <si>
    <t>Note: The contents of the BOM sheet have been included in an Excel table. You can add a new stock component to the sheet by simply selecting the appropriate product code from the list box in the first empty cell in column A - the table will be extended automatically to include the new product code. All the columns on the BOM sheet with a yellow column heading require user input. The columns with light blue column headings contain formulas that are automatically copied for all new stock components that are added to the Excel table.</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</si>
  <si>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</si>
  <si>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</si>
  <si>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Job Number</t>
  </si>
  <si>
    <t>Date</t>
  </si>
  <si>
    <t>Job Costing Transactions</t>
  </si>
  <si>
    <t>Job Costing Review</t>
  </si>
  <si>
    <t>Qty to Make</t>
  </si>
  <si>
    <t>Qty Received</t>
  </si>
  <si>
    <t>Qty Required</t>
  </si>
  <si>
    <t>J00001</t>
  </si>
  <si>
    <t>J00002</t>
  </si>
  <si>
    <t>Jobs</t>
  </si>
  <si>
    <t>Stock Description</t>
  </si>
  <si>
    <t>Receipt</t>
  </si>
  <si>
    <t>Diff</t>
  </si>
  <si>
    <t>Issue</t>
  </si>
  <si>
    <t>Requirements Planning</t>
  </si>
  <si>
    <t>Job Review Status</t>
  </si>
  <si>
    <t>Req Plan Status</t>
  </si>
  <si>
    <t>Req Plan Qty</t>
  </si>
  <si>
    <t>Usage</t>
  </si>
  <si>
    <t>STD</t>
  </si>
  <si>
    <t>Actual</t>
  </si>
  <si>
    <t>Value</t>
  </si>
  <si>
    <t>Qty Diff</t>
  </si>
  <si>
    <t>Value Diff</t>
  </si>
  <si>
    <t>Price</t>
  </si>
  <si>
    <t>Per Unit Diff</t>
  </si>
  <si>
    <t>Yes</t>
  </si>
  <si>
    <t>Cost PU</t>
  </si>
  <si>
    <t>TrnValue</t>
  </si>
  <si>
    <t>Job No</t>
  </si>
  <si>
    <t>Unit Cost</t>
  </si>
  <si>
    <t>Override?</t>
  </si>
  <si>
    <t>Usage Var</t>
  </si>
  <si>
    <t>Price Var</t>
  </si>
  <si>
    <t>STD Value</t>
  </si>
  <si>
    <t>Actual Value</t>
  </si>
  <si>
    <t>Check</t>
  </si>
  <si>
    <t>Job Balance</t>
  </si>
  <si>
    <t>Total Value</t>
  </si>
  <si>
    <t>Manufactured Products Produced</t>
  </si>
  <si>
    <t>From</t>
  </si>
  <si>
    <t>To</t>
  </si>
  <si>
    <t>J00003</t>
  </si>
  <si>
    <t>J00004</t>
  </si>
  <si>
    <t>J00005</t>
  </si>
  <si>
    <t>J00006</t>
  </si>
  <si>
    <t>■ E4 - this error code means that the component stock code that has been specified is invalid. Stock codes must be created on the StockCode sheet before being used on any of the other sheets and the error can therefore be corrected by simply creating the appropriate stock code on the StockCode sheet. If a stock code has been deleted, this error code will be displayed in all the rows on the BOM sheet that still refer to the stock code. These entries must be deleted or a valid stock code needs to be selected in column B.</t>
  </si>
  <si>
    <t>■ E5 - this error code means that a component has been duplicated in the same product costing. Components should only be included once in any particular product costing and duplications of component codes may result in inaccurate product costings. This error can be corrected by sorting the data on the BOM sheet in an ascending order based on the product code in column A and then by the component code in column B before deleting any duplicated entries that may exist.</t>
  </si>
  <si>
    <t>Job STD</t>
  </si>
  <si>
    <t>Job Actual</t>
  </si>
  <si>
    <t>Job Var</t>
  </si>
  <si>
    <t>Job Usage</t>
  </si>
  <si>
    <t>Job Price</t>
  </si>
  <si>
    <t>JUnique</t>
  </si>
  <si>
    <t>Job Date</t>
  </si>
  <si>
    <t>Manufactured Products:</t>
  </si>
  <si>
    <t>Components Issued:</t>
  </si>
  <si>
    <t>Job Qty Required</t>
  </si>
  <si>
    <t>Job Qty Issued</t>
  </si>
  <si>
    <t>Job Std Issued</t>
  </si>
  <si>
    <t>Level1 JobRequire</t>
  </si>
  <si>
    <t>Level2 JobRequire</t>
  </si>
  <si>
    <t>Level3 JobRequire</t>
  </si>
  <si>
    <t>Level4 JobRequire</t>
  </si>
  <si>
    <t>Level5 JobRequire</t>
  </si>
  <si>
    <t>Level6 JobRequire</t>
  </si>
  <si>
    <t>Level1 ReqPlan</t>
  </si>
  <si>
    <t>Level2 ReqPlan</t>
  </si>
  <si>
    <t>Level3 ReqPlan</t>
  </si>
  <si>
    <t>Level4 ReqPlan</t>
  </si>
  <si>
    <t>Level5 ReqPlan</t>
  </si>
  <si>
    <t>Level6 ReqPlan</t>
  </si>
  <si>
    <t>Level1 JobReceipt</t>
  </si>
  <si>
    <t>Level2 JobReceipt</t>
  </si>
  <si>
    <t>Level3 JobReceipt</t>
  </si>
  <si>
    <t>Level4 JobReceipt</t>
  </si>
  <si>
    <t>Level5 JobReceipt</t>
  </si>
  <si>
    <t>Level6 JobReceipt</t>
  </si>
  <si>
    <t>STD Cost</t>
  </si>
  <si>
    <t>Level1 TotIssued</t>
  </si>
  <si>
    <t>Level2 TotIssued</t>
  </si>
  <si>
    <t>Level3 TotIssued</t>
  </si>
  <si>
    <t>Level4 TotIssued</t>
  </si>
  <si>
    <t>Level5 TotIssued</t>
  </si>
  <si>
    <t>Level6 TotIssued</t>
  </si>
  <si>
    <t>Usage Var Qty</t>
  </si>
  <si>
    <t>Received Qty</t>
  </si>
  <si>
    <t>Issued STD Qty</t>
  </si>
  <si>
    <t>Issued Actual Qty</t>
  </si>
  <si>
    <t>Usage Var Value</t>
  </si>
  <si>
    <t>Total Var Value</t>
  </si>
  <si>
    <t>Price Var Value</t>
  </si>
  <si>
    <t>Unit Price</t>
  </si>
  <si>
    <t>Actual Unit Cost</t>
  </si>
  <si>
    <t>Actual UnitCost</t>
  </si>
  <si>
    <t>Actual Comp Cost</t>
  </si>
  <si>
    <t>Intermed Actual Cost</t>
  </si>
  <si>
    <t>Intermed Total Cost</t>
  </si>
  <si>
    <t>Actual Prod Cost</t>
  </si>
  <si>
    <t>STD Unit Price</t>
  </si>
  <si>
    <t>Unit Cost % Variance</t>
  </si>
  <si>
    <t>Basis</t>
  </si>
  <si>
    <t>FG Code</t>
  </si>
  <si>
    <t>STD UCost</t>
  </si>
  <si>
    <t>Actual UCost</t>
  </si>
  <si>
    <t>UCost Diff%</t>
  </si>
  <si>
    <t>Job Totals</t>
  </si>
  <si>
    <t>Date:</t>
  </si>
  <si>
    <t>■ E6 - The stock code that has been selected or entered is not a manufactured stock item. Only manufactured stock items can be used for job costing purposes. If the affected stock code is supposed to be a manufactured stock item, this error code could mean that the components which form part of the bill of material of the stock item have not been added to the BOM sheet. If you add the appropriate components to the BOM sheet, the product type will automatically change to a manufactured item.</t>
  </si>
  <si>
    <t>J00007</t>
  </si>
  <si>
    <t>STD Issue Level</t>
  </si>
  <si>
    <t>All</t>
  </si>
  <si>
    <t>Product Level</t>
  </si>
  <si>
    <t>Comp Incl Status</t>
  </si>
  <si>
    <t>Job Link</t>
  </si>
  <si>
    <t>JobLink Cost</t>
  </si>
  <si>
    <t>Avg Actual</t>
  </si>
  <si>
    <t>BOM Type</t>
  </si>
  <si>
    <t>Components Required</t>
  </si>
  <si>
    <t>■ E7 - The stock code that has been selected or entered is not a manufactured stock item and the stock receipt transaction type has been selected. Job receipt transactions should only be used for manufactured stock items. Either the transaction type or the stock code is therefore incorrect and should be amended. If the stock item is supposed to be a manufactured product, the appropriate components should be added to the BOM sheet.</t>
  </si>
  <si>
    <t>■ E9 - An incorrect transaction type has been entered. The template only makes provision for receipt and issue transactions being entered on the JDetails sheet. Select the correct transaction type from the list box in column B.</t>
  </si>
  <si>
    <t>■ E10 - The job number that has been specified in the JobLink column on the JDetails sheet does not exist. A job number needs to be created on the JSetup sheet before the job costs can be linked to another job. If an incorrect job link number is specified, the linked job cost will be nil.</t>
  </si>
  <si>
    <t>Note: Input errors may result in inaccurate template calculations and it is therefore imperative that all errors are resolved before reviewing the job costings.</t>
  </si>
  <si>
    <t>The following error codes may result from inaccurate user input and will be displayed in the Error Code columns of the appropriate sheet. The heading of the affected input column will also be highlighted in orange:</t>
  </si>
  <si>
    <t>Excel Skills | Job Costing Template</t>
  </si>
  <si>
    <t>■ E11 - A job receipt for a manufactured product has been entered on the JDetails sheet but the job has not been set up for the particular product on the JSetup sheet. The stock codes which have been used on the JDetails sheet and JSetup sheet therefore do not match. This error can be corrected by amending the stock code(s) on either the JDetails or JSetup sheets.</t>
  </si>
  <si>
    <t>IssueValue @STD</t>
  </si>
  <si>
    <t>IssueValue @Actual</t>
  </si>
  <si>
    <t>RecValue @STD</t>
  </si>
  <si>
    <t>RecValue @Actual</t>
  </si>
  <si>
    <t>This template enables users to compile job costings for all manufactured products by comparing actual costs to standard costs and measuring the total production variance as well as the usage &amp; price variances on an individual job and total basis. The standard costs are based on the individual standard prices that are specified for all bought-in stock items and the bills of material (“recipes”) that are compiled for each manufactured product. The actual costs are based on the components that are issued to each manufacturing job and the actual prices of all bought-in products. The template also includes a unique production variance summary report which can be used to analyse stock variances per individual stock item over any user defined period and a production forecast report which can be used for materials requirements planning (MRP) purposes.</t>
  </si>
  <si>
    <t>Enter a unique stock code in accordance with the stock code convention that is suitable for your type of business.</t>
  </si>
  <si>
    <t>Note: The two letters that are used in the bought-in and intermediate products assists users in identifying the type of stock - for example, RM refers to raw materials, LB refers to labour and SD refers to intermediate products. Note that even though labour is not actually a stock item, we also assign a stock code to labour cost in order to include this type of direct cost in the job costings. The same principle can be applied in order to include other direct costs like overheads or even distribution costs in the job costings.</t>
  </si>
  <si>
    <t>Enter a description of the stock item. This description should enable users to easily distinguish between stock items.</t>
  </si>
  <si>
    <t>Unit of Measure (UOM)</t>
  </si>
  <si>
    <t>The most important aspect of the standard unit price is that it should be in the same unit of measure as the unit of measure that is specified in the UOM column. If a stock component is ordered from a supplier in another unit of measure, the standard unit price should be converted to the unit of measure that is specified in the UOM column. Standard unit prices should be entered excluding sales tax if the sales tax amounts can be claimed back from the appropriate tax authorities.</t>
  </si>
  <si>
    <t>The standard unit price is multiplied by the input quantity which is entered on the BOM sheet in order to calculate the standard cost of the appropriate manufactured item.</t>
  </si>
  <si>
    <t>Once you have decided on a stock code convention, you can create a unique stock code for each stock item that should be included in the job costings. The StockCode sheet includes the following user input columns (columns with yellow column headings):</t>
  </si>
  <si>
    <t>A standard issue level needs to be selected for each manufactured stock item. An issue level of either "All" or "First" can be selected from the list box. If no issue level is selected for a manufactured stock item, the issue level is assumed to be "All". Selecting an issue level for a bought-in stock item has no effect on the template calculations.</t>
  </si>
  <si>
    <t>When the "First" level is selected, the template will assume that intermediate products will be issued to the jobs that relate to this particular product and the standard issues should therefore also be calculated based on the use of intermediate products. This means that where the product has multiple levels in its bill of material, the sub components that form part of the first level will be included in the standard issues that are calculated for all the jobs that are created for the particular product.</t>
  </si>
  <si>
    <t>Example: If we select the "All" level for the garden shed manufactured product, the bought-in components of the windows (wooden frames, glass and nails) will be issued as part of the standard issue calculations. In order to analyse the job on a per product basis, the manufacturing of windows will therefore form part of the same job as the manufacturing of the entire garden shed and the individual bought-in products must be recorded as issues on the JDetails sheet in order to analyse the variances on a per product basis.</t>
  </si>
  <si>
    <t>Note: All the columns on the StockCode sheet with a yellow column heading require user input. The columns with light blue column headings contain formulas that are automatically copied when you add a new stock code in the first empty cell in column A. The following columns contain formulas:</t>
  </si>
  <si>
    <t>The formulas in this column display an error code if there is a problem with the data that has been entered in any of the user input columns. This column should therefore not contain any error codes if all user input has been entered correctly. If any error codes are reflected in this column, the errors should be investigated and rectified in order to ensure that all template calculations remain accurate. Refer to the Error Codes section of these instructions for guidance on how to correct the appropriate user input errors.</t>
  </si>
  <si>
    <t>Note: Manufactured products will only be deemed to be manufactured if they are included on the BOM sheet. If a product which is supposed to be a manufactured product is indicated as a bought-in product, you have probably not added the product to the BOM sheet.</t>
  </si>
  <si>
    <t>This column indicates which type of bill of material has been added for a product. If the product is a manufactured product and it is not included as a component in any other bills of material on the BOM sheet, the BOM type will be a finished goods product type (FG).  If the product is a manufactured product and it is included as a component in another bill of material on the BOM sheet, the BOM type will be an intermediate product type (IM). If the product is a bought-in product, the BOM type will be "None".</t>
  </si>
  <si>
    <t>This column contains the component quantity which needs to be issued based on the job receipts which have been recorded on the JDetails sheet and the job number which has been selected in cell D1 on the JReview sheet. The values in this column are used in the compilation of the JReview sheet.</t>
  </si>
  <si>
    <t>This column contains the component quantity which is required in order to produce the job number which has been selected in cell D1 on the JReview sheet. The values in this column are used in the compilation of the JReview sheet.</t>
  </si>
  <si>
    <t>This column contains the component quantities which have been issued by recording stock issue transactions on the JDetails sheet against the job number which has been selected in cell D1 on the JReview sheet. The values in this column are used in the compilation of the JReview sheet.</t>
  </si>
  <si>
    <t>This column indicates which components need to be included on the JReview sheet and the status is only used in the compilation of the JReview sheet.</t>
  </si>
  <si>
    <t>This column contains the component quantities which are required in order to produce the products which have been included on the ReqPlan sheet. The values in this column are only used in the compilation of the ReqPlan sheet.</t>
  </si>
  <si>
    <t>This column indicates which components need to be included on the ReqPlan sheet and the status is only used in the compilation of the ReqPlan sheet.</t>
  </si>
  <si>
    <t>This column indicates the total component quantities which needed to be issued in order to produce the total quantities which have been received as per column P. This is the standard quantities which needed to be issued based on the bills of material which are included on the BOM sheet and are based on the input quantities and yields which have been specified for each manufactured product.</t>
  </si>
  <si>
    <t>This is the difference between the standard and actual issue quantities and represents the total usage variance quantities for all jobs that fall within the specified date range.</t>
  </si>
  <si>
    <t>The values in this column represent the total standard cost value of all stock receipt transactions which have been entered on the JDetails sheet for the appropriate manufactured stock item.</t>
  </si>
  <si>
    <t>Note: The value of transactions that relate to intermediate stock items will be excluded to the extent that the intermediate products were manufactured (receipt transactions) and issued to other manufacturing jobs (issue transactions) during the same review period. This adjustment is necessary in order for production values not to be duplicated and therefore overstated.</t>
  </si>
  <si>
    <t>The values in this column represent the total actual cost value of all stock receipt transactions which have been entered on the JDetails sheet for the appropriate manufactured stock item. For intermediate products, the value in this column will be the difference between the total receipted actual value and the total issued actual value.</t>
  </si>
  <si>
    <t>Note: If multiple manufactured products are linked to the same job, the values in this column will be nil. This is because it is impossible to determine what the actual cost of multiple manufactured products are if these multiple manufactured products are linked to the same job.</t>
  </si>
  <si>
    <t>The values in this column indicate the total usage variance value for each component. Positive values represent positive variances (actual usage lower than the standard) and vice versa.</t>
  </si>
  <si>
    <t>The values in this column indicate what the average actual cost of each component is for the period under review. If only one manufactured product is linked to a job, the actual costs are calculated based on the issue transactions which have been entered on the JDetails sheet.</t>
  </si>
  <si>
    <t>The following section covers some important points that users should take note of regarding the production variance report.</t>
  </si>
  <si>
    <t>All of the following columns contain formulas which affect the calculations that are included in our unique production variance report which is included on the StockCode sheet from columns P to AB. The production report is based on the From and To dates that are specified in cells P2 and R2 respectively.</t>
  </si>
  <si>
    <t>Reporting Dates</t>
  </si>
  <si>
    <t>For bought-in products, the average actual cost will be the average cost which has been issued for the component on the JDetails sheet. For manufactured products, the average actual cost will be the total value of all components which have been issued to jobs that relate to the manufacturing of the appropriate item divided by the quantity that has been received.</t>
  </si>
  <si>
    <t>Note: All actual average cost calculations are based on a date range which includes the first transaction date which has been included on the JDetails sheet and the To date which has been entered on the StockCode sheet. If no To date has been specified, the date range will end on the last day of the current calendar month (based on the system date of your computer).</t>
  </si>
  <si>
    <t>The production, quantities, values and variances on the StockCode sheet (columns P to Z) are all based on the From and To dates which are specified in cells P2 and R2. The calculations in these columns will therefore change when new From and To dates are entered in these cells.</t>
  </si>
  <si>
    <t>If no From date is specified (cell P2 is blank), the From date will default to the first date which has been entered on the JDetails sheet and the report will therefore include all jobs. If no To date is specified (cell R2 is blank), the report will default to the last day of the current calendar month (based on your computer's date settings).</t>
  </si>
  <si>
    <t>The date functionality enables users to run the production variance report for any user defined date range which can include single or multiple jobs based on the job receipt and issue transactions which have been entered on the JDetails sheet.</t>
  </si>
  <si>
    <t>General Info</t>
  </si>
  <si>
    <t>The totals above the column headings have been calculated by using a SUBTOTAL function. This means that if you filter the StockCode sheet, only the cells that are visible on the sheet will be included in these calculations.</t>
  </si>
  <si>
    <t>Note: Standard unit prices should not be entered for manufactured products because the standard product costings of these stock items are determined based on the standard unit prices of the components that have been linked to the manufactured products on the BOM sheet. If you enter a standard unit price for a manufactured stock item, the input will have no effect on the standard costs that are calculated.</t>
  </si>
  <si>
    <t>As we've mentioned before, the value of transactions that relate to intermediate stock items will be excluded from the report to the extent that the intermediate products were manufactured (receipt transactions) and issued to other manufacturing jobs (issue transactions) during the same review period. This adjustment is necessary in order for production values not to be duplicated and therefore overstated.</t>
  </si>
  <si>
    <t>Note: All the columns on the BOM sheet with a yellow column heading require user input. The columns with light blue column headings contain formulas that are automatically copied when you add a new stock code in the first empty cell in column A. The following columns contain formulas:</t>
  </si>
  <si>
    <t>The BOM sheet includes the following user input columns (columns with yellow column headings):</t>
  </si>
  <si>
    <t>Note: Components are listed on the job costing review (JReview sheet) in the same order in which they appear on the StockCode sheet. If all stock components are therefore sorted in an ascending order by the stock code, the components will also be displayed in this order on the JReview sheet.</t>
  </si>
  <si>
    <t>Note: Product stock codes and components do not need to be grouped together on the BOM sheet (by the product stock code) when entering data but we recommend this approach because it will make it easier to identify components which have been duplicated. You can also sort the BOM sheet first by the product code in column A and then by the component code in order to reflect your standard costing records in this order.</t>
  </si>
  <si>
    <t>A component stock code needs to be selected from the list box in column B for each component that is used in manufacturing the product which has been selected in column A. The standard cost of a manufactured product for job costing purposes is calculated based on the costs of all the components that have been linked to a manufactured product on the BOM sheet.</t>
  </si>
  <si>
    <t>The input quantity of the stock component that is used in the manufacturing process should be entered in column C. This quantity should be entered in the same unit of measure that is specified for the particular stock code on the StockCode sheet (the component UOM is listed in column J).</t>
  </si>
  <si>
    <t>The component yield should be entered in column D as a percentage. The input quantity that is entered in column C is divided by the yield in column D in order to determine the component quantity that is required in order to produce the manufactured product. Yields can be determined on an Input or an Output basis - the difference between the two bases is best explained by a definition and a few examples.</t>
  </si>
  <si>
    <t>Product Description , Product UOM</t>
  </si>
  <si>
    <t>These two columns are included on the BOM sheet to enable users to view the description of the product stock codes that are selected in column A and to ensure that the correct unit of measure is used when entering component input quantities.</t>
  </si>
  <si>
    <t>Component Description , Component UOM</t>
  </si>
  <si>
    <t>These columns are included to enable users to view the description of the component codes that are selected in column B and to ensure that the correct unit of measure is used when entering component input quantities.</t>
  </si>
  <si>
    <t>This column indicates the bill of material level which has been assigned on the StockCode sheet for the product stock code that has been selected in column A. The bill of material level determines whether intermediate products are issued on a job for standard costing purposes and should be aligned to the way in which actual components will be included in a manufacturing job.</t>
  </si>
  <si>
    <t>Note: If a BOM level of all is assigned to a product, it means that the product is produced in a single manufacturing process and that only bought-in items will be issued to the job. If a first level is selected for the product, it means that the intermediate products that form part of the product's bill of material will be produced through separate manufacturing processes (and therefore jobs) and that the intermediate products will be issued to the job.</t>
  </si>
  <si>
    <t>Note: If the bill of material for a product contains no intermediate products, we recommend that the "All" level is selected for the appropriate product.</t>
  </si>
  <si>
    <t>This column reflects the type of component that has been selected in column B. If the component type is "Bought-in", it means that the component is purchased from a supplier. If the component type is "Manufactured", it means that the component is an intermediate product which needs to be manufactured.</t>
  </si>
  <si>
    <t>This column contains the status of a component based on the product level that has been selected and is only used for report calculation purposes.</t>
  </si>
  <si>
    <t>If the component is a bought-in stock item, the standard unit price of the component which is specified on the StockCode sheet will be included in this column. If the component is a manufactured stock item, the bought-in price will be nil and the component cost will be based on the calculations in the intermediate columns.</t>
  </si>
  <si>
    <t>The bought-in cost of components is calculated by multiplying the bought-in price of the component by the input quantity in column C and dividing the result by the yield in column D.</t>
  </si>
  <si>
    <t>If the component that has been selected in column B is a manufactured product, the component cost in this column is determined based on the product cost of the intermediate product which is calculated in column Q. Note that the component cost is calculated as the sum of all the product costs of components that are linked to the intermediate product on the BOM sheet. If the component is a bought-in product, the intermediate component cost of the product will be nil.</t>
  </si>
  <si>
    <t>The intermediate product costs of components are calculated by multiplying the intermediate component cost of the component by the input quantity in column C and dividing the result by the yield in column D.</t>
  </si>
  <si>
    <t xml:space="preserve">Intermed Prod Cost </t>
  </si>
  <si>
    <t>If the component is a bought-in product, the component product cost will be equal to the component bought-in cost. If the component is an intermediate product, the component cost will be equal to the intermediate product cost. Note that the product cost of the manufactured product that has been selected in column A will be equal to the sum of all the component product costs that are calculated for the particular product in this column.</t>
  </si>
  <si>
    <t>If the component is a bought-in stock item, the actual unit cost of the component which is calculated in column AA on the StockCode sheet will be included in this column. If the component is a manufactured stock item, the actual unit cost will be nil and the component actual cost will be based on the calculations in the intermediate columns.</t>
  </si>
  <si>
    <t>The actual component cost in this column is calculated by multiplying the actual unit cost of the component by the input quantity in column C and dividing the result by the yield in column D.</t>
  </si>
  <si>
    <t>If the component that has been selected in column B is a manufactured product, the actual intermediate component cost in this column is determined based on the actual cost of the intermediate product which is calculated in column V. Note that the actual component cost is calculated as the sum of all the actual costs of components that are linked to the intermediate product on the BOM sheet. If the component is a bought-in product, the actual intermediate component cost of the product will be nil.</t>
  </si>
  <si>
    <t>The actual intermediate costs of components are calculated by multiplying the actual intermediate component cost in the previous column by the input quantity in column C and dividing the result by the yield in column D.</t>
  </si>
  <si>
    <t>If the component is a bought-in product, the component actual cost will be equal to the component actual unit cost. If the component is an intermediate product, the component actual cost will be equal to the intermediate actual cost. Note that the actual cost of the manufactured product that has been selected in column A will equal the sum of all the component actual costs that are calculated for the particular product in this column.</t>
  </si>
  <si>
    <t>Note: The actual cost calculations on the BOM sheet are only used when multiple products have been assigned to a manufacturing job. If only one manufactured product is assigned to each job, the actual unit costs are calculated purely based on the job issue transactions which are entered on the JDetails sheet.</t>
  </si>
  <si>
    <t>Level1 TotIssued to Level6 TotIssued</t>
  </si>
  <si>
    <t>These columns are used to calculate the standard issues of all bought-in and intermediate products based on the received quantities of all manufactured products that have been entered on the JDetails sheet. The total standard quantities issued in column Q on the StockCode sheet are based on the calculations in these columns.</t>
  </si>
  <si>
    <t>Level1 JobRequire to Level6 JobRequire</t>
  </si>
  <si>
    <t>These columns are used to calculate the standard issues of all bought-in and intermediate products based on the required quantities on the job that is currently selected on the JReview sheet. The total standard quantities issued in column D on the JReview sheet are based on the calculations in these columns.</t>
  </si>
  <si>
    <t>Level1 JobReceipt to Level6 JobReceipt</t>
  </si>
  <si>
    <t>These columns are used to calculate the standard issues of all bought-in and intermediate products based on the received quantities of the job that is currently selected on the JReview sheet. The total standard quantities issued in column E on the JReview sheet are based on the calculations in these columns.</t>
  </si>
  <si>
    <t>Level1 ReqPlan to Level6 ReqPlan</t>
  </si>
  <si>
    <t>These columns are used to calculate the standard issues of all bought-in and intermediate products based on the production forecast quantities of all manufactured products that have been entered in columns A to G on the ReqPlan sheet. The total component quantities required in columns I to N on the ReqPlan sheet are based on the calculations in these columns.</t>
  </si>
  <si>
    <t>The following section covers some important points that users should take note of regarding the bills of material on the BOM sheet.</t>
  </si>
  <si>
    <t>Example: A beef burger is manufactured in a kitchen that consists of 3 staff members. The labour rate is $10.00 per hour and a total of 400 beef burgers are produced during a shift of 8 hours. In order to add the labour component to the beef burger product costing, we need to create a stock code for labour on the StockCode sheet (in our example data, all labour related stock codes start with an "LB"), enter a UOM of hours for the stock code, enter the $10 per hour as the standard unit price of the stock code, add the labour component code to the beef burger bill of material on the BOM sheet, calculate the production time (3 staff members multiplied by 8 hours in a shift and divided by the 400 beef burgers that are produced), enter the production time as the input quantity of the labour component on the BOM sheet and enter a yield of 100% on the BOM sheet.</t>
  </si>
  <si>
    <t>The appropriate labour pay rates or overhead allocation rates should be entered in the standard unit price column on the StockCode sheet and the appropriate production times should be entered in the input quantity column on the BOM sheet. A 100% yield should be entered for all labour and overhead costs.</t>
  </si>
  <si>
    <t>Example: Direct overheads or distribution costs can also be added to the product costings by creating a stock code for each type of overhead. We suggest that you compile a monthly forecast of all the appropriate costs, determine the average number of units that are produced on a monthly basis, calculate the overhead rate by dividing the forecasted monthly amount by the number of units, create a stock code for the appropriate type of direct overhead cost on the StockCode sheet, enter a UOM of "Units", enter the overhead rate as the standard unit price, add the overhead stock code as a component on the BOM sheet for all the applicable products and enter an input quantity of 1 and a yield of 100% on the BOM sheet.</t>
  </si>
  <si>
    <t>Job Set-up</t>
  </si>
  <si>
    <t>Job Review</t>
  </si>
  <si>
    <t>The template accommodates any job numbering convention and the format that is supplied in our examples does not need to be used. It is only important that each manufacturing job is assigned a unique job number.</t>
  </si>
  <si>
    <t>We recommend that you only include one manufactured product per job number. If this approach is followed, the actual cost of each job can be calculated with 100% accuracy but the template does accommodate a maximum of three manufactured products which can be added to a single job (this limitation only applies to the layout of the JReview sheet and can easily be customized to include more manufactured products).</t>
  </si>
  <si>
    <t>We believe that there would still be some value that can be derived from calculating an estimated actual cost for all manufactured products when in the Multiple mode even though this estimated value cannot be a 100% accurate actual cost. The most practical approach in estimating an actual cost in the Multiple mode would be to use the average actual costs of bought-in products and to include these prices in the existing bills of material in order to calculate an estimated actual cost which is based on actual prices and standard usages.</t>
  </si>
  <si>
    <t>When the template is therefore switched to the Multiple mode, the estimated average costs of manufactured and intermediate products will be reflected in column AA on the StockCode sheet. The JReview sheet will not however include an actual cost because the calculations are performed for an entire date range and not based on a single job. The total actual cost of the job on the JReview sheet will however not be based on an estimated calculation and will therefore be 100% accurate.</t>
  </si>
  <si>
    <t>Note: The contents of the JSetup sheet have been included in an Excel table. You can add a new job to the sheet by simply entering the appropriate job number in the first empty cell in column A - the table will be extended automatically to include the new job. All the columns on the JSetup sheet with a yellow column heading require user input. The columns with light blue column headings contain formulas that are automatically copied for all new jobs that are added to the Excel table.</t>
  </si>
  <si>
    <t>The JSetup sheet includes the following user input columns (columns with yellow column headings):</t>
  </si>
  <si>
    <t>Enter a unique job number in this column. The job number needs to be repeated in this column if multiple manufactured products are being linked to the same job number. You can use any job numbering convention.</t>
  </si>
  <si>
    <t>Enter the date on which the job is completed in this column and repeat the date if multiple manufactured products are linked to the same job.</t>
  </si>
  <si>
    <t>Select the stock code of the product that is being manufactured in this column. All stock codes need to be added to the StockCode sheet before being available for selection on this sheet.</t>
  </si>
  <si>
    <t>Enter the quantity that is required to be made in this column. This quantity does not have a direct impact on the standard or actual costs but is used to determine the component requirements on the JReview sheet in column D. You can therefore use the quantities in column D on the JReview sheet for materials requirement planning (MRP) purposes on an individual job level.</t>
  </si>
  <si>
    <t>Note: All the columns on the JSetup sheet with a yellow column heading require user input. The columns with light blue column headings contain formulas that are automatically copied when you add a new job number in the first empty cell in column A. The following columns contain formulas:</t>
  </si>
  <si>
    <t>The description of the stock code which has been selected in column C is displayed in this column. You can use the description in order to check whether the correct stock code has been selected.</t>
  </si>
  <si>
    <t>This column contains the product type of the selected stock code. Only manufactured products should be linked to jobs on this sheet. If the product type is displayed as bought-in, you need to check the BOM sheet to determine whether components have been added to the selected stock code on that sheet. If no components have been added, a review of standard and actual job costs will not be possible.</t>
  </si>
  <si>
    <t>This column indicates whether the manufactured product is a finished good (FG) or an intermediate product (IM). If the stock code is not a manufactured item, the BOM type will be "None".</t>
  </si>
  <si>
    <t>The total quantities received for the stock code in column C and the job number in column A is displayed in this column. All job receipts should be recorded on the JDetails sheet.</t>
  </si>
  <si>
    <t>The difference between the required quantity and received quantity is indicated in this column. This value indicates whether a surplus or shortfall in production of the stock code in column C has occurred. For most jobs, this value should be nil because the aim is to produce the required quantity in column D.</t>
  </si>
  <si>
    <t>This is the difference between the standard and actual unit cost in percentage terms. A positive value indicates a positive variance (actual cost lower than standard cost) and vice versa.</t>
  </si>
  <si>
    <t>The standard value is calculated by multiplying the quantity received by the standard unit cost and represents the total standard cost value that has been received on the manufacturing job.</t>
  </si>
  <si>
    <t>The job standard equals the standard value of the job when only one product is linked to each manufacturing job. When multiple products are linked to the same manufacturing job, the job standard will equal the total of all the standard values that have been linked to the same job.</t>
  </si>
  <si>
    <t>The job date is determined based on the date that has been entered in column B.</t>
  </si>
  <si>
    <t>This column contains a value which is used in order to determine whether the template needs to be set to the multiple or single product per job mode. If more than one product has been linked to a single job, the template will automatically switch to the multiple mode and the status will be reflected in cell U1.</t>
  </si>
  <si>
    <t>Note: All job numbers need to be created on the JSetup sheet before any job transactions are entered on the JDetails sheet otherwise the template calculations will not be accurate.</t>
  </si>
  <si>
    <t>Note: If the template mode in cell U1 is indicated as Multiple and your intention is not to link more than one product to a single job, you can review the JUnique column for any nil values which would indicate that the appropriate job has been linked to more than one product. If you edit the job number in column A or delete the incorrect row, the template will automatically switch back to the Single mode.</t>
  </si>
  <si>
    <t>Job Transactions</t>
  </si>
  <si>
    <t>Only two transaction types can be recorded on the JDetails sheet. Receipt transactions should be recorded for the quantities that are produced of a manufactured product (as positive values). Issue transactions should be recorded for all components that are used in the manufacturing process - positive and negative values can be recorded. You can therefore record the total quantities that have been issued to production as negative values and record the total quantities that are received back from production at the end of a shift as positive values. The net job issue value per component should however always be a negative value.</t>
  </si>
  <si>
    <t>The standard component cost per unit for job issue transactions can be overridden by entering a new actual cost in column E and selecting the "Yes" option from the list box in column F (only applies to bought-in type components). Actual price adjustments will not have any effect if entered for receipt type transactions or for manufactured products (intermediate components).</t>
  </si>
  <si>
    <t>The standard unit cost of manufactured products (intermediate components) can be linked to a job which was previously completed by simply entering the appropriate job number in column G. If the job number that is entered does not exist or if the product was not manufactured during the completion of the specified job, the job number input will have no effect on the actual transaction value.</t>
  </si>
  <si>
    <t>The actual job issue value of a manufactured product which is issued on a job (therefore an intermediate product) will be calculated based on the job number to which the component has been linked (in column G). If no job link has been applied to the transaction, the actual average cost of production which is calculated in column R will be used. If the appropriate product has not been manufactured previously, the standard unit cost will be used in the transaction value calculation.</t>
  </si>
  <si>
    <t>Note: The totals above the column headings have been calculated by using a SUBTOTAL function. This means that if you filter the JSetup sheet, only the cells that are visible on the sheet will be included in these calculations.</t>
  </si>
  <si>
    <t>Note: The totals above the column headings have been calculated by using a SUBTOTAL function. This means that if you filter the JDetails sheet, only the cells that are visible on the sheet will be included in these calculations.</t>
  </si>
  <si>
    <t>The JDetails sheet includes the following user input columns (columns with yellow column headings):</t>
  </si>
  <si>
    <t>Note: All the columns on the JDetails sheet with a yellow column heading require user input. The columns with light blue column headings contain formulas that are automatically copied when you add a new job number in the first empty cell in column A. The following columns contain formulas:</t>
  </si>
  <si>
    <t>Enter the job number to which the job transaction relates. All job numbers must be created on the JSetup sheet before being used on the JDetails sheet.</t>
  </si>
  <si>
    <t>Select the transaction type from the list box. Only two transaction types can be recorded on the JDetails sheet. Receipt transactions should be recorded for the quantities that are produced of a manufactured product (as positive values). Issue transactions should be recorded for all components that are used in the manufacturing process - positive and negative values can be recorded. You can therefore record the total quantities that have been issued to production as negative values and record the total quantities that are received back from production at the end of a shift as positive values. The net job issue value per component should however always be a negative value.</t>
  </si>
  <si>
    <t>Select the appropriate stock code for the transaction from the list box. Only stock codes which have been added to the StockCode sheet are available for selection.</t>
  </si>
  <si>
    <t>Enter the transaction quantity. Stock receipt transactions should be entered as positive values. Stock issue transactions can be recorded as both negative values (quantity issued to production) and positive values (quantity received back from production). The net total per stock code should however be a negative value.</t>
  </si>
  <si>
    <t>If you want to override the standard unit cost with an actual cost, enter the actual cost of the component in this column. This column only applies to stock issue transactions for bought-in items - if you enter a value for a receipt transaction or for a manufactured stock item, the value will have no effect.</t>
  </si>
  <si>
    <t>The actual costs that are entered in column E are only used to override the standard unit cost if the "Yes" option is selected from the list box in this column.</t>
  </si>
  <si>
    <t>Enter the job number to which a manufactured product's actual cost should be linked. You can use any job number which has previously been used but the link will only come into effect if the job number exists and the stock code which has been selected in column C was produced on the specified manufacturing job. Job links only apply to stock issue transactions and should therefore only be used to override the standard cost of an intermediate product with an actual unit cost which is determined by the job link.</t>
  </si>
  <si>
    <t>This column contains the product type of the selected stock code. Only manufactured products should be linked to job receipt transactions while both manufactured (intermediate) and bought-in products can be linked to job issue transactions.</t>
  </si>
  <si>
    <t>The standard unit cost of the stock code which has been selected in column C is included in this column.</t>
  </si>
  <si>
    <t>The actual unit price of the transaction will be included in this column. The unit price for all job receipt transactions will equal the standard unit cost. The unit price for job issue transactions is determined based on the product type.</t>
  </si>
  <si>
    <t>For bought-in products, the unit price will equal the standard unit cost if the actual cost has not be overridden by a user defined cost in column E and the "Yes" option selected in column F.</t>
  </si>
  <si>
    <t>For manufactured (intermediate) products, the unit price is determined by the job to which the product has been linked. If no job link has been included in column G, the unit price will equal the average actual cost which is included in column R. If the product has not been produced previously and no average actual cost is therefore reflected in column R, the unit price will equal the standard unit cost of the product.</t>
  </si>
  <si>
    <t>The transaction value is calculated by multiplying the quantity in column D by the unit price in column M.</t>
  </si>
  <si>
    <t>The price variance values in this column are calculated as the difference between the standard unit cost and the actual unit price. Positive values represent positive price variances and vice versa.</t>
  </si>
  <si>
    <t>The job date is specified when creating a job number on the JSetup sheet.</t>
  </si>
  <si>
    <t>If a job link has been specified for the selected stock item in column G, the job link cost is included in this column.</t>
  </si>
  <si>
    <t>By entering a To date on the StockCode sheet, you can therefore determine which average actual costs are included in this column. If no To date is specified on the StockCode sheet, all the jobs that have been created on the JSetup sheet will form part of this calculation.</t>
  </si>
  <si>
    <t>The manufactured product which has been linked to the appropriate job number will be included in this column.</t>
  </si>
  <si>
    <t>Note: This column will only contain values if the template is in Single mode which means that a single manufactured product has been linked to each job.</t>
  </si>
  <si>
    <t>If the job issue transaction type has been selected in column B, a manufactured (intermediate) product has been selected in column C and the manufactured product has been produced previously, the average actual cost of all previous manufacturing jobs will be displayed in this column. This value is influenced by the To date that is selected on in cell R2 on the StockCode sheet. All jobs that fall between the first job date on the JSetup sheet and the To date which has been specified on the StockCode sheet are included in this calculation.</t>
  </si>
  <si>
    <t>The above only holds true when the template is in the Single mode. If the template is in Multiple mode, the average cost which is included in this column will be based on the standard usages on the BOM sheet and the actual average costs of the components which have been linked to the product on the BOM sheet. This adjustment to the average actual cost is necessary because it is impossible to calculate an average actual cost for a manufactured product when more than one product is linked to the same job.</t>
  </si>
  <si>
    <t>The JReview sheet can be used to review individual job costings. All the calculations on this sheet are automated and the only user input that is required is entering or copying the appropriate job number into cell D1.</t>
  </si>
  <si>
    <t>The manufactured products section in row 3 to 6 includes all the products which have been linked to the selected job on the JSetup sheet. The JReview sheet accommodates a maximum of three products which can be linked to a single job but you can customize the sheet to include more products by inserting the appropriate number of rows below this section and copying the formulas in row 6 into the appropriate number of new rows.</t>
  </si>
  <si>
    <t>Balance</t>
  </si>
  <si>
    <t>This section includes the stock code, description and unit of measure (UOM) of each manufactured stock item as well as the quantity to make (quantity required on the JSetup sheet), quantity received, job balance, standard value (total receipts at standard unit cost), standard unit cost, actual unit cost and the cost difference percentage. The actual unit cost is calculated by dividing the total actual cost by the quantity that has been received.</t>
  </si>
  <si>
    <t>The components issued section on the JReview sheet will include all components which form part of the bill of material of the manufactured product(s) that have been included in the job as well as any components which do not form part of the bill of material but for which job issue transactions have been included on the JDetails sheet.</t>
  </si>
  <si>
    <t>The components will be listed in the same sequence as they are included on the StockCode sheet and the stock code, description and unit of measure (UOM) of each of these components will be included in columns A to C. The component quantity required is calculated based on the bills of material and the required quantities which are entered for each manufactured product on the JSetup sheet. The values in this column can be used for requirements planning purposes on a single job level.</t>
  </si>
  <si>
    <t>The usage section includes the total standard quantities which needed to be issued, the total actual quantities which have been issued by recording job issue transactions on the JDetails sheet, the quantity difference and a value difference which is calculated based on the standard cost per unit. The standard quantities issued are calculated based on the bills of material on the BOM sheet and should equal the required quantities if the job balances for all manufactured products are nil.</t>
  </si>
  <si>
    <t>The price section includes the component standard costs per unit, the component actual costs per unit which is calculated based on the actual unit costs that have been issued on the JDetails sheet, the unit price difference and a price variance value which is based on the actual quantities issued.</t>
  </si>
  <si>
    <t>The total value section includes the total standard value, the total actual value and the difference between the standard and actual values per component.</t>
  </si>
  <si>
    <t>Note: The variances in the usage, price and total sections will contain positive values if the variances are positive meaning that the actual cost is lower than the standard cost and vice versa.</t>
  </si>
  <si>
    <t>Note: The JReview sheet accommodates a maximum number of 30 components per job but can be extended to include additional components by simply copying the formulas in the last row (row 39) into the appropriate number of additional rows.</t>
  </si>
  <si>
    <t>The job totals section includes the total standard value of the job, the total actual value of the job, the difference between the standard and actual values, the total usage variance, the total price variance and a control total check.</t>
  </si>
  <si>
    <t>Note: If the control total check cell contains an error, it means that the total usage and price variances do not add up to the total job variance. The usage &amp; price variances are calculated based on the values in columns H and L respectively while the total job variance is calculated from the other sheets in this template. The error can be resolved by checking all the other sheets in this template for error codes in the Error Codes columns and if the error still persists, you can contact our Support function for assistance.</t>
  </si>
  <si>
    <t>The material requirements planning (MRP) features that have been added to this template enable users to enter production forecast quantities for manufactured products on the ReqPlan sheet in order to calculate the stock component quantities that are required in order to produce the specified quantities of manufactured products.</t>
  </si>
  <si>
    <t>The components required for MRP purposes can be calculated by simply selecting the stock codes of the appropriate manufactured products in column A on the ReqPlan sheet and entering the quantities of each manufactured product on which the MRP calculation should be based in column E.</t>
  </si>
  <si>
    <t>Note: We also recommend entering the forecast date in cell G1 before printing the sheet in order to keep a record of the manufactured product quantities that have been used in all quantity forecasts because once you replace the quantities on this sheet with new forecast quantities, there will be no record of the forecast quantities on which the previous forecast had been based.</t>
  </si>
  <si>
    <t>Note: Before using the requirements planning feature, you should ensure that all your product costings are accurate. If you base the production forecast on inaccurate product costings it may result in the incorrect component quantities being ordered from suppliers.</t>
  </si>
  <si>
    <t>The component requirements in column I to N are calculated by applying the manufactured product forecast quantities that are specified in column A to G to the appropriate components that have been added to the bills of material of the selected manufactured products on the BOM sheet. This calculation is based on the appropriate component input quantity, yield and unit of measure.</t>
  </si>
  <si>
    <t>Note: The contents in column A to G of the ReqPlan sheet have been included in an Excel table. You can add additional product codes to the sheet by simply selecting the appropriate product code in the first empty cell in column A - the table will be extended automatically to include the new stock code (if necessary). The columns with light blue column headings (columns B, C, D, F and G) contain formulas that are automatically copied for all new stock codes that are added to the Excel table.</t>
  </si>
  <si>
    <t>Note: The component requirements calculation is limited to a maximum of 50 components. If your bills of material contain more components than this, you can add additional components by copying the last row in column I to N which contains data (row 56) and paste the formulas into the appropriate number of additional rows.</t>
  </si>
  <si>
    <t>Standard Cost &amp; Average Actual Cost Values</t>
  </si>
  <si>
    <t>We therefore recommend that you save a new version of the template before any significant change in the standard cost values. This will ensure that all jobs that have been completed up to that date remains compared to the standard values which were in effect at the time.</t>
  </si>
  <si>
    <t>Note: Do not delete any of the formulas in the columns with light blue column headings because this would result in inaccuracies in the template calculations. You can delete rows that are not required but you should always retain at least two rows in these columns.</t>
  </si>
  <si>
    <t>Example: Let's assume that we are building a garden shed and the windows have been added as an intermediate product with its own bought-in stock components of wooden frames, glass and nails. If we select the "First" level, the intermediate product of windows will be issued as part of the standard issue calculations. In order to analyse the job on a per product basis, we would therefore need to manufacture windows separately and issue the intermediate product of windows on the JDetails sheet when recording transactions against the job</t>
  </si>
  <si>
    <t>The values in this column represent the total standard cost value of all stock component issues which are required in order to produce the receipted quantities in column P. These values are based on the input quantities and yields which have been specified on the BOM sheet. The total of this column will always be the same as the  RecValue @STD column (although the value will be negative in this column).</t>
  </si>
  <si>
    <t>Note: The To date which is specified in cell R2 must always be after the From date which is specified in cell P2. If this is not the case, an error message will be displayed.</t>
  </si>
  <si>
    <t>Note: The From date plays no role in the average actual cost calculations in column AA. Only the To date which is specified in cell R2 is included in these calculations. This means that the average actual cost will always be calculated based on all the jobs that precede the To date.</t>
  </si>
  <si>
    <t>When you amend the standard unit prices of bought-in products on the StockCode sheet or the input quantities and yields on the BOM sheet, you are effectively revaluing your standard costs for the affected manufactured products. The standard costs are used in order to compare actual job costs to standard job costs and amendments to these standard values will therefore also affect all job comparisons to date.</t>
  </si>
  <si>
    <t>Assigning multiple manufactured products to the same job will only really be necessary if more than one manufactured product is produced in the same production process. This may be the case if multiple product variations are produced simultaneously or if one or more by-product is produced as part of the manufacturing process of a main product. Under these circumstances, switching the template to the Multiple mode is unavoidable.</t>
  </si>
  <si>
    <t>The actual unit cost of a product is calculated by dividing the total job issues on the JDetails sheet by the quantity that has been received. The actual unit cost is only displayed if only one product is linked to any individual job, otherwise "n/a" will be displayed in this column.</t>
  </si>
  <si>
    <t>When the "All" level is selected, the template assumes that there are no jobs that will be created for intermediate products and the standard issue quantities will therefore be calculated only for the bought-in stock items which have been linked to the appropriate manufactured product on the BOM sheet regardless of how many levels of bills of material are used. This means that intermediate products will never form part of the standard issues that are calculated for a manufacturing job. Intermediate products should therefore also not be issued to a job when the "All" level has been selected for a particular product.</t>
  </si>
  <si>
    <t>Note: The "First" level should therefore be selected for all manufactured products where the intermediate components form part of a separate manufacturing process for which separate jobs are going to be created.</t>
  </si>
  <si>
    <t>This column indicates whether a stock code relates to a stock item that is bought-in from a supplier or to a product that is manufactured. A product costing should be compiled for all manufactured products by linking the manufactured product and its components on the BOM sheet. The formula that has been entered in this column therefore checks whether the stock code is included in column A on the BOM sheet and if so, identifies the product as a manufactured product. Alternatively, the product is deemed to be a bought-in product.</t>
  </si>
  <si>
    <t>The values in this column indicate the total quantity that has been received for a particular stock code by entering job receipt transactions on the JDetails sheet.</t>
  </si>
  <si>
    <t>This column indicates the total quantity which has actually been issued to a manufacturing job during the applicable date range. Actual job issues are recorded by entering a job issue transaction on the JDetails sheet.</t>
  </si>
  <si>
    <t>The values in this column represent the difference between the standard issue values and the actual issue values. If a value is positive, it means that the actual component cost is lower than the standard component cost and if the value is negative, it means that the actual component cost is higher than the standard component cost.</t>
  </si>
  <si>
    <t>The values in this column indicate the total price variance value for each component. Positive values represent positive variances (actual usage lower than the standard) and vice versa. Actual prices are determined by the cost per unit which is specified in column E on the JDetails sheet when recording job issue transactions.</t>
  </si>
  <si>
    <t>All manufacturing jobs need to be set up on the JSetup sheet by assigning a unique job number to the job, entering a date, selecting the appropriate stock code(s) for the manufactured items that need to be produced and entering a required quantity for the manufactured stock item.</t>
  </si>
  <si>
    <t>If multiple manufactured products are assigned to the same job number, it will not be possible to calculate an actual cost for each of the manufactured products because the components that are issued to the job are not linked to a particular manufactured product. The actual job cost can therefore be calculated accurately (based on the components which have been issued to the job on the JDetails sheet) but the actual cost per manufactured product cannot be calculated with 100% accuracy.</t>
  </si>
  <si>
    <t>Note: If any one job is linked to multiple manufactured products, the template calculations will switch to the Multiple mode and the actual product costs of manufactured products will be estimated instead of being calculated with 100% accuracy. The template mode is reflected in cell U1 on the JSetup sheet.</t>
  </si>
  <si>
    <t>The total actual cost of the job will be displayed in this column. Where more than one manufactured product is linked to the same job, this value will only be displayed in the first line of each job. The total actual job cost is calculated based on all the job issue transactions which have been recorded on the JDetails sheet.</t>
  </si>
  <si>
    <t>The difference between the standard job cost and actual job cost is displayed in this column. Where more than one manufactured product is linked to the same job, this value will only be displayed in the first line of each job.</t>
  </si>
  <si>
    <t>The job usage variance is calculated in this column. Usage variance values are defined as the difference between the standard and actual quantities used multiplied by the standard cost of the component. The standard quantity used is calculated based on the input quantities and yields on the BOM sheet and the actual quantities used is calculated based on the job issue transactions which are recorded on the JDetails sheet. Where more than one manufactured product is linked to the same job, this value will only be displayed in the first line of each job.</t>
  </si>
  <si>
    <t>The job price variance is calculated in this column. Price variance values are defined as the difference between the standard and actual component prices multiplied by the actual quantity used. The standard component prices are specified in column D on the StockCode sheet and the actual prices are recorded on the JDetails sheet when entering job issue transactions. Where more than one manufactured product is linked to the same job, this value will only be displayed in the first line of each job.</t>
  </si>
  <si>
    <t>All job related transactions must be entered on the JDetails sheet by entering a job number, selecting a transaction type, selecting the appropriate stock code and entering a transaction quantity. The sheet also contains functionality which enables users to override the standard unit price with an actual unit price and to link the component cost of a manufactured product to a job that was previously recorded.</t>
  </si>
  <si>
    <t>All job numbers must be created on the JSetup sheet before being used on the JDetails sheet. If you add a job number on the JDetails sheet which has not been included on the JSetup sheet, the template calculations will not be accurate. It is also imperative that all transactions are recoded against the correct job number.</t>
  </si>
  <si>
    <t>Note: The actual unit cost can only be calculated if a single product is linked to a single manufacturing job. If more than one product is linked to a job, the actual unit cost and cost difference cells will contain "n/a".</t>
  </si>
  <si>
    <t>Note: The BOM level that needs to be used in order to determine whether intermediate products need to be included in the component requirement calculation is determined based on the standard issue level that is selected for the applicable manufactured products in column E on the StockCode sheet.</t>
  </si>
  <si>
    <t>■ E2 - this error code means that the standard unit price input in column D on the Stock Code sheet is incorrect. A standard unit price should be entered for all bought-in stock items but is not required for manufactured products. When adding new manufactured stock items to the StockCode sheet, this error code will be displayed until the appropriate components have been added to the BOM sheet. The error can therefore be corrected by adding a standard unit price for a bought-in stock item, adding components to a manufactured stock item or deleting a standard unit price that has been specified for a manufactured product.</t>
  </si>
  <si>
    <t>■ E3 - this error code means that the product stock code that has been specified is invalid. Stock codes must be created on the StockCode sheet before being used on any of the other sheets and the error can therefore be corrected by simply creating the appropriate stock code on the StockCode sheet. If a stock code has been deleted, this error code will be displayed in all the rows on the other sheets that still refer to the stock code. These entries must be deleted or a valid stock code needs to be selected in the appropriate column.</t>
  </si>
  <si>
    <t>■ E8 - The job number does not exist. A job number needs to be created on the JSetup sheet before any transactions can be recorded against a job.</t>
  </si>
  <si>
    <t xml:space="preserve">The percentages in this column represent the difference between the standard unit costs in column I and the average actual unit costs in column AA. Positive values represent positive variances (actual cost is lower than the standard) and vice versa. </t>
  </si>
  <si>
    <t>We recommend that new versions of the template are created regularly by adjusting standard cost values based on previous actual cost comparisons. The frequency of these updates does however depend on the costing methodology that is applied and the significance of fluctuations in component pricing.</t>
  </si>
  <si>
    <r>
      <t>StockCode</t>
    </r>
    <r>
      <rPr>
        <sz val="10"/>
        <rFont val="Arial"/>
        <family val="2"/>
      </rPr>
      <t xml:space="preserve"> - create unique stock codes for all bought-in and manufactured stock items and enter the stock description, unit of measure, standard cost and issue level for each stock item. The columns with light blue column headings contain formulas which include calculations of the actual job cost, job variances against standard cost (usage &amp; price) and actual inventory cost for all stock items based on any user defined date range.</t>
    </r>
  </si>
  <si>
    <r>
      <rPr>
        <b/>
        <sz val="10"/>
        <rFont val="Arial"/>
        <family val="2"/>
      </rPr>
      <t>JSetup</t>
    </r>
    <r>
      <rPr>
        <sz val="10"/>
        <rFont val="Arial"/>
        <family val="2"/>
      </rPr>
      <t xml:space="preserve"> - create individual jobs on this sheet by entering a job number, date, stock code and required quantity in the columns with yellow column headings. The columns with light blue column headings contain formulas which calculate the actual &amp; standard cost of each job as well as a total variance, usage variance &amp; price variance per job.</t>
    </r>
  </si>
  <si>
    <r>
      <t xml:space="preserve">JDetails </t>
    </r>
    <r>
      <rPr>
        <sz val="10"/>
        <rFont val="Arial"/>
        <family val="2"/>
      </rPr>
      <t>- all job receipt and issue transactions should be entered on this sheet. Receipt transactions are used to calculate a standard value for the manufactured products that are produced and issue transactions are used to calculate the actual cost of a job. The standard cost of bought-in products can be replaced by an actual cost and multi-level bills of material can be linked to sub component jobs.</t>
    </r>
  </si>
  <si>
    <r>
      <rPr>
        <b/>
        <sz val="10"/>
        <rFont val="Arial"/>
        <family val="2"/>
      </rPr>
      <t>JReview</t>
    </r>
    <r>
      <rPr>
        <sz val="10"/>
        <rFont val="Arial"/>
        <family val="2"/>
      </rPr>
      <t xml:space="preserve"> - the job costing calculations on this sheet enable users to view a detailed standard &amp; actual job costing for any job that has been created on the JSetup sheet. The sheet requires no user input – all the job cost components are automatically included based on the job number that is entered in cell D1. The sheet can accommodate a maximum of three manufactured stock items per job and includes standard &amp; actual cost totals, a total job variance and usage &amp; price variance calculations.</t>
    </r>
  </si>
  <si>
    <r>
      <rPr>
        <b/>
        <sz val="10"/>
        <rFont val="Arial"/>
        <family val="2"/>
      </rPr>
      <t>ReqPlan</t>
    </r>
    <r>
      <rPr>
        <sz val="10"/>
        <rFont val="Arial"/>
        <family val="2"/>
      </rPr>
      <t xml:space="preserve"> - the requirements planning forecast can be used to determine the stock component quantities that are required in order to produce the manufactured stock quantities that are specified on this sheet. Simply enter the appropriate manufactured product codes in column A and the required quantities in column E in order to calculate the component stock quantities in columns I to N.</t>
    </r>
  </si>
  <si>
    <r>
      <t xml:space="preserve">The unit of measure (UOM) refers to the stock measurement that is used when ordering, manufacturing and counting stock. Note that stock components are also included in the job costings based on this unit of measure. </t>
    </r>
    <r>
      <rPr>
        <i/>
        <sz val="10"/>
        <rFont val="Arial"/>
        <family val="2"/>
      </rPr>
      <t>For example, if the recipe of a manufactured product stipulates that a specified quantity in kilogram of a raw material stock component should be added during manufacturing, it will be easier to cost the product based on a unit of measure of kilogram even though the raw material component may be ordered from a supplier in bags. For the purpose of this template, recipe (and therefore costing) units of measure carry more weight than the units of measure that is used when ordering products from suppliers.</t>
    </r>
  </si>
  <si>
    <r>
      <t xml:space="preserve">The stock code of the manufactured product to which the stock component should be added needs to be selected from the list box in this column. The list box includes all the stock codes that have been created on the StockCode sheet. The product stock code should be repeated for all the components that are used in the manufacturing process. </t>
    </r>
    <r>
      <rPr>
        <i/>
        <sz val="10"/>
        <rFont val="Arial"/>
        <family val="2"/>
      </rPr>
      <t>For example, if 10 components are required in order to produce a particular manufactured product, you need to add 10 different component stock codes in column B in 10 separate rows and repeat the product stock code in column A in each of these rows. All 10 component stock codes will then be linked to the same manufactured product and will be included in the same product costing.</t>
    </r>
  </si>
  <si>
    <r>
      <t>BOM</t>
    </r>
    <r>
      <rPr>
        <sz val="10"/>
        <rFont val="Arial"/>
        <family val="2"/>
      </rPr>
      <t xml:space="preserve"> - link each manufactured product to the stock components on this sheet. All the standard costs of manufactured products are calculated based on the components that have been linked to the appropriate manufactured product code on this sheet.</t>
    </r>
  </si>
  <si>
    <t>Note: The contents of the StockCode sheet have been included in an Excel table. You can add a new stock code to the sheet by entering the stock code in the first empty cell in column A - the table will be extended automatically to include the new stock code. All the columns on the StockCode sheet with a yellow column heading require user input. The columns with light blue column headings contain formulas that are automatically copied for all new stock codes that are added to the Excel table.</t>
  </si>
  <si>
    <t>The standard issue level is assigned on an individual stock code basis which means that the template can be used to analyse jobs on an "All" level as well as a "First" level for manufactured products. Some products can be designated as "First" level manufactured products (thereby using intermediate level manufacturing processes) while others can still be assigned an "All" level manufacturing process. The template does not cater for the same product being manufactured on both standard issue levels.</t>
  </si>
  <si>
    <t>This column contains the product cost of each stock code. If a product is classified as a bought-in stock item, the product cost equals the standard unit price specified in column D. If the product is classified as a manufactured product, the product cost is calculated based on the components linked to the product on the BOM sheet and the appropriate standard unit prices, input quantities and yields of the linked components. The Product Cost column therefore contains the standard costs of all stock items.</t>
  </si>
  <si>
    <t>The values in this column represent the total actual cost value of all stock component issue transactions recorded on the JDetails sheet. The total of this column will be the same as the  RecValue @Actual column (although the value will be negative in this column) but not if multiple manufactured products are linked to the same job or when the job link feature on the JDetails sheet is used to link a component to a job cost which is not equal to the average actual cost of the component for the period under review.</t>
  </si>
  <si>
    <t>If more than one manufactured product has been linked to a single job, the actual prices entered on the JDetails sheet for bought-in stock items are multiplied by the standard input quantities &amp; yields to calculate an average actual cost which is only representative of actual price variances. Usage variances are ignored for the purpose of this calculation because it is impossible to calculate the usage variances for individual manufactured products when multiple products have been linked to the same job.</t>
  </si>
  <si>
    <t>The average actual cost which is calculated in this template is based on all the jobs included on the JSetup sheet. It therefore makes sense to "refresh" these average costs from time to time by saving a new version, amending the standard cost basis, clearing the contents of the JSetup and JDetails sheets (user input columns only) and recording new jobs on these sheets.</t>
  </si>
  <si>
    <r>
      <t>Definition:</t>
    </r>
    <r>
      <rPr>
        <sz val="10"/>
        <rFont val="Arial"/>
        <family val="2"/>
      </rPr>
      <t xml:space="preserve"> The inherent nature of a manufacturing process may result in the component quantity at the end of the manufacturing process being less than the component quantity introduced at the start of the manufacturing process. The quantity difference can be described as a yield loss. The Input basis refers to the component quantity introduced at the start of the manufacturing process, while the Output basis refers to the component quantity which remains after the manufacturing process has been completed.</t>
    </r>
  </si>
  <si>
    <t>This column contains the standard unit cost of the product selected in column C. The standard unit cost is calculated based on the standard unit cost of the bought-in components as specified in column D on the StockCode sheet and the components which have been linked to the product and any intermediate products which form part of the product structure on the BOM sheet.</t>
  </si>
  <si>
    <t>Note: The contents of the JDetails sheet have been included in an Excel table. You can add a new job transaction to the sheet by entering the job number in the first empty cell in column A - the table will be extended automatically to include the new transaction. All the columns on the JDetails sheet with a yellow column heading require user input. The columns with light blue column headings contain formulas that are automatically copied for all new job transactions that are added to the Excel table.</t>
  </si>
  <si>
    <t>The unit of measure (UOM) of the stock code which has been selected in column C is displayed in this column. All stock quantities should be entered based on this UOM which is defined for each stock code on the StockCodes sheet. If quantities are issued to production in a different unit of measure, the stock quantities need to be converted to the unit of measure which is indicated in this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</si>
</sst>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_ * #,##0.000_ ;_ * \-#,##0.000_ ;_ * &quot;-&quot;??_ ;_ @_ "/>
  </numFmts>
  <fonts count="24"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theme="0"/>
      <name val="Century Gothic"/>
      <family val="2"/>
      <scheme val="minor"/>
    </font>
    <font>
      <sz val="10"/>
      <color rgb="FFFF0000"/>
      <name val="Century Gothic"/>
      <family val="2"/>
      <scheme val="minor"/>
    </font>
    <font>
      <i/>
      <sz val="10"/>
      <color indexed="9"/>
      <name val="Century Gothic"/>
      <family val="2"/>
      <scheme val="minor"/>
    </font>
    <font>
      <b/>
      <sz val="10"/>
      <color theme="1"/>
      <name val="Century Gothic"/>
      <family val="2"/>
      <scheme val="minor"/>
    </font>
    <font>
      <sz val="10"/>
      <color theme="1"/>
      <name val="Century Gothic"/>
      <family val="2"/>
      <scheme val="minor"/>
    </font>
    <font>
      <sz val="10"/>
      <color indexed="9"/>
      <name val="Century Gothic"/>
      <family val="2"/>
      <scheme val="minor"/>
    </font>
    <font>
      <b/>
      <sz val="10"/>
      <color theme="0"/>
      <name val="Century Gothic"/>
      <family val="2"/>
      <scheme val="minor"/>
    </font>
    <font>
      <i/>
      <sz val="10"/>
      <color theme="1"/>
      <name val="Century Gothic"/>
      <family val="2"/>
      <scheme val="minor"/>
    </font>
    <font>
      <sz val="10"/>
      <color indexed="12"/>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i/>
      <sz val="10"/>
      <name val="Arial"/>
      <family val="2"/>
    </font>
    <font>
      <b/>
      <sz val="10"/>
      <color indexed="8"/>
      <name val="Arial"/>
      <family val="2"/>
    </font>
  </fonts>
  <fills count="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theme="1"/>
        <bgColor indexed="64"/>
      </patternFill>
    </fill>
    <fill>
      <patternFill patternType="solid">
        <fgColor rgb="FFFFFF9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164"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154">
    <xf numFmtId="0" fontId="0" fillId="0" borderId="0" xfId="0"/>
    <xf numFmtId="0" fontId="4" fillId="0" borderId="0" xfId="0" applyFont="1"/>
    <xf numFmtId="0" fontId="6" fillId="0" borderId="0" xfId="0" applyFont="1" applyProtection="1">
      <protection hidden="1"/>
    </xf>
    <xf numFmtId="0" fontId="6" fillId="0" borderId="0" xfId="0" applyFont="1" applyAlignment="1" applyProtection="1">
      <alignment horizontal="center"/>
      <protection hidden="1"/>
    </xf>
    <xf numFmtId="164" fontId="6" fillId="0" borderId="0" xfId="1" applyFont="1" applyProtection="1">
      <protection hidden="1"/>
    </xf>
    <xf numFmtId="164" fontId="6" fillId="0" borderId="0" xfId="1" applyFont="1" applyAlignment="1" applyProtection="1">
      <alignment horizontal="center"/>
      <protection hidden="1"/>
    </xf>
    <xf numFmtId="0" fontId="6" fillId="0" borderId="0" xfId="1" applyNumberFormat="1" applyFont="1" applyAlignment="1" applyProtection="1">
      <alignment horizontal="center"/>
      <protection hidden="1"/>
    </xf>
    <xf numFmtId="14" fontId="9" fillId="0" borderId="0" xfId="1" applyNumberFormat="1" applyFont="1" applyAlignment="1" applyProtection="1">
      <alignment horizontal="center"/>
      <protection hidden="1"/>
    </xf>
    <xf numFmtId="14" fontId="6" fillId="0" borderId="0" xfId="1" applyNumberFormat="1" applyFont="1" applyAlignment="1" applyProtection="1">
      <alignment horizontal="center"/>
      <protection hidden="1"/>
    </xf>
    <xf numFmtId="165" fontId="6" fillId="0" borderId="0" xfId="3" applyNumberFormat="1" applyFont="1" applyAlignment="1" applyProtection="1">
      <alignment horizontal="right"/>
      <protection hidden="1"/>
    </xf>
    <xf numFmtId="0" fontId="7" fillId="0" borderId="0" xfId="0" applyFont="1" applyProtection="1">
      <protection hidden="1"/>
    </xf>
    <xf numFmtId="164" fontId="6" fillId="0" borderId="0" xfId="1" applyFont="1" applyAlignment="1" applyProtection="1">
      <alignment horizontal="right" indent="1"/>
      <protection hidden="1"/>
    </xf>
    <xf numFmtId="14" fontId="6" fillId="6" borderId="1" xfId="1" applyNumberFormat="1" applyFont="1" applyFill="1" applyBorder="1" applyAlignment="1" applyProtection="1">
      <alignment horizontal="center"/>
      <protection hidden="1"/>
    </xf>
    <xf numFmtId="164" fontId="10" fillId="0" borderId="0" xfId="1" applyFont="1" applyFill="1" applyBorder="1" applyAlignment="1" applyProtection="1">
      <alignment horizontal="left"/>
      <protection hidden="1"/>
    </xf>
    <xf numFmtId="164" fontId="6" fillId="0" borderId="0" xfId="1" applyFont="1" applyFill="1" applyBorder="1" applyAlignment="1" applyProtection="1">
      <alignment horizontal="center"/>
      <protection hidden="1"/>
    </xf>
    <xf numFmtId="165" fontId="6" fillId="0" borderId="0" xfId="3" applyNumberFormat="1" applyFont="1" applyFill="1" applyBorder="1" applyAlignment="1" applyProtection="1">
      <alignment horizontal="right"/>
      <protection hidden="1"/>
    </xf>
    <xf numFmtId="0" fontId="11" fillId="0" borderId="0" xfId="0" applyFont="1" applyProtection="1">
      <protection hidden="1"/>
    </xf>
    <xf numFmtId="0" fontId="7" fillId="0" borderId="0" xfId="0" applyFont="1" applyAlignment="1" applyProtection="1">
      <alignment horizontal="center"/>
      <protection hidden="1"/>
    </xf>
    <xf numFmtId="164" fontId="7" fillId="0" borderId="0" xfId="1" applyFont="1" applyProtection="1">
      <protection hidden="1"/>
    </xf>
    <xf numFmtId="164" fontId="7" fillId="0" borderId="0" xfId="1" applyFont="1" applyAlignment="1" applyProtection="1">
      <alignment horizontal="center"/>
      <protection hidden="1"/>
    </xf>
    <xf numFmtId="0" fontId="7" fillId="0" borderId="0" xfId="1" applyNumberFormat="1" applyFont="1" applyAlignment="1" applyProtection="1">
      <alignment horizontal="center"/>
      <protection hidden="1"/>
    </xf>
    <xf numFmtId="165" fontId="7" fillId="0" borderId="0" xfId="3" applyNumberFormat="1" applyFont="1" applyAlignment="1" applyProtection="1">
      <alignment horizontal="right"/>
      <protection hidden="1"/>
    </xf>
    <xf numFmtId="0" fontId="12" fillId="2" borderId="2" xfId="0" applyNumberFormat="1" applyFont="1" applyFill="1" applyBorder="1" applyAlignment="1" applyProtection="1">
      <alignment vertical="center" wrapText="1"/>
      <protection hidden="1"/>
    </xf>
    <xf numFmtId="0" fontId="12" fillId="2" borderId="2" xfId="0" applyNumberFormat="1" applyFont="1" applyFill="1" applyBorder="1" applyAlignment="1" applyProtection="1">
      <alignment horizontal="left" vertical="center" wrapText="1"/>
      <protection hidden="1"/>
    </xf>
    <xf numFmtId="0" fontId="12" fillId="2" borderId="2" xfId="0" applyNumberFormat="1" applyFont="1" applyFill="1" applyBorder="1" applyAlignment="1" applyProtection="1">
      <alignment horizontal="center" vertical="center" wrapText="1"/>
      <protection hidden="1"/>
    </xf>
    <xf numFmtId="0" fontId="12" fillId="2" borderId="2" xfId="1" applyNumberFormat="1" applyFont="1" applyFill="1" applyBorder="1" applyAlignment="1" applyProtection="1">
      <alignment horizontal="center" vertical="center" wrapText="1"/>
      <protection hidden="1"/>
    </xf>
    <xf numFmtId="0" fontId="12" fillId="4" borderId="2" xfId="1" applyNumberFormat="1" applyFont="1" applyFill="1" applyBorder="1" applyAlignment="1" applyProtection="1">
      <alignment horizontal="center" vertical="center" wrapText="1"/>
      <protection hidden="1"/>
    </xf>
    <xf numFmtId="0" fontId="12" fillId="3" borderId="2" xfId="0" applyNumberFormat="1" applyFont="1" applyFill="1" applyBorder="1" applyAlignment="1" applyProtection="1">
      <alignment horizontal="center" vertical="center" wrapText="1"/>
      <protection hidden="1"/>
    </xf>
    <xf numFmtId="0" fontId="12" fillId="3" borderId="2" xfId="1" applyNumberFormat="1" applyFont="1" applyFill="1" applyBorder="1" applyAlignment="1" applyProtection="1">
      <alignment horizontal="center" vertical="center" wrapText="1"/>
      <protection hidden="1"/>
    </xf>
    <xf numFmtId="165" fontId="12" fillId="3" borderId="2" xfId="3" applyNumberFormat="1" applyFont="1" applyFill="1" applyBorder="1" applyAlignment="1" applyProtection="1">
      <alignment horizontal="center" vertical="center" wrapText="1"/>
      <protection hidden="1"/>
    </xf>
    <xf numFmtId="0" fontId="13" fillId="0" borderId="0" xfId="0" applyNumberFormat="1" applyFont="1" applyAlignment="1" applyProtection="1">
      <alignment vertical="center" wrapText="1"/>
      <protection hidden="1"/>
    </xf>
    <xf numFmtId="164" fontId="6" fillId="0" borderId="0" xfId="1" applyNumberFormat="1" applyFont="1" applyProtection="1">
      <protection hidden="1"/>
    </xf>
    <xf numFmtId="164" fontId="6" fillId="0" borderId="0" xfId="1" applyNumberFormat="1" applyFont="1" applyAlignment="1" applyProtection="1">
      <alignment horizontal="center"/>
      <protection hidden="1"/>
    </xf>
    <xf numFmtId="166" fontId="6" fillId="0" borderId="0" xfId="1" applyNumberFormat="1" applyFont="1" applyProtection="1">
      <protection hidden="1"/>
    </xf>
    <xf numFmtId="165" fontId="6" fillId="0" borderId="0" xfId="3" applyNumberFormat="1" applyFont="1" applyProtection="1">
      <protection hidden="1"/>
    </xf>
    <xf numFmtId="165" fontId="6" fillId="0" borderId="0" xfId="3" applyNumberFormat="1" applyFont="1" applyAlignment="1" applyProtection="1">
      <alignment horizontal="center"/>
      <protection hidden="1"/>
    </xf>
    <xf numFmtId="0" fontId="14" fillId="0" borderId="0" xfId="0" applyFont="1" applyProtection="1">
      <protection hidden="1"/>
    </xf>
    <xf numFmtId="0" fontId="12" fillId="2" borderId="2" xfId="3" applyNumberFormat="1" applyFont="1" applyFill="1" applyBorder="1" applyAlignment="1" applyProtection="1">
      <alignment horizontal="center" vertical="center" wrapText="1"/>
      <protection hidden="1"/>
    </xf>
    <xf numFmtId="0" fontId="12" fillId="4" borderId="2" xfId="3" applyNumberFormat="1" applyFont="1" applyFill="1" applyBorder="1" applyAlignment="1" applyProtection="1">
      <alignment horizontal="center" vertical="center" wrapText="1"/>
      <protection hidden="1"/>
    </xf>
    <xf numFmtId="0" fontId="12" fillId="3" borderId="2" xfId="0" applyNumberFormat="1" applyFont="1" applyFill="1" applyBorder="1" applyAlignment="1" applyProtection="1">
      <alignment vertical="center" wrapText="1"/>
      <protection hidden="1"/>
    </xf>
    <xf numFmtId="0" fontId="6" fillId="0" borderId="0" xfId="0" applyNumberFormat="1" applyFont="1" applyAlignment="1" applyProtection="1">
      <alignment horizontal="center"/>
      <protection hidden="1"/>
    </xf>
    <xf numFmtId="0" fontId="6" fillId="0" borderId="0" xfId="1" applyNumberFormat="1" applyFont="1" applyAlignment="1" applyProtection="1">
      <alignment horizontal="left"/>
      <protection hidden="1"/>
    </xf>
    <xf numFmtId="0" fontId="6" fillId="0" borderId="0" xfId="1" applyNumberFormat="1" applyFont="1" applyProtection="1">
      <protection hidden="1"/>
    </xf>
    <xf numFmtId="0" fontId="6" fillId="0" borderId="0" xfId="3" applyNumberFormat="1" applyFont="1" applyAlignment="1" applyProtection="1">
      <alignment horizontal="center"/>
      <protection hidden="1"/>
    </xf>
    <xf numFmtId="0" fontId="6" fillId="0" borderId="0" xfId="0" applyNumberFormat="1" applyFont="1" applyProtection="1">
      <protection hidden="1"/>
    </xf>
    <xf numFmtId="164" fontId="5" fillId="0" borderId="0" xfId="1" applyFont="1" applyAlignment="1" applyProtection="1">
      <alignment horizontal="right" indent="1"/>
      <protection hidden="1"/>
    </xf>
    <xf numFmtId="0" fontId="6" fillId="4" borderId="1" xfId="1" applyNumberFormat="1" applyFont="1" applyFill="1" applyBorder="1" applyAlignment="1" applyProtection="1">
      <alignment horizontal="center"/>
      <protection hidden="1"/>
    </xf>
    <xf numFmtId="0" fontId="7" fillId="0" borderId="0" xfId="0" applyNumberFormat="1" applyFont="1" applyProtection="1">
      <protection hidden="1"/>
    </xf>
    <xf numFmtId="164" fontId="11" fillId="0" borderId="0" xfId="1" applyFont="1" applyProtection="1">
      <protection hidden="1"/>
    </xf>
    <xf numFmtId="164" fontId="7" fillId="0" borderId="0" xfId="1" applyFont="1" applyAlignment="1" applyProtection="1">
      <alignment horizontal="left"/>
      <protection hidden="1"/>
    </xf>
    <xf numFmtId="165" fontId="7" fillId="0" borderId="0" xfId="3" applyNumberFormat="1" applyFont="1" applyAlignment="1" applyProtection="1">
      <alignment horizontal="center"/>
      <protection hidden="1"/>
    </xf>
    <xf numFmtId="14" fontId="7" fillId="0" borderId="0" xfId="1" applyNumberFormat="1" applyFont="1" applyAlignment="1" applyProtection="1">
      <alignment horizontal="center"/>
      <protection hidden="1"/>
    </xf>
    <xf numFmtId="0" fontId="12" fillId="4" borderId="3" xfId="3" applyNumberFormat="1" applyFont="1" applyFill="1" applyBorder="1" applyAlignment="1" applyProtection="1">
      <alignment horizontal="left" vertical="center" wrapText="1"/>
      <protection hidden="1"/>
    </xf>
    <xf numFmtId="0" fontId="13" fillId="4" borderId="3" xfId="0" applyNumberFormat="1" applyFont="1" applyFill="1" applyBorder="1" applyAlignment="1" applyProtection="1">
      <alignment horizontal="left" vertical="center" wrapText="1"/>
      <protection hidden="1"/>
    </xf>
    <xf numFmtId="0" fontId="13" fillId="4" borderId="3" xfId="0" applyNumberFormat="1" applyFont="1" applyFill="1" applyBorder="1" applyAlignment="1" applyProtection="1">
      <alignment horizontal="center" vertical="center" wrapText="1"/>
      <protection hidden="1"/>
    </xf>
    <xf numFmtId="164" fontId="12" fillId="4" borderId="3" xfId="1" applyFont="1" applyFill="1" applyBorder="1" applyAlignment="1" applyProtection="1">
      <alignment horizontal="left" vertical="center" wrapText="1"/>
      <protection hidden="1"/>
    </xf>
    <xf numFmtId="164" fontId="12" fillId="4" borderId="3" xfId="1" applyFont="1" applyFill="1" applyBorder="1" applyAlignment="1" applyProtection="1">
      <alignment horizontal="center" vertical="center" wrapText="1"/>
      <protection hidden="1"/>
    </xf>
    <xf numFmtId="165" fontId="12" fillId="4" borderId="3" xfId="3" applyNumberFormat="1" applyFont="1" applyFill="1" applyBorder="1" applyAlignment="1" applyProtection="1">
      <alignment horizontal="center" vertical="center" wrapText="1"/>
      <protection hidden="1"/>
    </xf>
    <xf numFmtId="14" fontId="12" fillId="4" borderId="3" xfId="1" applyNumberFormat="1" applyFont="1" applyFill="1" applyBorder="1" applyAlignment="1" applyProtection="1">
      <alignment horizontal="center" vertical="center" wrapText="1"/>
      <protection hidden="1"/>
    </xf>
    <xf numFmtId="0" fontId="13" fillId="4" borderId="3" xfId="1" applyNumberFormat="1" applyFont="1" applyFill="1" applyBorder="1" applyAlignment="1" applyProtection="1">
      <alignment horizontal="center" vertical="center" wrapText="1"/>
      <protection hidden="1"/>
    </xf>
    <xf numFmtId="0" fontId="6" fillId="0" borderId="0" xfId="0" applyNumberFormat="1" applyFont="1" applyAlignment="1" applyProtection="1">
      <alignment wrapText="1"/>
      <protection hidden="1"/>
    </xf>
    <xf numFmtId="14" fontId="6" fillId="0" borderId="0" xfId="0" applyNumberFormat="1" applyFont="1" applyAlignment="1" applyProtection="1">
      <alignment horizontal="center"/>
      <protection hidden="1"/>
    </xf>
    <xf numFmtId="0" fontId="6" fillId="0" borderId="0" xfId="0" applyFont="1" applyAlignment="1" applyProtection="1">
      <alignment horizontal="left"/>
      <protection hidden="1"/>
    </xf>
    <xf numFmtId="14" fontId="6" fillId="0" borderId="0" xfId="0" applyNumberFormat="1" applyFont="1" applyProtection="1">
      <protection hidden="1"/>
    </xf>
    <xf numFmtId="0" fontId="6" fillId="0" borderId="0" xfId="3" applyNumberFormat="1" applyFont="1" applyProtection="1">
      <protection hidden="1"/>
    </xf>
    <xf numFmtId="0" fontId="12" fillId="4" borderId="2" xfId="3" applyNumberFormat="1" applyFont="1" applyFill="1" applyBorder="1" applyAlignment="1" applyProtection="1">
      <alignment horizontal="left" vertical="center" wrapText="1"/>
      <protection hidden="1"/>
    </xf>
    <xf numFmtId="14" fontId="12" fillId="4" borderId="2" xfId="1" applyNumberFormat="1" applyFont="1" applyFill="1" applyBorder="1" applyAlignment="1" applyProtection="1">
      <alignment horizontal="center" vertical="center" wrapText="1"/>
      <protection hidden="1"/>
    </xf>
    <xf numFmtId="164" fontId="12" fillId="4" borderId="2" xfId="1" applyFont="1" applyFill="1" applyBorder="1" applyAlignment="1" applyProtection="1">
      <alignment horizontal="center" vertical="center" wrapText="1"/>
      <protection hidden="1"/>
    </xf>
    <xf numFmtId="164" fontId="6" fillId="0" borderId="0" xfId="0" applyNumberFormat="1" applyFont="1" applyAlignment="1" applyProtection="1">
      <alignment horizontal="center"/>
      <protection hidden="1"/>
    </xf>
    <xf numFmtId="164" fontId="6" fillId="0" borderId="0" xfId="1" applyFont="1" applyFill="1" applyProtection="1">
      <protection hidden="1"/>
    </xf>
    <xf numFmtId="0" fontId="5" fillId="0" borderId="0" xfId="1" applyNumberFormat="1" applyFont="1" applyAlignment="1" applyProtection="1">
      <alignment horizontal="right" indent="1"/>
      <protection hidden="1"/>
    </xf>
    <xf numFmtId="0" fontId="5" fillId="2" borderId="1" xfId="1" applyNumberFormat="1" applyFont="1" applyFill="1" applyBorder="1" applyAlignment="1" applyProtection="1">
      <alignment horizontal="center"/>
      <protection hidden="1"/>
    </xf>
    <xf numFmtId="0" fontId="10" fillId="0" borderId="0" xfId="1" applyNumberFormat="1" applyFont="1" applyAlignment="1" applyProtection="1">
      <alignment horizontal="left" indent="1"/>
      <protection hidden="1"/>
    </xf>
    <xf numFmtId="0" fontId="7" fillId="0" borderId="0" xfId="1" applyNumberFormat="1" applyFont="1" applyAlignment="1" applyProtection="1">
      <alignment horizontal="right"/>
      <protection hidden="1"/>
    </xf>
    <xf numFmtId="0" fontId="7" fillId="0" borderId="0" xfId="0" applyNumberFormat="1" applyFont="1" applyAlignment="1" applyProtection="1">
      <alignment horizontal="left"/>
      <protection hidden="1"/>
    </xf>
    <xf numFmtId="0" fontId="6" fillId="0" borderId="0" xfId="1" applyNumberFormat="1" applyFont="1" applyAlignment="1" applyProtection="1">
      <protection hidden="1"/>
    </xf>
    <xf numFmtId="0" fontId="15" fillId="5" borderId="8" xfId="0" applyNumberFormat="1" applyFont="1" applyFill="1" applyBorder="1" applyAlignment="1" applyProtection="1">
      <alignment horizontal="left" vertical="center"/>
      <protection hidden="1"/>
    </xf>
    <xf numFmtId="0" fontId="15" fillId="5" borderId="7" xfId="0" applyNumberFormat="1" applyFont="1" applyFill="1" applyBorder="1" applyAlignment="1" applyProtection="1">
      <alignment horizontal="left" vertical="center"/>
      <protection hidden="1"/>
    </xf>
    <xf numFmtId="0" fontId="15" fillId="5" borderId="7" xfId="0" applyNumberFormat="1" applyFont="1" applyFill="1" applyBorder="1" applyAlignment="1" applyProtection="1">
      <alignment horizontal="center" vertical="center"/>
      <protection hidden="1"/>
    </xf>
    <xf numFmtId="0" fontId="15" fillId="5" borderId="7" xfId="1" applyNumberFormat="1" applyFont="1" applyFill="1" applyBorder="1" applyAlignment="1" applyProtection="1">
      <alignment horizontal="center" vertical="center"/>
      <protection hidden="1"/>
    </xf>
    <xf numFmtId="0" fontId="15" fillId="5" borderId="9" xfId="1" applyNumberFormat="1" applyFont="1" applyFill="1" applyBorder="1" applyAlignment="1" applyProtection="1">
      <alignment horizontal="center" vertical="center"/>
      <protection hidden="1"/>
    </xf>
    <xf numFmtId="0" fontId="5" fillId="0" borderId="0" xfId="0" applyNumberFormat="1" applyFont="1" applyAlignment="1" applyProtection="1">
      <alignment vertical="center"/>
      <protection hidden="1"/>
    </xf>
    <xf numFmtId="0" fontId="5" fillId="4" borderId="1" xfId="1" applyNumberFormat="1" applyFont="1" applyFill="1" applyBorder="1" applyAlignment="1" applyProtection="1">
      <alignment horizontal="center" vertical="center"/>
      <protection hidden="1"/>
    </xf>
    <xf numFmtId="0" fontId="6" fillId="0" borderId="10" xfId="1" applyNumberFormat="1" applyFont="1" applyFill="1" applyBorder="1" applyAlignment="1" applyProtection="1">
      <alignment horizontal="left"/>
      <protection hidden="1"/>
    </xf>
    <xf numFmtId="0" fontId="6" fillId="0" borderId="0" xfId="1" applyNumberFormat="1" applyFont="1" applyFill="1" applyBorder="1" applyAlignment="1" applyProtection="1">
      <alignment horizontal="left"/>
      <protection hidden="1"/>
    </xf>
    <xf numFmtId="0" fontId="6" fillId="0" borderId="0" xfId="1" applyNumberFormat="1" applyFont="1" applyFill="1" applyBorder="1" applyAlignment="1" applyProtection="1">
      <alignment horizontal="center"/>
      <protection hidden="1"/>
    </xf>
    <xf numFmtId="4" fontId="6" fillId="0" borderId="0" xfId="1" applyNumberFormat="1" applyFont="1" applyFill="1" applyBorder="1" applyAlignment="1" applyProtection="1">
      <alignment horizontal="center"/>
      <protection hidden="1"/>
    </xf>
    <xf numFmtId="4" fontId="6" fillId="0" borderId="0" xfId="0" applyNumberFormat="1" applyFont="1" applyBorder="1" applyAlignment="1" applyProtection="1">
      <alignment horizontal="center"/>
      <protection hidden="1"/>
    </xf>
    <xf numFmtId="165" fontId="6" fillId="0" borderId="11" xfId="3" applyNumberFormat="1" applyFont="1" applyBorder="1" applyAlignment="1" applyProtection="1">
      <alignment horizontal="center"/>
      <protection hidden="1"/>
    </xf>
    <xf numFmtId="4" fontId="6" fillId="0" borderId="10" xfId="1" applyNumberFormat="1" applyFont="1" applyBorder="1" applyAlignment="1" applyProtection="1">
      <alignment horizontal="center"/>
      <protection hidden="1"/>
    </xf>
    <xf numFmtId="4" fontId="6" fillId="0" borderId="0" xfId="1" applyNumberFormat="1" applyFont="1" applyBorder="1" applyAlignment="1" applyProtection="1">
      <alignment horizontal="center"/>
      <protection hidden="1"/>
    </xf>
    <xf numFmtId="4" fontId="6" fillId="0" borderId="11" xfId="1" applyNumberFormat="1" applyFont="1" applyBorder="1" applyAlignment="1" applyProtection="1">
      <alignment horizontal="center"/>
      <protection hidden="1"/>
    </xf>
    <xf numFmtId="0" fontId="6" fillId="0" borderId="12" xfId="1" applyNumberFormat="1" applyFont="1" applyFill="1" applyBorder="1" applyAlignment="1" applyProtection="1">
      <alignment horizontal="left"/>
      <protection hidden="1"/>
    </xf>
    <xf numFmtId="0" fontId="6" fillId="0" borderId="3" xfId="1" applyNumberFormat="1" applyFont="1" applyFill="1" applyBorder="1" applyAlignment="1" applyProtection="1">
      <alignment horizontal="left"/>
      <protection hidden="1"/>
    </xf>
    <xf numFmtId="0" fontId="6" fillId="0" borderId="3" xfId="1" applyNumberFormat="1" applyFont="1" applyFill="1" applyBorder="1" applyAlignment="1" applyProtection="1">
      <alignment horizontal="center"/>
      <protection hidden="1"/>
    </xf>
    <xf numFmtId="4" fontId="6" fillId="0" borderId="3" xfId="1" applyNumberFormat="1" applyFont="1" applyFill="1" applyBorder="1" applyAlignment="1" applyProtection="1">
      <alignment horizontal="center"/>
      <protection hidden="1"/>
    </xf>
    <xf numFmtId="4" fontId="6" fillId="0" borderId="3" xfId="0" applyNumberFormat="1" applyFont="1" applyBorder="1" applyAlignment="1" applyProtection="1">
      <alignment horizontal="center"/>
      <protection hidden="1"/>
    </xf>
    <xf numFmtId="165" fontId="6" fillId="0" borderId="13" xfId="3" applyNumberFormat="1" applyFont="1" applyBorder="1" applyAlignment="1" applyProtection="1">
      <alignment horizontal="center"/>
      <protection hidden="1"/>
    </xf>
    <xf numFmtId="4" fontId="6" fillId="0" borderId="12" xfId="1" applyNumberFormat="1" applyFont="1" applyBorder="1" applyAlignment="1" applyProtection="1">
      <alignment horizontal="center"/>
      <protection hidden="1"/>
    </xf>
    <xf numFmtId="4" fontId="6" fillId="0" borderId="3" xfId="1" applyNumberFormat="1" applyFont="1" applyBorder="1" applyAlignment="1" applyProtection="1">
      <alignment horizontal="center"/>
      <protection hidden="1"/>
    </xf>
    <xf numFmtId="0" fontId="6" fillId="0" borderId="13" xfId="1" applyNumberFormat="1" applyFont="1" applyBorder="1" applyAlignment="1" applyProtection="1">
      <alignment horizontal="center"/>
      <protection hidden="1"/>
    </xf>
    <xf numFmtId="0" fontId="14" fillId="0" borderId="0" xfId="0" applyNumberFormat="1" applyFont="1" applyProtection="1">
      <protection hidden="1"/>
    </xf>
    <xf numFmtId="0" fontId="16" fillId="0" borderId="0" xfId="0" applyNumberFormat="1" applyFont="1" applyAlignment="1" applyProtection="1">
      <alignment vertical="center"/>
      <protection hidden="1"/>
    </xf>
    <xf numFmtId="0" fontId="6" fillId="0" borderId="0" xfId="0" applyNumberFormat="1" applyFont="1" applyAlignment="1" applyProtection="1">
      <alignment vertical="center"/>
      <protection hidden="1"/>
    </xf>
    <xf numFmtId="0" fontId="6" fillId="0" borderId="0" xfId="0" applyNumberFormat="1" applyFont="1" applyAlignment="1" applyProtection="1">
      <alignment horizontal="center" vertical="center"/>
      <protection hidden="1"/>
    </xf>
    <xf numFmtId="0" fontId="6" fillId="0" borderId="0" xfId="1" applyNumberFormat="1" applyFont="1" applyAlignment="1" applyProtection="1">
      <alignment vertical="center"/>
      <protection hidden="1"/>
    </xf>
    <xf numFmtId="0" fontId="5" fillId="3" borderId="1" xfId="0" applyNumberFormat="1" applyFont="1" applyFill="1" applyBorder="1" applyAlignment="1" applyProtection="1">
      <alignment horizontal="left" vertical="center" wrapText="1"/>
      <protection hidden="1"/>
    </xf>
    <xf numFmtId="0" fontId="5" fillId="3" borderId="1" xfId="0" applyNumberFormat="1" applyFont="1" applyFill="1" applyBorder="1" applyAlignment="1" applyProtection="1">
      <alignment horizontal="center" vertical="center" wrapText="1"/>
      <protection hidden="1"/>
    </xf>
    <xf numFmtId="0" fontId="5" fillId="3" borderId="1" xfId="1" applyNumberFormat="1" applyFont="1" applyFill="1" applyBorder="1" applyAlignment="1" applyProtection="1">
      <alignment horizontal="center" vertical="center" wrapText="1"/>
      <protection hidden="1"/>
    </xf>
    <xf numFmtId="0" fontId="6" fillId="0" borderId="0" xfId="0" applyNumberFormat="1" applyFont="1" applyAlignment="1" applyProtection="1">
      <alignment vertical="center" wrapText="1"/>
      <protection hidden="1"/>
    </xf>
    <xf numFmtId="164" fontId="6" fillId="0" borderId="0" xfId="1" applyFont="1" applyAlignment="1" applyProtection="1">
      <alignment horizontal="left"/>
      <protection hidden="1"/>
    </xf>
    <xf numFmtId="164" fontId="6" fillId="0" borderId="0" xfId="1" applyFont="1" applyAlignment="1" applyProtection="1">
      <protection hidden="1"/>
    </xf>
    <xf numFmtId="164" fontId="6" fillId="0" borderId="0" xfId="0" applyNumberFormat="1" applyFont="1" applyProtection="1">
      <protection hidden="1"/>
    </xf>
    <xf numFmtId="0" fontId="17" fillId="0" borderId="0" xfId="0" applyFont="1" applyProtection="1">
      <protection hidden="1"/>
    </xf>
    <xf numFmtId="164" fontId="7" fillId="0" borderId="0" xfId="1" applyFont="1" applyAlignment="1" applyProtection="1">
      <alignment horizontal="right"/>
      <protection hidden="1"/>
    </xf>
    <xf numFmtId="14" fontId="7" fillId="2" borderId="1" xfId="1" applyNumberFormat="1" applyFont="1" applyFill="1" applyBorder="1" applyAlignment="1" applyProtection="1">
      <alignment horizontal="center"/>
      <protection hidden="1"/>
    </xf>
    <xf numFmtId="164" fontId="7" fillId="0" borderId="0" xfId="0" applyNumberFormat="1" applyFont="1" applyProtection="1">
      <protection hidden="1"/>
    </xf>
    <xf numFmtId="0" fontId="12" fillId="2" borderId="2" xfId="0" applyNumberFormat="1" applyFont="1" applyFill="1" applyBorder="1" applyAlignment="1" applyProtection="1">
      <alignment vertical="center"/>
      <protection hidden="1"/>
    </xf>
    <xf numFmtId="0" fontId="12" fillId="3" borderId="2" xfId="0" applyNumberFormat="1" applyFont="1" applyFill="1" applyBorder="1" applyAlignment="1" applyProtection="1">
      <alignment vertical="center"/>
      <protection hidden="1"/>
    </xf>
    <xf numFmtId="0" fontId="12" fillId="3" borderId="2" xfId="0" applyNumberFormat="1" applyFont="1" applyFill="1" applyBorder="1" applyAlignment="1" applyProtection="1">
      <alignment horizontal="center" vertical="center"/>
      <protection hidden="1"/>
    </xf>
    <xf numFmtId="0" fontId="12" fillId="2" borderId="2" xfId="1" applyNumberFormat="1" applyFont="1" applyFill="1" applyBorder="1" applyAlignment="1" applyProtection="1">
      <alignment horizontal="center" vertical="center"/>
      <protection hidden="1"/>
    </xf>
    <xf numFmtId="164" fontId="12" fillId="3" borderId="2" xfId="1" applyFont="1" applyFill="1" applyBorder="1" applyAlignment="1" applyProtection="1">
      <alignment horizontal="center" vertical="center"/>
      <protection hidden="1"/>
    </xf>
    <xf numFmtId="164" fontId="12" fillId="4" borderId="2" xfId="1" applyFont="1" applyFill="1" applyBorder="1" applyAlignment="1" applyProtection="1">
      <alignment horizontal="center" vertical="center"/>
      <protection hidden="1"/>
    </xf>
    <xf numFmtId="0" fontId="13" fillId="0" borderId="0" xfId="0" applyNumberFormat="1" applyFont="1" applyAlignment="1" applyProtection="1">
      <alignment vertical="center"/>
      <protection hidden="1"/>
    </xf>
    <xf numFmtId="0" fontId="12" fillId="4" borderId="1" xfId="0" applyNumberFormat="1" applyFont="1" applyFill="1" applyBorder="1" applyAlignment="1" applyProtection="1">
      <alignment vertical="center"/>
      <protection hidden="1"/>
    </xf>
    <xf numFmtId="0" fontId="12" fillId="4" borderId="1" xfId="0" applyNumberFormat="1" applyFont="1" applyFill="1" applyBorder="1" applyAlignment="1" applyProtection="1">
      <alignment horizontal="center" vertical="center"/>
      <protection hidden="1"/>
    </xf>
    <xf numFmtId="164" fontId="12" fillId="4" borderId="1" xfId="1" applyFont="1" applyFill="1" applyBorder="1" applyAlignment="1" applyProtection="1">
      <alignment horizontal="center" vertical="center"/>
      <protection hidden="1"/>
    </xf>
    <xf numFmtId="164" fontId="12" fillId="3" borderId="1" xfId="1" applyNumberFormat="1" applyFont="1" applyFill="1" applyBorder="1" applyAlignment="1" applyProtection="1">
      <alignment horizontal="center" vertical="center"/>
      <protection hidden="1"/>
    </xf>
    <xf numFmtId="164" fontId="12" fillId="4" borderId="1" xfId="1" applyNumberFormat="1" applyFont="1" applyFill="1" applyBorder="1" applyAlignment="1" applyProtection="1">
      <alignment horizontal="center" vertical="center"/>
      <protection hidden="1"/>
    </xf>
    <xf numFmtId="0" fontId="8" fillId="0" borderId="0" xfId="0" applyFont="1" applyProtection="1">
      <protection hidden="1"/>
    </xf>
    <xf numFmtId="0" fontId="8" fillId="0" borderId="0" xfId="0" applyNumberFormat="1" applyFont="1" applyProtection="1">
      <protection hidden="1"/>
    </xf>
    <xf numFmtId="0" fontId="8" fillId="0" borderId="0" xfId="0" applyNumberFormat="1" applyFont="1" applyAlignment="1" applyProtection="1">
      <alignment horizontal="left"/>
      <protection hidden="1"/>
    </xf>
    <xf numFmtId="0" fontId="18" fillId="0" borderId="0" xfId="0" applyFont="1" applyAlignment="1" applyProtection="1">
      <alignment horizontal="left" wrapText="1"/>
      <protection hidden="1"/>
    </xf>
    <xf numFmtId="0" fontId="1" fillId="0" borderId="0" xfId="0" applyFont="1" applyProtection="1">
      <protection hidden="1"/>
    </xf>
    <xf numFmtId="0" fontId="19"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21"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22" fillId="0" borderId="0" xfId="0" applyFont="1" applyAlignment="1" applyProtection="1">
      <alignment horizontal="justify" wrapText="1"/>
      <protection hidden="1"/>
    </xf>
    <xf numFmtId="0" fontId="23" fillId="0" borderId="0" xfId="0" applyFont="1" applyAlignment="1" applyProtection="1">
      <alignment horizontal="justify" wrapText="1"/>
      <protection hidden="1"/>
    </xf>
    <xf numFmtId="0" fontId="21"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20" fillId="0" borderId="0" xfId="2" applyFont="1" applyAlignment="1" applyProtection="1">
      <alignment horizontal="left" wrapText="1"/>
      <protection hidden="1"/>
    </xf>
    <xf numFmtId="14" fontId="12" fillId="2" borderId="2" xfId="0" applyNumberFormat="1" applyFont="1" applyFill="1" applyBorder="1" applyAlignment="1" applyProtection="1">
      <alignment horizontal="center" vertical="center" wrapText="1"/>
      <protection hidden="1"/>
    </xf>
    <xf numFmtId="0" fontId="5" fillId="4" borderId="5" xfId="1" applyNumberFormat="1" applyFont="1" applyFill="1" applyBorder="1" applyAlignment="1" applyProtection="1">
      <alignment horizontal="center" vertical="center"/>
      <protection hidden="1"/>
    </xf>
    <xf numFmtId="0" fontId="5" fillId="4" borderId="4" xfId="1" applyNumberFormat="1" applyFont="1" applyFill="1" applyBorder="1" applyAlignment="1" applyProtection="1">
      <alignment horizontal="center" vertical="center"/>
      <protection hidden="1"/>
    </xf>
    <xf numFmtId="0" fontId="5" fillId="4" borderId="6" xfId="1" applyNumberFormat="1" applyFont="1" applyFill="1" applyBorder="1" applyAlignment="1" applyProtection="1">
      <alignment horizontal="center" vertical="center"/>
      <protection hidden="1"/>
    </xf>
    <xf numFmtId="0" fontId="5" fillId="4" borderId="5" xfId="0" applyNumberFormat="1" applyFont="1" applyFill="1" applyBorder="1" applyAlignment="1" applyProtection="1">
      <alignment horizontal="center" vertical="center"/>
      <protection hidden="1"/>
    </xf>
    <xf numFmtId="0" fontId="5" fillId="4" borderId="4" xfId="0" applyNumberFormat="1" applyFont="1" applyFill="1" applyBorder="1" applyAlignment="1" applyProtection="1">
      <alignment horizontal="center" vertical="center"/>
      <protection hidden="1"/>
    </xf>
    <xf numFmtId="0" fontId="5" fillId="4" borderId="6" xfId="0" applyNumberFormat="1" applyFont="1" applyFill="1" applyBorder="1" applyAlignment="1" applyProtection="1">
      <alignment horizontal="center" vertical="center"/>
      <protection hidden="1"/>
    </xf>
    <xf numFmtId="0" fontId="15" fillId="5" borderId="8" xfId="1" applyNumberFormat="1" applyFont="1" applyFill="1" applyBorder="1" applyAlignment="1" applyProtection="1">
      <alignment horizontal="center" vertical="center"/>
      <protection hidden="1"/>
    </xf>
    <xf numFmtId="0" fontId="15" fillId="5" borderId="7" xfId="1" applyNumberFormat="1" applyFont="1" applyFill="1" applyBorder="1" applyAlignment="1" applyProtection="1">
      <alignment horizontal="center" vertical="center"/>
      <protection hidden="1"/>
    </xf>
    <xf numFmtId="0" fontId="15" fillId="5" borderId="9" xfId="1" applyNumberFormat="1" applyFont="1" applyFill="1" applyBorder="1" applyAlignment="1" applyProtection="1">
      <alignment horizontal="center" vertical="center"/>
      <protection hidden="1"/>
    </xf>
  </cellXfs>
  <cellStyles count="4">
    <cellStyle name="Comma" xfId="1" builtinId="3"/>
    <cellStyle name="Hyperlink" xfId="2" builtinId="8"/>
    <cellStyle name="Normal" xfId="0" builtinId="0" customBuiltin="1"/>
    <cellStyle name="Percent" xfId="3" builtinId="5"/>
  </cellStyles>
  <dxfs count="160">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strike val="0"/>
        <outline val="0"/>
        <shadow val="0"/>
        <u val="none"/>
        <vertAlign val="baseline"/>
        <sz val="10"/>
        <name val="Century Gothic"/>
        <family val="2"/>
        <scheme val="minor"/>
      </font>
      <protection locked="1" hidden="1"/>
    </dxf>
    <dxf>
      <border outline="0">
        <bottom style="thin">
          <color indexed="64"/>
        </bottom>
      </border>
    </dxf>
    <dxf>
      <font>
        <strike val="0"/>
        <outline val="0"/>
        <shadow val="0"/>
        <u val="none"/>
        <vertAlign val="baseline"/>
        <sz val="10"/>
        <color theme="1"/>
        <name val="Century Gothic"/>
        <family val="2"/>
        <scheme val="minor"/>
      </font>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5" formatCode="0.0%"/>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left"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strike val="0"/>
        <outline val="0"/>
        <shadow val="0"/>
        <u val="none"/>
        <vertAlign val="baseline"/>
        <sz val="10"/>
        <name val="Century Gothic"/>
        <family val="2"/>
        <scheme val="minor"/>
      </font>
      <numFmt numFmtId="0" formatCode="General"/>
      <protection locked="1" hidden="1"/>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5" formatCode="0.0%"/>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numFmt numFmtId="166" formatCode="_ * #,##0.000_ ;_ * \-#,##0.00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strike val="0"/>
        <outline val="0"/>
        <shadow val="0"/>
        <u val="none"/>
        <vertAlign val="baseline"/>
        <sz val="10"/>
        <name val="Century Gothic"/>
        <family val="2"/>
        <scheme val="minor"/>
      </font>
      <numFmt numFmtId="0" formatCode="General"/>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65" formatCode="0.0%"/>
      <alignment horizontal="righ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theme="0"/>
      </font>
      <fill>
        <patternFill>
          <bgColor rgb="FFFF6600"/>
        </patternFill>
      </fill>
    </dxf>
  </dxfs>
  <tableStyles count="0" defaultTableStyle="TableStyleMedium9" defaultPivotStyle="PivotStyleLight16"/>
  <colors>
    <mruColors>
      <color rgb="FFFF6600"/>
      <color rgb="FFFFFF99"/>
      <color rgb="FFCCFFFF"/>
      <color rgb="FFFFFFCC"/>
      <color rgb="FF249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5"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job-costing-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ECF3F136-62B6-4D4A-885E-A7A9A4E259F2}"/>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E5B4D1B3-6B59-4C9C-BA2B-EF087B722BEA}"/>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C63F212D-6001-4120-A6DB-202E4E31E680}"/>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0DEC0587-8E94-4311-8E1F-9FE279FA56E8}"/>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297E93A-76FF-431C-A68B-324315ABAFE7}"/>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273CFFA8-C5BE-43BD-95B5-79D19914A46C}"/>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JOB COSTING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job costings for all manufactured products by comparing actual costs to standard costs and measuring the total production variance as well as the usage &amp; price variances on an individual job and total basis. The standard costs are based on the individual standard prices that are specified for all bought-in stock items and the bills of material (“recipes”) that are compiled for each manufactured product. The actual costs are based on the components that are issued to each manufacturing job and the actual prices of all bought-in products.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E747F85-5F41-417A-972D-8A51821AC638}"/>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F841768E-3907-4424-974B-674AC23B076D}"/>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143016D4-066F-4A98-B2DB-F70A8BF3E2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99060</xdr:colOff>
      <xdr:row>4</xdr:row>
      <xdr:rowOff>172380</xdr:rowOff>
    </xdr:from>
    <xdr:ext cx="2674620" cy="1114490"/>
    <xdr:sp macro="" textlink="">
      <xdr:nvSpPr>
        <xdr:cNvPr id="10" name="Rectangle 17">
          <a:extLst>
            <a:ext uri="{FF2B5EF4-FFF2-40B4-BE49-F238E27FC236}">
              <a16:creationId xmlns:a16="http://schemas.microsoft.com/office/drawing/2014/main" id="{8CAB7A32-35F6-4216-A2D0-D37052EB740C}"/>
            </a:ext>
          </a:extLst>
        </xdr:cNvPr>
        <xdr:cNvSpPr>
          <a:spLocks noChangeArrowheads="1"/>
        </xdr:cNvSpPr>
      </xdr:nvSpPr>
      <xdr:spPr bwMode="auto">
        <a:xfrm>
          <a:off x="7627620" y="919140"/>
          <a:ext cx="26746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24063</xdr:colOff>
      <xdr:row>15</xdr:row>
      <xdr:rowOff>32224</xdr:rowOff>
    </xdr:from>
    <xdr:ext cx="6793832" cy="1692982"/>
    <xdr:sp macro="" textlink="">
      <xdr:nvSpPr>
        <xdr:cNvPr id="3" name="Rectangle 17">
          <a:extLst>
            <a:ext uri="{FF2B5EF4-FFF2-40B4-BE49-F238E27FC236}">
              <a16:creationId xmlns:a16="http://schemas.microsoft.com/office/drawing/2014/main" id="{4D6ED645-D76D-41ED-B8D5-071081B675C8}"/>
            </a:ext>
          </a:extLst>
        </xdr:cNvPr>
        <xdr:cNvSpPr>
          <a:spLocks noChangeArrowheads="1"/>
        </xdr:cNvSpPr>
      </xdr:nvSpPr>
      <xdr:spPr bwMode="auto">
        <a:xfrm>
          <a:off x="2646947" y="3160435"/>
          <a:ext cx="679383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unique stock codes for all bought-in and manufactured stock items and enter the stock description, unit of measure, standard cost and issue level for each stock item. The columns with light blue column headings contain formulas which are automatically copied for all new stock codes created. These columns include calculations of the actual job cost, job variances against standard cost (usage &amp; price) and actual inventory cost for all stock items based on any user defined date range.</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4</xdr:col>
      <xdr:colOff>80210</xdr:colOff>
      <xdr:row>9</xdr:row>
      <xdr:rowOff>64096</xdr:rowOff>
    </xdr:from>
    <xdr:ext cx="8253664" cy="2077703"/>
    <xdr:sp macro="" textlink="">
      <xdr:nvSpPr>
        <xdr:cNvPr id="3" name="Rectangle 17">
          <a:extLst>
            <a:ext uri="{FF2B5EF4-FFF2-40B4-BE49-F238E27FC236}">
              <a16:creationId xmlns:a16="http://schemas.microsoft.com/office/drawing/2014/main" id="{C5DAC153-5692-4A97-A5D2-DFFC4A40461C}"/>
            </a:ext>
          </a:extLst>
        </xdr:cNvPr>
        <xdr:cNvSpPr>
          <a:spLocks noChangeArrowheads="1"/>
        </xdr:cNvSpPr>
      </xdr:nvSpPr>
      <xdr:spPr bwMode="auto">
        <a:xfrm>
          <a:off x="3433010" y="1989149"/>
          <a:ext cx="8253664"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Compile a bill of material ("recipe") for all manufactured products. Start by selecting the appropriate product stock code in column A and then select the appropriate component stock code in column B before entering the input quantity and yield of each component. The columns with light blue column headings contain formulas which are automatically copied for all new components entered on this sheet. The bill of material created on this sheet links the manufactured product (stock code in column A) and the components used to manufacture the product (stock codes in column B). All components linked to a manufactured product on this sheet are included in the standard cost calculations of manufactured products in this template. Note that you can also add direct labour and overhead costs to a bill of material by simply creating a unique stock code for these costs.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4</xdr:col>
      <xdr:colOff>56147</xdr:colOff>
      <xdr:row>11</xdr:row>
      <xdr:rowOff>72261</xdr:rowOff>
    </xdr:from>
    <xdr:ext cx="7403432" cy="1692982"/>
    <xdr:sp macro="" textlink="">
      <xdr:nvSpPr>
        <xdr:cNvPr id="3" name="Rectangle 17">
          <a:extLst>
            <a:ext uri="{FF2B5EF4-FFF2-40B4-BE49-F238E27FC236}">
              <a16:creationId xmlns:a16="http://schemas.microsoft.com/office/drawing/2014/main" id="{AB92748F-13C1-4E93-9E05-FE8597CF1771}"/>
            </a:ext>
          </a:extLst>
        </xdr:cNvPr>
        <xdr:cNvSpPr>
          <a:spLocks noChangeArrowheads="1"/>
        </xdr:cNvSpPr>
      </xdr:nvSpPr>
      <xdr:spPr bwMode="auto">
        <a:xfrm>
          <a:off x="3248526" y="2398366"/>
          <a:ext cx="740343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individual jobs by entering a job number, date, stock code and required quantity in the columns with yellow column headings. The columns with light blue column headings contain formulas which are automatically copied when entering new jobs. The calculations in these columns contain the actual &amp; standard cost of each job as well as a total variance, usage variance &amp; price variance per job. We recommend assigning a single manufactured product per job but the template can accommodate a maximum of three manufactured products per job.</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7</xdr:col>
      <xdr:colOff>56149</xdr:colOff>
      <xdr:row>11</xdr:row>
      <xdr:rowOff>40179</xdr:rowOff>
    </xdr:from>
    <xdr:ext cx="7186862" cy="1692982"/>
    <xdr:sp macro="" textlink="">
      <xdr:nvSpPr>
        <xdr:cNvPr id="3" name="Rectangle 17">
          <a:extLst>
            <a:ext uri="{FF2B5EF4-FFF2-40B4-BE49-F238E27FC236}">
              <a16:creationId xmlns:a16="http://schemas.microsoft.com/office/drawing/2014/main" id="{D0DB7841-01F2-4946-B0E5-214E0D93D1D0}"/>
            </a:ext>
          </a:extLst>
        </xdr:cNvPr>
        <xdr:cNvSpPr>
          <a:spLocks noChangeArrowheads="1"/>
        </xdr:cNvSpPr>
      </xdr:nvSpPr>
      <xdr:spPr bwMode="auto">
        <a:xfrm>
          <a:off x="5983707" y="2366284"/>
          <a:ext cx="718686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job receipt and issue transactions should be entered on this sheet. Receipt transactions are used to calculate a standard value for the manufactured products produced and issue transactions are used to calculate the actual cost of a job. The standard cost of bought-in products can be replaced by an actual cost and multi-level bills of material can be linked to sub component jobs. Only the columns with yellow column headings require user input. The formulas in the columns with light blue column headings are automatically copied when entering new job transactions.</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48126</xdr:colOff>
      <xdr:row>19</xdr:row>
      <xdr:rowOff>56146</xdr:rowOff>
    </xdr:from>
    <xdr:ext cx="7323221" cy="1500622"/>
    <xdr:sp macro="" textlink="">
      <xdr:nvSpPr>
        <xdr:cNvPr id="3" name="Rectangle 17">
          <a:extLst>
            <a:ext uri="{FF2B5EF4-FFF2-40B4-BE49-F238E27FC236}">
              <a16:creationId xmlns:a16="http://schemas.microsoft.com/office/drawing/2014/main" id="{58DE5EA3-9F69-4CB4-B004-27872FAAADCD}"/>
            </a:ext>
          </a:extLst>
        </xdr:cNvPr>
        <xdr:cNvSpPr>
          <a:spLocks noChangeArrowheads="1"/>
        </xdr:cNvSpPr>
      </xdr:nvSpPr>
      <xdr:spPr bwMode="auto">
        <a:xfrm>
          <a:off x="2269958" y="3930314"/>
          <a:ext cx="732322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job costing calculations on this sheet enable users to view a detailed standard &amp; actual job costing for any job created on the JSetup sheet. The sheet requires no user input – all the job cost components are automatically included based on the job number entered in cell D1. The sheet can accommodate a maximum of three manufactured stock items per job and includes standard &amp; actual cost totals, a total job variance and usage &amp; price variance calculations.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0</xdr:col>
      <xdr:colOff>128337</xdr:colOff>
      <xdr:row>10</xdr:row>
      <xdr:rowOff>56220</xdr:rowOff>
    </xdr:from>
    <xdr:ext cx="6729664" cy="1692982"/>
    <xdr:sp macro="" textlink="">
      <xdr:nvSpPr>
        <xdr:cNvPr id="3" name="Rectangle 17">
          <a:extLst>
            <a:ext uri="{FF2B5EF4-FFF2-40B4-BE49-F238E27FC236}">
              <a16:creationId xmlns:a16="http://schemas.microsoft.com/office/drawing/2014/main" id="{890E44D4-759A-40B7-88EF-7DF58FC791EC}"/>
            </a:ext>
          </a:extLst>
        </xdr:cNvPr>
        <xdr:cNvSpPr>
          <a:spLocks noChangeArrowheads="1"/>
        </xdr:cNvSpPr>
      </xdr:nvSpPr>
      <xdr:spPr bwMode="auto">
        <a:xfrm>
          <a:off x="128337" y="2093567"/>
          <a:ext cx="6729664"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requirements planning forecast can be used to determine the stock component quantities required to produce the manufactured stock quantities entered on this sheet. Simply enter the appropriate manufactured product codes in column A and the required quantities in column E in order to calculate the component stock quantities in columns I to N. The columns with light blue column headings contain formulas which are automatically copied for all new products added to the table.</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tockCode" displayName="StockCode" ref="A4:AB25" totalsRowShown="0" headerRowDxfId="155" dataDxfId="153" headerRowBorderDxfId="154" tableBorderDxfId="152" headerRowCellStyle="Comma" dataCellStyle="Comma">
  <autoFilter ref="A4:AB25" xr:uid="{00000000-0009-0000-0100-000001000000}"/>
  <tableColumns count="28">
    <tableColumn id="1" xr3:uid="{00000000-0010-0000-0000-000001000000}" name="Stock Code" dataDxfId="151"/>
    <tableColumn id="2" xr3:uid="{00000000-0010-0000-0000-000002000000}" name="Description" dataDxfId="150"/>
    <tableColumn id="3" xr3:uid="{00000000-0010-0000-0000-000003000000}" name="UOM" dataDxfId="149"/>
    <tableColumn id="4" xr3:uid="{00000000-0010-0000-0000-000004000000}" name="STD Unit Price" dataDxfId="148" dataCellStyle="Comma"/>
    <tableColumn id="12" xr3:uid="{00000000-0010-0000-0000-00000C000000}" name="STD Issue Level" dataDxfId="147" dataCellStyle="Comma"/>
    <tableColumn id="11" xr3:uid="{00000000-0010-0000-0000-00000B000000}" name="Error Code" dataDxfId="146" dataCellStyle="Comma">
      <calculatedColumnFormula array="1">IF(COUNTIF(StockCodes,A5)&gt;1,"E1",IF(OR(AND(G5="Bought-In",ISBLANK(D5)=TRUE)=TRUE,AND(G5="Manufactured",ISBLANK(D5)=FALSE)=TRUE)=TRUE,"E2","-"))</calculatedColumnFormula>
    </tableColumn>
    <tableColumn id="6" xr3:uid="{00000000-0010-0000-0000-000006000000}" name="Product Type" dataDxfId="145">
      <calculatedColumnFormula>IF(ISNA(VLOOKUP($A5,BOMParents,COLUMN(BOM!$A$4),0))=TRUE,"Bought-In","Manufactured")</calculatedColumnFormula>
    </tableColumn>
    <tableColumn id="27" xr3:uid="{00000000-0010-0000-0000-00001B000000}" name="BOM Type" dataDxfId="144">
      <calculatedColumnFormula>IF(ISNA(VLOOKUP(A5,BOMParents,1,0))=TRUE,"None",IF(ISNA(VLOOKUP(A5,BOMComp,1,0))=TRUE,"FG","IM"))</calculatedColumnFormula>
    </tableColumn>
    <tableColumn id="7" xr3:uid="{00000000-0010-0000-0000-000007000000}" name="Product Cost" dataDxfId="143" dataCellStyle="Comma">
      <calculatedColumnFormula array="1">IF(G5="Bought-In",$D5,SUMIFS(BOMCost,BOMParents,$A5))</calculatedColumnFormula>
    </tableColumn>
    <tableColumn id="8" xr3:uid="{00000000-0010-0000-0000-000008000000}" name="Job Qty Required" dataDxfId="142" dataCellStyle="Comma">
      <calculatedColumnFormula>SUMIFS(JLevel1,BOMComp,$A5,BOMCompStatus,"Y")+SUMIFS(JLevel2,BOMComp,$A5,BOMCompStatus,"Y")+SUMIFS(JLevel3,BOMComp,$A5,BOMCompStatus,"Y")+SUMIFS(JLevel4,BOMComp,$A5,BOMCompStatus,"Y")+SUMIFS(JLevel5,BOMComp,$A5,BOMCompStatus,"Y")+SUMIFS(JLevel6,BOMComp,$A5,BOMCompStatus,"Y")</calculatedColumnFormula>
    </tableColumn>
    <tableColumn id="17" xr3:uid="{00000000-0010-0000-0000-000011000000}" name="Job Std Issued" dataDxfId="141" dataCellStyle="Comma">
      <calculatedColumnFormula>SUMIFS(JRLevel1,BOMComp,$A5,BOMCompStatus,"Y")+SUMIFS(JRLevel2,BOMComp,$A5,BOMCompStatus,"Y")+SUMIFS(JRLevel3,BOMComp,$A5,BOMCompStatus,"Y")+SUMIFS(JRLevel4,BOMComp,$A5,BOMCompStatus,"Y")+SUMIFS(JRLevel5,BOMComp,$A5,BOMCompStatus,"Y")+SUMIFS(JRLevel6,BOMComp,$A5,BOMCompStatus,"Y")</calculatedColumnFormula>
    </tableColumn>
    <tableColumn id="13" xr3:uid="{00000000-0010-0000-0000-00000D000000}" name="Job Qty Issued" dataDxfId="140" dataCellStyle="Comma">
      <calculatedColumnFormula>-SUMIFS(JTQty,JTJob,JReview!$D$1,JTStockCode,A5,JTType,"Issue")</calculatedColumnFormula>
    </tableColumn>
    <tableColumn id="5" xr3:uid="{00000000-0010-0000-0000-000005000000}" name="Job Review Status" dataDxfId="139" dataCellStyle="Comma">
      <calculatedColumnFormula>IF(OR(J5&lt;&gt;0,L5&lt;&gt;0),"Y","N")</calculatedColumnFormula>
    </tableColumn>
    <tableColumn id="9" xr3:uid="{00000000-0010-0000-0000-000009000000}" name="Req Plan Qty" dataDxfId="138" dataCellStyle="Comma">
      <calculatedColumnFormula>SUMIFS(RLevel1,BOMComp,$A5,BOMCompStatus,"Y")+SUMIFS(RLevel2,BOMComp,$A5,BOMCompStatus,"Y")+SUMIFS(RLevel3,BOMComp,$A5,BOMCompStatus,"Y")+SUMIFS(RLevel4,BOMComp,$A5,BOMCompStatus,"Y")+SUMIFS(RLevel5,BOMComp,$A5,BOMCompStatus,"Y")+SUMIFS(RLevel6,BOMComp,$A5,BOMCompStatus,"Y")</calculatedColumnFormula>
    </tableColumn>
    <tableColumn id="10" xr3:uid="{00000000-0010-0000-0000-00000A000000}" name="Req Plan Status" dataDxfId="137" dataCellStyle="Comma">
      <calculatedColumnFormula>IF(N5&lt;&gt;0,"Y","N")</calculatedColumnFormula>
    </tableColumn>
    <tableColumn id="16" xr3:uid="{00000000-0010-0000-0000-000010000000}" name="Received Qty" dataDxfId="136" dataCellStyle="Comma">
      <calculatedColumnFormula>SUMIFS(JTQty,JTDate,"&gt;="&amp;$P$1,JTDate,"&lt;="&amp;$R$1,JTStockCode,$A5,JTType,"Receipt")</calculatedColumnFormula>
    </tableColumn>
    <tableColumn id="15" xr3:uid="{00000000-0010-0000-0000-00000F000000}" name="Issued STD Qty" dataDxfId="135" dataCellStyle="Comma">
      <calculatedColumnFormula>-(SUMIFS(TLevel1,BOMComp,$A5,BOMCompStatus,"Y")+SUMIFS(TLevel2,BOMComp,$A5,BOMCompStatus,"Y")+SUMIFS(TLevel3,BOMComp,$A5,BOMCompStatus,"Y")+SUMIFS(TLevel4,BOMComp,$A5,BOMCompStatus,"Y")+SUMIFS(TLevel5,BOMComp,$A5,BOMCompStatus,"Y")+SUMIFS(TLevel6,BOMComp,$A5,BOMCompStatus,"Y"))</calculatedColumnFormula>
    </tableColumn>
    <tableColumn id="14" xr3:uid="{00000000-0010-0000-0000-00000E000000}" name="Issued Actual Qty" dataDxfId="134" dataCellStyle="Comma">
      <calculatedColumnFormula>SUMIFS(JTQty,JTDate,"&gt;="&amp;$P$1,JTDate,"&lt;="&amp;$R$1,JTStockCode,$A5,JTType,"Issue")</calculatedColumnFormula>
    </tableColumn>
    <tableColumn id="21" xr3:uid="{00000000-0010-0000-0000-000015000000}" name="Usage Var Qty" dataDxfId="133" dataCellStyle="Comma">
      <calculatedColumnFormula>R5-Q5</calculatedColumnFormula>
    </tableColumn>
    <tableColumn id="19" xr3:uid="{00000000-0010-0000-0000-000013000000}" name="RecValue @STD" dataDxfId="132" dataCellStyle="Comma">
      <calculatedColumnFormula>IF(H5="FG",P5*I5,IF(H5="IM",IF(P5+Q5&lt;=0,0,(P5+Q5)*I5),0))</calculatedColumnFormula>
    </tableColumn>
    <tableColumn id="20" xr3:uid="{00000000-0010-0000-0000-000014000000}" name="IssueValue @STD" dataDxfId="131" dataCellStyle="Comma">
      <calculatedColumnFormula>IF(H5="IM",IF(P5+Q5&gt;=0,0,(P5+Q5)*I5),Q5*I5)</calculatedColumnFormula>
    </tableColumn>
    <tableColumn id="28" xr3:uid="{00000000-0010-0000-0000-00001C000000}" name="RecValue @Actual" dataDxfId="130" dataCellStyle="Comma">
      <calculatedColumnFormula array="1">IF(JSetup!$U$1="Multiple",0,IF(P5&gt;0,IF(P5+R5&lt;=0,0,-SUMIFS(JTValue,JTDate,"&gt;="&amp;$P$1,JTDate,"&lt;="&amp;$R$1,JTFGCode,$A5,JTType,"Issue")+SUMIFS(JTValue,JTDate,"&gt;="&amp;$P$1,JTDate,"&lt;="&amp;$R$1,JTStockCode,$A5,JTType,"Issue")),0))</calculatedColumnFormula>
    </tableColumn>
    <tableColumn id="24" xr3:uid="{00000000-0010-0000-0000-000018000000}" name="IssueValue @Actual" dataDxfId="129" dataCellStyle="Comma">
      <calculatedColumnFormula array="1">IF(H5="IM",IF(P5=0,SUMIFS(JTValue,JTDate,"&gt;="&amp;$P$1,JTDate,"&lt;="&amp;$R$1,JTStockCode,$A5,JTType,"Issue"),IF(R5=0,0,IF(P5+R5&gt;0,0,SUMIFS(JTValue,JTDate,"&gt;="&amp;$P$1,JTDate,"&lt;="&amp;$R$1,JTStockCode,$A5,JTType,"Issue")/R5*(P5+R5)))),SUMIFS(JTValue,JTDate,"&gt;="&amp;$P$1,JTDate,"&lt;="&amp;$R$1,JTStockCode,$A5,JTType,"Issue"))</calculatedColumnFormula>
    </tableColumn>
    <tableColumn id="23" xr3:uid="{00000000-0010-0000-0000-000017000000}" name="Total Var Value" dataDxfId="128" dataCellStyle="Comma">
      <calculatedColumnFormula>W5-U5</calculatedColumnFormula>
    </tableColumn>
    <tableColumn id="22" xr3:uid="{00000000-0010-0000-0000-000016000000}" name="Usage Var Value" dataDxfId="127" dataCellStyle="Comma">
      <calculatedColumnFormula>IF(AND(P5&lt;&gt;0,P5+R5&gt;=0,P5+Q5&gt;=0),0,IF(AND(P5&lt;&gt;0,P5+R5&gt;=0,P5+Q5&lt;=0),-(P5+Q5)*I5,IF(AND(P5&lt;&gt;0,P5+R5&lt;=0,P5+Q5&gt;=0),(P5+R5)*I5,S5*I5)))</calculatedColumnFormula>
    </tableColumn>
    <tableColumn id="18" xr3:uid="{00000000-0010-0000-0000-000012000000}" name="Price Var Value" dataDxfId="126" dataCellStyle="Comma">
      <calculatedColumnFormula array="1">IF(H5="IM",IF(P5=0,SUMIFS(JTPrice,JTDate,"&gt;="&amp;$P$1,JTDate,"&lt;="&amp;$R$1,JTStockCode,$A5,JTType,"Issue"),IF(R5=0,0,IF(P5+R5&gt;0,0,SUMIFS(JTPrice,JTDate,"&gt;="&amp;$P$1,JTDate,"&lt;="&amp;$R$1,JTStockCode,$A5,JTType,"Issue")/R5*(P5+R5)))),SUMIFS(JTPrice,JTDate,"&gt;="&amp;$P$1,JTDate,"&lt;="&amp;$R$1,JTStockCode,$A5,JTType,"Issue"))</calculatedColumnFormula>
    </tableColumn>
    <tableColumn id="26" xr3:uid="{00000000-0010-0000-0000-00001A000000}" name="Actual Unit Cost" dataDxfId="125" dataCellStyle="Comma">
      <calculatedColumnFormula array="1">IF(JSetup!$U$1="Single",IF(G5="Bought-In",IF(R5=0,I5,W5/R5),IF(SUMIFS(JTQty,JTDate,"&lt;="&amp;$R$1,JTStockCode,$A5,JTType,"Receipt")=0,I5,-SUMIFS(JTValue,JTDate,"&lt;="&amp;$R$1,JTFGCode,$A5,JTType,"Issue")/SUMIFS(JTQty,JTDate,"&lt;="&amp;$R$1,JTStockCode,$A5,JTType,"Receipt"))),IF(G5="Bought-In",IF(R5=0,I5,W5/R5),SUMIFS(BOMActualCost,BOMParents,$A5)))</calculatedColumnFormula>
    </tableColumn>
    <tableColumn id="25" xr3:uid="{00000000-0010-0000-0000-000019000000}" name="Unit Cost % Variance" dataDxfId="124" dataCellStyle="Percent">
      <calculatedColumnFormula>IF(AND(JSetup!$U$1="Single",P5=0,G5="Manufactured"),0,IF(I5=0,0,(I5-AA5)/I5))</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OM" displayName="BOM" ref="A4:AT47" totalsRowShown="0" headerRowDxfId="120" dataDxfId="118" headerRowBorderDxfId="119" tableBorderDxfId="117" headerRowCellStyle="Comma">
  <autoFilter ref="A4:AT47" xr:uid="{00000000-0009-0000-0100-000002000000}"/>
  <tableColumns count="46">
    <tableColumn id="1" xr3:uid="{00000000-0010-0000-0100-000001000000}" name="Product Stock Code" dataDxfId="116"/>
    <tableColumn id="2" xr3:uid="{00000000-0010-0000-0100-000002000000}" name="Component Stock Code" dataDxfId="115"/>
    <tableColumn id="3" xr3:uid="{00000000-0010-0000-0100-000003000000}" name="Input Quantity" dataDxfId="114" dataCellStyle="Comma"/>
    <tableColumn id="4" xr3:uid="{00000000-0010-0000-0100-000004000000}" name="Yield" dataDxfId="113" dataCellStyle="Percent"/>
    <tableColumn id="27" xr3:uid="{00000000-0010-0000-0100-00001B000000}" name="Error Code" dataDxfId="112" dataCellStyle="Percent">
      <calculatedColumnFormula>IF(AND(ISBLANK(A5)=FALSE,ISNA(MATCH(A5,StockCodes,0))=TRUE)=TRUE,"E3",IF(AND(ISBLANK(B5)=FALSE,ISNA(MATCH(B5,StockCodes,0))=TRUE)=TRUE,"E4",IF(SUMPRODUCT((BOMParents=A5)*(BOMComp=B5))&gt;1,"E5","-")))</calculatedColumnFormula>
    </tableColumn>
    <tableColumn id="5" xr3:uid="{00000000-0010-0000-0100-000005000000}" name="Product Description" dataDxfId="111">
      <calculatedColumnFormula>IF(ISNA(VLOOKUP($A5,StockMaster,COLUMN(StockCode!$B$4),0))=TRUE,"does not exist",VLOOKUP($A5,StockMaster,COLUMN(StockCode!$B$4),0))</calculatedColumnFormula>
    </tableColumn>
    <tableColumn id="6" xr3:uid="{00000000-0010-0000-0100-000006000000}" name="Product UOM" dataDxfId="110">
      <calculatedColumnFormula>IF(ISNA(VLOOKUP($A5,StockMaster,COLUMN(StockCode!$C$4),0))=TRUE,"error",VLOOKUP($A5,StockMaster,COLUMN(StockCode!$C$4),0))</calculatedColumnFormula>
    </tableColumn>
    <tableColumn id="45" xr3:uid="{00000000-0010-0000-0100-00002D000000}" name="Product Level" dataDxfId="109">
      <calculatedColumnFormula>IF(ISNA(VLOOKUP($A5,StockMaster,COLUMN(StockCode!$E$4),0))=TRUE,"All",VLOOKUP($A5,StockMaster,COLUMN(StockCode!$E$4),0))</calculatedColumnFormula>
    </tableColumn>
    <tableColumn id="7" xr3:uid="{00000000-0010-0000-0100-000007000000}" name="Component Description" dataDxfId="108">
      <calculatedColumnFormula>IF(ISNA(VLOOKUP($B5,StockMaster,COLUMN(StockCode!$B$4),0))=TRUE,"does not exist",VLOOKUP($B5,StockMaster,COLUMN(StockCode!$B$4),0))</calculatedColumnFormula>
    </tableColumn>
    <tableColumn id="8" xr3:uid="{00000000-0010-0000-0100-000008000000}" name="Component UOM" dataDxfId="107">
      <calculatedColumnFormula>IF(ISNA(VLOOKUP($B5,StockMaster,COLUMN(StockCode!$C$4),0))=TRUE,"error",VLOOKUP($B5,StockMaster,COLUMN(StockCode!$C$4),0))</calculatedColumnFormula>
    </tableColumn>
    <tableColumn id="14" xr3:uid="{00000000-0010-0000-0100-00000E000000}" name="Component Type" dataDxfId="106">
      <calculatedColumnFormula>IF(ISNA(VLOOKUP($B5,StockMaster,COLUMN(StockCode!$G$4),0))=TRUE,0,VLOOKUP($B5,StockMaster,COLUMN(StockCode!$G$4),0))</calculatedColumnFormula>
    </tableColumn>
    <tableColumn id="46" xr3:uid="{00000000-0010-0000-0100-00002E000000}" name="Comp Incl Status" dataDxfId="105">
      <calculatedColumnFormula>IF(AND(K5="Manufactured",H5="All"),"N","Y")</calculatedColumnFormula>
    </tableColumn>
    <tableColumn id="13" xr3:uid="{00000000-0010-0000-0100-00000D000000}" name="Bought-In Price" dataDxfId="104" dataCellStyle="Comma">
      <calculatedColumnFormula>IF($K5="Manufactured",0,IF(ISNA(VLOOKUP($B5,StockMaster,COLUMN(StockCode!$D$4),0))=TRUE,0,VLOOKUP($B5,StockMaster,COLUMN(StockCode!$D$4),0)))</calculatedColumnFormula>
    </tableColumn>
    <tableColumn id="9" xr3:uid="{00000000-0010-0000-0100-000009000000}" name="Bought-In Cost" dataDxfId="103" dataCellStyle="Comma">
      <calculatedColumnFormula>IF($D5=0,0,$C5/$D5*$M5)</calculatedColumnFormula>
    </tableColumn>
    <tableColumn id="16" xr3:uid="{00000000-0010-0000-0100-000010000000}" name="Intermed Comp Cost" dataDxfId="102" dataCellStyle="Comma">
      <calculatedColumnFormula>SUMIFS(BOMCost,BOMParents,B5)</calculatedColumnFormula>
    </tableColumn>
    <tableColumn id="15" xr3:uid="{00000000-0010-0000-0100-00000F000000}" name="Intermed Prod Cost" dataDxfId="101" dataCellStyle="Comma">
      <calculatedColumnFormula>IF($D5=0,0,$C5/$D5*$O5)</calculatedColumnFormula>
    </tableColumn>
    <tableColumn id="10" xr3:uid="{00000000-0010-0000-0100-00000A000000}" name="Product Cost" dataDxfId="100" dataCellStyle="Comma">
      <calculatedColumnFormula>SUM(N5,P5)</calculatedColumnFormula>
    </tableColumn>
    <tableColumn id="44" xr3:uid="{00000000-0010-0000-0100-00002C000000}" name="Actual UnitCost" dataDxfId="99" dataCellStyle="Comma">
      <calculatedColumnFormula>IF($K5="Manufactured",0,IF(ISNA(VLOOKUP($B5,StockMaster,COLUMN(StockCode!$AA$4),0))=TRUE,0,VLOOKUP($B5,StockMaster,COLUMN(StockCode!$AA$4),0)))</calculatedColumnFormula>
    </tableColumn>
    <tableColumn id="43" xr3:uid="{00000000-0010-0000-0100-00002B000000}" name="Actual Comp Cost" dataDxfId="98" dataCellStyle="Comma">
      <calculatedColumnFormula>IF($D5=0,0,$C5/$D5*$R5)</calculatedColumnFormula>
    </tableColumn>
    <tableColumn id="42" xr3:uid="{00000000-0010-0000-0100-00002A000000}" name="Intermed Actual Cost" dataDxfId="97" dataCellStyle="Comma">
      <calculatedColumnFormula>SUMIFS(BOMActualCost,BOMParents,B5)</calculatedColumnFormula>
    </tableColumn>
    <tableColumn id="41" xr3:uid="{00000000-0010-0000-0100-000029000000}" name="Intermed Total Cost" dataDxfId="96" dataCellStyle="Comma">
      <calculatedColumnFormula>IF($D5=0,0,$C5/$D5*$T5)</calculatedColumnFormula>
    </tableColumn>
    <tableColumn id="40" xr3:uid="{00000000-0010-0000-0100-000028000000}" name="Actual Prod Cost" dataDxfId="95" dataCellStyle="Comma">
      <calculatedColumnFormula>SUM(S5,U5)</calculatedColumnFormula>
    </tableColumn>
    <tableColumn id="39" xr3:uid="{00000000-0010-0000-0100-000027000000}" name="Level1 TotIssued" dataDxfId="94" dataCellStyle="Comma">
      <calculatedColumnFormula>IF(ISNA(VLOOKUP($A5,StockMaster,COLUMN(StockCode!$P$4),0))=TRUE,0,IF($D5=0,0,(VLOOKUP($A5,StockMaster,COLUMN(StockCode!$P$4),0)*$C5/$D5)))</calculatedColumnFormula>
    </tableColumn>
    <tableColumn id="38" xr3:uid="{00000000-0010-0000-0100-000026000000}" name="Level2 TotIssued" dataDxfId="93" dataCellStyle="Comma">
      <calculatedColumnFormula array="1">IF($D5=0,0,SUMIFS(TLevel1,BOMComp,$A5,BOMLevel,"&lt;&gt;First")*$C5/$D5)</calculatedColumnFormula>
    </tableColumn>
    <tableColumn id="37" xr3:uid="{00000000-0010-0000-0100-000025000000}" name="Level3 TotIssued" dataDxfId="92" dataCellStyle="Comma">
      <calculatedColumnFormula array="1">IF($D5=0,0,SUMIFS(TLevel2,BOMComp,$A5,BOMLevel,"&lt;&gt;First")*$C5/$D5)</calculatedColumnFormula>
    </tableColumn>
    <tableColumn id="36" xr3:uid="{00000000-0010-0000-0100-000024000000}" name="Level4 TotIssued" dataDxfId="91" dataCellStyle="Comma">
      <calculatedColumnFormula array="1">IF($D5=0,0,SUMIFS(TLevel3,BOMComp,$A5,BOMLevel,"&lt;&gt;First")*$C5/$D5)</calculatedColumnFormula>
    </tableColumn>
    <tableColumn id="35" xr3:uid="{00000000-0010-0000-0100-000023000000}" name="Level5 TotIssued" dataDxfId="90" dataCellStyle="Comma">
      <calculatedColumnFormula array="1">IF($D5=0,0,SUMIFS(TLevel4,BOMComp,$A5,BOMLevel,"&lt;&gt;First")*$C5/$D5)</calculatedColumnFormula>
    </tableColumn>
    <tableColumn id="34" xr3:uid="{00000000-0010-0000-0100-000022000000}" name="Level6 TotIssued" dataDxfId="89" dataCellStyle="Comma">
      <calculatedColumnFormula array="1">IF($D5=0,0,SUMIFS(TLevel5,BOMComp,$A5,BOMLevel,"&lt;&gt;First")*$C5/$D5)</calculatedColumnFormula>
    </tableColumn>
    <tableColumn id="20" xr3:uid="{00000000-0010-0000-0100-000014000000}" name="Level1 JobRequire" dataDxfId="88" dataCellStyle="Comma">
      <calculatedColumnFormula>IF(ISNA(VLOOKUP($A5,JRCode,COLUMN(JReview!$D$4),0))=TRUE,0,IF($D5=0,0,VLOOKUP($A5,JRCode,COLUMN(JReview!$D$4),0)*$C5/$D5))</calculatedColumnFormula>
    </tableColumn>
    <tableColumn id="19" xr3:uid="{00000000-0010-0000-0100-000013000000}" name="Level2 JobRequire" dataDxfId="87" dataCellStyle="Comma">
      <calculatedColumnFormula array="1">IF($D5=0,0,SUMIFS(JLevel1,BOMComp,$A5,BOMLevel,"&lt;&gt;First")*$C5/$D5)</calculatedColumnFormula>
    </tableColumn>
    <tableColumn id="18" xr3:uid="{00000000-0010-0000-0100-000012000000}" name="Level3 JobRequire" dataDxfId="86" dataCellStyle="Comma">
      <calculatedColumnFormula array="1">IF($D5=0,0,SUMIFS(JLevel2,BOMComp,$A5,BOMLevel,"&lt;&gt;First")*$C5/$D5)</calculatedColumnFormula>
    </tableColumn>
    <tableColumn id="17" xr3:uid="{00000000-0010-0000-0100-000011000000}" name="Level4 JobRequire" dataDxfId="85" dataCellStyle="Comma">
      <calculatedColumnFormula array="1">IF($D5=0,0,SUMIFS(JLevel3,BOMComp,$A5,BOMLevel,"&lt;&gt;First")*$C5/$D5)</calculatedColumnFormula>
    </tableColumn>
    <tableColumn id="12" xr3:uid="{00000000-0010-0000-0100-00000C000000}" name="Level5 JobRequire" dataDxfId="84" dataCellStyle="Comma">
      <calculatedColumnFormula array="1">IF($D5=0,0,SUMIFS(JLevel4,BOMComp,$A5,BOMLevel,"&lt;&gt;First")*$C5/$D5)</calculatedColumnFormula>
    </tableColumn>
    <tableColumn id="11" xr3:uid="{00000000-0010-0000-0100-00000B000000}" name="Level6 JobRequire" dataDxfId="83" dataCellStyle="Comma">
      <calculatedColumnFormula array="1">IF($D5=0,0,SUMIFS(JLevel5,BOMComp,$A5,BOMLevel,"&lt;&gt;First")*$C5/$D5)</calculatedColumnFormula>
    </tableColumn>
    <tableColumn id="33" xr3:uid="{00000000-0010-0000-0100-000021000000}" name="Level1 JobReceipt" dataDxfId="82" dataCellStyle="Comma">
      <calculatedColumnFormula>IF(ISNA(VLOOKUP($A5,JRCode,COLUMN(JReview!$E$4),0))=TRUE,0,IF($D5=0,0,VLOOKUP($A5,JRCode,COLUMN(JReview!$E$4),0)*$C5/$D5))</calculatedColumnFormula>
    </tableColumn>
    <tableColumn id="32" xr3:uid="{00000000-0010-0000-0100-000020000000}" name="Level2 JobReceipt" dataDxfId="81" dataCellStyle="Comma">
      <calculatedColumnFormula array="1">IF($D5=0,0,SUMIFS(JRLevel1,BOMComp,$A5,BOMLevel,"&lt;&gt;First")*$C5/$D5)</calculatedColumnFormula>
    </tableColumn>
    <tableColumn id="31" xr3:uid="{00000000-0010-0000-0100-00001F000000}" name="Level3 JobReceipt" dataDxfId="80" dataCellStyle="Comma">
      <calculatedColumnFormula array="1">IF($D5=0,0,SUMIFS(JRLevel2,BOMComp,$A5,BOMLevel,"&lt;&gt;First")*$C5/$D5)</calculatedColumnFormula>
    </tableColumn>
    <tableColumn id="30" xr3:uid="{00000000-0010-0000-0100-00001E000000}" name="Level4 JobReceipt" dataDxfId="79" dataCellStyle="Comma">
      <calculatedColumnFormula array="1">IF($D5=0,0,SUMIFS(JRLevel3,BOMComp,$A5,BOMLevel,"&lt;&gt;First")*$C5/$D5)</calculatedColumnFormula>
    </tableColumn>
    <tableColumn id="29" xr3:uid="{00000000-0010-0000-0100-00001D000000}" name="Level5 JobReceipt" dataDxfId="78" dataCellStyle="Comma">
      <calculatedColumnFormula array="1">IF($D5=0,0,SUMIFS(JRLevel4,BOMComp,$A5,BOMLevel,"&lt;&gt;First")*$C5/$D5)</calculatedColumnFormula>
    </tableColumn>
    <tableColumn id="28" xr3:uid="{00000000-0010-0000-0100-00001C000000}" name="Level6 JobReceipt" dataDxfId="77" dataCellStyle="Comma">
      <calculatedColumnFormula array="1">IF($D5=0,0,SUMIFS(JRLevel5,BOMComp,$A5,BOMLevel,"&lt;&gt;First")*$C5/$D5)</calculatedColumnFormula>
    </tableColumn>
    <tableColumn id="26" xr3:uid="{00000000-0010-0000-0100-00001A000000}" name="Level1 ReqPlan" dataDxfId="76" dataCellStyle="Comma">
      <calculatedColumnFormula>IF(ISNA(VLOOKUP($A5,Require,COLUMN(ReqPlan!$E$6),0))=TRUE,0,IF($D5=0,0,VLOOKUP($A5,Require,COLUMN(ReqPlan!$E$6),0)*$C5/$D5))</calculatedColumnFormula>
    </tableColumn>
    <tableColumn id="25" xr3:uid="{00000000-0010-0000-0100-000019000000}" name="Level2 ReqPlan" dataDxfId="75" dataCellStyle="Comma">
      <calculatedColumnFormula array="1">IF($D5=0,0,SUMIFS(RLevel1,BOMComp,$A5,BOMLevel,"&lt;&gt;First")*$C5/$D5)</calculatedColumnFormula>
    </tableColumn>
    <tableColumn id="24" xr3:uid="{00000000-0010-0000-0100-000018000000}" name="Level3 ReqPlan" dataDxfId="74" dataCellStyle="Comma">
      <calculatedColumnFormula array="1">IF($D5=0,0,SUMIFS(RLevel2,BOMComp,$A5,BOMLevel,"&lt;&gt;First")*$C5/$D5)</calculatedColumnFormula>
    </tableColumn>
    <tableColumn id="23" xr3:uid="{00000000-0010-0000-0100-000017000000}" name="Level4 ReqPlan" dataDxfId="73" dataCellStyle="Comma">
      <calculatedColumnFormula array="1">IF($D5=0,0,SUMIFS(RLevel3,BOMComp,$A5,BOMLevel,"&lt;&gt;First")*$C5/$D5)</calculatedColumnFormula>
    </tableColumn>
    <tableColumn id="22" xr3:uid="{00000000-0010-0000-0100-000016000000}" name="Level5 ReqPlan" dataDxfId="72" dataCellStyle="Comma">
      <calculatedColumnFormula array="1">IF($D5=0,0,SUMIFS(RLevel4,BOMComp,$A5,BOMLevel,"&lt;&gt;First")*$C5/$D5)</calculatedColumnFormula>
    </tableColumn>
    <tableColumn id="21" xr3:uid="{00000000-0010-0000-0100-000015000000}" name="Level6 ReqPlan" dataDxfId="71" dataCellStyle="Comma">
      <calculatedColumnFormula array="1">IF($D5=0,0,SUMIFS(RLevel5,BOMComp,$A5,BOMLevel,"&lt;&gt;First")*$C5/$D5)</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JSetup" displayName="JSetup" ref="A4:U11" totalsRowShown="0" headerRowDxfId="68" dataDxfId="66" headerRowBorderDxfId="67" tableBorderDxfId="65">
  <autoFilter ref="A4:U11" xr:uid="{00000000-0009-0000-0100-000004000000}"/>
  <tableColumns count="21">
    <tableColumn id="1" xr3:uid="{00000000-0010-0000-0200-000001000000}" name="Job No" dataDxfId="64"/>
    <tableColumn id="2" xr3:uid="{00000000-0010-0000-0200-000002000000}" name="Date" dataDxfId="63"/>
    <tableColumn id="3" xr3:uid="{00000000-0010-0000-0200-000003000000}" name="Stock Code" dataDxfId="62"/>
    <tableColumn id="4" xr3:uid="{00000000-0010-0000-0200-000004000000}" name="Qty Required" dataDxfId="61" dataCellStyle="Comma"/>
    <tableColumn id="5" xr3:uid="{00000000-0010-0000-0200-000005000000}" name="Error Code" dataDxfId="60">
      <calculatedColumnFormula>IF(AND(ISBLANK(C5)=FALSE,ISNA(MATCH(C5,StockCodes,0))=TRUE)=TRUE,"E3",IF(AND(G5&lt;&gt;"-",G5&lt;&gt;"Manufactured"),"E6","-"))</calculatedColumnFormula>
    </tableColumn>
    <tableColumn id="7" xr3:uid="{00000000-0010-0000-0200-000007000000}" name="Stock Description" dataDxfId="59">
      <calculatedColumnFormula>IF(ISNA(VLOOKUP($C5,StockMaster,COLUMN(StockCode!$B$4),0))=TRUE,"-",VLOOKUP($C5,StockMaster,COLUMN(StockCode!$B$4),0))</calculatedColumnFormula>
    </tableColumn>
    <tableColumn id="11" xr3:uid="{00000000-0010-0000-0200-00000B000000}" name="Product Type" dataDxfId="58">
      <calculatedColumnFormula>IF(ISNA(VLOOKUP($C5,StockMaster,COLUMN(StockCode!$G$4),0))=TRUE,"-",VLOOKUP($C5,StockMaster,COLUMN(StockCode!$G$4),0))</calculatedColumnFormula>
    </tableColumn>
    <tableColumn id="21" xr3:uid="{00000000-0010-0000-0200-000015000000}" name="BOM Type" dataDxfId="57">
      <calculatedColumnFormula>IF(ISNA(VLOOKUP(C5,BOMParents,1,0))=TRUE,"None",IF(ISNA(VLOOKUP(C5,BOMComp,1,0))=TRUE,"FG","IM"))</calculatedColumnFormula>
    </tableColumn>
    <tableColumn id="10" xr3:uid="{00000000-0010-0000-0200-00000A000000}" name="Qty Received" dataDxfId="56" dataCellStyle="Comma">
      <calculatedColumnFormula>SUMIFS(JTQty,JTJob,$A5,JTStockCode,C5,JTType,"Receipt")</calculatedColumnFormula>
    </tableColumn>
    <tableColumn id="9" xr3:uid="{00000000-0010-0000-0200-000009000000}" name="Job Balance" dataDxfId="55" dataCellStyle="Comma">
      <calculatedColumnFormula>I5-D5</calculatedColumnFormula>
    </tableColumn>
    <tableColumn id="15" xr3:uid="{00000000-0010-0000-0200-00000F000000}" name="STD UCost" dataDxfId="54" dataCellStyle="Comma">
      <calculatedColumnFormula>IF(ISNA(VLOOKUP($C5,StockMaster,COLUMN(StockCode!$I$4),0))=TRUE,0,VLOOKUP($C5,StockMaster,COLUMN(StockCode!$I$4),0))</calculatedColumnFormula>
    </tableColumn>
    <tableColumn id="19" xr3:uid="{00000000-0010-0000-0200-000013000000}" name="Actual UCost" dataDxfId="53" dataCellStyle="Comma">
      <calculatedColumnFormula array="1">IF(JSetup!$U$1="Single",IF(F5="Bought-In",0,IF(I5=0,0,-SUMIFS(JTValue,JTJob,$A5,JTFGCode,$C5,JTType,"Issue")/I5)),"n/a")</calculatedColumnFormula>
    </tableColumn>
    <tableColumn id="20" xr3:uid="{00000000-0010-0000-0200-000014000000}" name="UCost Diff%" dataDxfId="52" dataCellStyle="Percent">
      <calculatedColumnFormula>IF($U$1="Multiple","n/a",IF(AND(JSetup!$U$1="Single",I5=0,G5="Manufactured"),0,IF(K5=0,0,(K5-L5)/K5)))</calculatedColumnFormula>
    </tableColumn>
    <tableColumn id="8" xr3:uid="{00000000-0010-0000-0200-000008000000}" name="STD Value" dataDxfId="51" dataCellStyle="Comma">
      <calculatedColumnFormula>I5*K5</calculatedColumnFormula>
    </tableColumn>
    <tableColumn id="16" xr3:uid="{00000000-0010-0000-0200-000010000000}" name="Job STD" dataDxfId="50" dataCellStyle="Comma">
      <calculatedColumnFormula array="1">IF($U5=1,SUMIFS(JSStd,JSJob,$A5),0)</calculatedColumnFormula>
    </tableColumn>
    <tableColumn id="14" xr3:uid="{00000000-0010-0000-0200-00000E000000}" name="Job Actual" dataDxfId="49" dataCellStyle="Comma">
      <calculatedColumnFormula array="1">IF($U5=1,-SUMIFS(JTValue,JTJob,$A5,JTType,"Issue"),0)</calculatedColumnFormula>
    </tableColumn>
    <tableColumn id="13" xr3:uid="{00000000-0010-0000-0200-00000D000000}" name="Job Var" dataDxfId="48" dataCellStyle="Comma">
      <calculatedColumnFormula>IF($U5=1,O5-P5,0)</calculatedColumnFormula>
    </tableColumn>
    <tableColumn id="12" xr3:uid="{00000000-0010-0000-0200-00000C000000}" name="Job Usage" dataDxfId="47" dataCellStyle="Comma">
      <calculatedColumnFormula>IF($U5=1,Q5-S5,0)</calculatedColumnFormula>
    </tableColumn>
    <tableColumn id="17" xr3:uid="{00000000-0010-0000-0200-000011000000}" name="Job Price" dataDxfId="46" dataCellStyle="Comma">
      <calculatedColumnFormula array="1">IF($U5=1,SUMIFS(JTPrice,JTJob,$A5,JTType,"Issue"),0)</calculatedColumnFormula>
    </tableColumn>
    <tableColumn id="18" xr3:uid="{00000000-0010-0000-0200-000012000000}" name="Job Date" dataDxfId="45" dataCellStyle="Comma">
      <calculatedColumnFormula>IF(ISBLANK($B5)=TRUE,TODAY(),$B5)</calculatedColumnFormula>
    </tableColumn>
    <tableColumn id="6" xr3:uid="{00000000-0010-0000-0200-000006000000}" name="JUnique" dataDxfId="44" dataCellStyle="Comma">
      <calculatedColumnFormula array="1">IF(ISBLANK(A5)=TRUE,"-",IF(COUNTIF(JSJob,$A5)&gt;1,IF(COUNTIF(OFFSET($A5,ROW($A$4)-ROW($A5),0,ROW($A5)-ROW($A$4),1),$A5)&gt;0,0,1),COUNTIF(JSJob,$A5)))</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JTrans" displayName="JTrans" ref="A4:S79" totalsRowShown="0" headerRowDxfId="38" dataDxfId="36" headerRowBorderDxfId="37" tableBorderDxfId="35" headerRowCellStyle="Percent">
  <autoFilter ref="A4:S79" xr:uid="{00000000-0009-0000-0100-000005000000}"/>
  <tableColumns count="19">
    <tableColumn id="1" xr3:uid="{00000000-0010-0000-0300-000001000000}" name="Job No" dataDxfId="34"/>
    <tableColumn id="3" xr3:uid="{00000000-0010-0000-0300-000003000000}" name="Type" dataDxfId="33"/>
    <tableColumn id="4" xr3:uid="{00000000-0010-0000-0300-000004000000}" name="Stock Code" dataDxfId="32"/>
    <tableColumn id="5" xr3:uid="{00000000-0010-0000-0300-000005000000}" name="Quantity" dataDxfId="31" dataCellStyle="Comma"/>
    <tableColumn id="6" xr3:uid="{00000000-0010-0000-0300-000006000000}" name="Cost PU" dataDxfId="30" dataCellStyle="Comma"/>
    <tableColumn id="8" xr3:uid="{00000000-0010-0000-0300-000008000000}" name="Override?" dataDxfId="29"/>
    <tableColumn id="17" xr3:uid="{00000000-0010-0000-0300-000011000000}" name="Job Link" dataDxfId="28"/>
    <tableColumn id="7" xr3:uid="{00000000-0010-0000-0300-000007000000}" name="Error Code" dataDxfId="27">
      <calculatedColumnFormula>IF(AND(ISBLANK(C5)=FALSE,ISNA(MATCH(C5,StockCodes,0))=TRUE)=TRUE,"E3",IF(AND(J5&lt;&gt;"-",J5&lt;&gt;"Manufactured",B5="Receipt"),"E7",IF(AND(ISBLANK(A5)=FALSE,ISNA(MATCH(A5,JSJob,0))=TRUE),"E8",IF(AND(ISBLANK(A5)=FALSE,B5&lt;&gt;"Receipt",B5&lt;&gt;"Issue"),"E9",IF(AND(ISBLANK(G5)=FALSE,ISNA(MATCH(G5,JSJob,0))=TRUE),"E10",IF(AND(ISBLANK(C5)=FALSE,SUMPRODUCT((JSJob=A5)*(JSCode=C5)*(1))&lt;&gt;1,B5="Receipt"),"E11","-"))))))</calculatedColumnFormula>
    </tableColumn>
    <tableColumn id="12" xr3:uid="{00000000-0010-0000-0300-00000C000000}" name="Description" dataDxfId="26">
      <calculatedColumnFormula>IF(ISNA(VLOOKUP($C5,StockMaster,COLUMN(StockCode!$B$4),0))=TRUE,"-",VLOOKUP($C5,StockMaster,COLUMN(StockCode!$B$4),0))</calculatedColumnFormula>
    </tableColumn>
    <tableColumn id="11" xr3:uid="{00000000-0010-0000-0300-00000B000000}" name="Product Type" dataDxfId="25">
      <calculatedColumnFormula>IF(ISNA(VLOOKUP($C5,StockMaster,COLUMN(StockCode!$G$4),0))=TRUE,"-",VLOOKUP($C5,StockMaster,COLUMN(StockCode!$G$4),0))</calculatedColumnFormula>
    </tableColumn>
    <tableColumn id="14" xr3:uid="{00000000-0010-0000-0300-00000E000000}" name="UOM" dataDxfId="24">
      <calculatedColumnFormula>IF(ISNA(VLOOKUP($C5,StockMaster,COLUMN(StockCode!$C$4),0))=TRUE,"-",VLOOKUP($C5,StockMaster,COLUMN(StockCode!$C$4),0))</calculatedColumnFormula>
    </tableColumn>
    <tableColumn id="2" xr3:uid="{00000000-0010-0000-0300-000002000000}" name="STD Cost" dataDxfId="23">
      <calculatedColumnFormula>IF(ISNA(VLOOKUP($C5,StockMaster,COLUMN(StockCode!$I$4),0))=TRUE,0,VLOOKUP($C5,StockMaster,COLUMN(StockCode!$I$4),0))</calculatedColumnFormula>
    </tableColumn>
    <tableColumn id="13" xr3:uid="{00000000-0010-0000-0300-00000D000000}" name="Unit Price" dataDxfId="22" dataCellStyle="Comma">
      <calculatedColumnFormula>IF(B5="Receipt",L5,IF(J5="Manufactured",IF(Q5&lt;&gt;0,Q5,IF(R5&lt;&gt;0,R5,L5)),IF(F5="Yes",E5,L5)))</calculatedColumnFormula>
    </tableColumn>
    <tableColumn id="10" xr3:uid="{00000000-0010-0000-0300-00000A000000}" name="TrnValue" dataDxfId="21" dataCellStyle="Comma">
      <calculatedColumnFormula>D5*M5</calculatedColumnFormula>
    </tableColumn>
    <tableColumn id="15" xr3:uid="{00000000-0010-0000-0300-00000F000000}" name="Price Var" dataDxfId="20" dataCellStyle="Comma">
      <calculatedColumnFormula>-(L5-M5)*D5</calculatedColumnFormula>
    </tableColumn>
    <tableColumn id="9" xr3:uid="{00000000-0010-0000-0300-000009000000}" name="Job Date" dataDxfId="19" dataCellStyle="Comma">
      <calculatedColumnFormula>IF(ISNA(VLOOKUP($A5,JSetup[],COLUMN(JSetup!$T$4),0))=TRUE,"-",VLOOKUP($A5,JSetup[],COLUMN(JSetup!$T$4),0))</calculatedColumnFormula>
    </tableColumn>
    <tableColumn id="18" xr3:uid="{00000000-0010-0000-0300-000012000000}" name="JobLink Cost" dataDxfId="18" dataCellStyle="Comma">
      <calculatedColumnFormula>IF(ISNA(VLOOKUP(G5,JSetup[],COLUMN(JSetup!$L$4),0))=TRUE,0,IF(ISNUMBER(VLOOKUP(G5,JSetup[],COLUMN(JSetup!$L$4),0))=FALSE,0,IF(VLOOKUP(G5,JSetup[],COLUMN(JSetup!$C$4),0)&lt;&gt;C5,0,VLOOKUP(G5,JSetup[],COLUMN(JSetup!$L$4),0))))</calculatedColumnFormula>
    </tableColumn>
    <tableColumn id="20" xr3:uid="{00000000-0010-0000-0300-000014000000}" name="Avg Actual" dataDxfId="17" dataCellStyle="Comma">
      <calculatedColumnFormula>IF(J5="Bought-In",0,IF(B5="Receipt",0,IF(ISNA(VLOOKUP(C5,StockMaster,COLUMN(StockCode!$AA$4),0))=TRUE,0,VLOOKUP(C5,StockMaster,COLUMN(StockCode!$AA$4),0))))</calculatedColumnFormula>
    </tableColumn>
    <tableColumn id="16" xr3:uid="{00000000-0010-0000-0300-000010000000}" name="FG Code" dataDxfId="16" dataCellStyle="Comma">
      <calculatedColumnFormula>IF(JSetup!$U$1="Single",IF(ISNA(VLOOKUP($A5,JSetup[],COLUMN(JSetup!$C$4),0))=TRUE,"-",VLOOKUP($A5,JSetup[],COLUMN(JSetup!$C$4),0)),"-")</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Forecast" displayName="Forecast" ref="A6:G26" totalsRowShown="0" headerRowDxfId="10" dataDxfId="8" headerRowBorderDxfId="9" tableBorderDxfId="7">
  <tableColumns count="7">
    <tableColumn id="1" xr3:uid="{00000000-0010-0000-0400-000001000000}" name="Stock Code" dataDxfId="6"/>
    <tableColumn id="2" xr3:uid="{00000000-0010-0000-0400-000002000000}" name="Description" dataDxfId="5">
      <calculatedColumnFormula>IF(ISNA(VLOOKUP($A7,StockMaster,COLUMN(StockCode!$B$4),0))=TRUE,"-",VLOOKUP($A7,StockMaster,COLUMN(StockCode!$B$4),0))</calculatedColumnFormula>
    </tableColumn>
    <tableColumn id="3" xr3:uid="{00000000-0010-0000-0400-000003000000}" name="UOM" dataDxfId="4">
      <calculatedColumnFormula>IF(ISNA(VLOOKUP($A7,StockMaster,COLUMN(StockCode!$C$4),0))=TRUE,"-",VLOOKUP($A7,StockMaster,COLUMN(StockCode!$C$4),0))</calculatedColumnFormula>
    </tableColumn>
    <tableColumn id="5" xr3:uid="{00000000-0010-0000-0400-000005000000}" name="Error Code" dataDxfId="3">
      <calculatedColumnFormula array="1">IF(COUNTIF(RequireCode,A7)&gt;1,"E1",IF(AND(ISBLANK(A7)=FALSE,ISNA(MATCH(A7,StockCodes,0))=TRUE)=TRUE,"E3","-"))</calculatedColumnFormula>
    </tableColumn>
    <tableColumn id="7" xr3:uid="{00000000-0010-0000-0400-000007000000}" name="Quantity" dataDxfId="2" dataCellStyle="Comma"/>
    <tableColumn id="6" xr3:uid="{00000000-0010-0000-0400-000006000000}" name="Unit Cost" dataDxfId="1" dataCellStyle="Comma">
      <calculatedColumnFormula>IF(ISNA(VLOOKUP($A7,StockMaster,COLUMN(StockCode!$I$4),0))=TRUE,0,VLOOKUP($A7,StockMaster,COLUMN(StockCode!$I$4),0))</calculatedColumnFormula>
    </tableColumn>
    <tableColumn id="4" xr3:uid="{00000000-0010-0000-0400-000004000000}" name="Value" dataDxfId="0" dataCellStyle="Comma">
      <calculatedColumnFormula>E7*F7</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649"/>
  <sheetViews>
    <sheetView zoomScaleNormal="100" workbookViewId="0">
      <pane ySplit="3" topLeftCell="A4" activePane="bottomLeft" state="frozen"/>
      <selection pane="bottomLeft"/>
    </sheetView>
  </sheetViews>
  <sheetFormatPr defaultColWidth="9.140625" defaultRowHeight="12.75" x14ac:dyDescent="0.2"/>
  <cols>
    <col min="1" max="1" width="109.7109375" style="135" customWidth="1"/>
    <col min="2" max="2" width="50.7109375" style="133" customWidth="1"/>
    <col min="3" max="22" width="15.7109375" style="133" customWidth="1"/>
    <col min="23" max="16384" width="9.140625" style="133"/>
  </cols>
  <sheetData>
    <row r="1" spans="1:1" ht="15.75" x14ac:dyDescent="0.25">
      <c r="A1" s="132" t="s">
        <v>223</v>
      </c>
    </row>
    <row r="2" spans="1:1" ht="15" customHeight="1" x14ac:dyDescent="0.2">
      <c r="A2" s="134" t="s">
        <v>34</v>
      </c>
    </row>
    <row r="3" spans="1:1" ht="15" customHeight="1" x14ac:dyDescent="0.2">
      <c r="A3" s="143" t="s">
        <v>19</v>
      </c>
    </row>
    <row r="5" spans="1:1" ht="89.25" x14ac:dyDescent="0.2">
      <c r="A5" s="135" t="s">
        <v>229</v>
      </c>
    </row>
    <row r="7" spans="1:1" x14ac:dyDescent="0.2">
      <c r="A7" s="135" t="s">
        <v>26</v>
      </c>
    </row>
    <row r="8" spans="1:1" ht="51" x14ac:dyDescent="0.2">
      <c r="A8" s="136" t="s">
        <v>418</v>
      </c>
    </row>
    <row r="9" spans="1:1" ht="25.5" x14ac:dyDescent="0.2">
      <c r="A9" s="136" t="s">
        <v>425</v>
      </c>
    </row>
    <row r="10" spans="1:1" ht="38.25" x14ac:dyDescent="0.2">
      <c r="A10" s="135" t="s">
        <v>419</v>
      </c>
    </row>
    <row r="11" spans="1:1" ht="51" x14ac:dyDescent="0.2">
      <c r="A11" s="136" t="s">
        <v>420</v>
      </c>
    </row>
    <row r="12" spans="1:1" ht="51" x14ac:dyDescent="0.2">
      <c r="A12" s="135" t="s">
        <v>421</v>
      </c>
    </row>
    <row r="13" spans="1:1" ht="51" x14ac:dyDescent="0.2">
      <c r="A13" s="135" t="s">
        <v>422</v>
      </c>
    </row>
    <row r="14" spans="1:1" x14ac:dyDescent="0.2">
      <c r="A14" s="136"/>
    </row>
    <row r="15" spans="1:1" x14ac:dyDescent="0.2">
      <c r="A15" s="136" t="s">
        <v>31</v>
      </c>
    </row>
    <row r="17" spans="1:1" ht="38.25" x14ac:dyDescent="0.2">
      <c r="A17" s="135" t="s">
        <v>0</v>
      </c>
    </row>
    <row r="19" spans="1:1" ht="51" x14ac:dyDescent="0.2">
      <c r="A19" s="137" t="s">
        <v>426</v>
      </c>
    </row>
    <row r="21" spans="1:1" ht="63.75" x14ac:dyDescent="0.2">
      <c r="A21" s="135" t="s">
        <v>86</v>
      </c>
    </row>
    <row r="23" spans="1:1" ht="63.75" x14ac:dyDescent="0.2">
      <c r="A23" s="137" t="s">
        <v>231</v>
      </c>
    </row>
    <row r="25" spans="1:1" ht="38.25" x14ac:dyDescent="0.2">
      <c r="A25" s="138" t="s">
        <v>236</v>
      </c>
    </row>
    <row r="27" spans="1:1" x14ac:dyDescent="0.2">
      <c r="A27" s="137" t="s">
        <v>4</v>
      </c>
    </row>
    <row r="29" spans="1:1" x14ac:dyDescent="0.2">
      <c r="A29" s="135" t="s">
        <v>230</v>
      </c>
    </row>
    <row r="31" spans="1:1" x14ac:dyDescent="0.2">
      <c r="A31" s="137" t="s">
        <v>5</v>
      </c>
    </row>
    <row r="33" spans="1:1" x14ac:dyDescent="0.2">
      <c r="A33" s="135" t="s">
        <v>232</v>
      </c>
    </row>
    <row r="34" spans="1:1" x14ac:dyDescent="0.2">
      <c r="A34" s="136"/>
    </row>
    <row r="35" spans="1:1" x14ac:dyDescent="0.2">
      <c r="A35" s="137" t="s">
        <v>233</v>
      </c>
    </row>
    <row r="36" spans="1:1" x14ac:dyDescent="0.2">
      <c r="A36" s="136"/>
    </row>
    <row r="37" spans="1:1" ht="76.5" x14ac:dyDescent="0.2">
      <c r="A37" s="135" t="s">
        <v>423</v>
      </c>
    </row>
    <row r="38" spans="1:1" x14ac:dyDescent="0.2">
      <c r="A38" s="136"/>
    </row>
    <row r="39" spans="1:1" x14ac:dyDescent="0.2">
      <c r="A39" s="137" t="s">
        <v>198</v>
      </c>
    </row>
    <row r="40" spans="1:1" x14ac:dyDescent="0.2">
      <c r="A40" s="136"/>
    </row>
    <row r="41" spans="1:1" ht="51" x14ac:dyDescent="0.2">
      <c r="A41" s="135" t="s">
        <v>234</v>
      </c>
    </row>
    <row r="43" spans="1:1" ht="25.5" x14ac:dyDescent="0.2">
      <c r="A43" s="135" t="s">
        <v>235</v>
      </c>
    </row>
    <row r="44" spans="1:1" x14ac:dyDescent="0.2">
      <c r="A44" s="136"/>
    </row>
    <row r="45" spans="1:1" ht="51" x14ac:dyDescent="0.2">
      <c r="A45" s="137" t="s">
        <v>268</v>
      </c>
    </row>
    <row r="46" spans="1:1" x14ac:dyDescent="0.2">
      <c r="A46" s="136"/>
    </row>
    <row r="47" spans="1:1" x14ac:dyDescent="0.2">
      <c r="A47" s="137" t="s">
        <v>209</v>
      </c>
    </row>
    <row r="48" spans="1:1" x14ac:dyDescent="0.2">
      <c r="A48" s="136"/>
    </row>
    <row r="49" spans="1:1" ht="38.25" x14ac:dyDescent="0.2">
      <c r="A49" s="135" t="s">
        <v>237</v>
      </c>
    </row>
    <row r="51" spans="1:1" ht="63.75" x14ac:dyDescent="0.2">
      <c r="A51" s="135" t="s">
        <v>395</v>
      </c>
    </row>
    <row r="53" spans="1:1" ht="51" x14ac:dyDescent="0.2">
      <c r="A53" s="135" t="s">
        <v>238</v>
      </c>
    </row>
    <row r="55" spans="1:1" ht="63.75" x14ac:dyDescent="0.2">
      <c r="A55" s="137" t="s">
        <v>388</v>
      </c>
    </row>
    <row r="56" spans="1:1" x14ac:dyDescent="0.2">
      <c r="A56" s="137"/>
    </row>
    <row r="57" spans="1:1" ht="63.75" x14ac:dyDescent="0.2">
      <c r="A57" s="137" t="s">
        <v>239</v>
      </c>
    </row>
    <row r="59" spans="1:1" ht="25.5" x14ac:dyDescent="0.2">
      <c r="A59" s="137" t="s">
        <v>396</v>
      </c>
    </row>
    <row r="61" spans="1:1" ht="25.5" x14ac:dyDescent="0.2">
      <c r="A61" s="137" t="s">
        <v>283</v>
      </c>
    </row>
    <row r="63" spans="1:1" ht="63.75" x14ac:dyDescent="0.2">
      <c r="A63" s="135" t="s">
        <v>427</v>
      </c>
    </row>
    <row r="65" spans="1:1" ht="38.25" x14ac:dyDescent="0.2">
      <c r="A65" s="138" t="s">
        <v>240</v>
      </c>
    </row>
    <row r="66" spans="1:1" x14ac:dyDescent="0.2">
      <c r="A66" s="137"/>
    </row>
    <row r="67" spans="1:1" x14ac:dyDescent="0.2">
      <c r="A67" s="137" t="s">
        <v>35</v>
      </c>
    </row>
    <row r="68" spans="1:1" x14ac:dyDescent="0.2">
      <c r="A68" s="137"/>
    </row>
    <row r="69" spans="1:1" ht="63.75" x14ac:dyDescent="0.2">
      <c r="A69" s="135" t="s">
        <v>241</v>
      </c>
    </row>
    <row r="71" spans="1:1" x14ac:dyDescent="0.2">
      <c r="A71" s="137" t="s">
        <v>15</v>
      </c>
    </row>
    <row r="73" spans="1:1" ht="63.75" x14ac:dyDescent="0.2">
      <c r="A73" s="135" t="s">
        <v>397</v>
      </c>
    </row>
    <row r="75" spans="1:1" ht="38.25" x14ac:dyDescent="0.2">
      <c r="A75" s="137" t="s">
        <v>242</v>
      </c>
    </row>
    <row r="77" spans="1:1" x14ac:dyDescent="0.2">
      <c r="A77" s="137" t="s">
        <v>216</v>
      </c>
    </row>
    <row r="79" spans="1:1" ht="63.75" x14ac:dyDescent="0.2">
      <c r="A79" s="135" t="s">
        <v>243</v>
      </c>
    </row>
    <row r="81" spans="1:1" x14ac:dyDescent="0.2">
      <c r="A81" s="137" t="s">
        <v>17</v>
      </c>
    </row>
    <row r="83" spans="1:1" ht="63.75" x14ac:dyDescent="0.2">
      <c r="A83" s="135" t="s">
        <v>428</v>
      </c>
    </row>
    <row r="85" spans="1:1" x14ac:dyDescent="0.2">
      <c r="A85" s="137" t="s">
        <v>156</v>
      </c>
    </row>
    <row r="87" spans="1:1" ht="25.5" x14ac:dyDescent="0.2">
      <c r="A87" s="135" t="s">
        <v>245</v>
      </c>
    </row>
    <row r="89" spans="1:1" x14ac:dyDescent="0.2">
      <c r="A89" s="137" t="s">
        <v>158</v>
      </c>
    </row>
    <row r="91" spans="1:1" ht="38.25" x14ac:dyDescent="0.2">
      <c r="A91" s="135" t="s">
        <v>244</v>
      </c>
    </row>
    <row r="93" spans="1:1" x14ac:dyDescent="0.2">
      <c r="A93" s="137" t="s">
        <v>157</v>
      </c>
    </row>
    <row r="95" spans="1:1" ht="38.25" x14ac:dyDescent="0.2">
      <c r="A95" s="135" t="s">
        <v>246</v>
      </c>
    </row>
    <row r="97" spans="1:1" x14ac:dyDescent="0.2">
      <c r="A97" s="137" t="s">
        <v>114</v>
      </c>
    </row>
    <row r="99" spans="1:1" ht="25.5" x14ac:dyDescent="0.2">
      <c r="A99" s="135" t="s">
        <v>247</v>
      </c>
    </row>
    <row r="101" spans="1:1" x14ac:dyDescent="0.2">
      <c r="A101" s="137" t="s">
        <v>116</v>
      </c>
    </row>
    <row r="103" spans="1:1" ht="25.5" x14ac:dyDescent="0.2">
      <c r="A103" s="135" t="s">
        <v>248</v>
      </c>
    </row>
    <row r="105" spans="1:1" x14ac:dyDescent="0.2">
      <c r="A105" s="137" t="s">
        <v>115</v>
      </c>
    </row>
    <row r="107" spans="1:1" ht="25.5" x14ac:dyDescent="0.2">
      <c r="A107" s="135" t="s">
        <v>249</v>
      </c>
    </row>
    <row r="109" spans="1:1" ht="38.25" x14ac:dyDescent="0.2">
      <c r="A109" s="138" t="s">
        <v>259</v>
      </c>
    </row>
    <row r="111" spans="1:1" x14ac:dyDescent="0.2">
      <c r="A111" s="137" t="s">
        <v>185</v>
      </c>
    </row>
    <row r="113" spans="1:1" ht="25.5" x14ac:dyDescent="0.2">
      <c r="A113" s="135" t="s">
        <v>398</v>
      </c>
    </row>
    <row r="115" spans="1:1" x14ac:dyDescent="0.2">
      <c r="A115" s="137" t="s">
        <v>186</v>
      </c>
    </row>
    <row r="117" spans="1:1" ht="51" x14ac:dyDescent="0.2">
      <c r="A117" s="135" t="s">
        <v>250</v>
      </c>
    </row>
    <row r="119" spans="1:1" x14ac:dyDescent="0.2">
      <c r="A119" s="137" t="s">
        <v>187</v>
      </c>
    </row>
    <row r="121" spans="1:1" ht="25.5" x14ac:dyDescent="0.2">
      <c r="A121" s="135" t="s">
        <v>399</v>
      </c>
    </row>
    <row r="123" spans="1:1" x14ac:dyDescent="0.2">
      <c r="A123" s="137" t="s">
        <v>184</v>
      </c>
    </row>
    <row r="125" spans="1:1" ht="25.5" x14ac:dyDescent="0.2">
      <c r="A125" s="135" t="s">
        <v>251</v>
      </c>
    </row>
    <row r="127" spans="1:1" x14ac:dyDescent="0.2">
      <c r="A127" s="137" t="s">
        <v>227</v>
      </c>
    </row>
    <row r="129" spans="1:1" ht="25.5" x14ac:dyDescent="0.2">
      <c r="A129" s="135" t="s">
        <v>252</v>
      </c>
    </row>
    <row r="131" spans="1:1" ht="38.25" x14ac:dyDescent="0.2">
      <c r="A131" s="137" t="s">
        <v>253</v>
      </c>
    </row>
    <row r="133" spans="1:1" x14ac:dyDescent="0.2">
      <c r="A133" s="137" t="s">
        <v>225</v>
      </c>
    </row>
    <row r="135" spans="1:1" ht="51" x14ac:dyDescent="0.2">
      <c r="A135" s="135" t="s">
        <v>389</v>
      </c>
    </row>
    <row r="137" spans="1:1" ht="38.25" x14ac:dyDescent="0.2">
      <c r="A137" s="137" t="s">
        <v>253</v>
      </c>
    </row>
    <row r="139" spans="1:1" x14ac:dyDescent="0.2">
      <c r="A139" s="137" t="s">
        <v>228</v>
      </c>
    </row>
    <row r="141" spans="1:1" ht="38.25" x14ac:dyDescent="0.2">
      <c r="A141" s="135" t="s">
        <v>254</v>
      </c>
    </row>
    <row r="143" spans="1:1" ht="38.25" x14ac:dyDescent="0.2">
      <c r="A143" s="137" t="s">
        <v>253</v>
      </c>
    </row>
    <row r="145" spans="1:1" ht="38.25" x14ac:dyDescent="0.2">
      <c r="A145" s="137" t="s">
        <v>255</v>
      </c>
    </row>
    <row r="147" spans="1:1" x14ac:dyDescent="0.2">
      <c r="A147" s="137" t="s">
        <v>226</v>
      </c>
    </row>
    <row r="149" spans="1:1" ht="63.75" x14ac:dyDescent="0.2">
      <c r="A149" s="135" t="s">
        <v>429</v>
      </c>
    </row>
    <row r="151" spans="1:1" ht="38.25" x14ac:dyDescent="0.2">
      <c r="A151" s="137" t="s">
        <v>253</v>
      </c>
    </row>
    <row r="153" spans="1:1" x14ac:dyDescent="0.2">
      <c r="A153" s="137" t="s">
        <v>189</v>
      </c>
    </row>
    <row r="155" spans="1:1" ht="38.25" x14ac:dyDescent="0.2">
      <c r="A155" s="135" t="s">
        <v>400</v>
      </c>
    </row>
    <row r="157" spans="1:1" x14ac:dyDescent="0.2">
      <c r="A157" s="137" t="s">
        <v>188</v>
      </c>
    </row>
    <row r="159" spans="1:1" ht="25.5" x14ac:dyDescent="0.2">
      <c r="A159" s="135" t="s">
        <v>256</v>
      </c>
    </row>
    <row r="161" spans="1:1" x14ac:dyDescent="0.2">
      <c r="A161" s="137" t="s">
        <v>190</v>
      </c>
    </row>
    <row r="163" spans="1:1" ht="38.25" x14ac:dyDescent="0.2">
      <c r="A163" s="135" t="s">
        <v>401</v>
      </c>
    </row>
    <row r="165" spans="1:1" x14ac:dyDescent="0.2">
      <c r="A165" s="137" t="s">
        <v>192</v>
      </c>
    </row>
    <row r="167" spans="1:1" ht="38.25" x14ac:dyDescent="0.2">
      <c r="A167" s="135" t="s">
        <v>257</v>
      </c>
    </row>
    <row r="169" spans="1:1" ht="38.25" x14ac:dyDescent="0.2">
      <c r="A169" s="135" t="s">
        <v>261</v>
      </c>
    </row>
    <row r="171" spans="1:1" ht="51" x14ac:dyDescent="0.2">
      <c r="A171" s="135" t="s">
        <v>430</v>
      </c>
    </row>
    <row r="173" spans="1:1" ht="38.25" x14ac:dyDescent="0.2">
      <c r="A173" s="137" t="s">
        <v>262</v>
      </c>
    </row>
    <row r="175" spans="1:1" x14ac:dyDescent="0.2">
      <c r="A175" s="137" t="s">
        <v>199</v>
      </c>
    </row>
    <row r="177" spans="1:1" ht="25.5" x14ac:dyDescent="0.2">
      <c r="A177" s="135" t="s">
        <v>416</v>
      </c>
    </row>
    <row r="179" spans="1:1" ht="25.5" x14ac:dyDescent="0.2">
      <c r="A179" s="138" t="s">
        <v>258</v>
      </c>
    </row>
    <row r="181" spans="1:1" x14ac:dyDescent="0.2">
      <c r="A181" s="137" t="s">
        <v>260</v>
      </c>
    </row>
    <row r="183" spans="1:1" ht="38.25" x14ac:dyDescent="0.2">
      <c r="A183" s="135" t="s">
        <v>263</v>
      </c>
    </row>
    <row r="185" spans="1:1" ht="38.25" x14ac:dyDescent="0.2">
      <c r="A185" s="135" t="s">
        <v>264</v>
      </c>
    </row>
    <row r="187" spans="1:1" ht="25.5" x14ac:dyDescent="0.2">
      <c r="A187" s="137" t="s">
        <v>390</v>
      </c>
    </row>
    <row r="189" spans="1:1" ht="25.5" x14ac:dyDescent="0.2">
      <c r="A189" s="135" t="s">
        <v>265</v>
      </c>
    </row>
    <row r="191" spans="1:1" ht="38.25" x14ac:dyDescent="0.2">
      <c r="A191" s="137" t="s">
        <v>391</v>
      </c>
    </row>
    <row r="193" spans="1:1" x14ac:dyDescent="0.2">
      <c r="A193" s="137" t="s">
        <v>385</v>
      </c>
    </row>
    <row r="195" spans="1:1" ht="51" x14ac:dyDescent="0.2">
      <c r="A195" s="135" t="s">
        <v>392</v>
      </c>
    </row>
    <row r="197" spans="1:1" ht="38.25" x14ac:dyDescent="0.2">
      <c r="A197" s="135" t="s">
        <v>386</v>
      </c>
    </row>
    <row r="199" spans="1:1" ht="38.25" x14ac:dyDescent="0.2">
      <c r="A199" s="135" t="s">
        <v>417</v>
      </c>
    </row>
    <row r="201" spans="1:1" ht="38.25" x14ac:dyDescent="0.2">
      <c r="A201" s="135" t="s">
        <v>431</v>
      </c>
    </row>
    <row r="203" spans="1:1" ht="38.25" x14ac:dyDescent="0.2">
      <c r="A203" s="137" t="s">
        <v>387</v>
      </c>
    </row>
    <row r="205" spans="1:1" x14ac:dyDescent="0.2">
      <c r="A205" s="137" t="s">
        <v>266</v>
      </c>
    </row>
    <row r="207" spans="1:1" ht="25.5" x14ac:dyDescent="0.2">
      <c r="A207" s="135" t="s">
        <v>267</v>
      </c>
    </row>
    <row r="209" spans="1:1" ht="51" x14ac:dyDescent="0.2">
      <c r="A209" s="135" t="s">
        <v>269</v>
      </c>
    </row>
    <row r="211" spans="1:1" ht="38.25" x14ac:dyDescent="0.2">
      <c r="A211" s="137" t="s">
        <v>272</v>
      </c>
    </row>
    <row r="213" spans="1:1" x14ac:dyDescent="0.2">
      <c r="A213" s="136" t="s">
        <v>32</v>
      </c>
    </row>
    <row r="215" spans="1:1" ht="51" x14ac:dyDescent="0.2">
      <c r="A215" s="135" t="s">
        <v>87</v>
      </c>
    </row>
    <row r="217" spans="1:1" ht="38.25" x14ac:dyDescent="0.2">
      <c r="A217" s="137" t="s">
        <v>24</v>
      </c>
    </row>
    <row r="219" spans="1:1" ht="63.75" x14ac:dyDescent="0.2">
      <c r="A219" s="137" t="s">
        <v>96</v>
      </c>
    </row>
    <row r="220" spans="1:1" x14ac:dyDescent="0.2">
      <c r="A220" s="137"/>
    </row>
    <row r="221" spans="1:1" x14ac:dyDescent="0.2">
      <c r="A221" s="138" t="s">
        <v>271</v>
      </c>
    </row>
    <row r="223" spans="1:1" x14ac:dyDescent="0.2">
      <c r="A223" s="137" t="s">
        <v>13</v>
      </c>
    </row>
    <row r="225" spans="1:1" ht="89.25" x14ac:dyDescent="0.2">
      <c r="A225" s="135" t="s">
        <v>424</v>
      </c>
    </row>
    <row r="226" spans="1:1" x14ac:dyDescent="0.2">
      <c r="A226" s="136"/>
    </row>
    <row r="227" spans="1:1" ht="51" x14ac:dyDescent="0.2">
      <c r="A227" s="137" t="s">
        <v>273</v>
      </c>
    </row>
    <row r="228" spans="1:1" x14ac:dyDescent="0.2">
      <c r="A228" s="137"/>
    </row>
    <row r="229" spans="1:1" x14ac:dyDescent="0.2">
      <c r="A229" s="137" t="s">
        <v>7</v>
      </c>
    </row>
    <row r="230" spans="1:1" x14ac:dyDescent="0.2">
      <c r="A230" s="137"/>
    </row>
    <row r="231" spans="1:1" ht="38.25" x14ac:dyDescent="0.2">
      <c r="A231" s="135" t="s">
        <v>274</v>
      </c>
    </row>
    <row r="232" spans="1:1" x14ac:dyDescent="0.2">
      <c r="A232" s="136"/>
    </row>
    <row r="233" spans="1:1" ht="51" x14ac:dyDescent="0.2">
      <c r="A233" s="137" t="s">
        <v>21</v>
      </c>
    </row>
    <row r="234" spans="1:1" x14ac:dyDescent="0.2">
      <c r="A234" s="136"/>
    </row>
    <row r="235" spans="1:1" x14ac:dyDescent="0.2">
      <c r="A235" s="137" t="s">
        <v>14</v>
      </c>
    </row>
    <row r="236" spans="1:1" x14ac:dyDescent="0.2">
      <c r="A236" s="136"/>
    </row>
    <row r="237" spans="1:1" ht="38.25" x14ac:dyDescent="0.2">
      <c r="A237" s="135" t="s">
        <v>275</v>
      </c>
    </row>
    <row r="238" spans="1:1" x14ac:dyDescent="0.2">
      <c r="A238" s="136"/>
    </row>
    <row r="239" spans="1:1" ht="51" x14ac:dyDescent="0.2">
      <c r="A239" s="137" t="s">
        <v>88</v>
      </c>
    </row>
    <row r="240" spans="1:1" x14ac:dyDescent="0.2">
      <c r="A240" s="137"/>
    </row>
    <row r="241" spans="1:1" ht="63.75" x14ac:dyDescent="0.2">
      <c r="A241" s="137" t="s">
        <v>22</v>
      </c>
    </row>
    <row r="242" spans="1:1" x14ac:dyDescent="0.2">
      <c r="A242" s="137"/>
    </row>
    <row r="243" spans="1:1" ht="63.75" x14ac:dyDescent="0.2">
      <c r="A243" s="137" t="s">
        <v>89</v>
      </c>
    </row>
    <row r="245" spans="1:1" x14ac:dyDescent="0.2">
      <c r="A245" s="137" t="s">
        <v>8</v>
      </c>
    </row>
    <row r="247" spans="1:1" ht="51" x14ac:dyDescent="0.2">
      <c r="A247" s="135" t="s">
        <v>276</v>
      </c>
    </row>
    <row r="248" spans="1:1" x14ac:dyDescent="0.2">
      <c r="A248" s="136"/>
    </row>
    <row r="249" spans="1:1" ht="63.75" x14ac:dyDescent="0.2">
      <c r="A249" s="137" t="s">
        <v>432</v>
      </c>
    </row>
    <row r="250" spans="1:1" x14ac:dyDescent="0.2">
      <c r="A250" s="136"/>
    </row>
    <row r="251" spans="1:1" ht="51" x14ac:dyDescent="0.2">
      <c r="A251" s="137" t="s">
        <v>23</v>
      </c>
    </row>
    <row r="252" spans="1:1" x14ac:dyDescent="0.2">
      <c r="A252" s="137"/>
    </row>
    <row r="253" spans="1:1" ht="114.75" x14ac:dyDescent="0.2">
      <c r="A253" s="137" t="s">
        <v>90</v>
      </c>
    </row>
    <row r="254" spans="1:1" x14ac:dyDescent="0.2">
      <c r="A254" s="137"/>
    </row>
    <row r="255" spans="1:1" ht="114.75" x14ac:dyDescent="0.2">
      <c r="A255" s="137" t="s">
        <v>91</v>
      </c>
    </row>
    <row r="257" spans="1:1" ht="38.25" x14ac:dyDescent="0.2">
      <c r="A257" s="138" t="s">
        <v>270</v>
      </c>
    </row>
    <row r="259" spans="1:1" x14ac:dyDescent="0.2">
      <c r="A259" s="137" t="s">
        <v>35</v>
      </c>
    </row>
    <row r="261" spans="1:1" ht="63.75" x14ac:dyDescent="0.2">
      <c r="A261" s="135" t="s">
        <v>241</v>
      </c>
    </row>
    <row r="263" spans="1:1" x14ac:dyDescent="0.2">
      <c r="A263" s="137" t="s">
        <v>277</v>
      </c>
    </row>
    <row r="265" spans="1:1" ht="25.5" x14ac:dyDescent="0.2">
      <c r="A265" s="135" t="s">
        <v>278</v>
      </c>
    </row>
    <row r="266" spans="1:1" x14ac:dyDescent="0.2">
      <c r="A266" s="136"/>
    </row>
    <row r="267" spans="1:1" x14ac:dyDescent="0.2">
      <c r="A267" s="137" t="s">
        <v>211</v>
      </c>
    </row>
    <row r="268" spans="1:1" x14ac:dyDescent="0.2">
      <c r="A268" s="136"/>
    </row>
    <row r="269" spans="1:1" ht="51" x14ac:dyDescent="0.2">
      <c r="A269" s="135" t="s">
        <v>281</v>
      </c>
    </row>
    <row r="271" spans="1:1" ht="51" x14ac:dyDescent="0.2">
      <c r="A271" s="137" t="s">
        <v>282</v>
      </c>
    </row>
    <row r="272" spans="1:1" x14ac:dyDescent="0.2">
      <c r="A272" s="136"/>
    </row>
    <row r="273" spans="1:1" x14ac:dyDescent="0.2">
      <c r="A273" s="137" t="s">
        <v>279</v>
      </c>
    </row>
    <row r="274" spans="1:1" x14ac:dyDescent="0.2">
      <c r="A274" s="136"/>
    </row>
    <row r="275" spans="1:1" ht="25.5" x14ac:dyDescent="0.2">
      <c r="A275" s="135" t="s">
        <v>280</v>
      </c>
    </row>
    <row r="276" spans="1:1" x14ac:dyDescent="0.2">
      <c r="A276" s="136"/>
    </row>
    <row r="277" spans="1:1" x14ac:dyDescent="0.2">
      <c r="A277" s="137" t="s">
        <v>36</v>
      </c>
    </row>
    <row r="278" spans="1:1" x14ac:dyDescent="0.2">
      <c r="A278" s="136"/>
    </row>
    <row r="279" spans="1:1" ht="38.25" x14ac:dyDescent="0.2">
      <c r="A279" s="135" t="s">
        <v>284</v>
      </c>
    </row>
    <row r="281" spans="1:1" x14ac:dyDescent="0.2">
      <c r="A281" s="137" t="s">
        <v>212</v>
      </c>
    </row>
    <row r="283" spans="1:1" ht="25.5" x14ac:dyDescent="0.2">
      <c r="A283" s="135" t="s">
        <v>285</v>
      </c>
    </row>
    <row r="285" spans="1:1" x14ac:dyDescent="0.2">
      <c r="A285" s="137" t="s">
        <v>37</v>
      </c>
    </row>
    <row r="287" spans="1:1" ht="38.25" x14ac:dyDescent="0.2">
      <c r="A287" s="135" t="s">
        <v>286</v>
      </c>
    </row>
    <row r="288" spans="1:1" x14ac:dyDescent="0.2">
      <c r="A288" s="136"/>
    </row>
    <row r="289" spans="1:1" x14ac:dyDescent="0.2">
      <c r="A289" s="137" t="s">
        <v>38</v>
      </c>
    </row>
    <row r="290" spans="1:1" x14ac:dyDescent="0.2">
      <c r="A290" s="136"/>
    </row>
    <row r="291" spans="1:1" ht="25.5" x14ac:dyDescent="0.2">
      <c r="A291" s="135" t="s">
        <v>287</v>
      </c>
    </row>
    <row r="292" spans="1:1" x14ac:dyDescent="0.2">
      <c r="A292" s="136"/>
    </row>
    <row r="293" spans="1:1" x14ac:dyDescent="0.2">
      <c r="A293" s="137" t="s">
        <v>39</v>
      </c>
    </row>
    <row r="294" spans="1:1" x14ac:dyDescent="0.2">
      <c r="A294" s="136"/>
    </row>
    <row r="295" spans="1:1" ht="51" x14ac:dyDescent="0.2">
      <c r="A295" s="135" t="s">
        <v>288</v>
      </c>
    </row>
    <row r="296" spans="1:1" x14ac:dyDescent="0.2">
      <c r="A296" s="136"/>
    </row>
    <row r="297" spans="1:1" x14ac:dyDescent="0.2">
      <c r="A297" s="137" t="s">
        <v>290</v>
      </c>
    </row>
    <row r="298" spans="1:1" x14ac:dyDescent="0.2">
      <c r="A298" s="136"/>
    </row>
    <row r="299" spans="1:1" ht="25.5" x14ac:dyDescent="0.2">
      <c r="A299" s="135" t="s">
        <v>289</v>
      </c>
    </row>
    <row r="300" spans="1:1" x14ac:dyDescent="0.2">
      <c r="A300" s="136"/>
    </row>
    <row r="301" spans="1:1" x14ac:dyDescent="0.2">
      <c r="A301" s="137" t="s">
        <v>17</v>
      </c>
    </row>
    <row r="302" spans="1:1" x14ac:dyDescent="0.2">
      <c r="A302" s="136"/>
    </row>
    <row r="303" spans="1:1" ht="51" x14ac:dyDescent="0.2">
      <c r="A303" s="135" t="s">
        <v>291</v>
      </c>
    </row>
    <row r="304" spans="1:1" x14ac:dyDescent="0.2">
      <c r="A304" s="136"/>
    </row>
    <row r="305" spans="1:1" x14ac:dyDescent="0.2">
      <c r="A305" s="137" t="s">
        <v>193</v>
      </c>
    </row>
    <row r="306" spans="1:1" x14ac:dyDescent="0.2">
      <c r="A306" s="136"/>
    </row>
    <row r="307" spans="1:1" ht="38.25" x14ac:dyDescent="0.2">
      <c r="A307" s="135" t="s">
        <v>292</v>
      </c>
    </row>
    <row r="308" spans="1:1" x14ac:dyDescent="0.2">
      <c r="A308" s="136"/>
    </row>
    <row r="309" spans="1:1" x14ac:dyDescent="0.2">
      <c r="A309" s="137" t="s">
        <v>194</v>
      </c>
    </row>
    <row r="310" spans="1:1" x14ac:dyDescent="0.2">
      <c r="A310" s="136"/>
    </row>
    <row r="311" spans="1:1" ht="25.5" x14ac:dyDescent="0.2">
      <c r="A311" s="135" t="s">
        <v>293</v>
      </c>
    </row>
    <row r="312" spans="1:1" x14ac:dyDescent="0.2">
      <c r="A312" s="136"/>
    </row>
    <row r="313" spans="1:1" x14ac:dyDescent="0.2">
      <c r="A313" s="137" t="s">
        <v>195</v>
      </c>
    </row>
    <row r="314" spans="1:1" x14ac:dyDescent="0.2">
      <c r="A314" s="136"/>
    </row>
    <row r="315" spans="1:1" ht="63.75" x14ac:dyDescent="0.2">
      <c r="A315" s="135" t="s">
        <v>294</v>
      </c>
    </row>
    <row r="316" spans="1:1" x14ac:dyDescent="0.2">
      <c r="A316" s="136"/>
    </row>
    <row r="317" spans="1:1" x14ac:dyDescent="0.2">
      <c r="A317" s="137" t="s">
        <v>196</v>
      </c>
    </row>
    <row r="318" spans="1:1" x14ac:dyDescent="0.2">
      <c r="A318" s="136"/>
    </row>
    <row r="319" spans="1:1" ht="25.5" x14ac:dyDescent="0.2">
      <c r="A319" s="135" t="s">
        <v>295</v>
      </c>
    </row>
    <row r="320" spans="1:1" x14ac:dyDescent="0.2">
      <c r="A320" s="136"/>
    </row>
    <row r="321" spans="1:1" x14ac:dyDescent="0.2">
      <c r="A321" s="137" t="s">
        <v>197</v>
      </c>
    </row>
    <row r="322" spans="1:1" x14ac:dyDescent="0.2">
      <c r="A322" s="136"/>
    </row>
    <row r="323" spans="1:1" ht="51" x14ac:dyDescent="0.2">
      <c r="A323" s="135" t="s">
        <v>296</v>
      </c>
    </row>
    <row r="324" spans="1:1" x14ac:dyDescent="0.2">
      <c r="A324" s="136"/>
    </row>
    <row r="325" spans="1:1" ht="38.25" x14ac:dyDescent="0.2">
      <c r="A325" s="137" t="s">
        <v>297</v>
      </c>
    </row>
    <row r="326" spans="1:1" x14ac:dyDescent="0.2">
      <c r="A326" s="136"/>
    </row>
    <row r="327" spans="1:1" x14ac:dyDescent="0.2">
      <c r="A327" s="137" t="s">
        <v>298</v>
      </c>
    </row>
    <row r="328" spans="1:1" x14ac:dyDescent="0.2">
      <c r="A328" s="136"/>
    </row>
    <row r="329" spans="1:1" ht="38.25" x14ac:dyDescent="0.2">
      <c r="A329" s="135" t="s">
        <v>299</v>
      </c>
    </row>
    <row r="331" spans="1:1" x14ac:dyDescent="0.2">
      <c r="A331" s="137" t="s">
        <v>300</v>
      </c>
    </row>
    <row r="333" spans="1:1" ht="38.25" x14ac:dyDescent="0.2">
      <c r="A333" s="135" t="s">
        <v>301</v>
      </c>
    </row>
    <row r="335" spans="1:1" x14ac:dyDescent="0.2">
      <c r="A335" s="137" t="s">
        <v>302</v>
      </c>
    </row>
    <row r="337" spans="1:1" ht="38.25" x14ac:dyDescent="0.2">
      <c r="A337" s="135" t="s">
        <v>303</v>
      </c>
    </row>
    <row r="339" spans="1:1" x14ac:dyDescent="0.2">
      <c r="A339" s="137" t="s">
        <v>304</v>
      </c>
    </row>
    <row r="341" spans="1:1" ht="38.25" x14ac:dyDescent="0.2">
      <c r="A341" s="135" t="s">
        <v>305</v>
      </c>
    </row>
    <row r="343" spans="1:1" ht="25.5" x14ac:dyDescent="0.2">
      <c r="A343" s="138" t="s">
        <v>306</v>
      </c>
    </row>
    <row r="344" spans="1:1" x14ac:dyDescent="0.2">
      <c r="A344" s="138"/>
    </row>
    <row r="345" spans="1:1" x14ac:dyDescent="0.2">
      <c r="A345" s="137" t="s">
        <v>20</v>
      </c>
    </row>
    <row r="346" spans="1:1" x14ac:dyDescent="0.2">
      <c r="A346" s="137"/>
    </row>
    <row r="347" spans="1:1" ht="38.25" x14ac:dyDescent="0.2">
      <c r="A347" s="135" t="s">
        <v>92</v>
      </c>
    </row>
    <row r="349" spans="1:1" ht="38.25" x14ac:dyDescent="0.2">
      <c r="A349" s="135" t="s">
        <v>308</v>
      </c>
    </row>
    <row r="351" spans="1:1" ht="89.25" x14ac:dyDescent="0.2">
      <c r="A351" s="137" t="s">
        <v>307</v>
      </c>
    </row>
    <row r="352" spans="1:1" x14ac:dyDescent="0.2">
      <c r="A352" s="137"/>
    </row>
    <row r="353" spans="1:1" ht="63.75" x14ac:dyDescent="0.2">
      <c r="A353" s="135" t="s">
        <v>93</v>
      </c>
    </row>
    <row r="354" spans="1:1" x14ac:dyDescent="0.2">
      <c r="A354" s="137"/>
    </row>
    <row r="355" spans="1:1" ht="76.5" x14ac:dyDescent="0.2">
      <c r="A355" s="137" t="s">
        <v>309</v>
      </c>
    </row>
    <row r="356" spans="1:1" x14ac:dyDescent="0.2">
      <c r="A356" s="137"/>
    </row>
    <row r="357" spans="1:1" x14ac:dyDescent="0.2">
      <c r="A357" s="136" t="s">
        <v>310</v>
      </c>
    </row>
    <row r="359" spans="1:1" ht="38.25" x14ac:dyDescent="0.2">
      <c r="A359" s="135" t="s">
        <v>402</v>
      </c>
    </row>
    <row r="361" spans="1:1" ht="25.5" x14ac:dyDescent="0.2">
      <c r="A361" s="135" t="s">
        <v>312</v>
      </c>
    </row>
    <row r="363" spans="1:1" ht="51" x14ac:dyDescent="0.2">
      <c r="A363" s="135" t="s">
        <v>313</v>
      </c>
    </row>
    <row r="365" spans="1:1" ht="63.75" x14ac:dyDescent="0.2">
      <c r="A365" s="135" t="s">
        <v>403</v>
      </c>
    </row>
    <row r="367" spans="1:1" ht="38.25" x14ac:dyDescent="0.2">
      <c r="A367" s="137" t="s">
        <v>404</v>
      </c>
    </row>
    <row r="369" spans="1:1" ht="51" x14ac:dyDescent="0.2">
      <c r="A369" s="135" t="s">
        <v>393</v>
      </c>
    </row>
    <row r="371" spans="1:1" ht="63.75" x14ac:dyDescent="0.2">
      <c r="A371" s="135" t="s">
        <v>314</v>
      </c>
    </row>
    <row r="373" spans="1:1" ht="51" x14ac:dyDescent="0.2">
      <c r="A373" s="135" t="s">
        <v>315</v>
      </c>
    </row>
    <row r="375" spans="1:1" ht="51" x14ac:dyDescent="0.2">
      <c r="A375" s="137" t="s">
        <v>316</v>
      </c>
    </row>
    <row r="377" spans="1:1" ht="25.5" x14ac:dyDescent="0.2">
      <c r="A377" s="137" t="s">
        <v>340</v>
      </c>
    </row>
    <row r="379" spans="1:1" x14ac:dyDescent="0.2">
      <c r="A379" s="138" t="s">
        <v>317</v>
      </c>
    </row>
    <row r="381" spans="1:1" x14ac:dyDescent="0.2">
      <c r="A381" s="137" t="s">
        <v>128</v>
      </c>
    </row>
    <row r="383" spans="1:1" ht="25.5" x14ac:dyDescent="0.2">
      <c r="A383" s="135" t="s">
        <v>318</v>
      </c>
    </row>
    <row r="385" spans="1:1" x14ac:dyDescent="0.2">
      <c r="A385" s="137" t="s">
        <v>100</v>
      </c>
    </row>
    <row r="387" spans="1:1" ht="25.5" x14ac:dyDescent="0.2">
      <c r="A387" s="135" t="s">
        <v>319</v>
      </c>
    </row>
    <row r="389" spans="1:1" x14ac:dyDescent="0.2">
      <c r="A389" s="137" t="s">
        <v>4</v>
      </c>
    </row>
    <row r="391" spans="1:1" ht="25.5" x14ac:dyDescent="0.2">
      <c r="A391" s="135" t="s">
        <v>320</v>
      </c>
    </row>
    <row r="393" spans="1:1" x14ac:dyDescent="0.2">
      <c r="A393" s="137" t="s">
        <v>105</v>
      </c>
    </row>
    <row r="395" spans="1:1" ht="38.25" x14ac:dyDescent="0.2">
      <c r="A395" s="135" t="s">
        <v>321</v>
      </c>
    </row>
    <row r="397" spans="1:1" ht="38.25" x14ac:dyDescent="0.2">
      <c r="A397" s="138" t="s">
        <v>322</v>
      </c>
    </row>
    <row r="399" spans="1:1" x14ac:dyDescent="0.2">
      <c r="A399" s="137" t="s">
        <v>35</v>
      </c>
    </row>
    <row r="401" spans="1:1" ht="63.75" x14ac:dyDescent="0.2">
      <c r="A401" s="135" t="s">
        <v>241</v>
      </c>
    </row>
    <row r="403" spans="1:1" x14ac:dyDescent="0.2">
      <c r="A403" s="137" t="s">
        <v>109</v>
      </c>
    </row>
    <row r="405" spans="1:1" ht="25.5" x14ac:dyDescent="0.2">
      <c r="A405" s="135" t="s">
        <v>323</v>
      </c>
    </row>
    <row r="407" spans="1:1" x14ac:dyDescent="0.2">
      <c r="A407" s="137" t="s">
        <v>15</v>
      </c>
    </row>
    <row r="409" spans="1:1" ht="51" x14ac:dyDescent="0.2">
      <c r="A409" s="135" t="s">
        <v>324</v>
      </c>
    </row>
    <row r="411" spans="1:1" x14ac:dyDescent="0.2">
      <c r="A411" s="137" t="s">
        <v>216</v>
      </c>
    </row>
    <row r="413" spans="1:1" ht="25.5" x14ac:dyDescent="0.2">
      <c r="A413" s="135" t="s">
        <v>325</v>
      </c>
    </row>
    <row r="415" spans="1:1" x14ac:dyDescent="0.2">
      <c r="A415" s="137" t="s">
        <v>104</v>
      </c>
    </row>
    <row r="417" spans="1:1" ht="25.5" x14ac:dyDescent="0.2">
      <c r="A417" s="135" t="s">
        <v>326</v>
      </c>
    </row>
    <row r="419" spans="1:1" x14ac:dyDescent="0.2">
      <c r="A419" s="137" t="s">
        <v>136</v>
      </c>
    </row>
    <row r="421" spans="1:1" ht="38.25" x14ac:dyDescent="0.2">
      <c r="A421" s="135" t="s">
        <v>327</v>
      </c>
    </row>
    <row r="423" spans="1:1" x14ac:dyDescent="0.2">
      <c r="A423" s="137" t="s">
        <v>202</v>
      </c>
    </row>
    <row r="425" spans="1:1" ht="51" x14ac:dyDescent="0.2">
      <c r="A425" s="135" t="s">
        <v>433</v>
      </c>
    </row>
    <row r="427" spans="1:1" x14ac:dyDescent="0.2">
      <c r="A427" s="137" t="s">
        <v>203</v>
      </c>
    </row>
    <row r="429" spans="1:1" ht="38.25" x14ac:dyDescent="0.2">
      <c r="A429" s="135" t="s">
        <v>394</v>
      </c>
    </row>
    <row r="431" spans="1:1" x14ac:dyDescent="0.2">
      <c r="A431" s="137" t="s">
        <v>204</v>
      </c>
    </row>
    <row r="433" spans="1:1" ht="25.5" x14ac:dyDescent="0.2">
      <c r="A433" s="135" t="s">
        <v>328</v>
      </c>
    </row>
    <row r="435" spans="1:1" x14ac:dyDescent="0.2">
      <c r="A435" s="137" t="s">
        <v>133</v>
      </c>
    </row>
    <row r="437" spans="1:1" ht="25.5" x14ac:dyDescent="0.2">
      <c r="A437" s="135" t="s">
        <v>329</v>
      </c>
    </row>
    <row r="439" spans="1:1" x14ac:dyDescent="0.2">
      <c r="A439" s="137" t="s">
        <v>147</v>
      </c>
    </row>
    <row r="441" spans="1:1" ht="38.25" x14ac:dyDescent="0.2">
      <c r="A441" s="135" t="s">
        <v>330</v>
      </c>
    </row>
    <row r="443" spans="1:1" x14ac:dyDescent="0.2">
      <c r="A443" s="137" t="s">
        <v>148</v>
      </c>
    </row>
    <row r="445" spans="1:1" ht="38.25" x14ac:dyDescent="0.2">
      <c r="A445" s="135" t="s">
        <v>405</v>
      </c>
    </row>
    <row r="447" spans="1:1" x14ac:dyDescent="0.2">
      <c r="A447" s="137" t="s">
        <v>149</v>
      </c>
    </row>
    <row r="449" spans="1:1" ht="25.5" x14ac:dyDescent="0.2">
      <c r="A449" s="135" t="s">
        <v>406</v>
      </c>
    </row>
    <row r="451" spans="1:1" x14ac:dyDescent="0.2">
      <c r="A451" s="137" t="s">
        <v>150</v>
      </c>
    </row>
    <row r="453" spans="1:1" ht="63.75" x14ac:dyDescent="0.2">
      <c r="A453" s="135" t="s">
        <v>407</v>
      </c>
    </row>
    <row r="455" spans="1:1" x14ac:dyDescent="0.2">
      <c r="A455" s="137" t="s">
        <v>151</v>
      </c>
    </row>
    <row r="457" spans="1:1" ht="51" x14ac:dyDescent="0.2">
      <c r="A457" s="135" t="s">
        <v>408</v>
      </c>
    </row>
    <row r="459" spans="1:1" x14ac:dyDescent="0.2">
      <c r="A459" s="137" t="s">
        <v>153</v>
      </c>
    </row>
    <row r="461" spans="1:1" x14ac:dyDescent="0.2">
      <c r="A461" s="135" t="s">
        <v>331</v>
      </c>
    </row>
    <row r="463" spans="1:1" x14ac:dyDescent="0.2">
      <c r="A463" s="137" t="s">
        <v>152</v>
      </c>
    </row>
    <row r="464" spans="1:1" x14ac:dyDescent="0.2">
      <c r="A464" s="137"/>
    </row>
    <row r="465" spans="1:1" ht="38.25" x14ac:dyDescent="0.2">
      <c r="A465" s="135" t="s">
        <v>332</v>
      </c>
    </row>
    <row r="466" spans="1:1" x14ac:dyDescent="0.2">
      <c r="A466" s="137"/>
    </row>
    <row r="467" spans="1:1" ht="25.5" x14ac:dyDescent="0.2">
      <c r="A467" s="137" t="s">
        <v>333</v>
      </c>
    </row>
    <row r="468" spans="1:1" x14ac:dyDescent="0.2">
      <c r="A468" s="137"/>
    </row>
    <row r="469" spans="1:1" ht="51" x14ac:dyDescent="0.2">
      <c r="A469" s="137" t="s">
        <v>334</v>
      </c>
    </row>
    <row r="470" spans="1:1" x14ac:dyDescent="0.2">
      <c r="A470" s="137"/>
    </row>
    <row r="471" spans="1:1" x14ac:dyDescent="0.2">
      <c r="A471" s="136" t="s">
        <v>335</v>
      </c>
    </row>
    <row r="473" spans="1:1" ht="51" x14ac:dyDescent="0.2">
      <c r="A473" s="135" t="s">
        <v>409</v>
      </c>
    </row>
    <row r="475" spans="1:1" ht="38.25" x14ac:dyDescent="0.2">
      <c r="A475" s="135" t="s">
        <v>410</v>
      </c>
    </row>
    <row r="477" spans="1:1" ht="76.5" x14ac:dyDescent="0.2">
      <c r="A477" s="135" t="s">
        <v>336</v>
      </c>
    </row>
    <row r="479" spans="1:1" ht="51" x14ac:dyDescent="0.2">
      <c r="A479" s="135" t="s">
        <v>337</v>
      </c>
    </row>
    <row r="481" spans="1:1" ht="51" x14ac:dyDescent="0.2">
      <c r="A481" s="135" t="s">
        <v>338</v>
      </c>
    </row>
    <row r="483" spans="1:1" ht="51" x14ac:dyDescent="0.2">
      <c r="A483" s="135" t="s">
        <v>339</v>
      </c>
    </row>
    <row r="485" spans="1:1" ht="51" x14ac:dyDescent="0.2">
      <c r="A485" s="137" t="s">
        <v>434</v>
      </c>
    </row>
    <row r="487" spans="1:1" ht="25.5" x14ac:dyDescent="0.2">
      <c r="A487" s="137" t="s">
        <v>341</v>
      </c>
    </row>
    <row r="489" spans="1:1" x14ac:dyDescent="0.2">
      <c r="A489" s="138" t="s">
        <v>342</v>
      </c>
    </row>
    <row r="491" spans="1:1" x14ac:dyDescent="0.2">
      <c r="A491" s="137" t="s">
        <v>128</v>
      </c>
    </row>
    <row r="493" spans="1:1" ht="25.5" x14ac:dyDescent="0.2">
      <c r="A493" s="135" t="s">
        <v>344</v>
      </c>
    </row>
    <row r="495" spans="1:1" x14ac:dyDescent="0.2">
      <c r="A495" s="137" t="s">
        <v>16</v>
      </c>
    </row>
    <row r="497" spans="1:1" ht="76.5" x14ac:dyDescent="0.2">
      <c r="A497" s="135" t="s">
        <v>345</v>
      </c>
    </row>
    <row r="499" spans="1:1" x14ac:dyDescent="0.2">
      <c r="A499" s="137" t="s">
        <v>4</v>
      </c>
    </row>
    <row r="501" spans="1:1" ht="25.5" x14ac:dyDescent="0.2">
      <c r="A501" s="135" t="s">
        <v>346</v>
      </c>
    </row>
    <row r="503" spans="1:1" x14ac:dyDescent="0.2">
      <c r="A503" s="137" t="s">
        <v>29</v>
      </c>
    </row>
    <row r="505" spans="1:1" ht="38.25" x14ac:dyDescent="0.2">
      <c r="A505" s="135" t="s">
        <v>347</v>
      </c>
    </row>
    <row r="507" spans="1:1" x14ac:dyDescent="0.2">
      <c r="A507" s="137" t="s">
        <v>126</v>
      </c>
    </row>
    <row r="509" spans="1:1" ht="38.25" x14ac:dyDescent="0.2">
      <c r="A509" s="135" t="s">
        <v>348</v>
      </c>
    </row>
    <row r="511" spans="1:1" x14ac:dyDescent="0.2">
      <c r="A511" s="137" t="s">
        <v>130</v>
      </c>
    </row>
    <row r="513" spans="1:1" ht="25.5" x14ac:dyDescent="0.2">
      <c r="A513" s="135" t="s">
        <v>349</v>
      </c>
    </row>
    <row r="515" spans="1:1" x14ac:dyDescent="0.2">
      <c r="A515" s="137" t="s">
        <v>213</v>
      </c>
    </row>
    <row r="517" spans="1:1" ht="63.75" x14ac:dyDescent="0.2">
      <c r="A517" s="135" t="s">
        <v>350</v>
      </c>
    </row>
    <row r="519" spans="1:1" ht="38.25" x14ac:dyDescent="0.2">
      <c r="A519" s="138" t="s">
        <v>343</v>
      </c>
    </row>
    <row r="521" spans="1:1" x14ac:dyDescent="0.2">
      <c r="A521" s="137" t="s">
        <v>35</v>
      </c>
    </row>
    <row r="523" spans="1:1" ht="63.75" x14ac:dyDescent="0.2">
      <c r="A523" s="135" t="s">
        <v>241</v>
      </c>
    </row>
    <row r="525" spans="1:1" x14ac:dyDescent="0.2">
      <c r="A525" s="137" t="s">
        <v>5</v>
      </c>
    </row>
    <row r="527" spans="1:1" ht="25.5" x14ac:dyDescent="0.2">
      <c r="A527" s="135" t="s">
        <v>323</v>
      </c>
    </row>
    <row r="529" spans="1:1" x14ac:dyDescent="0.2">
      <c r="A529" s="137" t="s">
        <v>15</v>
      </c>
    </row>
    <row r="531" spans="1:1" ht="25.5" x14ac:dyDescent="0.2">
      <c r="A531" s="135" t="s">
        <v>351</v>
      </c>
    </row>
    <row r="533" spans="1:1" x14ac:dyDescent="0.2">
      <c r="A533" s="137" t="s">
        <v>6</v>
      </c>
    </row>
    <row r="535" spans="1:1" ht="51" x14ac:dyDescent="0.2">
      <c r="A535" s="135" t="s">
        <v>435</v>
      </c>
    </row>
    <row r="537" spans="1:1" x14ac:dyDescent="0.2">
      <c r="A537" s="137" t="s">
        <v>177</v>
      </c>
    </row>
    <row r="539" spans="1:1" x14ac:dyDescent="0.2">
      <c r="A539" s="135" t="s">
        <v>352</v>
      </c>
    </row>
    <row r="541" spans="1:1" x14ac:dyDescent="0.2">
      <c r="A541" s="137" t="s">
        <v>191</v>
      </c>
    </row>
    <row r="543" spans="1:1" ht="25.5" x14ac:dyDescent="0.2">
      <c r="A543" s="135" t="s">
        <v>353</v>
      </c>
    </row>
    <row r="545" spans="1:1" ht="25.5" x14ac:dyDescent="0.2">
      <c r="A545" s="135" t="s">
        <v>354</v>
      </c>
    </row>
    <row r="547" spans="1:1" ht="51" x14ac:dyDescent="0.2">
      <c r="A547" s="135" t="s">
        <v>355</v>
      </c>
    </row>
    <row r="549" spans="1:1" x14ac:dyDescent="0.2">
      <c r="A549" s="137" t="s">
        <v>127</v>
      </c>
    </row>
    <row r="551" spans="1:1" x14ac:dyDescent="0.2">
      <c r="A551" s="135" t="s">
        <v>356</v>
      </c>
    </row>
    <row r="553" spans="1:1" x14ac:dyDescent="0.2">
      <c r="A553" s="137" t="s">
        <v>132</v>
      </c>
    </row>
    <row r="555" spans="1:1" ht="25.5" x14ac:dyDescent="0.2">
      <c r="A555" s="135" t="s">
        <v>357</v>
      </c>
    </row>
    <row r="557" spans="1:1" x14ac:dyDescent="0.2">
      <c r="A557" s="137" t="s">
        <v>153</v>
      </c>
    </row>
    <row r="559" spans="1:1" x14ac:dyDescent="0.2">
      <c r="A559" s="135" t="s">
        <v>358</v>
      </c>
    </row>
    <row r="561" spans="1:1" x14ac:dyDescent="0.2">
      <c r="A561" s="137" t="s">
        <v>214</v>
      </c>
    </row>
    <row r="563" spans="1:1" x14ac:dyDescent="0.2">
      <c r="A563" s="135" t="s">
        <v>359</v>
      </c>
    </row>
    <row r="565" spans="1:1" x14ac:dyDescent="0.2">
      <c r="A565" s="137" t="s">
        <v>215</v>
      </c>
    </row>
    <row r="567" spans="1:1" ht="63.75" x14ac:dyDescent="0.2">
      <c r="A567" s="135" t="s">
        <v>363</v>
      </c>
    </row>
    <row r="569" spans="1:1" ht="38.25" x14ac:dyDescent="0.2">
      <c r="A569" s="135" t="s">
        <v>360</v>
      </c>
    </row>
    <row r="571" spans="1:1" ht="63.75" x14ac:dyDescent="0.2">
      <c r="A571" s="135" t="s">
        <v>364</v>
      </c>
    </row>
    <row r="573" spans="1:1" x14ac:dyDescent="0.2">
      <c r="A573" s="137" t="s">
        <v>201</v>
      </c>
    </row>
    <row r="575" spans="1:1" x14ac:dyDescent="0.2">
      <c r="A575" s="135" t="s">
        <v>361</v>
      </c>
    </row>
    <row r="577" spans="1:1" ht="25.5" x14ac:dyDescent="0.2">
      <c r="A577" s="137" t="s">
        <v>362</v>
      </c>
    </row>
    <row r="579" spans="1:1" x14ac:dyDescent="0.2">
      <c r="A579" s="136" t="s">
        <v>311</v>
      </c>
    </row>
    <row r="581" spans="1:1" ht="25.5" x14ac:dyDescent="0.2">
      <c r="A581" s="135" t="s">
        <v>365</v>
      </c>
    </row>
    <row r="583" spans="1:1" ht="51" x14ac:dyDescent="0.2">
      <c r="A583" s="135" t="s">
        <v>366</v>
      </c>
    </row>
    <row r="585" spans="1:1" ht="51" x14ac:dyDescent="0.2">
      <c r="A585" s="135" t="s">
        <v>368</v>
      </c>
    </row>
    <row r="587" spans="1:1" ht="25.5" x14ac:dyDescent="0.2">
      <c r="A587" s="137" t="s">
        <v>411</v>
      </c>
    </row>
    <row r="589" spans="1:1" ht="38.25" x14ac:dyDescent="0.2">
      <c r="A589" s="135" t="s">
        <v>369</v>
      </c>
    </row>
    <row r="591" spans="1:1" ht="63.75" x14ac:dyDescent="0.2">
      <c r="A591" s="135" t="s">
        <v>370</v>
      </c>
    </row>
    <row r="593" spans="1:1" ht="51" x14ac:dyDescent="0.2">
      <c r="A593" s="135" t="s">
        <v>371</v>
      </c>
    </row>
    <row r="595" spans="1:1" ht="38.25" x14ac:dyDescent="0.2">
      <c r="A595" s="135" t="s">
        <v>372</v>
      </c>
    </row>
    <row r="597" spans="1:1" ht="25.5" x14ac:dyDescent="0.2">
      <c r="A597" s="135" t="s">
        <v>373</v>
      </c>
    </row>
    <row r="599" spans="1:1" ht="25.5" x14ac:dyDescent="0.2">
      <c r="A599" s="137" t="s">
        <v>374</v>
      </c>
    </row>
    <row r="601" spans="1:1" ht="25.5" x14ac:dyDescent="0.2">
      <c r="A601" s="137" t="s">
        <v>375</v>
      </c>
    </row>
    <row r="603" spans="1:1" ht="25.5" x14ac:dyDescent="0.2">
      <c r="A603" s="135" t="s">
        <v>376</v>
      </c>
    </row>
    <row r="605" spans="1:1" ht="63.75" x14ac:dyDescent="0.2">
      <c r="A605" s="137" t="s">
        <v>377</v>
      </c>
    </row>
    <row r="606" spans="1:1" x14ac:dyDescent="0.2">
      <c r="A606" s="137"/>
    </row>
    <row r="607" spans="1:1" x14ac:dyDescent="0.2">
      <c r="A607" s="136" t="s">
        <v>113</v>
      </c>
    </row>
    <row r="609" spans="1:1" ht="38.25" x14ac:dyDescent="0.2">
      <c r="A609" s="135" t="s">
        <v>378</v>
      </c>
    </row>
    <row r="611" spans="1:1" ht="38.25" x14ac:dyDescent="0.2">
      <c r="A611" s="135" t="s">
        <v>379</v>
      </c>
    </row>
    <row r="613" spans="1:1" ht="51" x14ac:dyDescent="0.2">
      <c r="A613" s="137" t="s">
        <v>383</v>
      </c>
    </row>
    <row r="615" spans="1:1" ht="51" x14ac:dyDescent="0.2">
      <c r="A615" s="137" t="s">
        <v>380</v>
      </c>
    </row>
    <row r="617" spans="1:1" ht="38.25" x14ac:dyDescent="0.2">
      <c r="A617" s="137" t="s">
        <v>381</v>
      </c>
    </row>
    <row r="619" spans="1:1" ht="51" x14ac:dyDescent="0.2">
      <c r="A619" s="135" t="s">
        <v>382</v>
      </c>
    </row>
    <row r="621" spans="1:1" ht="38.25" x14ac:dyDescent="0.2">
      <c r="A621" s="137" t="s">
        <v>412</v>
      </c>
    </row>
    <row r="623" spans="1:1" ht="38.25" x14ac:dyDescent="0.2">
      <c r="A623" s="137" t="s">
        <v>384</v>
      </c>
    </row>
    <row r="625" spans="1:1" x14ac:dyDescent="0.2">
      <c r="A625" s="136" t="s">
        <v>94</v>
      </c>
    </row>
    <row r="626" spans="1:1" x14ac:dyDescent="0.2">
      <c r="A626" s="137"/>
    </row>
    <row r="627" spans="1:1" ht="25.5" x14ac:dyDescent="0.2">
      <c r="A627" s="135" t="s">
        <v>222</v>
      </c>
    </row>
    <row r="628" spans="1:1" x14ac:dyDescent="0.2">
      <c r="A628" s="137"/>
    </row>
    <row r="629" spans="1:1" ht="25.5" x14ac:dyDescent="0.2">
      <c r="A629" s="137" t="s">
        <v>95</v>
      </c>
    </row>
    <row r="630" spans="1:1" ht="76.5" x14ac:dyDescent="0.2">
      <c r="A630" s="137" t="s">
        <v>413</v>
      </c>
    </row>
    <row r="631" spans="1:1" ht="63.75" x14ac:dyDescent="0.2">
      <c r="A631" s="137" t="s">
        <v>414</v>
      </c>
    </row>
    <row r="632" spans="1:1" ht="63.75" x14ac:dyDescent="0.2">
      <c r="A632" s="137" t="s">
        <v>145</v>
      </c>
    </row>
    <row r="633" spans="1:1" ht="51" x14ac:dyDescent="0.2">
      <c r="A633" s="137" t="s">
        <v>146</v>
      </c>
    </row>
    <row r="634" spans="1:1" ht="63.75" x14ac:dyDescent="0.2">
      <c r="A634" s="137" t="s">
        <v>207</v>
      </c>
    </row>
    <row r="635" spans="1:1" ht="51" x14ac:dyDescent="0.2">
      <c r="A635" s="137" t="s">
        <v>218</v>
      </c>
    </row>
    <row r="636" spans="1:1" ht="25.5" x14ac:dyDescent="0.2">
      <c r="A636" s="137" t="s">
        <v>415</v>
      </c>
    </row>
    <row r="637" spans="1:1" ht="25.5" x14ac:dyDescent="0.2">
      <c r="A637" s="137" t="s">
        <v>219</v>
      </c>
    </row>
    <row r="638" spans="1:1" ht="38.25" x14ac:dyDescent="0.2">
      <c r="A638" s="137" t="s">
        <v>220</v>
      </c>
    </row>
    <row r="639" spans="1:1" ht="38.25" x14ac:dyDescent="0.2">
      <c r="A639" s="137" t="s">
        <v>224</v>
      </c>
    </row>
    <row r="640" spans="1:1" x14ac:dyDescent="0.2">
      <c r="A640" s="137"/>
    </row>
    <row r="641" spans="1:1" ht="25.5" x14ac:dyDescent="0.2">
      <c r="A641" s="137" t="s">
        <v>221</v>
      </c>
    </row>
    <row r="642" spans="1:1" x14ac:dyDescent="0.2">
      <c r="A642" s="137"/>
    </row>
    <row r="643" spans="1:1" x14ac:dyDescent="0.2">
      <c r="A643" s="139" t="s">
        <v>2</v>
      </c>
    </row>
    <row r="645" spans="1:1" ht="63.75" x14ac:dyDescent="0.2">
      <c r="A645" s="135" t="s">
        <v>25</v>
      </c>
    </row>
    <row r="647" spans="1:1" s="141" customFormat="1" x14ac:dyDescent="0.2">
      <c r="A647" s="140" t="s">
        <v>97</v>
      </c>
    </row>
    <row r="648" spans="1:1" s="141" customFormat="1" x14ac:dyDescent="0.2">
      <c r="A648" s="140"/>
    </row>
    <row r="649" spans="1:1" s="141" customFormat="1" ht="76.5" x14ac:dyDescent="0.2">
      <c r="A649" s="142" t="s">
        <v>98</v>
      </c>
    </row>
  </sheetData>
  <sheetProtection selectLockedCells="1"/>
  <phoneticPr fontId="2" type="noConversion"/>
  <hyperlinks>
    <hyperlink ref="A3" r:id="rId1" xr:uid="{00000000-0004-0000-0300-000000000000}"/>
  </hyperlinks>
  <pageMargins left="0.55118110236220474" right="0.55118110236220474" top="0.59055118110236227" bottom="0.59055118110236227" header="0.39370078740157483" footer="0.39370078740157483"/>
  <pageSetup paperSize="9" scale="84" fitToHeight="0" orientation="portrait" r:id="rId2"/>
  <headerFooter alignWithMargins="0">
    <oddFoote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B25"/>
  <sheetViews>
    <sheetView zoomScale="95" workbookViewId="0">
      <pane xSplit="2" ySplit="4" topLeftCell="C5" activePane="bottomRight" state="frozen"/>
      <selection pane="topRight" activeCell="C1" sqref="C1"/>
      <selection pane="bottomLeft" activeCell="A5" sqref="A5"/>
      <selection pane="bottomRight" activeCell="A4" sqref="A4"/>
    </sheetView>
  </sheetViews>
  <sheetFormatPr defaultColWidth="9.140625" defaultRowHeight="16.149999999999999" customHeight="1" x14ac:dyDescent="0.25"/>
  <cols>
    <col min="1" max="1" width="12.7109375" style="2" customWidth="1"/>
    <col min="2" max="2" width="25.7109375" style="2" customWidth="1"/>
    <col min="3" max="3" width="12.7109375" style="3" customWidth="1"/>
    <col min="4" max="4" width="10.7109375" style="4" customWidth="1"/>
    <col min="5" max="5" width="10.7109375" style="5" customWidth="1"/>
    <col min="6" max="6" width="7.7109375" style="5" customWidth="1"/>
    <col min="7" max="7" width="17.42578125" style="3" customWidth="1"/>
    <col min="8" max="8" width="12.7109375" style="3" customWidth="1"/>
    <col min="9" max="9" width="10.7109375" style="4" customWidth="1"/>
    <col min="10" max="12" width="12.7109375" style="4" customWidth="1"/>
    <col min="13" max="13" width="12.7109375" style="6" customWidth="1"/>
    <col min="14" max="14" width="10.7109375" style="4" customWidth="1"/>
    <col min="15" max="15" width="12.7109375" style="5" customWidth="1"/>
    <col min="16" max="19" width="10.7109375" style="5" customWidth="1"/>
    <col min="20" max="27" width="14.7109375" style="5" customWidth="1"/>
    <col min="28" max="28" width="14.7109375" style="9" customWidth="1"/>
    <col min="29" max="29" width="15.7109375" style="2" customWidth="1"/>
    <col min="30" max="16384" width="9.140625" style="2"/>
  </cols>
  <sheetData>
    <row r="1" spans="1:28" ht="16.149999999999999" customHeight="1" x14ac:dyDescent="0.25">
      <c r="A1" s="129" t="s">
        <v>31</v>
      </c>
      <c r="P1" s="7">
        <f ca="1">IF(ISBLANK(P2)=TRUE,IF(MIN(JSDate)=0,DATE(YEAR($R$1),MONTH($R$1),1),DATE(YEAR(MIN(JSDate)),MONTH(MIN(JSDate)),1)),P2)</f>
        <v>44013</v>
      </c>
      <c r="R1" s="7">
        <f ca="1">IF(ISBLANK(R2)=TRUE,DATE(YEAR(TODAY()),MONTH(TODAY())+1,0),R2)</f>
        <v>44043</v>
      </c>
      <c r="S1" s="8"/>
      <c r="T1" s="8"/>
      <c r="U1" s="8"/>
      <c r="V1" s="8"/>
      <c r="W1" s="8"/>
      <c r="X1" s="8"/>
      <c r="Y1" s="8"/>
      <c r="Z1" s="8"/>
      <c r="AA1" s="8"/>
    </row>
    <row r="2" spans="1:28" ht="16.149999999999999" customHeight="1" x14ac:dyDescent="0.25">
      <c r="A2" s="10" t="s">
        <v>3</v>
      </c>
      <c r="F2" s="11"/>
      <c r="G2" s="2"/>
      <c r="H2" s="2"/>
      <c r="O2" s="11" t="s">
        <v>139</v>
      </c>
      <c r="P2" s="12"/>
      <c r="Q2" s="11" t="s">
        <v>140</v>
      </c>
      <c r="R2" s="12">
        <v>44043</v>
      </c>
      <c r="S2" s="13" t="str">
        <f ca="1">IF(R1&lt;P1,"Error! To Date cannot be before the From Date!","")</f>
        <v/>
      </c>
      <c r="T2" s="14"/>
      <c r="U2" s="14"/>
      <c r="V2" s="14"/>
      <c r="W2" s="14"/>
      <c r="X2" s="14"/>
      <c r="Y2" s="14"/>
      <c r="Z2" s="14"/>
      <c r="AA2" s="14"/>
      <c r="AB2" s="15"/>
    </row>
    <row r="3" spans="1:28" s="10" customFormat="1" ht="16.149999999999999" customHeight="1" x14ac:dyDescent="0.2">
      <c r="A3" s="16" t="s">
        <v>30</v>
      </c>
      <c r="C3" s="17"/>
      <c r="D3" s="18"/>
      <c r="E3" s="19"/>
      <c r="F3" s="19"/>
      <c r="G3" s="17"/>
      <c r="H3" s="17"/>
      <c r="I3" s="18"/>
      <c r="J3" s="18"/>
      <c r="K3" s="18"/>
      <c r="L3" s="18"/>
      <c r="M3" s="20"/>
      <c r="N3" s="18"/>
      <c r="O3" s="19"/>
      <c r="P3" s="19"/>
      <c r="Q3" s="19"/>
      <c r="R3" s="18"/>
      <c r="S3" s="18"/>
      <c r="T3" s="18">
        <f ca="1">SUBTOTAL(109,StockCode[[#Data],[RecValue @STD]])</f>
        <v>4916763.1527347779</v>
      </c>
      <c r="U3" s="18">
        <f ca="1">SUBTOTAL(109,StockCode[[#Data],[IssueValue @STD]])</f>
        <v>-4916763.1527347779</v>
      </c>
      <c r="V3" s="18">
        <f ca="1">SUBTOTAL(109,StockCode[[#Data],[RecValue @Actual]])</f>
        <v>4921339.9415204674</v>
      </c>
      <c r="W3" s="18">
        <f ca="1">SUBTOTAL(109,StockCode[[#Data],[IssueValue @Actual]])</f>
        <v>-4921339.9415204683</v>
      </c>
      <c r="X3" s="18">
        <f ca="1">SUBTOTAL(109,StockCode[[#Data],[Total Var Value]])</f>
        <v>-4576.7887856891721</v>
      </c>
      <c r="Y3" s="18">
        <f ca="1">SUBTOTAL(109,StockCode[[#Data],[Usage Var Value]])</f>
        <v>75634.907120743796</v>
      </c>
      <c r="Z3" s="18">
        <f ca="1">SUBTOTAL(109,StockCode[[#Data],[Price Var Value]])</f>
        <v>-80211.695906432695</v>
      </c>
      <c r="AA3" s="18"/>
      <c r="AB3" s="21"/>
    </row>
    <row r="4" spans="1:28" s="30" customFormat="1" ht="38.25" x14ac:dyDescent="0.25">
      <c r="A4" s="22" t="s">
        <v>4</v>
      </c>
      <c r="B4" s="23" t="s">
        <v>5</v>
      </c>
      <c r="C4" s="24" t="s">
        <v>6</v>
      </c>
      <c r="D4" s="25" t="s">
        <v>198</v>
      </c>
      <c r="E4" s="25" t="s">
        <v>209</v>
      </c>
      <c r="F4" s="26" t="s">
        <v>35</v>
      </c>
      <c r="G4" s="27" t="s">
        <v>15</v>
      </c>
      <c r="H4" s="27" t="s">
        <v>216</v>
      </c>
      <c r="I4" s="28" t="s">
        <v>17</v>
      </c>
      <c r="J4" s="28" t="s">
        <v>156</v>
      </c>
      <c r="K4" s="28" t="s">
        <v>158</v>
      </c>
      <c r="L4" s="28" t="s">
        <v>157</v>
      </c>
      <c r="M4" s="28" t="s">
        <v>114</v>
      </c>
      <c r="N4" s="28" t="s">
        <v>116</v>
      </c>
      <c r="O4" s="28" t="s">
        <v>115</v>
      </c>
      <c r="P4" s="28" t="s">
        <v>185</v>
      </c>
      <c r="Q4" s="28" t="s">
        <v>186</v>
      </c>
      <c r="R4" s="28" t="s">
        <v>187</v>
      </c>
      <c r="S4" s="28" t="s">
        <v>184</v>
      </c>
      <c r="T4" s="28" t="s">
        <v>227</v>
      </c>
      <c r="U4" s="28" t="s">
        <v>225</v>
      </c>
      <c r="V4" s="28" t="s">
        <v>228</v>
      </c>
      <c r="W4" s="28" t="s">
        <v>226</v>
      </c>
      <c r="X4" s="28" t="s">
        <v>189</v>
      </c>
      <c r="Y4" s="28" t="s">
        <v>188</v>
      </c>
      <c r="Z4" s="28" t="s">
        <v>190</v>
      </c>
      <c r="AA4" s="28" t="s">
        <v>192</v>
      </c>
      <c r="AB4" s="29" t="s">
        <v>199</v>
      </c>
    </row>
    <row r="5" spans="1:28" ht="16.149999999999999" customHeight="1" x14ac:dyDescent="0.25">
      <c r="A5" s="2" t="s">
        <v>41</v>
      </c>
      <c r="B5" s="2" t="s">
        <v>42</v>
      </c>
      <c r="C5" s="3" t="s">
        <v>18</v>
      </c>
      <c r="E5" s="5" t="s">
        <v>210</v>
      </c>
      <c r="F5" s="5" t="str" cm="1">
        <f t="array" ref="F5">IF(COUNTIF(StockCodes,A5)&gt;1,"E1",IF(OR(AND(G5="Bought-In",ISBLANK(D5)=TRUE)=TRUE,AND(G5="Manufactured",ISBLANK(D5)=FALSE)=TRUE)=TRUE,"E2","-"))</f>
        <v>-</v>
      </c>
      <c r="G5" s="3" t="str">
        <f>IF(ISNA(VLOOKUP($A5,BOMParents,COLUMN(BOM!$A$4),0))=TRUE,"Bought-In","Manufactured")</f>
        <v>Manufactured</v>
      </c>
      <c r="H5" s="3" t="str">
        <f t="shared" ref="H5:H25" si="0">IF(ISNA(VLOOKUP(A5,BOMParents,1,0))=TRUE,"None",IF(ISNA(VLOOKUP(A5,BOMComp,1,0))=TRUE,"FG","IM"))</f>
        <v>FG</v>
      </c>
      <c r="I5" s="4" cm="1">
        <f t="array" ref="I5">IF(G5="Bought-In",$D5,SUMIFS(BOMCost,BOMParents,$A5))</f>
        <v>4164.7192982456136</v>
      </c>
      <c r="J5" s="4">
        <f t="shared" ref="J5:J25" si="1">SUMIFS(JLevel1,BOMComp,$A5,BOMCompStatus,"Y")+SUMIFS(JLevel2,BOMComp,$A5,BOMCompStatus,"Y")+SUMIFS(JLevel3,BOMComp,$A5,BOMCompStatus,"Y")+SUMIFS(JLevel4,BOMComp,$A5,BOMCompStatus,"Y")+SUMIFS(JLevel5,BOMComp,$A5,BOMCompStatus,"Y")+SUMIFS(JLevel6,BOMComp,$A5,BOMCompStatus,"Y")</f>
        <v>0</v>
      </c>
      <c r="K5" s="4">
        <f t="shared" ref="K5:K25" si="2">SUMIFS(JRLevel1,BOMComp,$A5,BOMCompStatus,"Y")+SUMIFS(JRLevel2,BOMComp,$A5,BOMCompStatus,"Y")+SUMIFS(JRLevel3,BOMComp,$A5,BOMCompStatus,"Y")+SUMIFS(JRLevel4,BOMComp,$A5,BOMCompStatus,"Y")+SUMIFS(JRLevel5,BOMComp,$A5,BOMCompStatus,"Y")+SUMIFS(JRLevel6,BOMComp,$A5,BOMCompStatus,"Y")</f>
        <v>0</v>
      </c>
      <c r="L5" s="4">
        <f>-SUMIFS(JTQty,JTJob,JReview!$D$1,JTStockCode,A5,JTType,"Issue")</f>
        <v>0</v>
      </c>
      <c r="M5" s="6" t="str">
        <f t="shared" ref="M5:M25" si="3">IF(OR(J5&lt;&gt;0,L5&lt;&gt;0),"Y","N")</f>
        <v>N</v>
      </c>
      <c r="N5" s="4">
        <f t="shared" ref="N5:N25" si="4">SUMIFS(RLevel1,BOMComp,$A5,BOMCompStatus,"Y")+SUMIFS(RLevel2,BOMComp,$A5,BOMCompStatus,"Y")+SUMIFS(RLevel3,BOMComp,$A5,BOMCompStatus,"Y")+SUMIFS(RLevel4,BOMComp,$A5,BOMCompStatus,"Y")+SUMIFS(RLevel5,BOMComp,$A5,BOMCompStatus,"Y")+SUMIFS(RLevel6,BOMComp,$A5,BOMCompStatus,"Y")</f>
        <v>0</v>
      </c>
      <c r="O5" s="5" t="str">
        <f t="shared" ref="O5:O25" si="5">IF(N5&lt;&gt;0,"Y","N")</f>
        <v>N</v>
      </c>
      <c r="P5" s="5">
        <f t="shared" ref="P5:P25" ca="1" si="6">SUMIFS(JTQty,JTDate,"&gt;="&amp;$P$1,JTDate,"&lt;="&amp;$R$1,JTStockCode,$A5,JTType,"Receipt")</f>
        <v>1010</v>
      </c>
      <c r="Q5" s="4">
        <f t="shared" ref="Q5:Q25" si="7">-(SUMIFS(TLevel1,BOMComp,$A5,BOMCompStatus,"Y")+SUMIFS(TLevel2,BOMComp,$A5,BOMCompStatus,"Y")+SUMIFS(TLevel3,BOMComp,$A5,BOMCompStatus,"Y")+SUMIFS(TLevel4,BOMComp,$A5,BOMCompStatus,"Y")+SUMIFS(TLevel5,BOMComp,$A5,BOMCompStatus,"Y")+SUMIFS(TLevel6,BOMComp,$A5,BOMCompStatus,"Y"))</f>
        <v>0</v>
      </c>
      <c r="R5" s="5">
        <f t="shared" ref="R5:R25" ca="1" si="8">SUMIFS(JTQty,JTDate,"&gt;="&amp;$P$1,JTDate,"&lt;="&amp;$R$1,JTStockCode,$A5,JTType,"Issue")</f>
        <v>0</v>
      </c>
      <c r="S5" s="5">
        <f t="shared" ref="S5:S25" ca="1" si="9">R5-Q5</f>
        <v>0</v>
      </c>
      <c r="T5" s="5">
        <f t="shared" ref="T5:T25" ca="1" si="10">IF(H5="FG",P5*I5,IF(H5="IM",IF(P5+Q5&lt;=0,0,(P5+Q5)*I5),0))</f>
        <v>4206366.4912280701</v>
      </c>
      <c r="U5" s="5">
        <f t="shared" ref="U5:U25" si="11">IF(H5="IM",IF(P5+Q5&gt;=0,0,(P5+Q5)*I5),Q5*I5)</f>
        <v>0</v>
      </c>
      <c r="V5" s="5" cm="1">
        <f t="array" aca="1" ref="V5" ca="1">IF(JSetup!$U$1="Multiple",0,IF(P5&gt;0,IF(P5+R5&lt;=0,0,-SUMIFS(JTValue,JTDate,"&gt;="&amp;$P$1,JTDate,"&lt;="&amp;$R$1,JTFGCode,$A5,JTType,"Issue")+SUMIFS(JTValue,JTDate,"&gt;="&amp;$P$1,JTDate,"&lt;="&amp;$R$1,JTStockCode,$A5,JTType,"Issue")),0))</f>
        <v>4249199.9415204674</v>
      </c>
      <c r="W5" s="5" cm="1">
        <f t="array" aca="1" ref="W5" ca="1">IF(H5="IM",IF(P5=0,SUMIFS(JTValue,JTDate,"&gt;="&amp;$P$1,JTDate,"&lt;="&amp;$R$1,JTStockCode,$A5,JTType,"Issue"),IF(R5=0,0,IF(P5+R5&gt;0,0,SUMIFS(JTValue,JTDate,"&gt;="&amp;$P$1,JTDate,"&lt;="&amp;$R$1,JTStockCode,$A5,JTType,"Issue")/R5*(P5+R5)))),SUMIFS(JTValue,JTDate,"&gt;="&amp;$P$1,JTDate,"&lt;="&amp;$R$1,JTStockCode,$A5,JTType,"Issue"))</f>
        <v>0</v>
      </c>
      <c r="X5" s="5">
        <f t="shared" ref="X5:X25" ca="1" si="12">W5-U5</f>
        <v>0</v>
      </c>
      <c r="Y5" s="5">
        <f t="shared" ref="Y5:Y25" ca="1" si="13">IF(AND(P5&lt;&gt;0,P5+R5&gt;=0,P5+Q5&gt;=0),0,IF(AND(P5&lt;&gt;0,P5+R5&gt;=0,P5+Q5&lt;=0),-(P5+Q5)*I5,IF(AND(P5&lt;&gt;0,P5+R5&lt;=0,P5+Q5&gt;=0),(P5+R5)*I5,S5*I5)))</f>
        <v>0</v>
      </c>
      <c r="Z5" s="5" cm="1">
        <f t="array" aca="1" ref="Z5" ca="1">IF(H5="IM",IF(P5=0,SUMIFS(JTPrice,JTDate,"&gt;="&amp;$P$1,JTDate,"&lt;="&amp;$R$1,JTStockCode,$A5,JTType,"Issue"),IF(R5=0,0,IF(P5+R5&gt;0,0,SUMIFS(JTPrice,JTDate,"&gt;="&amp;$P$1,JTDate,"&lt;="&amp;$R$1,JTStockCode,$A5,JTType,"Issue")/R5*(P5+R5)))),SUMIFS(JTPrice,JTDate,"&gt;="&amp;$P$1,JTDate,"&lt;="&amp;$R$1,JTStockCode,$A5,JTType,"Issue"))</f>
        <v>0</v>
      </c>
      <c r="AA5" s="5" cm="1">
        <f t="array" aca="1" ref="AA5" ca="1">IF(JSetup!$U$1="Single",IF(G5="Bought-In",IF(R5=0,I5,W5/R5),IF(SUMIFS(JTQty,JTDate,"&lt;="&amp;$R$1,JTStockCode,$A5,JTType,"Receipt")=0,I5,-SUMIFS(JTValue,JTDate,"&lt;="&amp;$R$1,JTFGCode,$A5,JTType,"Issue")/SUMIFS(JTQty,JTDate,"&lt;="&amp;$R$1,JTStockCode,$A5,JTType,"Receipt"))),IF(G5="Bought-In",IF(R5=0,I5,W5/R5),SUMIFS(BOMActualCost,BOMParents,$A5)))</f>
        <v>4207.1286549707602</v>
      </c>
      <c r="AB5" s="9">
        <f ca="1">IF(AND(JSetup!$U$1="Single",P5=0,G5="Manufactured"),0,IF(I5=0,0,(I5-AA5)/I5))</f>
        <v>-1.0183004828923653E-2</v>
      </c>
    </row>
    <row r="6" spans="1:28" ht="16.149999999999999" customHeight="1" x14ac:dyDescent="0.25">
      <c r="A6" s="2" t="s">
        <v>65</v>
      </c>
      <c r="B6" s="2" t="s">
        <v>66</v>
      </c>
      <c r="C6" s="3" t="s">
        <v>18</v>
      </c>
      <c r="E6" s="5" t="s">
        <v>210</v>
      </c>
      <c r="F6" s="5" t="str" cm="1">
        <f t="array" ref="F6">IF(COUNTIF(StockCodes,A6)&gt;1,"E1",IF(OR(AND(G6="Bought-In",ISBLANK(D6)=TRUE)=TRUE,AND(G6="Manufactured",ISBLANK(D6)=FALSE)=TRUE)=TRUE,"E2","-"))</f>
        <v>-</v>
      </c>
      <c r="G6" s="3" t="str">
        <f>IF(ISNA(VLOOKUP($A6,BOMParents,COLUMN(BOM!$A$4),0))=TRUE,"Bought-In","Manufactured")</f>
        <v>Manufactured</v>
      </c>
      <c r="H6" s="3" t="str">
        <f t="shared" si="0"/>
        <v>FG</v>
      </c>
      <c r="I6" s="4" cm="1">
        <f t="array" ref="I6">IF(G6="Bought-In",$D6,SUMIFS(BOMCost,BOMParents,$A6))</f>
        <v>4956.3931888544885</v>
      </c>
      <c r="J6" s="4">
        <f t="shared" si="1"/>
        <v>0</v>
      </c>
      <c r="K6" s="4">
        <f t="shared" si="2"/>
        <v>0</v>
      </c>
      <c r="L6" s="4">
        <f>-SUMIFS(JTQty,JTJob,JReview!$D$1,JTStockCode,A6,JTType,"Issue")</f>
        <v>0</v>
      </c>
      <c r="M6" s="6" t="str">
        <f t="shared" si="3"/>
        <v>N</v>
      </c>
      <c r="N6" s="4">
        <f t="shared" si="4"/>
        <v>0</v>
      </c>
      <c r="O6" s="5" t="str">
        <f t="shared" si="5"/>
        <v>N</v>
      </c>
      <c r="P6" s="5">
        <f t="shared" ca="1" si="6"/>
        <v>52</v>
      </c>
      <c r="Q6" s="5">
        <f t="shared" si="7"/>
        <v>0</v>
      </c>
      <c r="R6" s="5">
        <f t="shared" ca="1" si="8"/>
        <v>0</v>
      </c>
      <c r="S6" s="5">
        <f t="shared" ca="1" si="9"/>
        <v>0</v>
      </c>
      <c r="T6" s="5">
        <f t="shared" ca="1" si="10"/>
        <v>257732.44582043341</v>
      </c>
      <c r="U6" s="5">
        <f t="shared" si="11"/>
        <v>0</v>
      </c>
      <c r="V6" s="5" cm="1">
        <f t="array" aca="1" ref="V6" ca="1">IF(JSetup!$U$1="Multiple",0,IF(P6&gt;0,IF(P6+R6&lt;=0,0,-SUMIFS(JTValue,JTDate,"&gt;="&amp;$P$1,JTDate,"&lt;="&amp;$R$1,JTFGCode,$A6,JTType,"Issue")+SUMIFS(JTValue,JTDate,"&gt;="&amp;$P$1,JTDate,"&lt;="&amp;$R$1,JTStockCode,$A6,JTType,"Issue")),0))</f>
        <v>254980</v>
      </c>
      <c r="W6" s="5" cm="1">
        <f t="array" aca="1" ref="W6" ca="1">IF(H6="IM",IF(P6=0,SUMIFS(JTValue,JTDate,"&gt;="&amp;$P$1,JTDate,"&lt;="&amp;$R$1,JTStockCode,$A6,JTType,"Issue"),IF(R6=0,0,IF(P6+R6&gt;0,0,SUMIFS(JTValue,JTDate,"&gt;="&amp;$P$1,JTDate,"&lt;="&amp;$R$1,JTStockCode,$A6,JTType,"Issue")/R6*(P6+R6)))),SUMIFS(JTValue,JTDate,"&gt;="&amp;$P$1,JTDate,"&lt;="&amp;$R$1,JTStockCode,$A6,JTType,"Issue"))</f>
        <v>0</v>
      </c>
      <c r="X6" s="5">
        <f t="shared" ca="1" si="12"/>
        <v>0</v>
      </c>
      <c r="Y6" s="5">
        <f t="shared" ca="1" si="13"/>
        <v>0</v>
      </c>
      <c r="Z6" s="5" cm="1">
        <f t="array" aca="1" ref="Z6" ca="1">IF(H6="IM",IF(P6=0,SUMIFS(JTPrice,JTDate,"&gt;="&amp;$P$1,JTDate,"&lt;="&amp;$R$1,JTStockCode,$A6,JTType,"Issue"),IF(R6=0,0,IF(P6+R6&gt;0,0,SUMIFS(JTPrice,JTDate,"&gt;="&amp;$P$1,JTDate,"&lt;="&amp;$R$1,JTStockCode,$A6,JTType,"Issue")/R6*(P6+R6)))),SUMIFS(JTPrice,JTDate,"&gt;="&amp;$P$1,JTDate,"&lt;="&amp;$R$1,JTStockCode,$A6,JTType,"Issue"))</f>
        <v>0</v>
      </c>
      <c r="AA6" s="5" cm="1">
        <f t="array" aca="1" ref="AA6" ca="1">IF(JSetup!$U$1="Single",IF(G6="Bought-In",IF(R6=0,I6,W6/R6),IF(SUMIFS(JTQty,JTDate,"&lt;="&amp;$R$1,JTStockCode,$A6,JTType,"Receipt")=0,I6,-SUMIFS(JTValue,JTDate,"&lt;="&amp;$R$1,JTFGCode,$A6,JTType,"Issue")/SUMIFS(JTQty,JTDate,"&lt;="&amp;$R$1,JTStockCode,$A6,JTType,"Receipt"))),IF(G6="Bought-In",IF(R6=0,I6,W6/R6),SUMIFS(BOMActualCost,BOMParents,$A6)))</f>
        <v>4903.4615384615381</v>
      </c>
      <c r="AB6" s="9">
        <f ca="1">IF(AND(JSetup!$U$1="Single",P6=0,G6="Manufactured"),0,IF(I6=0,0,(I6-AA6)/I6))</f>
        <v>1.0679469601398556E-2</v>
      </c>
    </row>
    <row r="7" spans="1:28" ht="16.149999999999999" customHeight="1" x14ac:dyDescent="0.25">
      <c r="A7" s="2" t="s">
        <v>67</v>
      </c>
      <c r="B7" s="2" t="s">
        <v>68</v>
      </c>
      <c r="C7" s="3" t="s">
        <v>18</v>
      </c>
      <c r="E7" s="5" t="s">
        <v>210</v>
      </c>
      <c r="F7" s="5" t="str" cm="1">
        <f t="array" ref="F7">IF(COUNTIF(StockCodes,A7)&gt;1,"E1",IF(OR(AND(G7="Bought-In",ISBLANK(D7)=TRUE)=TRUE,AND(G7="Manufactured",ISBLANK(D7)=FALSE)=TRUE)=TRUE,"E2","-"))</f>
        <v>-</v>
      </c>
      <c r="G7" s="3" t="str">
        <f>IF(ISNA(VLOOKUP($A7,BOMParents,COLUMN(BOM!$A$4),0))=TRUE,"Bought-In","Manufactured")</f>
        <v>Manufactured</v>
      </c>
      <c r="H7" s="3" t="str">
        <f t="shared" si="0"/>
        <v>FG</v>
      </c>
      <c r="I7" s="4" cm="1">
        <f t="array" ref="I7">IF(G7="Bought-In",$D7,SUMIFS(BOMCost,BOMParents,$A7))</f>
        <v>3621.3137254901953</v>
      </c>
      <c r="J7" s="4">
        <f t="shared" si="1"/>
        <v>0</v>
      </c>
      <c r="K7" s="4">
        <f t="shared" si="2"/>
        <v>0</v>
      </c>
      <c r="L7" s="4">
        <f>-SUMIFS(JTQty,JTJob,JReview!$D$1,JTStockCode,A7,JTType,"Issue")</f>
        <v>0</v>
      </c>
      <c r="M7" s="6" t="str">
        <f t="shared" si="3"/>
        <v>N</v>
      </c>
      <c r="N7" s="4">
        <f t="shared" si="4"/>
        <v>0</v>
      </c>
      <c r="O7" s="5" t="str">
        <f t="shared" si="5"/>
        <v>N</v>
      </c>
      <c r="P7" s="5">
        <f t="shared" ca="1" si="6"/>
        <v>125</v>
      </c>
      <c r="Q7" s="5">
        <f t="shared" si="7"/>
        <v>0</v>
      </c>
      <c r="R7" s="5">
        <f t="shared" ca="1" si="8"/>
        <v>0</v>
      </c>
      <c r="S7" s="5">
        <f t="shared" ca="1" si="9"/>
        <v>0</v>
      </c>
      <c r="T7" s="5">
        <f t="shared" ca="1" si="10"/>
        <v>452664.2156862744</v>
      </c>
      <c r="U7" s="5">
        <f t="shared" si="11"/>
        <v>0</v>
      </c>
      <c r="V7" s="5" cm="1">
        <f t="array" aca="1" ref="V7" ca="1">IF(JSetup!$U$1="Multiple",0,IF(P7&gt;0,IF(P7+R7&lt;=0,0,-SUMIFS(JTValue,JTDate,"&gt;="&amp;$P$1,JTDate,"&lt;="&amp;$R$1,JTFGCode,$A7,JTType,"Issue")+SUMIFS(JTValue,JTDate,"&gt;="&amp;$P$1,JTDate,"&lt;="&amp;$R$1,JTStockCode,$A7,JTType,"Issue")),0))</f>
        <v>417160</v>
      </c>
      <c r="W7" s="5" cm="1">
        <f t="array" aca="1" ref="W7" ca="1">IF(H7="IM",IF(P7=0,SUMIFS(JTValue,JTDate,"&gt;="&amp;$P$1,JTDate,"&lt;="&amp;$R$1,JTStockCode,$A7,JTType,"Issue"),IF(R7=0,0,IF(P7+R7&gt;0,0,SUMIFS(JTValue,JTDate,"&gt;="&amp;$P$1,JTDate,"&lt;="&amp;$R$1,JTStockCode,$A7,JTType,"Issue")/R7*(P7+R7)))),SUMIFS(JTValue,JTDate,"&gt;="&amp;$P$1,JTDate,"&lt;="&amp;$R$1,JTStockCode,$A7,JTType,"Issue"))</f>
        <v>0</v>
      </c>
      <c r="X7" s="5">
        <f t="shared" ca="1" si="12"/>
        <v>0</v>
      </c>
      <c r="Y7" s="5">
        <f t="shared" ca="1" si="13"/>
        <v>0</v>
      </c>
      <c r="Z7" s="5" cm="1">
        <f t="array" aca="1" ref="Z7" ca="1">IF(H7="IM",IF(P7=0,SUMIFS(JTPrice,JTDate,"&gt;="&amp;$P$1,JTDate,"&lt;="&amp;$R$1,JTStockCode,$A7,JTType,"Issue"),IF(R7=0,0,IF(P7+R7&gt;0,0,SUMIFS(JTPrice,JTDate,"&gt;="&amp;$P$1,JTDate,"&lt;="&amp;$R$1,JTStockCode,$A7,JTType,"Issue")/R7*(P7+R7)))),SUMIFS(JTPrice,JTDate,"&gt;="&amp;$P$1,JTDate,"&lt;="&amp;$R$1,JTStockCode,$A7,JTType,"Issue"))</f>
        <v>0</v>
      </c>
      <c r="AA7" s="5" cm="1">
        <f t="array" aca="1" ref="AA7" ca="1">IF(JSetup!$U$1="Single",IF(G7="Bought-In",IF(R7=0,I7,W7/R7),IF(SUMIFS(JTQty,JTDate,"&lt;="&amp;$R$1,JTStockCode,$A7,JTType,"Receipt")=0,I7,-SUMIFS(JTValue,JTDate,"&lt;="&amp;$R$1,JTFGCode,$A7,JTType,"Issue")/SUMIFS(JTQty,JTDate,"&lt;="&amp;$R$1,JTStockCode,$A7,JTType,"Receipt"))),IF(G7="Bought-In",IF(R7=0,I7,W7/R7),SUMIFS(BOMActualCost,BOMParents,$A7)))</f>
        <v>3337.28</v>
      </c>
      <c r="AB7" s="9">
        <f ca="1">IF(AND(JSetup!$U$1="Single",P7=0,G7="Manufactured"),0,IF(I7=0,0,(I7-AA7)/I7))</f>
        <v>7.8433890853172969E-2</v>
      </c>
    </row>
    <row r="8" spans="1:28" ht="16.149999999999999" customHeight="1" x14ac:dyDescent="0.25">
      <c r="A8" s="2" t="s">
        <v>43</v>
      </c>
      <c r="B8" s="2" t="s">
        <v>44</v>
      </c>
      <c r="C8" s="3" t="s">
        <v>45</v>
      </c>
      <c r="D8" s="4">
        <v>140</v>
      </c>
      <c r="F8" s="5" t="str" cm="1">
        <f t="array" ref="F8">IF(COUNTIF(StockCodes,A8)&gt;1,"E1",IF(OR(AND(G8="Bought-In",ISBLANK(D8)=TRUE)=TRUE,AND(G8="Manufactured",ISBLANK(D8)=FALSE)=TRUE)=TRUE,"E2","-"))</f>
        <v>-</v>
      </c>
      <c r="G8" s="3" t="str">
        <f>IF(ISNA(VLOOKUP($A8,BOMParents,COLUMN(BOM!$A$4),0))=TRUE,"Bought-In","Manufactured")</f>
        <v>Bought-In</v>
      </c>
      <c r="H8" s="3" t="str">
        <f t="shared" si="0"/>
        <v>None</v>
      </c>
      <c r="I8" s="4" cm="1">
        <f t="array" ref="I8">IF(G8="Bought-In",$D8,SUMIFS(BOMCost,BOMParents,$A8))</f>
        <v>140</v>
      </c>
      <c r="J8" s="4">
        <f t="shared" si="1"/>
        <v>1111.1111111111111</v>
      </c>
      <c r="K8" s="4">
        <f t="shared" si="2"/>
        <v>1166.6666666666667</v>
      </c>
      <c r="L8" s="4">
        <f>-SUMIFS(JTQty,JTJob,JReview!$D$1,JTStockCode,A8,JTType,"Issue")</f>
        <v>1200</v>
      </c>
      <c r="M8" s="6" t="str">
        <f t="shared" si="3"/>
        <v>Y</v>
      </c>
      <c r="N8" s="4">
        <f t="shared" si="4"/>
        <v>6111.1111111111113</v>
      </c>
      <c r="O8" s="5" t="str">
        <f t="shared" si="5"/>
        <v>Y</v>
      </c>
      <c r="P8" s="5">
        <f t="shared" ca="1" si="6"/>
        <v>0</v>
      </c>
      <c r="Q8" s="5">
        <f t="shared" ca="1" si="7"/>
        <v>-13188.888888888889</v>
      </c>
      <c r="R8" s="5">
        <f t="shared" ca="1" si="8"/>
        <v>-13061.111111111109</v>
      </c>
      <c r="S8" s="5">
        <f t="shared" ca="1" si="9"/>
        <v>127.77777777777919</v>
      </c>
      <c r="T8" s="5">
        <f t="shared" si="10"/>
        <v>0</v>
      </c>
      <c r="U8" s="5">
        <f t="shared" ca="1" si="11"/>
        <v>-1846444.4444444445</v>
      </c>
      <c r="V8" s="5" cm="1">
        <f t="array" aca="1" ref="V8" ca="1">IF(JSetup!$U$1="Multiple",0,IF(P8&gt;0,IF(P8+R8&lt;=0,0,-SUMIFS(JTValue,JTDate,"&gt;="&amp;$P$1,JTDate,"&lt;="&amp;$R$1,JTFGCode,$A8,JTType,"Issue")+SUMIFS(JTValue,JTDate,"&gt;="&amp;$P$1,JTDate,"&lt;="&amp;$R$1,JTStockCode,$A8,JTType,"Issue")),0))</f>
        <v>0</v>
      </c>
      <c r="W8" s="5" cm="1">
        <f t="array" aca="1" ref="W8" ca="1">IF(H8="IM",IF(P8=0,SUMIFS(JTValue,JTDate,"&gt;="&amp;$P$1,JTDate,"&lt;="&amp;$R$1,JTStockCode,$A8,JTType,"Issue"),IF(R8=0,0,IF(P8+R8&gt;0,0,SUMIFS(JTValue,JTDate,"&gt;="&amp;$P$1,JTDate,"&lt;="&amp;$R$1,JTStockCode,$A8,JTType,"Issue")/R8*(P8+R8)))),SUMIFS(JTValue,JTDate,"&gt;="&amp;$P$1,JTDate,"&lt;="&amp;$R$1,JTStockCode,$A8,JTType,"Issue"))</f>
        <v>-1828555.5555555555</v>
      </c>
      <c r="X8" s="5">
        <f t="shared" ca="1" si="12"/>
        <v>17888.888888888992</v>
      </c>
      <c r="Y8" s="5">
        <f t="shared" ca="1" si="13"/>
        <v>17888.888888889087</v>
      </c>
      <c r="Z8" s="5" cm="1">
        <f t="array" aca="1" ref="Z8" ca="1">IF(H8="IM",IF(P8=0,SUMIFS(JTPrice,JTDate,"&gt;="&amp;$P$1,JTDate,"&lt;="&amp;$R$1,JTStockCode,$A8,JTType,"Issue"),IF(R8=0,0,IF(P8+R8&gt;0,0,SUMIFS(JTPrice,JTDate,"&gt;="&amp;$P$1,JTDate,"&lt;="&amp;$R$1,JTStockCode,$A8,JTType,"Issue")/R8*(P8+R8)))),SUMIFS(JTPrice,JTDate,"&gt;="&amp;$P$1,JTDate,"&lt;="&amp;$R$1,JTStockCode,$A8,JTType,"Issue"))</f>
        <v>0</v>
      </c>
      <c r="AA8" s="5" cm="1">
        <f t="array" aca="1" ref="AA8" ca="1">IF(JSetup!$U$1="Single",IF(G8="Bought-In",IF(R8=0,I8,W8/R8),IF(SUMIFS(JTQty,JTDate,"&lt;="&amp;$R$1,JTStockCode,$A8,JTType,"Receipt")=0,I8,-SUMIFS(JTValue,JTDate,"&lt;="&amp;$R$1,JTFGCode,$A8,JTType,"Issue")/SUMIFS(JTQty,JTDate,"&lt;="&amp;$R$1,JTStockCode,$A8,JTType,"Receipt"))),IF(G8="Bought-In",IF(R8=0,I8,W8/R8),SUMIFS(BOMActualCost,BOMParents,$A8)))</f>
        <v>140</v>
      </c>
      <c r="AB8" s="9">
        <f ca="1">IF(AND(JSetup!$U$1="Single",P8=0,G8="Manufactured"),0,IF(I8=0,0,(I8-AA8)/I8))</f>
        <v>0</v>
      </c>
    </row>
    <row r="9" spans="1:28" ht="16.149999999999999" customHeight="1" x14ac:dyDescent="0.25">
      <c r="A9" s="2" t="s">
        <v>46</v>
      </c>
      <c r="B9" s="2" t="s">
        <v>47</v>
      </c>
      <c r="C9" s="3" t="s">
        <v>18</v>
      </c>
      <c r="D9" s="4">
        <v>150</v>
      </c>
      <c r="F9" s="5" t="str" cm="1">
        <f t="array" ref="F9">IF(COUNTIF(StockCodes,A9)&gt;1,"E1",IF(OR(AND(G9="Bought-In",ISBLANK(D9)=TRUE)=TRUE,AND(G9="Manufactured",ISBLANK(D9)=FALSE)=TRUE)=TRUE,"E2","-"))</f>
        <v>-</v>
      </c>
      <c r="G9" s="3" t="str">
        <f>IF(ISNA(VLOOKUP($A9,BOMParents,COLUMN(BOM!$A$4),0))=TRUE,"Bought-In","Manufactured")</f>
        <v>Bought-In</v>
      </c>
      <c r="H9" s="3" t="str">
        <f t="shared" si="0"/>
        <v>None</v>
      </c>
      <c r="I9" s="4" cm="1">
        <f t="array" ref="I9">IF(G9="Bought-In",$D9,SUMIFS(BOMCost,BOMParents,$A9))</f>
        <v>150</v>
      </c>
      <c r="J9" s="4">
        <f t="shared" si="1"/>
        <v>100</v>
      </c>
      <c r="K9" s="4">
        <f t="shared" si="2"/>
        <v>105</v>
      </c>
      <c r="L9" s="4">
        <f>-SUMIFS(JTQty,JTJob,JReview!$D$1,JTStockCode,A9,JTType,"Issue")</f>
        <v>107</v>
      </c>
      <c r="M9" s="6" t="str">
        <f t="shared" si="3"/>
        <v>Y</v>
      </c>
      <c r="N9" s="4">
        <f t="shared" si="4"/>
        <v>550</v>
      </c>
      <c r="O9" s="5" t="str">
        <f t="shared" si="5"/>
        <v>Y</v>
      </c>
      <c r="P9" s="5">
        <f t="shared" ca="1" si="6"/>
        <v>0</v>
      </c>
      <c r="Q9" s="5">
        <f t="shared" ca="1" si="7"/>
        <v>-1187</v>
      </c>
      <c r="R9" s="5">
        <f t="shared" ca="1" si="8"/>
        <v>-1162</v>
      </c>
      <c r="S9" s="5">
        <f t="shared" ca="1" si="9"/>
        <v>25</v>
      </c>
      <c r="T9" s="5">
        <f t="shared" si="10"/>
        <v>0</v>
      </c>
      <c r="U9" s="5">
        <f t="shared" ca="1" si="11"/>
        <v>-178050</v>
      </c>
      <c r="V9" s="5" cm="1">
        <f t="array" aca="1" ref="V9" ca="1">IF(JSetup!$U$1="Multiple",0,IF(P9&gt;0,IF(P9+R9&lt;=0,0,-SUMIFS(JTValue,JTDate,"&gt;="&amp;$P$1,JTDate,"&lt;="&amp;$R$1,JTFGCode,$A9,JTType,"Issue")+SUMIFS(JTValue,JTDate,"&gt;="&amp;$P$1,JTDate,"&lt;="&amp;$R$1,JTStockCode,$A9,JTType,"Issue")),0))</f>
        <v>0</v>
      </c>
      <c r="W9" s="5" cm="1">
        <f t="array" aca="1" ref="W9" ca="1">IF(H9="IM",IF(P9=0,SUMIFS(JTValue,JTDate,"&gt;="&amp;$P$1,JTDate,"&lt;="&amp;$R$1,JTStockCode,$A9,JTType,"Issue"),IF(R9=0,0,IF(P9+R9&gt;0,0,SUMIFS(JTValue,JTDate,"&gt;="&amp;$P$1,JTDate,"&lt;="&amp;$R$1,JTStockCode,$A9,JTType,"Issue")/R9*(P9+R9)))),SUMIFS(JTValue,JTDate,"&gt;="&amp;$P$1,JTDate,"&lt;="&amp;$R$1,JTStockCode,$A9,JTType,"Issue"))</f>
        <v>-174300</v>
      </c>
      <c r="X9" s="5">
        <f t="shared" ca="1" si="12"/>
        <v>3750</v>
      </c>
      <c r="Y9" s="5">
        <f t="shared" ca="1" si="13"/>
        <v>3750</v>
      </c>
      <c r="Z9" s="5" cm="1">
        <f t="array" aca="1" ref="Z9" ca="1">IF(H9="IM",IF(P9=0,SUMIFS(JTPrice,JTDate,"&gt;="&amp;$P$1,JTDate,"&lt;="&amp;$R$1,JTStockCode,$A9,JTType,"Issue"),IF(R9=0,0,IF(P9+R9&gt;0,0,SUMIFS(JTPrice,JTDate,"&gt;="&amp;$P$1,JTDate,"&lt;="&amp;$R$1,JTStockCode,$A9,JTType,"Issue")/R9*(P9+R9)))),SUMIFS(JTPrice,JTDate,"&gt;="&amp;$P$1,JTDate,"&lt;="&amp;$R$1,JTStockCode,$A9,JTType,"Issue"))</f>
        <v>0</v>
      </c>
      <c r="AA9" s="5" cm="1">
        <f t="array" aca="1" ref="AA9" ca="1">IF(JSetup!$U$1="Single",IF(G9="Bought-In",IF(R9=0,I9,W9/R9),IF(SUMIFS(JTQty,JTDate,"&lt;="&amp;$R$1,JTStockCode,$A9,JTType,"Receipt")=0,I9,-SUMIFS(JTValue,JTDate,"&lt;="&amp;$R$1,JTFGCode,$A9,JTType,"Issue")/SUMIFS(JTQty,JTDate,"&lt;="&amp;$R$1,JTStockCode,$A9,JTType,"Receipt"))),IF(G9="Bought-In",IF(R9=0,I9,W9/R9),SUMIFS(BOMActualCost,BOMParents,$A9)))</f>
        <v>150</v>
      </c>
      <c r="AB9" s="9">
        <f ca="1">IF(AND(JSetup!$U$1="Single",P9=0,G9="Manufactured"),0,IF(I9=0,0,(I9-AA9)/I9))</f>
        <v>0</v>
      </c>
    </row>
    <row r="10" spans="1:28" ht="16.149999999999999" customHeight="1" x14ac:dyDescent="0.25">
      <c r="A10" s="2" t="s">
        <v>48</v>
      </c>
      <c r="B10" s="2" t="s">
        <v>49</v>
      </c>
      <c r="C10" s="3" t="s">
        <v>45</v>
      </c>
      <c r="D10" s="4">
        <v>120</v>
      </c>
      <c r="F10" s="5" t="str" cm="1">
        <f t="array" ref="F10">IF(COUNTIF(StockCodes,A10)&gt;1,"E1",IF(OR(AND(G10="Bought-In",ISBLANK(D10)=TRUE)=TRUE,AND(G10="Manufactured",ISBLANK(D10)=FALSE)=TRUE)=TRUE,"E2","-"))</f>
        <v>-</v>
      </c>
      <c r="G10" s="3" t="str">
        <f>IF(ISNA(VLOOKUP($A10,BOMParents,COLUMN(BOM!$A$4),0))=TRUE,"Bought-In","Manufactured")</f>
        <v>Bought-In</v>
      </c>
      <c r="H10" s="3" t="str">
        <f t="shared" si="0"/>
        <v>None</v>
      </c>
      <c r="I10" s="4" cm="1">
        <f t="array" ref="I10">IF(G10="Bought-In",$D10,SUMIFS(BOMCost,BOMParents,$A10))</f>
        <v>120</v>
      </c>
      <c r="J10" s="4">
        <f t="shared" si="1"/>
        <v>1485.3801169590643</v>
      </c>
      <c r="K10" s="4">
        <f t="shared" si="2"/>
        <v>1559.6491228070176</v>
      </c>
      <c r="L10" s="4">
        <f>-SUMIFS(JTQty,JTJob,JReview!$D$1,JTStockCode,A10,JTType,"Issue")</f>
        <v>1500</v>
      </c>
      <c r="M10" s="6" t="str">
        <f t="shared" si="3"/>
        <v>Y</v>
      </c>
      <c r="N10" s="4">
        <f t="shared" si="4"/>
        <v>8093.5672514619882</v>
      </c>
      <c r="O10" s="5" t="str">
        <f t="shared" si="5"/>
        <v>Y</v>
      </c>
      <c r="P10" s="5">
        <f t="shared" ca="1" si="6"/>
        <v>0</v>
      </c>
      <c r="Q10" s="5">
        <f t="shared" ca="1" si="7"/>
        <v>-17434.561403508771</v>
      </c>
      <c r="R10" s="5">
        <f t="shared" ca="1" si="8"/>
        <v>-17151.169590643269</v>
      </c>
      <c r="S10" s="5">
        <f t="shared" ca="1" si="9"/>
        <v>283.39181286550229</v>
      </c>
      <c r="T10" s="5">
        <f t="shared" si="10"/>
        <v>0</v>
      </c>
      <c r="U10" s="5">
        <f t="shared" ca="1" si="11"/>
        <v>-2092147.3684210526</v>
      </c>
      <c r="V10" s="5" cm="1">
        <f t="array" aca="1" ref="V10" ca="1">IF(JSetup!$U$1="Multiple",0,IF(P10&gt;0,IF(P10+R10&lt;=0,0,-SUMIFS(JTValue,JTDate,"&gt;="&amp;$P$1,JTDate,"&lt;="&amp;$R$1,JTFGCode,$A10,JTType,"Issue")+SUMIFS(JTValue,JTDate,"&gt;="&amp;$P$1,JTDate,"&lt;="&amp;$R$1,JTStockCode,$A10,JTType,"Issue")),0))</f>
        <v>0</v>
      </c>
      <c r="W10" s="5" cm="1">
        <f t="array" aca="1" ref="W10" ca="1">IF(H10="IM",IF(P10=0,SUMIFS(JTValue,JTDate,"&gt;="&amp;$P$1,JTDate,"&lt;="&amp;$R$1,JTStockCode,$A10,JTType,"Issue"),IF(R10=0,0,IF(P10+R10&gt;0,0,SUMIFS(JTValue,JTDate,"&gt;="&amp;$P$1,JTDate,"&lt;="&amp;$R$1,JTStockCode,$A10,JTType,"Issue")/R10*(P10+R10)))),SUMIFS(JTValue,JTDate,"&gt;="&amp;$P$1,JTDate,"&lt;="&amp;$R$1,JTStockCode,$A10,JTType,"Issue"))</f>
        <v>-2130402.0467836251</v>
      </c>
      <c r="X10" s="5">
        <f t="shared" ca="1" si="12"/>
        <v>-38254.678362572566</v>
      </c>
      <c r="Y10" s="5">
        <f t="shared" ca="1" si="13"/>
        <v>34007.017543860275</v>
      </c>
      <c r="Z10" s="5" cm="1">
        <f t="array" aca="1" ref="Z10" ca="1">IF(H10="IM",IF(P10=0,SUMIFS(JTPrice,JTDate,"&gt;="&amp;$P$1,JTDate,"&lt;="&amp;$R$1,JTStockCode,$A10,JTType,"Issue"),IF(R10=0,0,IF(P10+R10&gt;0,0,SUMIFS(JTPrice,JTDate,"&gt;="&amp;$P$1,JTDate,"&lt;="&amp;$R$1,JTStockCode,$A10,JTType,"Issue")/R10*(P10+R10)))),SUMIFS(JTPrice,JTDate,"&gt;="&amp;$P$1,JTDate,"&lt;="&amp;$R$1,JTStockCode,$A10,JTType,"Issue"))</f>
        <v>-72261.695906432695</v>
      </c>
      <c r="AA10" s="5" cm="1">
        <f t="array" aca="1" ref="AA10" ca="1">IF(JSetup!$U$1="Single",IF(G10="Bought-In",IF(R10=0,I10,W10/R10),IF(SUMIFS(JTQty,JTDate,"&lt;="&amp;$R$1,JTStockCode,$A10,JTType,"Receipt")=0,I10,-SUMIFS(JTValue,JTDate,"&lt;="&amp;$R$1,JTFGCode,$A10,JTType,"Issue")/SUMIFS(JTQty,JTDate,"&lt;="&amp;$R$1,JTStockCode,$A10,JTType,"Receipt"))),IF(G10="Bought-In",IF(R10=0,I10,W10/R10),SUMIFS(BOMActualCost,BOMParents,$A10)))</f>
        <v>124.21322263327481</v>
      </c>
      <c r="AB10" s="9">
        <f ca="1">IF(AND(JSetup!$U$1="Single",P10=0,G10="Manufactured"),0,IF(I10=0,0,(I10-AA10)/I10))</f>
        <v>-3.511018861062342E-2</v>
      </c>
    </row>
    <row r="11" spans="1:28" ht="16.149999999999999" customHeight="1" x14ac:dyDescent="0.25">
      <c r="A11" s="2" t="s">
        <v>50</v>
      </c>
      <c r="B11" s="2" t="s">
        <v>69</v>
      </c>
      <c r="C11" s="3" t="s">
        <v>51</v>
      </c>
      <c r="D11" s="4">
        <v>30</v>
      </c>
      <c r="F11" s="5" t="str" cm="1">
        <f t="array" ref="F11">IF(COUNTIF(StockCodes,A11)&gt;1,"E1",IF(OR(AND(G11="Bought-In",ISBLANK(D11)=TRUE)=TRUE,AND(G11="Manufactured",ISBLANK(D11)=FALSE)=TRUE)=TRUE,"E2","-"))</f>
        <v>-</v>
      </c>
      <c r="G11" s="3" t="str">
        <f>IF(ISNA(VLOOKUP($A11,BOMParents,COLUMN(BOM!$A$4),0))=TRUE,"Bought-In","Manufactured")</f>
        <v>Bought-In</v>
      </c>
      <c r="H11" s="3" t="str">
        <f t="shared" si="0"/>
        <v>None</v>
      </c>
      <c r="I11" s="4" cm="1">
        <f t="array" ref="I11">IF(G11="Bought-In",$D11,SUMIFS(BOMCost,BOMParents,$A11))</f>
        <v>30</v>
      </c>
      <c r="J11" s="4">
        <f t="shared" si="1"/>
        <v>11.111111111111111</v>
      </c>
      <c r="K11" s="4">
        <f t="shared" si="2"/>
        <v>11.666666666666666</v>
      </c>
      <c r="L11" s="4">
        <f>-SUMIFS(JTQty,JTJob,JReview!$D$1,JTStockCode,A11,JTType,"Issue")</f>
        <v>12</v>
      </c>
      <c r="M11" s="6" t="str">
        <f t="shared" si="3"/>
        <v>Y</v>
      </c>
      <c r="N11" s="4">
        <f t="shared" si="4"/>
        <v>61.111111111111107</v>
      </c>
      <c r="O11" s="5" t="str">
        <f t="shared" si="5"/>
        <v>Y</v>
      </c>
      <c r="P11" s="5">
        <f t="shared" ca="1" si="6"/>
        <v>0</v>
      </c>
      <c r="Q11" s="5">
        <f t="shared" ca="1" si="7"/>
        <v>-131.88888888888889</v>
      </c>
      <c r="R11" s="5">
        <f t="shared" ca="1" si="8"/>
        <v>-138.11111111111109</v>
      </c>
      <c r="S11" s="5">
        <f t="shared" ca="1" si="9"/>
        <v>-6.2222222222222001</v>
      </c>
      <c r="T11" s="5">
        <f t="shared" si="10"/>
        <v>0</v>
      </c>
      <c r="U11" s="5">
        <f t="shared" ca="1" si="11"/>
        <v>-3956.6666666666665</v>
      </c>
      <c r="V11" s="5" cm="1">
        <f t="array" aca="1" ref="V11" ca="1">IF(JSetup!$U$1="Multiple",0,IF(P11&gt;0,IF(P11+R11&lt;=0,0,-SUMIFS(JTValue,JTDate,"&gt;="&amp;$P$1,JTDate,"&lt;="&amp;$R$1,JTFGCode,$A11,JTType,"Issue")+SUMIFS(JTValue,JTDate,"&gt;="&amp;$P$1,JTDate,"&lt;="&amp;$R$1,JTStockCode,$A11,JTType,"Issue")),0))</f>
        <v>0</v>
      </c>
      <c r="W11" s="5" cm="1">
        <f t="array" aca="1" ref="W11" ca="1">IF(H11="IM",IF(P11=0,SUMIFS(JTValue,JTDate,"&gt;="&amp;$P$1,JTDate,"&lt;="&amp;$R$1,JTStockCode,$A11,JTType,"Issue"),IF(R11=0,0,IF(P11+R11&gt;0,0,SUMIFS(JTValue,JTDate,"&gt;="&amp;$P$1,JTDate,"&lt;="&amp;$R$1,JTStockCode,$A11,JTType,"Issue")/R11*(P11+R11)))),SUMIFS(JTValue,JTDate,"&gt;="&amp;$P$1,JTDate,"&lt;="&amp;$R$1,JTStockCode,$A11,JTType,"Issue"))</f>
        <v>-4143.333333333333</v>
      </c>
      <c r="X11" s="5">
        <f t="shared" ca="1" si="12"/>
        <v>-186.66666666666652</v>
      </c>
      <c r="Y11" s="5">
        <f t="shared" ca="1" si="13"/>
        <v>-186.666666666666</v>
      </c>
      <c r="Z11" s="5" cm="1">
        <f t="array" aca="1" ref="Z11" ca="1">IF(H11="IM",IF(P11=0,SUMIFS(JTPrice,JTDate,"&gt;="&amp;$P$1,JTDate,"&lt;="&amp;$R$1,JTStockCode,$A11,JTType,"Issue"),IF(R11=0,0,IF(P11+R11&gt;0,0,SUMIFS(JTPrice,JTDate,"&gt;="&amp;$P$1,JTDate,"&lt;="&amp;$R$1,JTStockCode,$A11,JTType,"Issue")/R11*(P11+R11)))),SUMIFS(JTPrice,JTDate,"&gt;="&amp;$P$1,JTDate,"&lt;="&amp;$R$1,JTStockCode,$A11,JTType,"Issue"))</f>
        <v>0</v>
      </c>
      <c r="AA11" s="5" cm="1">
        <f t="array" aca="1" ref="AA11" ca="1">IF(JSetup!$U$1="Single",IF(G11="Bought-In",IF(R11=0,I11,W11/R11),IF(SUMIFS(JTQty,JTDate,"&lt;="&amp;$R$1,JTStockCode,$A11,JTType,"Receipt")=0,I11,-SUMIFS(JTValue,JTDate,"&lt;="&amp;$R$1,JTFGCode,$A11,JTType,"Issue")/SUMIFS(JTQty,JTDate,"&lt;="&amp;$R$1,JTStockCode,$A11,JTType,"Receipt"))),IF(G11="Bought-In",IF(R11=0,I11,W11/R11),SUMIFS(BOMActualCost,BOMParents,$A11)))</f>
        <v>30.000000000000004</v>
      </c>
      <c r="AB11" s="9">
        <f ca="1">IF(AND(JSetup!$U$1="Single",P11=0,G11="Manufactured"),0,IF(I11=0,0,(I11-AA11)/I11))</f>
        <v>-1.1842378929335003E-16</v>
      </c>
    </row>
    <row r="12" spans="1:28" ht="16.149999999999999" customHeight="1" x14ac:dyDescent="0.25">
      <c r="A12" s="2" t="s">
        <v>70</v>
      </c>
      <c r="B12" s="2" t="s">
        <v>71</v>
      </c>
      <c r="C12" s="3" t="s">
        <v>51</v>
      </c>
      <c r="D12" s="4">
        <v>50</v>
      </c>
      <c r="F12" s="5" t="str" cm="1">
        <f t="array" ref="F12">IF(COUNTIF(StockCodes,A12)&gt;1,"E1",IF(OR(AND(G12="Bought-In",ISBLANK(D12)=TRUE)=TRUE,AND(G12="Manufactured",ISBLANK(D12)=FALSE)=TRUE)=TRUE,"E2","-"))</f>
        <v>-</v>
      </c>
      <c r="G12" s="3" t="str">
        <f>IF(ISNA(VLOOKUP($A12,BOMParents,COLUMN(BOM!$A$4),0))=TRUE,"Bought-In","Manufactured")</f>
        <v>Bought-In</v>
      </c>
      <c r="H12" s="3" t="str">
        <f t="shared" si="0"/>
        <v>None</v>
      </c>
      <c r="I12" s="4" cm="1">
        <f t="array" ref="I12">IF(G12="Bought-In",$D12,SUMIFS(BOMCost,BOMParents,$A12))</f>
        <v>50</v>
      </c>
      <c r="J12" s="4">
        <f t="shared" si="1"/>
        <v>346.40522875816998</v>
      </c>
      <c r="K12" s="4">
        <f t="shared" si="2"/>
        <v>363.72549019607845</v>
      </c>
      <c r="L12" s="4">
        <f>-SUMIFS(JTQty,JTJob,JReview!$D$1,JTStockCode,A12,JTType,"Issue")</f>
        <v>350</v>
      </c>
      <c r="M12" s="6" t="str">
        <f t="shared" si="3"/>
        <v>Y</v>
      </c>
      <c r="N12" s="4">
        <f t="shared" si="4"/>
        <v>1905.2287581699347</v>
      </c>
      <c r="O12" s="5" t="str">
        <f t="shared" si="5"/>
        <v>Y</v>
      </c>
      <c r="P12" s="5">
        <f t="shared" ca="1" si="6"/>
        <v>0</v>
      </c>
      <c r="Q12" s="5">
        <f t="shared" ca="1" si="7"/>
        <v>-4111.830065359477</v>
      </c>
      <c r="R12" s="5">
        <f t="shared" ca="1" si="8"/>
        <v>-3979.34640522876</v>
      </c>
      <c r="S12" s="5">
        <f t="shared" ca="1" si="9"/>
        <v>132.483660130717</v>
      </c>
      <c r="T12" s="5">
        <f t="shared" si="10"/>
        <v>0</v>
      </c>
      <c r="U12" s="5">
        <f t="shared" ca="1" si="11"/>
        <v>-205591.50326797384</v>
      </c>
      <c r="V12" s="5" cm="1">
        <f t="array" aca="1" ref="V12" ca="1">IF(JSetup!$U$1="Multiple",0,IF(P12&gt;0,IF(P12+R12&lt;=0,0,-SUMIFS(JTValue,JTDate,"&gt;="&amp;$P$1,JTDate,"&lt;="&amp;$R$1,JTFGCode,$A12,JTType,"Issue")+SUMIFS(JTValue,JTDate,"&gt;="&amp;$P$1,JTDate,"&lt;="&amp;$R$1,JTStockCode,$A12,JTType,"Issue")),0))</f>
        <v>0</v>
      </c>
      <c r="W12" s="5" cm="1">
        <f t="array" aca="1" ref="W12" ca="1">IF(H12="IM",IF(P12=0,SUMIFS(JTValue,JTDate,"&gt;="&amp;$P$1,JTDate,"&lt;="&amp;$R$1,JTStockCode,$A12,JTType,"Issue"),IF(R12=0,0,IF(P12+R12&gt;0,0,SUMIFS(JTValue,JTDate,"&gt;="&amp;$P$1,JTDate,"&lt;="&amp;$R$1,JTStockCode,$A12,JTType,"Issue")/R12*(P12+R12)))),SUMIFS(JTValue,JTDate,"&gt;="&amp;$P$1,JTDate,"&lt;="&amp;$R$1,JTStockCode,$A12,JTType,"Issue"))</f>
        <v>-193967.320261438</v>
      </c>
      <c r="X12" s="5">
        <f t="shared" ca="1" si="12"/>
        <v>11624.183006535837</v>
      </c>
      <c r="Y12" s="5">
        <f t="shared" ca="1" si="13"/>
        <v>6624.1830065358499</v>
      </c>
      <c r="Z12" s="5" cm="1">
        <f t="array" aca="1" ref="Z12" ca="1">IF(H12="IM",IF(P12=0,SUMIFS(JTPrice,JTDate,"&gt;="&amp;$P$1,JTDate,"&lt;="&amp;$R$1,JTStockCode,$A12,JTType,"Issue"),IF(R12=0,0,IF(P12+R12&gt;0,0,SUMIFS(JTPrice,JTDate,"&gt;="&amp;$P$1,JTDate,"&lt;="&amp;$R$1,JTStockCode,$A12,JTType,"Issue")/R12*(P12+R12)))),SUMIFS(JTPrice,JTDate,"&gt;="&amp;$P$1,JTDate,"&lt;="&amp;$R$1,JTStockCode,$A12,JTType,"Issue"))</f>
        <v>5000</v>
      </c>
      <c r="AA12" s="5" cm="1">
        <f t="array" aca="1" ref="AA12" ca="1">IF(JSetup!$U$1="Single",IF(G12="Bought-In",IF(R12=0,I12,W12/R12),IF(SUMIFS(JTQty,JTDate,"&lt;="&amp;$R$1,JTStockCode,$A12,JTType,"Receipt")=0,I12,-SUMIFS(JTValue,JTDate,"&lt;="&amp;$R$1,JTFGCode,$A12,JTType,"Issue")/SUMIFS(JTQty,JTDate,"&lt;="&amp;$R$1,JTStockCode,$A12,JTType,"Receipt"))),IF(G12="Bought-In",IF(R12=0,I12,W12/R12),SUMIFS(BOMActualCost,BOMParents,$A12)))</f>
        <v>48.743512252808621</v>
      </c>
      <c r="AB12" s="9">
        <f ca="1">IF(AND(JSetup!$U$1="Single",P12=0,G12="Manufactured"),0,IF(I12=0,0,(I12-AA12)/I12))</f>
        <v>2.5129754943827579E-2</v>
      </c>
    </row>
    <row r="13" spans="1:28" ht="16.149999999999999" customHeight="1" x14ac:dyDescent="0.25">
      <c r="A13" s="2" t="s">
        <v>52</v>
      </c>
      <c r="B13" s="2" t="s">
        <v>53</v>
      </c>
      <c r="C13" s="3" t="s">
        <v>45</v>
      </c>
      <c r="D13" s="4">
        <v>80</v>
      </c>
      <c r="F13" s="5" t="str" cm="1">
        <f t="array" ref="F13">IF(COUNTIF(StockCodes,A13)&gt;1,"E1",IF(OR(AND(G13="Bought-In",ISBLANK(D13)=TRUE)=TRUE,AND(G13="Manufactured",ISBLANK(D13)=FALSE)=TRUE)=TRUE,"E2","-"))</f>
        <v>-</v>
      </c>
      <c r="G13" s="3" t="str">
        <f>IF(ISNA(VLOOKUP($A13,BOMParents,COLUMN(BOM!$A$4),0))=TRUE,"Bought-In","Manufactured")</f>
        <v>Bought-In</v>
      </c>
      <c r="H13" s="3" t="str">
        <f t="shared" si="0"/>
        <v>None</v>
      </c>
      <c r="I13" s="4" cm="1">
        <f t="array" ref="I13">IF(G13="Bought-In",$D13,SUMIFS(BOMCost,BOMParents,$A13))</f>
        <v>80</v>
      </c>
      <c r="J13" s="4">
        <f t="shared" si="1"/>
        <v>247.67801857585141</v>
      </c>
      <c r="K13" s="4">
        <f t="shared" si="2"/>
        <v>260.06191950464398</v>
      </c>
      <c r="L13" s="4">
        <f>-SUMIFS(JTQty,JTJob,JReview!$D$1,JTStockCode,A13,JTType,"Issue")</f>
        <v>250</v>
      </c>
      <c r="M13" s="6" t="str">
        <f t="shared" si="3"/>
        <v>Y</v>
      </c>
      <c r="N13" s="4">
        <f t="shared" si="4"/>
        <v>1238.3900928792571</v>
      </c>
      <c r="O13" s="5" t="str">
        <f t="shared" si="5"/>
        <v>Y</v>
      </c>
      <c r="P13" s="5">
        <f t="shared" ca="1" si="6"/>
        <v>0</v>
      </c>
      <c r="Q13" s="5">
        <f t="shared" ca="1" si="7"/>
        <v>-2623.9009287925696</v>
      </c>
      <c r="R13" s="5">
        <f t="shared" ca="1" si="8"/>
        <v>-2670.7739938080499</v>
      </c>
      <c r="S13" s="5">
        <f t="shared" ca="1" si="9"/>
        <v>-46.873065015480279</v>
      </c>
      <c r="T13" s="5">
        <f t="shared" si="10"/>
        <v>0</v>
      </c>
      <c r="U13" s="5">
        <f t="shared" ca="1" si="11"/>
        <v>-209912.07430340556</v>
      </c>
      <c r="V13" s="5" cm="1">
        <f t="array" aca="1" ref="V13" ca="1">IF(JSetup!$U$1="Multiple",0,IF(P13&gt;0,IF(P13+R13&lt;=0,0,-SUMIFS(JTValue,JTDate,"&gt;="&amp;$P$1,JTDate,"&lt;="&amp;$R$1,JTFGCode,$A13,JTType,"Issue")+SUMIFS(JTValue,JTDate,"&gt;="&amp;$P$1,JTDate,"&lt;="&amp;$R$1,JTStockCode,$A13,JTType,"Issue")),0))</f>
        <v>0</v>
      </c>
      <c r="W13" s="5" cm="1">
        <f t="array" aca="1" ref="W13" ca="1">IF(H13="IM",IF(P13=0,SUMIFS(JTValue,JTDate,"&gt;="&amp;$P$1,JTDate,"&lt;="&amp;$R$1,JTStockCode,$A13,JTType,"Issue"),IF(R13=0,0,IF(P13+R13&gt;0,0,SUMIFS(JTValue,JTDate,"&gt;="&amp;$P$1,JTDate,"&lt;="&amp;$R$1,JTStockCode,$A13,JTType,"Issue")/R13*(P13+R13)))),SUMIFS(JTValue,JTDate,"&gt;="&amp;$P$1,JTDate,"&lt;="&amp;$R$1,JTStockCode,$A13,JTType,"Issue"))</f>
        <v>-218661.919504644</v>
      </c>
      <c r="X13" s="5">
        <f t="shared" ca="1" si="12"/>
        <v>-8749.8452012384369</v>
      </c>
      <c r="Y13" s="5">
        <f t="shared" ca="1" si="13"/>
        <v>-3749.8452012384223</v>
      </c>
      <c r="Z13" s="5" cm="1">
        <f t="array" aca="1" ref="Z13" ca="1">IF(H13="IM",IF(P13=0,SUMIFS(JTPrice,JTDate,"&gt;="&amp;$P$1,JTDate,"&lt;="&amp;$R$1,JTStockCode,$A13,JTType,"Issue"),IF(R13=0,0,IF(P13+R13&gt;0,0,SUMIFS(JTPrice,JTDate,"&gt;="&amp;$P$1,JTDate,"&lt;="&amp;$R$1,JTStockCode,$A13,JTType,"Issue")/R13*(P13+R13)))),SUMIFS(JTPrice,JTDate,"&gt;="&amp;$P$1,JTDate,"&lt;="&amp;$R$1,JTStockCode,$A13,JTType,"Issue"))</f>
        <v>-5000</v>
      </c>
      <c r="AA13" s="5" cm="1">
        <f t="array" aca="1" ref="AA13" ca="1">IF(JSetup!$U$1="Single",IF(G13="Bought-In",IF(R13=0,I13,W13/R13),IF(SUMIFS(JTQty,JTDate,"&lt;="&amp;$R$1,JTStockCode,$A13,JTType,"Receipt")=0,I13,-SUMIFS(JTValue,JTDate,"&lt;="&amp;$R$1,JTFGCode,$A13,JTType,"Issue")/SUMIFS(JTQty,JTDate,"&lt;="&amp;$R$1,JTStockCode,$A13,JTType,"Receipt"))),IF(G13="Bought-In",IF(R13=0,I13,W13/R13),SUMIFS(BOMActualCost,BOMParents,$A13)))</f>
        <v>81.872116476943404</v>
      </c>
      <c r="AB13" s="9">
        <f ca="1">IF(AND(JSetup!$U$1="Single",P13=0,G13="Manufactured"),0,IF(I13=0,0,(I13-AA13)/I13))</f>
        <v>-2.340145596179255E-2</v>
      </c>
    </row>
    <row r="14" spans="1:28" ht="16.149999999999999" customHeight="1" x14ac:dyDescent="0.25">
      <c r="A14" s="2" t="s">
        <v>54</v>
      </c>
      <c r="B14" s="2" t="s">
        <v>55</v>
      </c>
      <c r="C14" s="3" t="s">
        <v>51</v>
      </c>
      <c r="D14" s="4">
        <v>60</v>
      </c>
      <c r="F14" s="5" t="str" cm="1">
        <f t="array" ref="F14">IF(COUNTIF(StockCodes,A14)&gt;1,"E1",IF(OR(AND(G14="Bought-In",ISBLANK(D14)=TRUE)=TRUE,AND(G14="Manufactured",ISBLANK(D14)=FALSE)=TRUE)=TRUE,"E2","-"))</f>
        <v>-</v>
      </c>
      <c r="G14" s="3" t="str">
        <f>IF(ISNA(VLOOKUP($A14,BOMParents,COLUMN(BOM!$A$4),0))=TRUE,"Bought-In","Manufactured")</f>
        <v>Bought-In</v>
      </c>
      <c r="H14" s="3" t="str">
        <f t="shared" si="0"/>
        <v>None</v>
      </c>
      <c r="I14" s="4" cm="1">
        <f t="array" ref="I14">IF(G14="Bought-In",$D14,SUMIFS(BOMCost,BOMParents,$A14))</f>
        <v>60</v>
      </c>
      <c r="J14" s="4">
        <f t="shared" si="1"/>
        <v>116.95906432748538</v>
      </c>
      <c r="K14" s="4">
        <f t="shared" si="2"/>
        <v>122.80701754385964</v>
      </c>
      <c r="L14" s="4">
        <f>-SUMIFS(JTQty,JTJob,JReview!$D$1,JTStockCode,A14,JTType,"Issue")</f>
        <v>120</v>
      </c>
      <c r="M14" s="6" t="str">
        <f t="shared" si="3"/>
        <v>Y</v>
      </c>
      <c r="N14" s="4">
        <f t="shared" si="4"/>
        <v>584.79532163742692</v>
      </c>
      <c r="O14" s="5" t="str">
        <f t="shared" si="5"/>
        <v>Y</v>
      </c>
      <c r="P14" s="5">
        <f t="shared" ca="1" si="6"/>
        <v>0</v>
      </c>
      <c r="Q14" s="5">
        <f t="shared" ca="1" si="7"/>
        <v>-1239.0643274853801</v>
      </c>
      <c r="R14" s="5">
        <f t="shared" ca="1" si="8"/>
        <v>-1210.6432748538009</v>
      </c>
      <c r="S14" s="5">
        <f t="shared" ca="1" si="9"/>
        <v>28.421052631579187</v>
      </c>
      <c r="T14" s="5">
        <f t="shared" si="10"/>
        <v>0</v>
      </c>
      <c r="U14" s="5">
        <f t="shared" ca="1" si="11"/>
        <v>-74343.859649122809</v>
      </c>
      <c r="V14" s="5" cm="1">
        <f t="array" aca="1" ref="V14" ca="1">IF(JSetup!$U$1="Multiple",0,IF(P14&gt;0,IF(P14+R14&lt;=0,0,-SUMIFS(JTValue,JTDate,"&gt;="&amp;$P$1,JTDate,"&lt;="&amp;$R$1,JTFGCode,$A14,JTType,"Issue")+SUMIFS(JTValue,JTDate,"&gt;="&amp;$P$1,JTDate,"&lt;="&amp;$R$1,JTStockCode,$A14,JTType,"Issue")),0))</f>
        <v>0</v>
      </c>
      <c r="W14" s="5" cm="1">
        <f t="array" aca="1" ref="W14" ca="1">IF(H14="IM",IF(P14=0,SUMIFS(JTValue,JTDate,"&gt;="&amp;$P$1,JTDate,"&lt;="&amp;$R$1,JTStockCode,$A14,JTType,"Issue"),IF(R14=0,0,IF(P14+R14&gt;0,0,SUMIFS(JTValue,JTDate,"&gt;="&amp;$P$1,JTDate,"&lt;="&amp;$R$1,JTStockCode,$A14,JTType,"Issue")/R14*(P14+R14)))),SUMIFS(JTValue,JTDate,"&gt;="&amp;$P$1,JTDate,"&lt;="&amp;$R$1,JTStockCode,$A14,JTType,"Issue"))</f>
        <v>-72638.596491228061</v>
      </c>
      <c r="X14" s="5">
        <f t="shared" ca="1" si="12"/>
        <v>1705.2631578947476</v>
      </c>
      <c r="Y14" s="5">
        <f t="shared" ca="1" si="13"/>
        <v>1705.2631578947512</v>
      </c>
      <c r="Z14" s="5" cm="1">
        <f t="array" aca="1" ref="Z14" ca="1">IF(H14="IM",IF(P14=0,SUMIFS(JTPrice,JTDate,"&gt;="&amp;$P$1,JTDate,"&lt;="&amp;$R$1,JTStockCode,$A14,JTType,"Issue"),IF(R14=0,0,IF(P14+R14&gt;0,0,SUMIFS(JTPrice,JTDate,"&gt;="&amp;$P$1,JTDate,"&lt;="&amp;$R$1,JTStockCode,$A14,JTType,"Issue")/R14*(P14+R14)))),SUMIFS(JTPrice,JTDate,"&gt;="&amp;$P$1,JTDate,"&lt;="&amp;$R$1,JTStockCode,$A14,JTType,"Issue"))</f>
        <v>0</v>
      </c>
      <c r="AA14" s="5" cm="1">
        <f t="array" aca="1" ref="AA14" ca="1">IF(JSetup!$U$1="Single",IF(G14="Bought-In",IF(R14=0,I14,W14/R14),IF(SUMIFS(JTQty,JTDate,"&lt;="&amp;$R$1,JTStockCode,$A14,JTType,"Receipt")=0,I14,-SUMIFS(JTValue,JTDate,"&lt;="&amp;$R$1,JTFGCode,$A14,JTType,"Issue")/SUMIFS(JTQty,JTDate,"&lt;="&amp;$R$1,JTStockCode,$A14,JTType,"Receipt"))),IF(G14="Bought-In",IF(R14=0,I14,W14/R14),SUMIFS(BOMActualCost,BOMParents,$A14)))</f>
        <v>60.000000000000007</v>
      </c>
      <c r="AB14" s="9">
        <f ca="1">IF(AND(JSetup!$U$1="Single",P14=0,G14="Manufactured"),0,IF(I14=0,0,(I14-AA14)/I14))</f>
        <v>-1.1842378929335003E-16</v>
      </c>
    </row>
    <row r="15" spans="1:28" ht="16.149999999999999" customHeight="1" x14ac:dyDescent="0.25">
      <c r="A15" s="2" t="s">
        <v>72</v>
      </c>
      <c r="B15" s="2" t="s">
        <v>73</v>
      </c>
      <c r="C15" s="3" t="s">
        <v>18</v>
      </c>
      <c r="D15" s="4">
        <v>3.5</v>
      </c>
      <c r="F15" s="5" t="str" cm="1">
        <f t="array" ref="F15">IF(COUNTIF(StockCodes,A15)&gt;1,"E1",IF(OR(AND(G15="Bought-In",ISBLANK(D15)=TRUE)=TRUE,AND(G15="Manufactured",ISBLANK(D15)=FALSE)=TRUE)=TRUE,"E2","-"))</f>
        <v>-</v>
      </c>
      <c r="G15" s="3" t="str">
        <f>IF(ISNA(VLOOKUP($A15,BOMParents,COLUMN(BOM!$A$4),0))=TRUE,"Bought-In","Manufactured")</f>
        <v>Bought-In</v>
      </c>
      <c r="H15" s="3" t="str">
        <f t="shared" si="0"/>
        <v>None</v>
      </c>
      <c r="I15" s="4" cm="1">
        <f t="array" ref="I15">IF(G15="Bought-In",$D15,SUMIFS(BOMCost,BOMParents,$A15))</f>
        <v>3.5</v>
      </c>
      <c r="J15" s="4">
        <f t="shared" si="1"/>
        <v>200</v>
      </c>
      <c r="K15" s="4">
        <f t="shared" si="2"/>
        <v>210</v>
      </c>
      <c r="L15" s="4">
        <f>-SUMIFS(JTQty,JTJob,JReview!$D$1,JTStockCode,A15,JTType,"Issue")</f>
        <v>200</v>
      </c>
      <c r="M15" s="6" t="str">
        <f t="shared" si="3"/>
        <v>Y</v>
      </c>
      <c r="N15" s="4">
        <f t="shared" si="4"/>
        <v>1100</v>
      </c>
      <c r="O15" s="5" t="str">
        <f t="shared" si="5"/>
        <v>Y</v>
      </c>
      <c r="P15" s="5">
        <f t="shared" ca="1" si="6"/>
        <v>0</v>
      </c>
      <c r="Q15" s="5">
        <f t="shared" ca="1" si="7"/>
        <v>-2374</v>
      </c>
      <c r="R15" s="5">
        <f t="shared" ca="1" si="8"/>
        <v>-2380</v>
      </c>
      <c r="S15" s="5">
        <f t="shared" ca="1" si="9"/>
        <v>-6</v>
      </c>
      <c r="T15" s="5">
        <f t="shared" si="10"/>
        <v>0</v>
      </c>
      <c r="U15" s="5">
        <f t="shared" ca="1" si="11"/>
        <v>-8309</v>
      </c>
      <c r="V15" s="5" cm="1">
        <f t="array" aca="1" ref="V15" ca="1">IF(JSetup!$U$1="Multiple",0,IF(P15&gt;0,IF(P15+R15&lt;=0,0,-SUMIFS(JTValue,JTDate,"&gt;="&amp;$P$1,JTDate,"&lt;="&amp;$R$1,JTFGCode,$A15,JTType,"Issue")+SUMIFS(JTValue,JTDate,"&gt;="&amp;$P$1,JTDate,"&lt;="&amp;$R$1,JTStockCode,$A15,JTType,"Issue")),0))</f>
        <v>0</v>
      </c>
      <c r="W15" s="5" cm="1">
        <f t="array" aca="1" ref="W15" ca="1">IF(H15="IM",IF(P15=0,SUMIFS(JTValue,JTDate,"&gt;="&amp;$P$1,JTDate,"&lt;="&amp;$R$1,JTStockCode,$A15,JTType,"Issue"),IF(R15=0,0,IF(P15+R15&gt;0,0,SUMIFS(JTValue,JTDate,"&gt;="&amp;$P$1,JTDate,"&lt;="&amp;$R$1,JTStockCode,$A15,JTType,"Issue")/R15*(P15+R15)))),SUMIFS(JTValue,JTDate,"&gt;="&amp;$P$1,JTDate,"&lt;="&amp;$R$1,JTStockCode,$A15,JTType,"Issue"))</f>
        <v>-8330</v>
      </c>
      <c r="X15" s="5">
        <f t="shared" ca="1" si="12"/>
        <v>-21</v>
      </c>
      <c r="Y15" s="5">
        <f t="shared" ca="1" si="13"/>
        <v>-21</v>
      </c>
      <c r="Z15" s="5" cm="1">
        <f t="array" aca="1" ref="Z15" ca="1">IF(H15="IM",IF(P15=0,SUMIFS(JTPrice,JTDate,"&gt;="&amp;$P$1,JTDate,"&lt;="&amp;$R$1,JTStockCode,$A15,JTType,"Issue"),IF(R15=0,0,IF(P15+R15&gt;0,0,SUMIFS(JTPrice,JTDate,"&gt;="&amp;$P$1,JTDate,"&lt;="&amp;$R$1,JTStockCode,$A15,JTType,"Issue")/R15*(P15+R15)))),SUMIFS(JTPrice,JTDate,"&gt;="&amp;$P$1,JTDate,"&lt;="&amp;$R$1,JTStockCode,$A15,JTType,"Issue"))</f>
        <v>0</v>
      </c>
      <c r="AA15" s="5" cm="1">
        <f t="array" aca="1" ref="AA15" ca="1">IF(JSetup!$U$1="Single",IF(G15="Bought-In",IF(R15=0,I15,W15/R15),IF(SUMIFS(JTQty,JTDate,"&lt;="&amp;$R$1,JTStockCode,$A15,JTType,"Receipt")=0,I15,-SUMIFS(JTValue,JTDate,"&lt;="&amp;$R$1,JTFGCode,$A15,JTType,"Issue")/SUMIFS(JTQty,JTDate,"&lt;="&amp;$R$1,JTStockCode,$A15,JTType,"Receipt"))),IF(G15="Bought-In",IF(R15=0,I15,W15/R15),SUMIFS(BOMActualCost,BOMParents,$A15)))</f>
        <v>3.5</v>
      </c>
      <c r="AB15" s="9">
        <f ca="1">IF(AND(JSetup!$U$1="Single",P15=0,G15="Manufactured"),0,IF(I15=0,0,(I15-AA15)/I15))</f>
        <v>0</v>
      </c>
    </row>
    <row r="16" spans="1:28" ht="16.149999999999999" customHeight="1" x14ac:dyDescent="0.25">
      <c r="A16" s="2" t="s">
        <v>74</v>
      </c>
      <c r="B16" s="2" t="s">
        <v>75</v>
      </c>
      <c r="C16" s="3" t="s">
        <v>76</v>
      </c>
      <c r="D16" s="4">
        <v>220</v>
      </c>
      <c r="F16" s="5" t="str" cm="1">
        <f t="array" ref="F16">IF(COUNTIF(StockCodes,A16)&gt;1,"E1",IF(OR(AND(G16="Bought-In",ISBLANK(D16)=TRUE)=TRUE,AND(G16="Manufactured",ISBLANK(D16)=FALSE)=TRUE)=TRUE,"E2","-"))</f>
        <v>-</v>
      </c>
      <c r="G16" s="3" t="str">
        <f>IF(ISNA(VLOOKUP($A16,BOMParents,COLUMN(BOM!$A$4),0))=TRUE,"Bought-In","Manufactured")</f>
        <v>Bought-In</v>
      </c>
      <c r="H16" s="3" t="str">
        <f t="shared" si="0"/>
        <v>None</v>
      </c>
      <c r="I16" s="4" cm="1">
        <f t="array" ref="I16">IF(G16="Bought-In",$D16,SUMIFS(BOMCost,BOMParents,$A16))</f>
        <v>220</v>
      </c>
      <c r="J16" s="4">
        <f t="shared" si="1"/>
        <v>0</v>
      </c>
      <c r="K16" s="4">
        <f t="shared" si="2"/>
        <v>0</v>
      </c>
      <c r="L16" s="4">
        <f>-SUMIFS(JTQty,JTJob,JReview!$D$1,JTStockCode,A16,JTType,"Issue")</f>
        <v>0</v>
      </c>
      <c r="M16" s="6" t="str">
        <f t="shared" si="3"/>
        <v>N</v>
      </c>
      <c r="N16" s="4">
        <f t="shared" si="4"/>
        <v>0</v>
      </c>
      <c r="O16" s="5" t="str">
        <f t="shared" si="5"/>
        <v>N</v>
      </c>
      <c r="P16" s="5">
        <f t="shared" ca="1" si="6"/>
        <v>0</v>
      </c>
      <c r="Q16" s="5">
        <f t="shared" ca="1" si="7"/>
        <v>-109.47368421052632</v>
      </c>
      <c r="R16" s="5">
        <f t="shared" ca="1" si="8"/>
        <v>-110</v>
      </c>
      <c r="S16" s="5">
        <f t="shared" ca="1" si="9"/>
        <v>-0.52631578947368496</v>
      </c>
      <c r="T16" s="5">
        <f t="shared" si="10"/>
        <v>0</v>
      </c>
      <c r="U16" s="5">
        <f t="shared" ca="1" si="11"/>
        <v>-24084.21052631579</v>
      </c>
      <c r="V16" s="5" cm="1">
        <f t="array" aca="1" ref="V16" ca="1">IF(JSetup!$U$1="Multiple",0,IF(P16&gt;0,IF(P16+R16&lt;=0,0,-SUMIFS(JTValue,JTDate,"&gt;="&amp;$P$1,JTDate,"&lt;="&amp;$R$1,JTFGCode,$A16,JTType,"Issue")+SUMIFS(JTValue,JTDate,"&gt;="&amp;$P$1,JTDate,"&lt;="&amp;$R$1,JTStockCode,$A16,JTType,"Issue")),0))</f>
        <v>0</v>
      </c>
      <c r="W16" s="5" cm="1">
        <f t="array" aca="1" ref="W16" ca="1">IF(H16="IM",IF(P16=0,SUMIFS(JTValue,JTDate,"&gt;="&amp;$P$1,JTDate,"&lt;="&amp;$R$1,JTStockCode,$A16,JTType,"Issue"),IF(R16=0,0,IF(P16+R16&gt;0,0,SUMIFS(JTValue,JTDate,"&gt;="&amp;$P$1,JTDate,"&lt;="&amp;$R$1,JTStockCode,$A16,JTType,"Issue")/R16*(P16+R16)))),SUMIFS(JTValue,JTDate,"&gt;="&amp;$P$1,JTDate,"&lt;="&amp;$R$1,JTStockCode,$A16,JTType,"Issue"))</f>
        <v>-27500</v>
      </c>
      <c r="X16" s="5">
        <f t="shared" ca="1" si="12"/>
        <v>-3415.78947368421</v>
      </c>
      <c r="Y16" s="5">
        <f t="shared" ca="1" si="13"/>
        <v>-115.78947368421069</v>
      </c>
      <c r="Z16" s="5" cm="1">
        <f t="array" aca="1" ref="Z16" ca="1">IF(H16="IM",IF(P16=0,SUMIFS(JTPrice,JTDate,"&gt;="&amp;$P$1,JTDate,"&lt;="&amp;$R$1,JTStockCode,$A16,JTType,"Issue"),IF(R16=0,0,IF(P16+R16&gt;0,0,SUMIFS(JTPrice,JTDate,"&gt;="&amp;$P$1,JTDate,"&lt;="&amp;$R$1,JTStockCode,$A16,JTType,"Issue")/R16*(P16+R16)))),SUMIFS(JTPrice,JTDate,"&gt;="&amp;$P$1,JTDate,"&lt;="&amp;$R$1,JTStockCode,$A16,JTType,"Issue"))</f>
        <v>-3300</v>
      </c>
      <c r="AA16" s="5" cm="1">
        <f t="array" aca="1" ref="AA16" ca="1">IF(JSetup!$U$1="Single",IF(G16="Bought-In",IF(R16=0,I16,W16/R16),IF(SUMIFS(JTQty,JTDate,"&lt;="&amp;$R$1,JTStockCode,$A16,JTType,"Receipt")=0,I16,-SUMIFS(JTValue,JTDate,"&lt;="&amp;$R$1,JTFGCode,$A16,JTType,"Issue")/SUMIFS(JTQty,JTDate,"&lt;="&amp;$R$1,JTStockCode,$A16,JTType,"Receipt"))),IF(G16="Bought-In",IF(R16=0,I16,W16/R16),SUMIFS(BOMActualCost,BOMParents,$A16)))</f>
        <v>250</v>
      </c>
      <c r="AB16" s="9">
        <f ca="1">IF(AND(JSetup!$U$1="Single",P16=0,G16="Manufactured"),0,IF(I16=0,0,(I16-AA16)/I16))</f>
        <v>-0.13636363636363635</v>
      </c>
    </row>
    <row r="17" spans="1:28" ht="16.149999999999999" customHeight="1" x14ac:dyDescent="0.25">
      <c r="A17" s="2" t="s">
        <v>77</v>
      </c>
      <c r="B17" s="2" t="s">
        <v>78</v>
      </c>
      <c r="C17" s="3" t="s">
        <v>76</v>
      </c>
      <c r="D17" s="4">
        <v>240</v>
      </c>
      <c r="F17" s="5" t="str" cm="1">
        <f t="array" ref="F17">IF(COUNTIF(StockCodes,A17)&gt;1,"E1",IF(OR(AND(G17="Bought-In",ISBLANK(D17)=TRUE)=TRUE,AND(G17="Manufactured",ISBLANK(D17)=FALSE)=TRUE)=TRUE,"E2","-"))</f>
        <v>-</v>
      </c>
      <c r="G17" s="3" t="str">
        <f>IF(ISNA(VLOOKUP($A17,BOMParents,COLUMN(BOM!$A$4),0))=TRUE,"Bought-In","Manufactured")</f>
        <v>Bought-In</v>
      </c>
      <c r="H17" s="3" t="str">
        <f t="shared" si="0"/>
        <v>None</v>
      </c>
      <c r="I17" s="4" cm="1">
        <f t="array" ref="I17">IF(G17="Bought-In",$D17,SUMIFS(BOMCost,BOMParents,$A17))</f>
        <v>240</v>
      </c>
      <c r="J17" s="31">
        <f t="shared" si="1"/>
        <v>0</v>
      </c>
      <c r="K17" s="31">
        <f t="shared" si="2"/>
        <v>0</v>
      </c>
      <c r="L17" s="31">
        <f>-SUMIFS(JTQty,JTJob,JReview!$D$1,JTStockCode,A17,JTType,"Issue")</f>
        <v>0</v>
      </c>
      <c r="M17" s="6" t="str">
        <f t="shared" si="3"/>
        <v>N</v>
      </c>
      <c r="N17" s="31">
        <f t="shared" si="4"/>
        <v>0</v>
      </c>
      <c r="O17" s="32" t="str">
        <f t="shared" si="5"/>
        <v>N</v>
      </c>
      <c r="P17" s="32">
        <f t="shared" ca="1" si="6"/>
        <v>0</v>
      </c>
      <c r="Q17" s="32">
        <f t="shared" ca="1" si="7"/>
        <v>-61.176470588235297</v>
      </c>
      <c r="R17" s="32">
        <f t="shared" ca="1" si="8"/>
        <v>-60</v>
      </c>
      <c r="S17" s="32">
        <f t="shared" ca="1" si="9"/>
        <v>1.176470588235297</v>
      </c>
      <c r="T17" s="32">
        <f t="shared" si="10"/>
        <v>0</v>
      </c>
      <c r="U17" s="32">
        <f t="shared" ca="1" si="11"/>
        <v>-14682.352941176472</v>
      </c>
      <c r="V17" s="5" cm="1">
        <f t="array" aca="1" ref="V17" ca="1">IF(JSetup!$U$1="Multiple",0,IF(P17&gt;0,IF(P17+R17&lt;=0,0,-SUMIFS(JTValue,JTDate,"&gt;="&amp;$P$1,JTDate,"&lt;="&amp;$R$1,JTFGCode,$A17,JTType,"Issue")+SUMIFS(JTValue,JTDate,"&gt;="&amp;$P$1,JTDate,"&lt;="&amp;$R$1,JTStockCode,$A17,JTType,"Issue")),0))</f>
        <v>0</v>
      </c>
      <c r="W17" s="5" cm="1">
        <f t="array" aca="1" ref="W17" ca="1">IF(H17="IM",IF(P17=0,SUMIFS(JTValue,JTDate,"&gt;="&amp;$P$1,JTDate,"&lt;="&amp;$R$1,JTStockCode,$A17,JTType,"Issue"),IF(R17=0,0,IF(P17+R17&gt;0,0,SUMIFS(JTValue,JTDate,"&gt;="&amp;$P$1,JTDate,"&lt;="&amp;$R$1,JTStockCode,$A17,JTType,"Issue")/R17*(P17+R17)))),SUMIFS(JTValue,JTDate,"&gt;="&amp;$P$1,JTDate,"&lt;="&amp;$R$1,JTStockCode,$A17,JTType,"Issue"))</f>
        <v>-15600</v>
      </c>
      <c r="X17" s="32">
        <f t="shared" ca="1" si="12"/>
        <v>-917.64705882352791</v>
      </c>
      <c r="Y17" s="32">
        <f t="shared" ca="1" si="13"/>
        <v>282.35294117647129</v>
      </c>
      <c r="Z17" s="5" cm="1">
        <f t="array" aca="1" ref="Z17" ca="1">IF(H17="IM",IF(P17=0,SUMIFS(JTPrice,JTDate,"&gt;="&amp;$P$1,JTDate,"&lt;="&amp;$R$1,JTStockCode,$A17,JTType,"Issue"),IF(R17=0,0,IF(P17+R17&gt;0,0,SUMIFS(JTPrice,JTDate,"&gt;="&amp;$P$1,JTDate,"&lt;="&amp;$R$1,JTStockCode,$A17,JTType,"Issue")/R17*(P17+R17)))),SUMIFS(JTPrice,JTDate,"&gt;="&amp;$P$1,JTDate,"&lt;="&amp;$R$1,JTStockCode,$A17,JTType,"Issue"))</f>
        <v>-1200</v>
      </c>
      <c r="AA17" s="5" cm="1">
        <f t="array" aca="1" ref="AA17" ca="1">IF(JSetup!$U$1="Single",IF(G17="Bought-In",IF(R17=0,I17,W17/R17),IF(SUMIFS(JTQty,JTDate,"&lt;="&amp;$R$1,JTStockCode,$A17,JTType,"Receipt")=0,I17,-SUMIFS(JTValue,JTDate,"&lt;="&amp;$R$1,JTFGCode,$A17,JTType,"Issue")/SUMIFS(JTQty,JTDate,"&lt;="&amp;$R$1,JTStockCode,$A17,JTType,"Receipt"))),IF(G17="Bought-In",IF(R17=0,I17,W17/R17),SUMIFS(BOMActualCost,BOMParents,$A17)))</f>
        <v>260</v>
      </c>
      <c r="AB17" s="9">
        <f ca="1">IF(AND(JSetup!$U$1="Single",P17=0,G17="Manufactured"),0,IF(I17=0,0,(I17-AA17)/I17))</f>
        <v>-8.3333333333333329E-2</v>
      </c>
    </row>
    <row r="18" spans="1:28" ht="16.149999999999999" customHeight="1" x14ac:dyDescent="0.25">
      <c r="A18" s="2" t="s">
        <v>56</v>
      </c>
      <c r="B18" s="2" t="s">
        <v>79</v>
      </c>
      <c r="C18" s="3" t="s">
        <v>18</v>
      </c>
      <c r="E18" s="5" t="s">
        <v>210</v>
      </c>
      <c r="F18" s="5" t="str" cm="1">
        <f t="array" ref="F18">IF(COUNTIF(StockCodes,A18)&gt;1,"E1",IF(OR(AND(G18="Bought-In",ISBLANK(D18)=TRUE)=TRUE,AND(G18="Manufactured",ISBLANK(D18)=FALSE)=TRUE)=TRUE,"E2","-"))</f>
        <v>-</v>
      </c>
      <c r="G18" s="3" t="str">
        <f>IF(ISNA(VLOOKUP($A18,BOMParents,COLUMN(BOM!$A$4),0))=TRUE,"Bought-In","Manufactured")</f>
        <v>Manufactured</v>
      </c>
      <c r="H18" s="3" t="str">
        <f t="shared" si="0"/>
        <v>IM</v>
      </c>
      <c r="I18" s="4" cm="1">
        <f t="array" ref="I18">IF(G18="Bought-In",$D18,SUMIFS(BOMCost,BOMParents,$A18))</f>
        <v>313.66666666666669</v>
      </c>
      <c r="J18" s="31">
        <f t="shared" si="1"/>
        <v>0</v>
      </c>
      <c r="K18" s="31">
        <f t="shared" si="2"/>
        <v>0</v>
      </c>
      <c r="L18" s="31">
        <f>-SUMIFS(JTQty,JTJob,JReview!$D$1,JTStockCode,A18,JTType,"Issue")</f>
        <v>0</v>
      </c>
      <c r="M18" s="6" t="str">
        <f t="shared" si="3"/>
        <v>N</v>
      </c>
      <c r="N18" s="31">
        <f t="shared" si="4"/>
        <v>0</v>
      </c>
      <c r="O18" s="32" t="str">
        <f t="shared" si="5"/>
        <v>N</v>
      </c>
      <c r="P18" s="32">
        <f t="shared" ca="1" si="6"/>
        <v>0</v>
      </c>
      <c r="Q18" s="32">
        <f t="shared" si="7"/>
        <v>0</v>
      </c>
      <c r="R18" s="32">
        <f t="shared" ca="1" si="8"/>
        <v>0</v>
      </c>
      <c r="S18" s="32">
        <f t="shared" ca="1" si="9"/>
        <v>0</v>
      </c>
      <c r="T18" s="32">
        <f t="shared" ca="1" si="10"/>
        <v>0</v>
      </c>
      <c r="U18" s="32">
        <f t="shared" ca="1" si="11"/>
        <v>0</v>
      </c>
      <c r="V18" s="5" cm="1">
        <f t="array" aca="1" ref="V18" ca="1">IF(JSetup!$U$1="Multiple",0,IF(P18&gt;0,IF(P18+R18&lt;=0,0,-SUMIFS(JTValue,JTDate,"&gt;="&amp;$P$1,JTDate,"&lt;="&amp;$R$1,JTFGCode,$A18,JTType,"Issue")+SUMIFS(JTValue,JTDate,"&gt;="&amp;$P$1,JTDate,"&lt;="&amp;$R$1,JTStockCode,$A18,JTType,"Issue")),0))</f>
        <v>0</v>
      </c>
      <c r="W18" s="5" cm="1">
        <f t="array" aca="1" ref="W18" ca="1">IF(H18="IM",IF(P18=0,SUMIFS(JTValue,JTDate,"&gt;="&amp;$P$1,JTDate,"&lt;="&amp;$R$1,JTStockCode,$A18,JTType,"Issue"),IF(R18=0,0,IF(P18+R18&gt;0,0,SUMIFS(JTValue,JTDate,"&gt;="&amp;$P$1,JTDate,"&lt;="&amp;$R$1,JTStockCode,$A18,JTType,"Issue")/R18*(P18+R18)))),SUMIFS(JTValue,JTDate,"&gt;="&amp;$P$1,JTDate,"&lt;="&amp;$R$1,JTStockCode,$A18,JTType,"Issue"))</f>
        <v>0</v>
      </c>
      <c r="X18" s="32">
        <f t="shared" ca="1" si="12"/>
        <v>0</v>
      </c>
      <c r="Y18" s="32">
        <f t="shared" ca="1" si="13"/>
        <v>0</v>
      </c>
      <c r="Z18" s="5" cm="1">
        <f t="array" aca="1" ref="Z18" ca="1">IF(H18="IM",IF(P18=0,SUMIFS(JTPrice,JTDate,"&gt;="&amp;$P$1,JTDate,"&lt;="&amp;$R$1,JTStockCode,$A18,JTType,"Issue"),IF(R18=0,0,IF(P18+R18&gt;0,0,SUMIFS(JTPrice,JTDate,"&gt;="&amp;$P$1,JTDate,"&lt;="&amp;$R$1,JTStockCode,$A18,JTType,"Issue")/R18*(P18+R18)))),SUMIFS(JTPrice,JTDate,"&gt;="&amp;$P$1,JTDate,"&lt;="&amp;$R$1,JTStockCode,$A18,JTType,"Issue"))</f>
        <v>0</v>
      </c>
      <c r="AA18" s="5" cm="1">
        <f t="array" aca="1" ref="AA18" ca="1">IF(JSetup!$U$1="Single",IF(G18="Bought-In",IF(R18=0,I18,W18/R18),IF(SUMIFS(JTQty,JTDate,"&lt;="&amp;$R$1,JTStockCode,$A18,JTType,"Receipt")=0,I18,-SUMIFS(JTValue,JTDate,"&lt;="&amp;$R$1,JTFGCode,$A18,JTType,"Issue")/SUMIFS(JTQty,JTDate,"&lt;="&amp;$R$1,JTStockCode,$A18,JTType,"Receipt"))),IF(G18="Bought-In",IF(R18=0,I18,W18/R18),SUMIFS(BOMActualCost,BOMParents,$A18)))</f>
        <v>313.66666666666669</v>
      </c>
      <c r="AB18" s="9">
        <f ca="1">IF(AND(JSetup!$U$1="Single",P18=0,G18="Manufactured"),0,IF(I18=0,0,(I18-AA18)/I18))</f>
        <v>0</v>
      </c>
    </row>
    <row r="19" spans="1:28" ht="16.149999999999999" customHeight="1" x14ac:dyDescent="0.25">
      <c r="A19" s="2" t="s">
        <v>57</v>
      </c>
      <c r="B19" s="2" t="s">
        <v>58</v>
      </c>
      <c r="C19" s="3" t="s">
        <v>18</v>
      </c>
      <c r="E19" s="5" t="s">
        <v>210</v>
      </c>
      <c r="F19" s="5" t="str" cm="1">
        <f t="array" ref="F19">IF(COUNTIF(StockCodes,A19)&gt;1,"E1",IF(OR(AND(G19="Bought-In",ISBLANK(D19)=TRUE)=TRUE,AND(G19="Manufactured",ISBLANK(D19)=FALSE)=TRUE)=TRUE,"E2","-"))</f>
        <v>-</v>
      </c>
      <c r="G19" s="3" t="str">
        <f>IF(ISNA(VLOOKUP($A19,BOMParents,COLUMN(BOM!$A$4),0))=TRUE,"Bought-In","Manufactured")</f>
        <v>Manufactured</v>
      </c>
      <c r="H19" s="3" t="str">
        <f t="shared" si="0"/>
        <v>IM</v>
      </c>
      <c r="I19" s="4" cm="1">
        <f t="array" ref="I19">IF(G19="Bought-In",$D19,SUMIFS(BOMCost,BOMParents,$A19))</f>
        <v>29.529411764705884</v>
      </c>
      <c r="J19" s="31">
        <f t="shared" si="1"/>
        <v>0</v>
      </c>
      <c r="K19" s="31">
        <f t="shared" si="2"/>
        <v>0</v>
      </c>
      <c r="L19" s="31">
        <f>-SUMIFS(JTQty,JTJob,JReview!$D$1,JTStockCode,A19,JTType,"Issue")</f>
        <v>0</v>
      </c>
      <c r="M19" s="6" t="str">
        <f t="shared" si="3"/>
        <v>N</v>
      </c>
      <c r="N19" s="31">
        <f t="shared" si="4"/>
        <v>0</v>
      </c>
      <c r="O19" s="32" t="str">
        <f t="shared" si="5"/>
        <v>N</v>
      </c>
      <c r="P19" s="32">
        <f t="shared" ca="1" si="6"/>
        <v>0</v>
      </c>
      <c r="Q19" s="32">
        <f t="shared" si="7"/>
        <v>0</v>
      </c>
      <c r="R19" s="32">
        <f t="shared" ca="1" si="8"/>
        <v>0</v>
      </c>
      <c r="S19" s="32">
        <f t="shared" ca="1" si="9"/>
        <v>0</v>
      </c>
      <c r="T19" s="32">
        <f t="shared" ca="1" si="10"/>
        <v>0</v>
      </c>
      <c r="U19" s="32">
        <f t="shared" ca="1" si="11"/>
        <v>0</v>
      </c>
      <c r="V19" s="5" cm="1">
        <f t="array" aca="1" ref="V19" ca="1">IF(JSetup!$U$1="Multiple",0,IF(P19&gt;0,IF(P19+R19&lt;=0,0,-SUMIFS(JTValue,JTDate,"&gt;="&amp;$P$1,JTDate,"&lt;="&amp;$R$1,JTFGCode,$A19,JTType,"Issue")+SUMIFS(JTValue,JTDate,"&gt;="&amp;$P$1,JTDate,"&lt;="&amp;$R$1,JTStockCode,$A19,JTType,"Issue")),0))</f>
        <v>0</v>
      </c>
      <c r="W19" s="5" cm="1">
        <f t="array" aca="1" ref="W19" ca="1">IF(H19="IM",IF(P19=0,SUMIFS(JTValue,JTDate,"&gt;="&amp;$P$1,JTDate,"&lt;="&amp;$R$1,JTStockCode,$A19,JTType,"Issue"),IF(R19=0,0,IF(P19+R19&gt;0,0,SUMIFS(JTValue,JTDate,"&gt;="&amp;$P$1,JTDate,"&lt;="&amp;$R$1,JTStockCode,$A19,JTType,"Issue")/R19*(P19+R19)))),SUMIFS(JTValue,JTDate,"&gt;="&amp;$P$1,JTDate,"&lt;="&amp;$R$1,JTStockCode,$A19,JTType,"Issue"))</f>
        <v>0</v>
      </c>
      <c r="X19" s="32">
        <f t="shared" ca="1" si="12"/>
        <v>0</v>
      </c>
      <c r="Y19" s="32">
        <f t="shared" ca="1" si="13"/>
        <v>0</v>
      </c>
      <c r="Z19" s="5" cm="1">
        <f t="array" aca="1" ref="Z19" ca="1">IF(H19="IM",IF(P19=0,SUMIFS(JTPrice,JTDate,"&gt;="&amp;$P$1,JTDate,"&lt;="&amp;$R$1,JTStockCode,$A19,JTType,"Issue"),IF(R19=0,0,IF(P19+R19&gt;0,0,SUMIFS(JTPrice,JTDate,"&gt;="&amp;$P$1,JTDate,"&lt;="&amp;$R$1,JTStockCode,$A19,JTType,"Issue")/R19*(P19+R19)))),SUMIFS(JTPrice,JTDate,"&gt;="&amp;$P$1,JTDate,"&lt;="&amp;$R$1,JTStockCode,$A19,JTType,"Issue"))</f>
        <v>0</v>
      </c>
      <c r="AA19" s="5" cm="1">
        <f t="array" aca="1" ref="AA19" ca="1">IF(JSetup!$U$1="Single",IF(G19="Bought-In",IF(R19=0,I19,W19/R19),IF(SUMIFS(JTQty,JTDate,"&lt;="&amp;$R$1,JTStockCode,$A19,JTType,"Receipt")=0,I19,-SUMIFS(JTValue,JTDate,"&lt;="&amp;$R$1,JTFGCode,$A19,JTType,"Issue")/SUMIFS(JTQty,JTDate,"&lt;="&amp;$R$1,JTStockCode,$A19,JTType,"Receipt"))),IF(G19="Bought-In",IF(R19=0,I19,W19/R19),SUMIFS(BOMActualCost,BOMParents,$A19)))</f>
        <v>29.529411764705884</v>
      </c>
      <c r="AB19" s="9">
        <f ca="1">IF(AND(JSetup!$U$1="Single",P19=0,G19="Manufactured"),0,IF(I19=0,0,(I19-AA19)/I19))</f>
        <v>0</v>
      </c>
    </row>
    <row r="20" spans="1:28" ht="16.149999999999999" customHeight="1" x14ac:dyDescent="0.25">
      <c r="A20" s="2" t="s">
        <v>59</v>
      </c>
      <c r="B20" s="2" t="s">
        <v>60</v>
      </c>
      <c r="C20" s="3" t="s">
        <v>18</v>
      </c>
      <c r="E20" s="5" t="s">
        <v>210</v>
      </c>
      <c r="F20" s="5" t="str" cm="1">
        <f t="array" ref="F20">IF(COUNTIF(StockCodes,A20)&gt;1,"E1",IF(OR(AND(G20="Bought-In",ISBLANK(D20)=TRUE)=TRUE,AND(G20="Manufactured",ISBLANK(D20)=FALSE)=TRUE)=TRUE,"E2","-"))</f>
        <v>-</v>
      </c>
      <c r="G20" s="3" t="str">
        <f>IF(ISNA(VLOOKUP($A20,BOMParents,COLUMN(BOM!$A$4),0))=TRUE,"Bought-In","Manufactured")</f>
        <v>Manufactured</v>
      </c>
      <c r="H20" s="3" t="str">
        <f t="shared" si="0"/>
        <v>IM</v>
      </c>
      <c r="I20" s="4" cm="1">
        <f t="array" ref="I20">IF(G20="Bought-In",$D20,SUMIFS(BOMCost,BOMParents,$A20))</f>
        <v>1766.6666666666665</v>
      </c>
      <c r="J20" s="31">
        <f t="shared" si="1"/>
        <v>0</v>
      </c>
      <c r="K20" s="31">
        <f t="shared" si="2"/>
        <v>0</v>
      </c>
      <c r="L20" s="31">
        <f>-SUMIFS(JTQty,JTJob,JReview!$D$1,JTStockCode,A20,JTType,"Issue")</f>
        <v>0</v>
      </c>
      <c r="M20" s="6" t="str">
        <f t="shared" si="3"/>
        <v>N</v>
      </c>
      <c r="N20" s="31">
        <f t="shared" si="4"/>
        <v>0</v>
      </c>
      <c r="O20" s="32" t="str">
        <f t="shared" si="5"/>
        <v>N</v>
      </c>
      <c r="P20" s="32">
        <f t="shared" ca="1" si="6"/>
        <v>0</v>
      </c>
      <c r="Q20" s="32">
        <f t="shared" si="7"/>
        <v>0</v>
      </c>
      <c r="R20" s="32">
        <f t="shared" ca="1" si="8"/>
        <v>0</v>
      </c>
      <c r="S20" s="32">
        <f t="shared" ca="1" si="9"/>
        <v>0</v>
      </c>
      <c r="T20" s="32">
        <f t="shared" ca="1" si="10"/>
        <v>0</v>
      </c>
      <c r="U20" s="32">
        <f t="shared" ca="1" si="11"/>
        <v>0</v>
      </c>
      <c r="V20" s="5" cm="1">
        <f t="array" aca="1" ref="V20" ca="1">IF(JSetup!$U$1="Multiple",0,IF(P20&gt;0,IF(P20+R20&lt;=0,0,-SUMIFS(JTValue,JTDate,"&gt;="&amp;$P$1,JTDate,"&lt;="&amp;$R$1,JTFGCode,$A20,JTType,"Issue")+SUMIFS(JTValue,JTDate,"&gt;="&amp;$P$1,JTDate,"&lt;="&amp;$R$1,JTStockCode,$A20,JTType,"Issue")),0))</f>
        <v>0</v>
      </c>
      <c r="W20" s="5" cm="1">
        <f t="array" aca="1" ref="W20" ca="1">IF(H20="IM",IF(P20=0,SUMIFS(JTValue,JTDate,"&gt;="&amp;$P$1,JTDate,"&lt;="&amp;$R$1,JTStockCode,$A20,JTType,"Issue"),IF(R20=0,0,IF(P20+R20&gt;0,0,SUMIFS(JTValue,JTDate,"&gt;="&amp;$P$1,JTDate,"&lt;="&amp;$R$1,JTStockCode,$A20,JTType,"Issue")/R20*(P20+R20)))),SUMIFS(JTValue,JTDate,"&gt;="&amp;$P$1,JTDate,"&lt;="&amp;$R$1,JTStockCode,$A20,JTType,"Issue"))</f>
        <v>0</v>
      </c>
      <c r="X20" s="32">
        <f t="shared" ca="1" si="12"/>
        <v>0</v>
      </c>
      <c r="Y20" s="32">
        <f t="shared" ca="1" si="13"/>
        <v>0</v>
      </c>
      <c r="Z20" s="5" cm="1">
        <f t="array" aca="1" ref="Z20" ca="1">IF(H20="IM",IF(P20=0,SUMIFS(JTPrice,JTDate,"&gt;="&amp;$P$1,JTDate,"&lt;="&amp;$R$1,JTStockCode,$A20,JTType,"Issue"),IF(R20=0,0,IF(P20+R20&gt;0,0,SUMIFS(JTPrice,JTDate,"&gt;="&amp;$P$1,JTDate,"&lt;="&amp;$R$1,JTStockCode,$A20,JTType,"Issue")/R20*(P20+R20)))),SUMIFS(JTPrice,JTDate,"&gt;="&amp;$P$1,JTDate,"&lt;="&amp;$R$1,JTStockCode,$A20,JTType,"Issue"))</f>
        <v>0</v>
      </c>
      <c r="AA20" s="5" cm="1">
        <f t="array" aca="1" ref="AA20" ca="1">IF(JSetup!$U$1="Single",IF(G20="Bought-In",IF(R20=0,I20,W20/R20),IF(SUMIFS(JTQty,JTDate,"&lt;="&amp;$R$1,JTStockCode,$A20,JTType,"Receipt")=0,I20,-SUMIFS(JTValue,JTDate,"&lt;="&amp;$R$1,JTFGCode,$A20,JTType,"Issue")/SUMIFS(JTQty,JTDate,"&lt;="&amp;$R$1,JTStockCode,$A20,JTType,"Receipt"))),IF(G20="Bought-In",IF(R20=0,I20,W20/R20),SUMIFS(BOMActualCost,BOMParents,$A20)))</f>
        <v>1766.6666666666665</v>
      </c>
      <c r="AB20" s="9">
        <f ca="1">IF(AND(JSetup!$U$1="Single",P20=0,G20="Manufactured"),0,IF(I20=0,0,(I20-AA20)/I20))</f>
        <v>0</v>
      </c>
    </row>
    <row r="21" spans="1:28" ht="16.149999999999999" customHeight="1" x14ac:dyDescent="0.25">
      <c r="A21" s="2" t="s">
        <v>61</v>
      </c>
      <c r="B21" s="2" t="s">
        <v>62</v>
      </c>
      <c r="C21" s="3" t="s">
        <v>18</v>
      </c>
      <c r="E21" s="5" t="s">
        <v>210</v>
      </c>
      <c r="F21" s="5" t="str" cm="1">
        <f t="array" ref="F21">IF(COUNTIF(StockCodes,A21)&gt;1,"E1",IF(OR(AND(G21="Bought-In",ISBLANK(D21)=TRUE)=TRUE,AND(G21="Manufactured",ISBLANK(D21)=FALSE)=TRUE)=TRUE,"E2","-"))</f>
        <v>-</v>
      </c>
      <c r="G21" s="3" t="str">
        <f>IF(ISNA(VLOOKUP($A21,BOMParents,COLUMN(BOM!$A$4),0))=TRUE,"Bought-In","Manufactured")</f>
        <v>Manufactured</v>
      </c>
      <c r="H21" s="3" t="str">
        <f t="shared" si="0"/>
        <v>IM</v>
      </c>
      <c r="I21" s="4" cm="1">
        <f t="array" ref="I21">IF(G21="Bought-In",$D21,SUMIFS(BOMCost,BOMParents,$A21))</f>
        <v>321.45098039215691</v>
      </c>
      <c r="J21" s="31">
        <f t="shared" si="1"/>
        <v>0</v>
      </c>
      <c r="K21" s="31">
        <f t="shared" si="2"/>
        <v>0</v>
      </c>
      <c r="L21" s="31">
        <f>-SUMIFS(JTQty,JTJob,JReview!$D$1,JTStockCode,A21,JTType,"Issue")</f>
        <v>0</v>
      </c>
      <c r="M21" s="6" t="str">
        <f t="shared" si="3"/>
        <v>N</v>
      </c>
      <c r="N21" s="31">
        <f t="shared" si="4"/>
        <v>0</v>
      </c>
      <c r="O21" s="32" t="str">
        <f t="shared" si="5"/>
        <v>N</v>
      </c>
      <c r="P21" s="32">
        <f t="shared" ca="1" si="6"/>
        <v>0</v>
      </c>
      <c r="Q21" s="32">
        <f t="shared" si="7"/>
        <v>0</v>
      </c>
      <c r="R21" s="32">
        <f t="shared" ca="1" si="8"/>
        <v>0</v>
      </c>
      <c r="S21" s="32">
        <f t="shared" ca="1" si="9"/>
        <v>0</v>
      </c>
      <c r="T21" s="32">
        <f t="shared" ca="1" si="10"/>
        <v>0</v>
      </c>
      <c r="U21" s="32">
        <f t="shared" ca="1" si="11"/>
        <v>0</v>
      </c>
      <c r="V21" s="5" cm="1">
        <f t="array" aca="1" ref="V21" ca="1">IF(JSetup!$U$1="Multiple",0,IF(P21&gt;0,IF(P21+R21&lt;=0,0,-SUMIFS(JTValue,JTDate,"&gt;="&amp;$P$1,JTDate,"&lt;="&amp;$R$1,JTFGCode,$A21,JTType,"Issue")+SUMIFS(JTValue,JTDate,"&gt;="&amp;$P$1,JTDate,"&lt;="&amp;$R$1,JTStockCode,$A21,JTType,"Issue")),0))</f>
        <v>0</v>
      </c>
      <c r="W21" s="5" cm="1">
        <f t="array" aca="1" ref="W21" ca="1">IF(H21="IM",IF(P21=0,SUMIFS(JTValue,JTDate,"&gt;="&amp;$P$1,JTDate,"&lt;="&amp;$R$1,JTStockCode,$A21,JTType,"Issue"),IF(R21=0,0,IF(P21+R21&gt;0,0,SUMIFS(JTValue,JTDate,"&gt;="&amp;$P$1,JTDate,"&lt;="&amp;$R$1,JTStockCode,$A21,JTType,"Issue")/R21*(P21+R21)))),SUMIFS(JTValue,JTDate,"&gt;="&amp;$P$1,JTDate,"&lt;="&amp;$R$1,JTStockCode,$A21,JTType,"Issue"))</f>
        <v>0</v>
      </c>
      <c r="X21" s="32">
        <f t="shared" ca="1" si="12"/>
        <v>0</v>
      </c>
      <c r="Y21" s="32">
        <f t="shared" ca="1" si="13"/>
        <v>0</v>
      </c>
      <c r="Z21" s="5" cm="1">
        <f t="array" aca="1" ref="Z21" ca="1">IF(H21="IM",IF(P21=0,SUMIFS(JTPrice,JTDate,"&gt;="&amp;$P$1,JTDate,"&lt;="&amp;$R$1,JTStockCode,$A21,JTType,"Issue"),IF(R21=0,0,IF(P21+R21&gt;0,0,SUMIFS(JTPrice,JTDate,"&gt;="&amp;$P$1,JTDate,"&lt;="&amp;$R$1,JTStockCode,$A21,JTType,"Issue")/R21*(P21+R21)))),SUMIFS(JTPrice,JTDate,"&gt;="&amp;$P$1,JTDate,"&lt;="&amp;$R$1,JTStockCode,$A21,JTType,"Issue"))</f>
        <v>0</v>
      </c>
      <c r="AA21" s="5" cm="1">
        <f t="array" aca="1" ref="AA21" ca="1">IF(JSetup!$U$1="Single",IF(G21="Bought-In",IF(R21=0,I21,W21/R21),IF(SUMIFS(JTQty,JTDate,"&lt;="&amp;$R$1,JTStockCode,$A21,JTType,"Receipt")=0,I21,-SUMIFS(JTValue,JTDate,"&lt;="&amp;$R$1,JTFGCode,$A21,JTType,"Issue")/SUMIFS(JTQty,JTDate,"&lt;="&amp;$R$1,JTStockCode,$A21,JTType,"Receipt"))),IF(G21="Bought-In",IF(R21=0,I21,W21/R21),SUMIFS(BOMActualCost,BOMParents,$A21)))</f>
        <v>321.45098039215691</v>
      </c>
      <c r="AB21" s="9">
        <f ca="1">IF(AND(JSetup!$U$1="Single",P21=0,G21="Manufactured"),0,IF(I21=0,0,(I21-AA21)/I21))</f>
        <v>0</v>
      </c>
    </row>
    <row r="22" spans="1:28" ht="16.149999999999999" customHeight="1" x14ac:dyDescent="0.25">
      <c r="A22" s="2" t="s">
        <v>63</v>
      </c>
      <c r="B22" s="2" t="s">
        <v>64</v>
      </c>
      <c r="C22" s="3" t="s">
        <v>18</v>
      </c>
      <c r="E22" s="5" t="s">
        <v>210</v>
      </c>
      <c r="F22" s="5" t="str" cm="1">
        <f t="array" ref="F22">IF(COUNTIF(StockCodes,A22)&gt;1,"E1",IF(OR(AND(G22="Bought-In",ISBLANK(D22)=TRUE)=TRUE,AND(G22="Manufactured",ISBLANK(D22)=FALSE)=TRUE)=TRUE,"E2","-"))</f>
        <v>-</v>
      </c>
      <c r="G22" s="3" t="str">
        <f>IF(ISNA(VLOOKUP($A22,BOMParents,COLUMN(BOM!$A$4),0))=TRUE,"Bought-In","Manufactured")</f>
        <v>Manufactured</v>
      </c>
      <c r="H22" s="3" t="str">
        <f t="shared" si="0"/>
        <v>IM</v>
      </c>
      <c r="I22" s="4" cm="1">
        <f t="array" ref="I22">IF(G22="Bought-In",$D22,SUMIFS(BOMCost,BOMParents,$A22))</f>
        <v>39.529411764705884</v>
      </c>
      <c r="J22" s="31">
        <f t="shared" si="1"/>
        <v>0</v>
      </c>
      <c r="K22" s="31">
        <f t="shared" si="2"/>
        <v>0</v>
      </c>
      <c r="L22" s="31">
        <f>-SUMIFS(JTQty,JTJob,JReview!$D$1,JTStockCode,A22,JTType,"Issue")</f>
        <v>0</v>
      </c>
      <c r="M22" s="6" t="str">
        <f t="shared" si="3"/>
        <v>N</v>
      </c>
      <c r="N22" s="31">
        <f t="shared" si="4"/>
        <v>0</v>
      </c>
      <c r="O22" s="32" t="str">
        <f t="shared" si="5"/>
        <v>N</v>
      </c>
      <c r="P22" s="32">
        <f t="shared" ca="1" si="6"/>
        <v>0</v>
      </c>
      <c r="Q22" s="32">
        <f t="shared" si="7"/>
        <v>0</v>
      </c>
      <c r="R22" s="32">
        <f t="shared" ca="1" si="8"/>
        <v>0</v>
      </c>
      <c r="S22" s="32">
        <f t="shared" ca="1" si="9"/>
        <v>0</v>
      </c>
      <c r="T22" s="32">
        <f t="shared" ca="1" si="10"/>
        <v>0</v>
      </c>
      <c r="U22" s="32">
        <f t="shared" ca="1" si="11"/>
        <v>0</v>
      </c>
      <c r="V22" s="5" cm="1">
        <f t="array" aca="1" ref="V22" ca="1">IF(JSetup!$U$1="Multiple",0,IF(P22&gt;0,IF(P22+R22&lt;=0,0,-SUMIFS(JTValue,JTDate,"&gt;="&amp;$P$1,JTDate,"&lt;="&amp;$R$1,JTFGCode,$A22,JTType,"Issue")+SUMIFS(JTValue,JTDate,"&gt;="&amp;$P$1,JTDate,"&lt;="&amp;$R$1,JTStockCode,$A22,JTType,"Issue")),0))</f>
        <v>0</v>
      </c>
      <c r="W22" s="5" cm="1">
        <f t="array" aca="1" ref="W22" ca="1">IF(H22="IM",IF(P22=0,SUMIFS(JTValue,JTDate,"&gt;="&amp;$P$1,JTDate,"&lt;="&amp;$R$1,JTStockCode,$A22,JTType,"Issue"),IF(R22=0,0,IF(P22+R22&gt;0,0,SUMIFS(JTValue,JTDate,"&gt;="&amp;$P$1,JTDate,"&lt;="&amp;$R$1,JTStockCode,$A22,JTType,"Issue")/R22*(P22+R22)))),SUMIFS(JTValue,JTDate,"&gt;="&amp;$P$1,JTDate,"&lt;="&amp;$R$1,JTStockCode,$A22,JTType,"Issue"))</f>
        <v>0</v>
      </c>
      <c r="X22" s="32">
        <f t="shared" ca="1" si="12"/>
        <v>0</v>
      </c>
      <c r="Y22" s="32">
        <f t="shared" ca="1" si="13"/>
        <v>0</v>
      </c>
      <c r="Z22" s="5" cm="1">
        <f t="array" aca="1" ref="Z22" ca="1">IF(H22="IM",IF(P22=0,SUMIFS(JTPrice,JTDate,"&gt;="&amp;$P$1,JTDate,"&lt;="&amp;$R$1,JTStockCode,$A22,JTType,"Issue"),IF(R22=0,0,IF(P22+R22&gt;0,0,SUMIFS(JTPrice,JTDate,"&gt;="&amp;$P$1,JTDate,"&lt;="&amp;$R$1,JTStockCode,$A22,JTType,"Issue")/R22*(P22+R22)))),SUMIFS(JTPrice,JTDate,"&gt;="&amp;$P$1,JTDate,"&lt;="&amp;$R$1,JTStockCode,$A22,JTType,"Issue"))</f>
        <v>0</v>
      </c>
      <c r="AA22" s="5" cm="1">
        <f t="array" aca="1" ref="AA22" ca="1">IF(JSetup!$U$1="Single",IF(G22="Bought-In",IF(R22=0,I22,W22/R22),IF(SUMIFS(JTQty,JTDate,"&lt;="&amp;$R$1,JTStockCode,$A22,JTType,"Receipt")=0,I22,-SUMIFS(JTValue,JTDate,"&lt;="&amp;$R$1,JTFGCode,$A22,JTType,"Issue")/SUMIFS(JTQty,JTDate,"&lt;="&amp;$R$1,JTStockCode,$A22,JTType,"Receipt"))),IF(G22="Bought-In",IF(R22=0,I22,W22/R22),SUMIFS(BOMActualCost,BOMParents,$A22)))</f>
        <v>39.529411764705884</v>
      </c>
      <c r="AB22" s="9">
        <f ca="1">IF(AND(JSetup!$U$1="Single",P22=0,G22="Manufactured"),0,IF(I22=0,0,(I22-AA22)/I22))</f>
        <v>0</v>
      </c>
    </row>
    <row r="23" spans="1:28" ht="16.149999999999999" customHeight="1" x14ac:dyDescent="0.25">
      <c r="A23" s="2" t="s">
        <v>80</v>
      </c>
      <c r="B23" s="2" t="s">
        <v>81</v>
      </c>
      <c r="C23" s="3" t="s">
        <v>18</v>
      </c>
      <c r="E23" s="5" t="s">
        <v>210</v>
      </c>
      <c r="F23" s="5" t="str" cm="1">
        <f t="array" ref="F23">IF(COUNTIF(StockCodes,A23)&gt;1,"E1",IF(OR(AND(G23="Bought-In",ISBLANK(D23)=TRUE)=TRUE,AND(G23="Manufactured",ISBLANK(D23)=FALSE)=TRUE)=TRUE,"E2","-"))</f>
        <v>-</v>
      </c>
      <c r="G23" s="3" t="str">
        <f>IF(ISNA(VLOOKUP($A23,BOMParents,COLUMN(BOM!$A$4),0))=TRUE,"Bought-In","Manufactured")</f>
        <v>Manufactured</v>
      </c>
      <c r="H23" s="3" t="str">
        <f t="shared" si="0"/>
        <v>IM</v>
      </c>
      <c r="I23" s="4" cm="1">
        <f t="array" ref="I23">IF(G23="Bought-In",$D23,SUMIFS(BOMCost,BOMParents,$A23))</f>
        <v>361.45098039215691</v>
      </c>
      <c r="J23" s="31">
        <f t="shared" si="1"/>
        <v>0</v>
      </c>
      <c r="K23" s="31">
        <f t="shared" si="2"/>
        <v>0</v>
      </c>
      <c r="L23" s="31">
        <f>-SUMIFS(JTQty,JTJob,JReview!$D$1,JTStockCode,A23,JTType,"Issue")</f>
        <v>0</v>
      </c>
      <c r="M23" s="6" t="str">
        <f t="shared" si="3"/>
        <v>N</v>
      </c>
      <c r="N23" s="31">
        <f t="shared" si="4"/>
        <v>0</v>
      </c>
      <c r="O23" s="32" t="str">
        <f t="shared" si="5"/>
        <v>N</v>
      </c>
      <c r="P23" s="32">
        <f t="shared" ca="1" si="6"/>
        <v>0</v>
      </c>
      <c r="Q23" s="32">
        <f t="shared" si="7"/>
        <v>0</v>
      </c>
      <c r="R23" s="32">
        <f t="shared" ca="1" si="8"/>
        <v>0</v>
      </c>
      <c r="S23" s="32">
        <f t="shared" ca="1" si="9"/>
        <v>0</v>
      </c>
      <c r="T23" s="32">
        <f t="shared" ca="1" si="10"/>
        <v>0</v>
      </c>
      <c r="U23" s="32">
        <f t="shared" ca="1" si="11"/>
        <v>0</v>
      </c>
      <c r="V23" s="5" cm="1">
        <f t="array" aca="1" ref="V23" ca="1">IF(JSetup!$U$1="Multiple",0,IF(P23&gt;0,IF(P23+R23&lt;=0,0,-SUMIFS(JTValue,JTDate,"&gt;="&amp;$P$1,JTDate,"&lt;="&amp;$R$1,JTFGCode,$A23,JTType,"Issue")+SUMIFS(JTValue,JTDate,"&gt;="&amp;$P$1,JTDate,"&lt;="&amp;$R$1,JTStockCode,$A23,JTType,"Issue")),0))</f>
        <v>0</v>
      </c>
      <c r="W23" s="5" cm="1">
        <f t="array" aca="1" ref="W23" ca="1">IF(H23="IM",IF(P23=0,SUMIFS(JTValue,JTDate,"&gt;="&amp;$P$1,JTDate,"&lt;="&amp;$R$1,JTStockCode,$A23,JTType,"Issue"),IF(R23=0,0,IF(P23+R23&gt;0,0,SUMIFS(JTValue,JTDate,"&gt;="&amp;$P$1,JTDate,"&lt;="&amp;$R$1,JTStockCode,$A23,JTType,"Issue")/R23*(P23+R23)))),SUMIFS(JTValue,JTDate,"&gt;="&amp;$P$1,JTDate,"&lt;="&amp;$R$1,JTStockCode,$A23,JTType,"Issue"))</f>
        <v>0</v>
      </c>
      <c r="X23" s="32">
        <f t="shared" ca="1" si="12"/>
        <v>0</v>
      </c>
      <c r="Y23" s="32">
        <f t="shared" ca="1" si="13"/>
        <v>0</v>
      </c>
      <c r="Z23" s="5" cm="1">
        <f t="array" aca="1" ref="Z23" ca="1">IF(H23="IM",IF(P23=0,SUMIFS(JTPrice,JTDate,"&gt;="&amp;$P$1,JTDate,"&lt;="&amp;$R$1,JTStockCode,$A23,JTType,"Issue"),IF(R23=0,0,IF(P23+R23&gt;0,0,SUMIFS(JTPrice,JTDate,"&gt;="&amp;$P$1,JTDate,"&lt;="&amp;$R$1,JTStockCode,$A23,JTType,"Issue")/R23*(P23+R23)))),SUMIFS(JTPrice,JTDate,"&gt;="&amp;$P$1,JTDate,"&lt;="&amp;$R$1,JTStockCode,$A23,JTType,"Issue"))</f>
        <v>0</v>
      </c>
      <c r="AA23" s="5" cm="1">
        <f t="array" aca="1" ref="AA23" ca="1">IF(JSetup!$U$1="Single",IF(G23="Bought-In",IF(R23=0,I23,W23/R23),IF(SUMIFS(JTQty,JTDate,"&lt;="&amp;$R$1,JTStockCode,$A23,JTType,"Receipt")=0,I23,-SUMIFS(JTValue,JTDate,"&lt;="&amp;$R$1,JTFGCode,$A23,JTType,"Issue")/SUMIFS(JTQty,JTDate,"&lt;="&amp;$R$1,JTStockCode,$A23,JTType,"Receipt"))),IF(G23="Bought-In",IF(R23=0,I23,W23/R23),SUMIFS(BOMActualCost,BOMParents,$A23)))</f>
        <v>361.45098039215691</v>
      </c>
      <c r="AB23" s="9">
        <f ca="1">IF(AND(JSetup!$U$1="Single",P23=0,G23="Manufactured"),0,IF(I23=0,0,(I23-AA23)/I23))</f>
        <v>0</v>
      </c>
    </row>
    <row r="24" spans="1:28" ht="16.149999999999999" customHeight="1" x14ac:dyDescent="0.25">
      <c r="A24" s="2" t="s">
        <v>82</v>
      </c>
      <c r="B24" s="2" t="s">
        <v>83</v>
      </c>
      <c r="C24" s="3" t="s">
        <v>27</v>
      </c>
      <c r="D24" s="4">
        <v>20</v>
      </c>
      <c r="F24" s="5" t="str" cm="1">
        <f t="array" ref="F24">IF(COUNTIF(StockCodes,A24)&gt;1,"E1",IF(OR(AND(G24="Bought-In",ISBLANK(D24)=TRUE)=TRUE,AND(G24="Manufactured",ISBLANK(D24)=FALSE)=TRUE)=TRUE,"E2","-"))</f>
        <v>-</v>
      </c>
      <c r="G24" s="3" t="str">
        <f>IF(ISNA(VLOOKUP($A24,BOMParents,COLUMN(BOM!$A$4),0))=TRUE,"Bought-In","Manufactured")</f>
        <v>Bought-In</v>
      </c>
      <c r="H24" s="3" t="str">
        <f t="shared" si="0"/>
        <v>None</v>
      </c>
      <c r="I24" s="4" cm="1">
        <f t="array" ref="I24">IF(G24="Bought-In",$D24,SUMIFS(BOMCost,BOMParents,$A24))</f>
        <v>20</v>
      </c>
      <c r="J24" s="31">
        <f t="shared" si="1"/>
        <v>974.26900584795328</v>
      </c>
      <c r="K24" s="31">
        <f t="shared" si="2"/>
        <v>1022.9824561403509</v>
      </c>
      <c r="L24" s="31">
        <f>-SUMIFS(JTQty,JTJob,JReview!$D$1,JTStockCode,A24,JTType,"Issue")</f>
        <v>300</v>
      </c>
      <c r="M24" s="6" t="str">
        <f t="shared" si="3"/>
        <v>Y</v>
      </c>
      <c r="N24" s="31">
        <f t="shared" si="4"/>
        <v>5126.9005847953222</v>
      </c>
      <c r="O24" s="32" t="str">
        <f t="shared" si="5"/>
        <v>Y</v>
      </c>
      <c r="P24" s="32">
        <f t="shared" ca="1" si="6"/>
        <v>0</v>
      </c>
      <c r="Q24" s="32">
        <f t="shared" ca="1" si="7"/>
        <v>-11181.583625730993</v>
      </c>
      <c r="R24" s="32">
        <f t="shared" ca="1" si="8"/>
        <v>-10430.058479532159</v>
      </c>
      <c r="S24" s="32">
        <f t="shared" ca="1" si="9"/>
        <v>751.52514619883368</v>
      </c>
      <c r="T24" s="32">
        <f t="shared" si="10"/>
        <v>0</v>
      </c>
      <c r="U24" s="32">
        <f t="shared" ca="1" si="11"/>
        <v>-223631.67251461986</v>
      </c>
      <c r="V24" s="5" cm="1">
        <f t="array" aca="1" ref="V24" ca="1">IF(JSetup!$U$1="Multiple",0,IF(P24&gt;0,IF(P24+R24&lt;=0,0,-SUMIFS(JTValue,JTDate,"&gt;="&amp;$P$1,JTDate,"&lt;="&amp;$R$1,JTFGCode,$A24,JTType,"Issue")+SUMIFS(JTValue,JTDate,"&gt;="&amp;$P$1,JTDate,"&lt;="&amp;$R$1,JTStockCode,$A24,JTType,"Issue")),0))</f>
        <v>0</v>
      </c>
      <c r="W24" s="5" cm="1">
        <f t="array" aca="1" ref="W24" ca="1">IF(H24="IM",IF(P24=0,SUMIFS(JTValue,JTDate,"&gt;="&amp;$P$1,JTDate,"&lt;="&amp;$R$1,JTStockCode,$A24,JTType,"Issue"),IF(R24=0,0,IF(P24+R24&gt;0,0,SUMIFS(JTValue,JTDate,"&gt;="&amp;$P$1,JTDate,"&lt;="&amp;$R$1,JTStockCode,$A24,JTType,"Issue")/R24*(P24+R24)))),SUMIFS(JTValue,JTDate,"&gt;="&amp;$P$1,JTDate,"&lt;="&amp;$R$1,JTStockCode,$A24,JTType,"Issue"))</f>
        <v>-212051.1695906432</v>
      </c>
      <c r="X24" s="32">
        <f t="shared" ca="1" si="12"/>
        <v>11580.502923976659</v>
      </c>
      <c r="Y24" s="32">
        <f t="shared" ca="1" si="13"/>
        <v>15030.502923976674</v>
      </c>
      <c r="Z24" s="5" cm="1">
        <f t="array" aca="1" ref="Z24" ca="1">IF(H24="IM",IF(P24=0,SUMIFS(JTPrice,JTDate,"&gt;="&amp;$P$1,JTDate,"&lt;="&amp;$R$1,JTStockCode,$A24,JTType,"Issue"),IF(R24=0,0,IF(P24+R24&gt;0,0,SUMIFS(JTPrice,JTDate,"&gt;="&amp;$P$1,JTDate,"&lt;="&amp;$R$1,JTStockCode,$A24,JTType,"Issue")/R24*(P24+R24)))),SUMIFS(JTPrice,JTDate,"&gt;="&amp;$P$1,JTDate,"&lt;="&amp;$R$1,JTStockCode,$A24,JTType,"Issue"))</f>
        <v>-3450</v>
      </c>
      <c r="AA24" s="5" cm="1">
        <f t="array" aca="1" ref="AA24" ca="1">IF(JSetup!$U$1="Single",IF(G24="Bought-In",IF(R24=0,I24,W24/R24),IF(SUMIFS(JTQty,JTDate,"&lt;="&amp;$R$1,JTStockCode,$A24,JTType,"Receipt")=0,I24,-SUMIFS(JTValue,JTDate,"&lt;="&amp;$R$1,JTFGCode,$A24,JTType,"Issue")/SUMIFS(JTQty,JTDate,"&lt;="&amp;$R$1,JTStockCode,$A24,JTType,"Receipt"))),IF(G24="Bought-In",IF(R24=0,I24,W24/R24),SUMIFS(BOMActualCost,BOMParents,$A24)))</f>
        <v>20.330774751337231</v>
      </c>
      <c r="AB24" s="9">
        <f ca="1">IF(AND(JSetup!$U$1="Single",P24=0,G24="Manufactured"),0,IF(I24=0,0,(I24-AA24)/I24))</f>
        <v>-1.6538737566861528E-2</v>
      </c>
    </row>
    <row r="25" spans="1:28" ht="16.149999999999999" customHeight="1" x14ac:dyDescent="0.25">
      <c r="A25" s="2" t="s">
        <v>84</v>
      </c>
      <c r="B25" s="2" t="s">
        <v>85</v>
      </c>
      <c r="C25" s="3" t="s">
        <v>27</v>
      </c>
      <c r="D25" s="4">
        <v>30</v>
      </c>
      <c r="F25" s="5" t="str" cm="1">
        <f t="array" ref="F25">IF(COUNTIF(StockCodes,A25)&gt;1,"E1",IF(OR(AND(G25="Bought-In",ISBLANK(D25)=TRUE)=TRUE,AND(G25="Manufactured",ISBLANK(D25)=FALSE)=TRUE)=TRUE,"E2","-"))</f>
        <v>-</v>
      </c>
      <c r="G25" s="3" t="str">
        <f>IF(ISNA(VLOOKUP($A25,BOMParents,COLUMN(BOM!$A$4),0))=TRUE,"Bought-In","Manufactured")</f>
        <v>Bought-In</v>
      </c>
      <c r="H25" s="3" t="str">
        <f t="shared" si="0"/>
        <v>None</v>
      </c>
      <c r="I25" s="4" cm="1">
        <f t="array" ref="I25">IF(G25="Bought-In",$D25,SUMIFS(BOMCost,BOMParents,$A25))</f>
        <v>30</v>
      </c>
      <c r="J25" s="31">
        <f t="shared" si="1"/>
        <v>100</v>
      </c>
      <c r="K25" s="31">
        <f t="shared" si="2"/>
        <v>105</v>
      </c>
      <c r="L25" s="31">
        <f>-SUMIFS(JTQty,JTJob,JReview!$D$1,JTStockCode,A25,JTType,"Issue")</f>
        <v>90</v>
      </c>
      <c r="M25" s="6" t="str">
        <f t="shared" si="3"/>
        <v>Y</v>
      </c>
      <c r="N25" s="31">
        <f t="shared" si="4"/>
        <v>550</v>
      </c>
      <c r="O25" s="32" t="str">
        <f t="shared" si="5"/>
        <v>Y</v>
      </c>
      <c r="P25" s="32">
        <f t="shared" ca="1" si="6"/>
        <v>0</v>
      </c>
      <c r="Q25" s="32">
        <f t="shared" ca="1" si="7"/>
        <v>-1187</v>
      </c>
      <c r="R25" s="32">
        <f t="shared" ca="1" si="8"/>
        <v>-1173</v>
      </c>
      <c r="S25" s="32">
        <f t="shared" ca="1" si="9"/>
        <v>14</v>
      </c>
      <c r="T25" s="32">
        <f t="shared" si="10"/>
        <v>0</v>
      </c>
      <c r="U25" s="32">
        <f t="shared" ca="1" si="11"/>
        <v>-35610</v>
      </c>
      <c r="V25" s="5" cm="1">
        <f t="array" aca="1" ref="V25" ca="1">IF(JSetup!$U$1="Multiple",0,IF(P25&gt;0,IF(P25+R25&lt;=0,0,-SUMIFS(JTValue,JTDate,"&gt;="&amp;$P$1,JTDate,"&lt;="&amp;$R$1,JTFGCode,$A25,JTType,"Issue")+SUMIFS(JTValue,JTDate,"&gt;="&amp;$P$1,JTDate,"&lt;="&amp;$R$1,JTStockCode,$A25,JTType,"Issue")),0))</f>
        <v>0</v>
      </c>
      <c r="W25" s="5" cm="1">
        <f t="array" aca="1" ref="W25" ca="1">IF(H25="IM",IF(P25=0,SUMIFS(JTValue,JTDate,"&gt;="&amp;$P$1,JTDate,"&lt;="&amp;$R$1,JTStockCode,$A25,JTType,"Issue"),IF(R25=0,0,IF(P25+R25&gt;0,0,SUMIFS(JTValue,JTDate,"&gt;="&amp;$P$1,JTDate,"&lt;="&amp;$R$1,JTStockCode,$A25,JTType,"Issue")/R25*(P25+R25)))),SUMIFS(JTValue,JTDate,"&gt;="&amp;$P$1,JTDate,"&lt;="&amp;$R$1,JTStockCode,$A25,JTType,"Issue"))</f>
        <v>-35190</v>
      </c>
      <c r="X25" s="32">
        <f t="shared" ca="1" si="12"/>
        <v>420</v>
      </c>
      <c r="Y25" s="32">
        <f t="shared" ca="1" si="13"/>
        <v>420</v>
      </c>
      <c r="Z25" s="5" cm="1">
        <f t="array" aca="1" ref="Z25" ca="1">IF(H25="IM",IF(P25=0,SUMIFS(JTPrice,JTDate,"&gt;="&amp;$P$1,JTDate,"&lt;="&amp;$R$1,JTStockCode,$A25,JTType,"Issue"),IF(R25=0,0,IF(P25+R25&gt;0,0,SUMIFS(JTPrice,JTDate,"&gt;="&amp;$P$1,JTDate,"&lt;="&amp;$R$1,JTStockCode,$A25,JTType,"Issue")/R25*(P25+R25)))),SUMIFS(JTPrice,JTDate,"&gt;="&amp;$P$1,JTDate,"&lt;="&amp;$R$1,JTStockCode,$A25,JTType,"Issue"))</f>
        <v>0</v>
      </c>
      <c r="AA25" s="5" cm="1">
        <f t="array" aca="1" ref="AA25" ca="1">IF(JSetup!$U$1="Single",IF(G25="Bought-In",IF(R25=0,I25,W25/R25),IF(SUMIFS(JTQty,JTDate,"&lt;="&amp;$R$1,JTStockCode,$A25,JTType,"Receipt")=0,I25,-SUMIFS(JTValue,JTDate,"&lt;="&amp;$R$1,JTFGCode,$A25,JTType,"Issue")/SUMIFS(JTQty,JTDate,"&lt;="&amp;$R$1,JTStockCode,$A25,JTType,"Receipt"))),IF(G25="Bought-In",IF(R25=0,I25,W25/R25),SUMIFS(BOMActualCost,BOMParents,$A25)))</f>
        <v>30</v>
      </c>
      <c r="AB25" s="9">
        <f ca="1">IF(AND(JSetup!$U$1="Single",P25=0,G25="Manufactured"),0,IF(I25=0,0,(I25-AA25)/I25))</f>
        <v>0</v>
      </c>
    </row>
  </sheetData>
  <phoneticPr fontId="2" type="noConversion"/>
  <conditionalFormatting sqref="A4">
    <cfRule type="expression" dxfId="159" priority="5">
      <formula>COUNTIF(StockError,"E1")&gt;0</formula>
    </cfRule>
  </conditionalFormatting>
  <conditionalFormatting sqref="D4:E4">
    <cfRule type="expression" dxfId="158" priority="4">
      <formula>COUNTIF(StockError,"E2")&gt;0</formula>
    </cfRule>
  </conditionalFormatting>
  <conditionalFormatting sqref="R2">
    <cfRule type="expression" dxfId="157" priority="2">
      <formula>R1&lt;P1</formula>
    </cfRule>
  </conditionalFormatting>
  <conditionalFormatting sqref="X3">
    <cfRule type="expression" dxfId="156" priority="1">
      <formula>ROUND(Y3+Z3,2)&lt;&gt;ROUND(X3,2)</formula>
    </cfRule>
  </conditionalFormatting>
  <dataValidations count="2">
    <dataValidation type="date" operator="greaterThanOrEqual" allowBlank="1" showInputMessage="1" showErrorMessage="1" errorTitle="Invalid Data" error="Enter a valid date in accordance with the regional date settings that are specified in the System Control Panel." sqref="P2 R2" xr:uid="{00000000-0002-0000-0400-000000000000}">
      <formula1>40179</formula1>
    </dataValidation>
    <dataValidation type="list" allowBlank="1" showInputMessage="1" showErrorMessage="1" errorTitle="Invalid Data" error="Select a valid item from the list box." sqref="E5:E25" xr:uid="{00000000-0002-0000-0400-000001000000}">
      <formula1>"All,First"</formula1>
    </dataValidation>
  </dataValidations>
  <pageMargins left="0.55118110236220474" right="0.55118110236220474" top="0.59055118110236227" bottom="0.59055118110236227" header="0.39370078740157483" footer="0.39370078740157483"/>
  <pageSetup paperSize="9" scale="41" fitToHeight="0" orientation="landscape" r:id="rId1"/>
  <headerFooter alignWithMargins="0">
    <oddFooter>&amp;C&amp;9Page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T47"/>
  <sheetViews>
    <sheetView zoomScale="95" workbookViewId="0">
      <pane xSplit="4" ySplit="4" topLeftCell="E5" activePane="bottomRight" state="frozen"/>
      <selection pane="topRight" activeCell="E1" sqref="E1"/>
      <selection pane="bottomLeft" activeCell="A5" sqref="A5"/>
      <selection pane="bottomRight" activeCell="A4" sqref="A4"/>
    </sheetView>
  </sheetViews>
  <sheetFormatPr defaultColWidth="9.140625" defaultRowHeight="16.149999999999999" customHeight="1" x14ac:dyDescent="0.25"/>
  <cols>
    <col min="1" max="2" width="12.7109375" style="2" customWidth="1"/>
    <col min="3" max="3" width="11.7109375" style="33" customWidth="1"/>
    <col min="4" max="4" width="11.7109375" style="34" customWidth="1"/>
    <col min="5" max="5" width="8.7109375" style="35" customWidth="1"/>
    <col min="6" max="6" width="25.7109375" style="2" customWidth="1"/>
    <col min="7" max="8" width="10.7109375" style="3" customWidth="1"/>
    <col min="9" max="9" width="25.7109375" style="2" customWidth="1"/>
    <col min="10" max="10" width="12.7109375" style="3" customWidth="1"/>
    <col min="11" max="11" width="15.7109375" style="3" customWidth="1"/>
    <col min="12" max="12" width="12.7109375" style="3" customWidth="1"/>
    <col min="13" max="13" width="12.7109375" style="5" customWidth="1"/>
    <col min="14" max="46" width="12.7109375" style="4" customWidth="1"/>
    <col min="47" max="49" width="15.7109375" style="2" customWidth="1"/>
    <col min="50" max="16384" width="9.140625" style="2"/>
  </cols>
  <sheetData>
    <row r="1" spans="1:46" ht="16.149999999999999" customHeight="1" x14ac:dyDescent="0.25">
      <c r="A1" s="129" t="s">
        <v>32</v>
      </c>
    </row>
    <row r="2" spans="1:46" ht="16.149999999999999" customHeight="1" x14ac:dyDescent="0.25">
      <c r="A2" s="10" t="s">
        <v>33</v>
      </c>
    </row>
    <row r="3" spans="1:46" ht="16.149999999999999" customHeight="1" x14ac:dyDescent="0.25">
      <c r="A3" s="36" t="s">
        <v>30</v>
      </c>
    </row>
    <row r="4" spans="1:46" s="30" customFormat="1" ht="25.5" x14ac:dyDescent="0.25">
      <c r="A4" s="22" t="s">
        <v>13</v>
      </c>
      <c r="B4" s="23" t="s">
        <v>7</v>
      </c>
      <c r="C4" s="25" t="s">
        <v>14</v>
      </c>
      <c r="D4" s="37" t="s">
        <v>8</v>
      </c>
      <c r="E4" s="38" t="s">
        <v>35</v>
      </c>
      <c r="F4" s="39" t="s">
        <v>9</v>
      </c>
      <c r="G4" s="27" t="s">
        <v>11</v>
      </c>
      <c r="H4" s="27" t="s">
        <v>211</v>
      </c>
      <c r="I4" s="39" t="s">
        <v>10</v>
      </c>
      <c r="J4" s="27" t="s">
        <v>12</v>
      </c>
      <c r="K4" s="27" t="s">
        <v>36</v>
      </c>
      <c r="L4" s="27" t="s">
        <v>212</v>
      </c>
      <c r="M4" s="28" t="s">
        <v>37</v>
      </c>
      <c r="N4" s="28" t="s">
        <v>38</v>
      </c>
      <c r="O4" s="28" t="s">
        <v>39</v>
      </c>
      <c r="P4" s="28" t="s">
        <v>40</v>
      </c>
      <c r="Q4" s="28" t="s">
        <v>17</v>
      </c>
      <c r="R4" s="28" t="s">
        <v>193</v>
      </c>
      <c r="S4" s="28" t="s">
        <v>194</v>
      </c>
      <c r="T4" s="28" t="s">
        <v>195</v>
      </c>
      <c r="U4" s="28" t="s">
        <v>196</v>
      </c>
      <c r="V4" s="28" t="s">
        <v>197</v>
      </c>
      <c r="W4" s="28" t="s">
        <v>178</v>
      </c>
      <c r="X4" s="28" t="s">
        <v>179</v>
      </c>
      <c r="Y4" s="28" t="s">
        <v>180</v>
      </c>
      <c r="Z4" s="28" t="s">
        <v>181</v>
      </c>
      <c r="AA4" s="28" t="s">
        <v>182</v>
      </c>
      <c r="AB4" s="28" t="s">
        <v>183</v>
      </c>
      <c r="AC4" s="28" t="s">
        <v>159</v>
      </c>
      <c r="AD4" s="28" t="s">
        <v>160</v>
      </c>
      <c r="AE4" s="28" t="s">
        <v>161</v>
      </c>
      <c r="AF4" s="28" t="s">
        <v>162</v>
      </c>
      <c r="AG4" s="28" t="s">
        <v>163</v>
      </c>
      <c r="AH4" s="28" t="s">
        <v>164</v>
      </c>
      <c r="AI4" s="28" t="s">
        <v>171</v>
      </c>
      <c r="AJ4" s="28" t="s">
        <v>172</v>
      </c>
      <c r="AK4" s="28" t="s">
        <v>173</v>
      </c>
      <c r="AL4" s="28" t="s">
        <v>174</v>
      </c>
      <c r="AM4" s="28" t="s">
        <v>175</v>
      </c>
      <c r="AN4" s="28" t="s">
        <v>176</v>
      </c>
      <c r="AO4" s="28" t="s">
        <v>165</v>
      </c>
      <c r="AP4" s="28" t="s">
        <v>166</v>
      </c>
      <c r="AQ4" s="28" t="s">
        <v>167</v>
      </c>
      <c r="AR4" s="28" t="s">
        <v>168</v>
      </c>
      <c r="AS4" s="28" t="s">
        <v>169</v>
      </c>
      <c r="AT4" s="28" t="s">
        <v>170</v>
      </c>
    </row>
    <row r="5" spans="1:46" ht="16.149999999999999" customHeight="1" x14ac:dyDescent="0.25">
      <c r="A5" s="2" t="s">
        <v>56</v>
      </c>
      <c r="B5" s="2" t="s">
        <v>48</v>
      </c>
      <c r="C5" s="33">
        <v>1</v>
      </c>
      <c r="D5" s="34">
        <v>0.9</v>
      </c>
      <c r="E5" s="35" t="str">
        <f t="shared" ref="E5:E47" si="0">IF(AND(ISBLANK(A5)=FALSE,ISNA(MATCH(A5,StockCodes,0))=TRUE)=TRUE,"E3",IF(AND(ISBLANK(B5)=FALSE,ISNA(MATCH(B5,StockCodes,0))=TRUE)=TRUE,"E4",IF(SUMPRODUCT((BOMParents=A5)*(BOMComp=B5))&gt;1,"E5","-")))</f>
        <v>-</v>
      </c>
      <c r="F5" s="2" t="str">
        <f>IF(ISNA(VLOOKUP($A5,StockMaster,COLUMN(StockCode!$B$4),0))=TRUE,"does not exist",VLOOKUP($A5,StockMaster,COLUMN(StockCode!$B$4),0))</f>
        <v>Door</v>
      </c>
      <c r="G5" s="3" t="str">
        <f>IF(ISNA(VLOOKUP($A5,StockMaster,COLUMN(StockCode!$C$4),0))=TRUE,"error",VLOOKUP($A5,StockMaster,COLUMN(StockCode!$C$4),0))</f>
        <v>Units</v>
      </c>
      <c r="H5" s="3" t="str">
        <f>IF(ISNA(VLOOKUP($A5,StockMaster,COLUMN(StockCode!$E$4),0))=TRUE,"All",VLOOKUP($A5,StockMaster,COLUMN(StockCode!$E$4),0))</f>
        <v>All</v>
      </c>
      <c r="I5" s="2" t="str">
        <f>IF(ISNA(VLOOKUP($B5,StockMaster,COLUMN(StockCode!$B$4),0))=TRUE,"does not exist",VLOOKUP($B5,StockMaster,COLUMN(StockCode!$B$4),0))</f>
        <v>Wood</v>
      </c>
      <c r="J5" s="3" t="str">
        <f>IF(ISNA(VLOOKUP($B5,StockMaster,COLUMN(StockCode!$C$4),0))=TRUE,"error",VLOOKUP($B5,StockMaster,COLUMN(StockCode!$C$4),0))</f>
        <v>M2</v>
      </c>
      <c r="K5" s="3" t="str">
        <f>IF(ISNA(VLOOKUP($B5,StockMaster,COLUMN(StockCode!$G$4),0))=TRUE,0,VLOOKUP($B5,StockMaster,COLUMN(StockCode!$G$4),0))</f>
        <v>Bought-In</v>
      </c>
      <c r="L5" s="3" t="str">
        <f t="shared" ref="L5:L47" si="1">IF(AND(K5="Manufactured",H5="All"),"N","Y")</f>
        <v>Y</v>
      </c>
      <c r="M5" s="5">
        <f>IF($K5="Manufactured",0,IF(ISNA(VLOOKUP($B5,StockMaster,COLUMN(StockCode!$D$4),0))=TRUE,0,VLOOKUP($B5,StockMaster,COLUMN(StockCode!$D$4),0)))</f>
        <v>120</v>
      </c>
      <c r="N5" s="5">
        <f t="shared" ref="N5:N18" si="2">IF($D5=0,0,$C5/$D5*$M5)</f>
        <v>133.33333333333334</v>
      </c>
      <c r="O5" s="5">
        <f t="shared" ref="O5:O47" si="3">SUMIFS(BOMCost,BOMParents,B5)</f>
        <v>0</v>
      </c>
      <c r="P5" s="5">
        <f t="shared" ref="P5:P18" si="4">IF($D5=0,0,$C5/$D5*$O5)</f>
        <v>0</v>
      </c>
      <c r="Q5" s="4">
        <f t="shared" ref="Q5:Q18" si="5">SUM(N5,P5)</f>
        <v>133.33333333333334</v>
      </c>
      <c r="R5" s="4">
        <f ca="1">IF($K5="Manufactured",0,IF(ISNA(VLOOKUP($B5,StockMaster,COLUMN(StockCode!$AA$4),0))=TRUE,0,VLOOKUP($B5,StockMaster,COLUMN(StockCode!$AA$4),0)))</f>
        <v>124.21322263327481</v>
      </c>
      <c r="S5" s="4">
        <f t="shared" ref="S5:S47" ca="1" si="6">IF($D5=0,0,$C5/$D5*$R5)</f>
        <v>138.0146918147498</v>
      </c>
      <c r="T5" s="4">
        <f t="shared" ref="T5:T47" si="7">SUMIFS(BOMActualCost,BOMParents,B5)</f>
        <v>0</v>
      </c>
      <c r="U5" s="4">
        <f t="shared" ref="U5:U47" si="8">IF($D5=0,0,$C5/$D5*$T5)</f>
        <v>0</v>
      </c>
      <c r="V5" s="4">
        <f t="shared" ref="V5:V47" ca="1" si="9">SUM(S5,U5)</f>
        <v>138.0146918147498</v>
      </c>
      <c r="W5" s="4">
        <f ca="1">IF(ISNA(VLOOKUP($A5,StockMaster,COLUMN(StockCode!$P$4),0))=TRUE,0,IF($D5=0,0,(VLOOKUP($A5,StockMaster,COLUMN(StockCode!$P$4),0)*$C5/$D5)))</f>
        <v>0</v>
      </c>
      <c r="X5" s="4" cm="1">
        <f t="array" aca="1" ref="X5" ca="1">IF($D5=0,0,SUMIFS(TLevel1,BOMComp,$A5,BOMLevel,"&lt;&gt;First")*$C5/$D5)</f>
        <v>1318.8888888888889</v>
      </c>
      <c r="Y5" s="4" cm="1">
        <f t="array" ref="Y5">IF($D5=0,0,SUMIFS(TLevel2,BOMComp,$A5,BOMLevel,"&lt;&gt;First")*$C5/$D5)</f>
        <v>0</v>
      </c>
      <c r="Z5" s="4" cm="1">
        <f t="array" ref="Z5">IF($D5=0,0,SUMIFS(TLevel3,BOMComp,$A5,BOMLevel,"&lt;&gt;First")*$C5/$D5)</f>
        <v>0</v>
      </c>
      <c r="AA5" s="4" cm="1">
        <f t="array" ref="AA5">IF($D5=0,0,SUMIFS(TLevel4,BOMComp,$A5,BOMLevel,"&lt;&gt;First")*$C5/$D5)</f>
        <v>0</v>
      </c>
      <c r="AB5" s="4" cm="1">
        <f t="array" ref="AB5">IF($D5=0,0,SUMIFS(TLevel5,BOMComp,$A5,BOMLevel,"&lt;&gt;First")*$C5/$D5)</f>
        <v>0</v>
      </c>
      <c r="AC5" s="4">
        <f>IF(ISNA(VLOOKUP($A5,JRCode,COLUMN(JReview!$D$4),0))=TRUE,0,IF($D5=0,0,VLOOKUP($A5,JRCode,COLUMN(JReview!$D$4),0)*$C5/$D5))</f>
        <v>0</v>
      </c>
      <c r="AD5" s="4" cm="1">
        <f t="array" ref="AD5">IF($D5=0,0,SUMIFS(JLevel1,BOMComp,$A5,BOMLevel,"&lt;&gt;First")*$C5/$D5)</f>
        <v>111.11111111111111</v>
      </c>
      <c r="AE5" s="4" cm="1">
        <f t="array" ref="AE5">IF($D5=0,0,SUMIFS(JLevel2,BOMComp,$A5,BOMLevel,"&lt;&gt;First")*$C5/$D5)</f>
        <v>0</v>
      </c>
      <c r="AF5" s="4" cm="1">
        <f t="array" ref="AF5">IF($D5=0,0,SUMIFS(JLevel3,BOMComp,$A5,BOMLevel,"&lt;&gt;First")*$C5/$D5)</f>
        <v>0</v>
      </c>
      <c r="AG5" s="4" cm="1">
        <f t="array" ref="AG5">IF($D5=0,0,SUMIFS(JLevel4,BOMComp,$A5,BOMLevel,"&lt;&gt;First")*$C5/$D5)</f>
        <v>0</v>
      </c>
      <c r="AH5" s="4" cm="1">
        <f t="array" ref="AH5">IF($D5=0,0,SUMIFS(JLevel5,BOMComp,$A5,BOMLevel,"&lt;&gt;First")*$C5/$D5)</f>
        <v>0</v>
      </c>
      <c r="AI5" s="4">
        <f>IF(ISNA(VLOOKUP($A5,JRCode,COLUMN(JReview!$E$4),0))=TRUE,0,IF($D5=0,0,VLOOKUP($A5,JRCode,COLUMN(JReview!$E$4),0)*$C5/$D5))</f>
        <v>0</v>
      </c>
      <c r="AJ5" s="4" cm="1">
        <f t="array" ref="AJ5">IF($D5=0,0,SUMIFS(JRLevel1,BOMComp,$A5,BOMLevel,"&lt;&gt;First")*$C5/$D5)</f>
        <v>116.66666666666666</v>
      </c>
      <c r="AK5" s="4" cm="1">
        <f t="array" ref="AK5">IF($D5=0,0,SUMIFS(JRLevel2,BOMComp,$A5,BOMLevel,"&lt;&gt;First")*$C5/$D5)</f>
        <v>0</v>
      </c>
      <c r="AL5" s="4" cm="1">
        <f t="array" ref="AL5">IF($D5=0,0,SUMIFS(JRLevel3,BOMComp,$A5,BOMLevel,"&lt;&gt;First")*$C5/$D5)</f>
        <v>0</v>
      </c>
      <c r="AM5" s="4" cm="1">
        <f t="array" ref="AM5">IF($D5=0,0,SUMIFS(JRLevel4,BOMComp,$A5,BOMLevel,"&lt;&gt;First")*$C5/$D5)</f>
        <v>0</v>
      </c>
      <c r="AN5" s="4" cm="1">
        <f t="array" ref="AN5">IF($D5=0,0,SUMIFS(JRLevel5,BOMComp,$A5,BOMLevel,"&lt;&gt;First")*$C5/$D5)</f>
        <v>0</v>
      </c>
      <c r="AO5" s="5">
        <f>IF(ISNA(VLOOKUP($A5,Require,COLUMN(ReqPlan!$E$6),0))=TRUE,0,IF($D5=0,0,VLOOKUP($A5,Require,COLUMN(ReqPlan!$E$6),0)*$C5/$D5))</f>
        <v>0</v>
      </c>
      <c r="AP5" s="5" cm="1">
        <f t="array" ref="AP5">IF($D5=0,0,SUMIFS(RLevel1,BOMComp,$A5,BOMLevel,"&lt;&gt;First")*$C5/$D5)</f>
        <v>611.11111111111109</v>
      </c>
      <c r="AQ5" s="5" cm="1">
        <f t="array" ref="AQ5">IF($D5=0,0,SUMIFS(RLevel2,BOMComp,$A5,BOMLevel,"&lt;&gt;First")*$C5/$D5)</f>
        <v>0</v>
      </c>
      <c r="AR5" s="5" cm="1">
        <f t="array" ref="AR5">IF($D5=0,0,SUMIFS(RLevel3,BOMComp,$A5,BOMLevel,"&lt;&gt;First")*$C5/$D5)</f>
        <v>0</v>
      </c>
      <c r="AS5" s="5" cm="1">
        <f t="array" ref="AS5">IF($D5=0,0,SUMIFS(RLevel4,BOMComp,$A5,BOMLevel,"&lt;&gt;First")*$C5/$D5)</f>
        <v>0</v>
      </c>
      <c r="AT5" s="5" cm="1">
        <f t="array" ref="AT5">IF($D5=0,0,SUMIFS(RLevel5,BOMComp,$A5,BOMLevel,"&lt;&gt;First")*$C5/$D5)</f>
        <v>0</v>
      </c>
    </row>
    <row r="6" spans="1:46" ht="16.149999999999999" customHeight="1" x14ac:dyDescent="0.25">
      <c r="A6" s="2" t="s">
        <v>56</v>
      </c>
      <c r="B6" s="2" t="s">
        <v>46</v>
      </c>
      <c r="C6" s="33">
        <v>1</v>
      </c>
      <c r="D6" s="34">
        <v>1</v>
      </c>
      <c r="E6" s="35" t="str">
        <f t="shared" si="0"/>
        <v>-</v>
      </c>
      <c r="F6" s="2" t="str">
        <f>IF(ISNA(VLOOKUP($A6,StockMaster,COLUMN(StockCode!$B$4),0))=TRUE,"does not exist",VLOOKUP($A6,StockMaster,COLUMN(StockCode!$B$4),0))</f>
        <v>Door</v>
      </c>
      <c r="G6" s="3" t="str">
        <f>IF(ISNA(VLOOKUP($A6,StockMaster,COLUMN(StockCode!$C$4),0))=TRUE,"error",VLOOKUP($A6,StockMaster,COLUMN(StockCode!$C$4),0))</f>
        <v>Units</v>
      </c>
      <c r="H6" s="3" t="str">
        <f>IF(ISNA(VLOOKUP($A6,StockMaster,COLUMN(StockCode!$E$4),0))=TRUE,"All",VLOOKUP($A6,StockMaster,COLUMN(StockCode!$E$4),0))</f>
        <v>All</v>
      </c>
      <c r="I6" s="2" t="str">
        <f>IF(ISNA(VLOOKUP($B6,StockMaster,COLUMN(StockCode!$B$4),0))=TRUE,"does not exist",VLOOKUP($B6,StockMaster,COLUMN(StockCode!$B$4),0))</f>
        <v>Door Handle</v>
      </c>
      <c r="J6" s="3" t="str">
        <f>IF(ISNA(VLOOKUP($B6,StockMaster,COLUMN(StockCode!$C$4),0))=TRUE,"error",VLOOKUP($B6,StockMaster,COLUMN(StockCode!$C$4),0))</f>
        <v>Units</v>
      </c>
      <c r="K6" s="3" t="str">
        <f>IF(ISNA(VLOOKUP($B6,StockMaster,COLUMN(StockCode!$G$4),0))=TRUE,0,VLOOKUP($B6,StockMaster,COLUMN(StockCode!$G$4),0))</f>
        <v>Bought-In</v>
      </c>
      <c r="L6" s="3" t="str">
        <f t="shared" si="1"/>
        <v>Y</v>
      </c>
      <c r="M6" s="5">
        <f>IF($K6="Manufactured",0,IF(ISNA(VLOOKUP($B6,StockMaster,COLUMN(StockCode!$D$4),0))=TRUE,0,VLOOKUP($B6,StockMaster,COLUMN(StockCode!$D$4),0)))</f>
        <v>150</v>
      </c>
      <c r="N6" s="5">
        <f t="shared" si="2"/>
        <v>150</v>
      </c>
      <c r="O6" s="5">
        <f t="shared" si="3"/>
        <v>0</v>
      </c>
      <c r="P6" s="5">
        <f t="shared" si="4"/>
        <v>0</v>
      </c>
      <c r="Q6" s="4">
        <f t="shared" si="5"/>
        <v>150</v>
      </c>
      <c r="R6" s="4">
        <f ca="1">IF($K6="Manufactured",0,IF(ISNA(VLOOKUP($B6,StockMaster,COLUMN(StockCode!$AA$4),0))=TRUE,0,VLOOKUP($B6,StockMaster,COLUMN(StockCode!$AA$4),0)))</f>
        <v>150</v>
      </c>
      <c r="S6" s="4">
        <f t="shared" ca="1" si="6"/>
        <v>150</v>
      </c>
      <c r="T6" s="4">
        <f t="shared" si="7"/>
        <v>0</v>
      </c>
      <c r="U6" s="4">
        <f t="shared" si="8"/>
        <v>0</v>
      </c>
      <c r="V6" s="4">
        <f t="shared" ca="1" si="9"/>
        <v>150</v>
      </c>
      <c r="W6" s="4">
        <f ca="1">IF(ISNA(VLOOKUP($A6,StockMaster,COLUMN(StockCode!$P$4),0))=TRUE,0,IF($D6=0,0,(VLOOKUP($A6,StockMaster,COLUMN(StockCode!$P$4),0)*$C6/$D6)))</f>
        <v>0</v>
      </c>
      <c r="X6" s="4" cm="1">
        <f t="array" aca="1" ref="X6" ca="1">IF($D6=0,0,SUMIFS(TLevel1,BOMComp,$A6,BOMLevel,"&lt;&gt;First")*$C6/$D6)</f>
        <v>1187</v>
      </c>
      <c r="Y6" s="4" cm="1">
        <f t="array" ref="Y6">IF($D6=0,0,SUMIFS(TLevel2,BOMComp,$A6,BOMLevel,"&lt;&gt;First")*$C6/$D6)</f>
        <v>0</v>
      </c>
      <c r="Z6" s="4" cm="1">
        <f t="array" ref="Z6">IF($D6=0,0,SUMIFS(TLevel3,BOMComp,$A6,BOMLevel,"&lt;&gt;First")*$C6/$D6)</f>
        <v>0</v>
      </c>
      <c r="AA6" s="4" cm="1">
        <f t="array" ref="AA6">IF($D6=0,0,SUMIFS(TLevel4,BOMComp,$A6,BOMLevel,"&lt;&gt;First")*$C6/$D6)</f>
        <v>0</v>
      </c>
      <c r="AB6" s="4" cm="1">
        <f t="array" ref="AB6">IF($D6=0,0,SUMIFS(TLevel5,BOMComp,$A6,BOMLevel,"&lt;&gt;First")*$C6/$D6)</f>
        <v>0</v>
      </c>
      <c r="AC6" s="4">
        <f>IF(ISNA(VLOOKUP($A6,JRCode,COLUMN(JReview!$D$4),0))=TRUE,0,IF($D6=0,0,VLOOKUP($A6,JRCode,COLUMN(JReview!$D$4),0)*$C6/$D6))</f>
        <v>0</v>
      </c>
      <c r="AD6" s="4" cm="1">
        <f t="array" ref="AD6">IF($D6=0,0,SUMIFS(JLevel1,BOMComp,$A6,BOMLevel,"&lt;&gt;First")*$C6/$D6)</f>
        <v>100</v>
      </c>
      <c r="AE6" s="4" cm="1">
        <f t="array" ref="AE6">IF($D6=0,0,SUMIFS(JLevel2,BOMComp,$A6,BOMLevel,"&lt;&gt;First")*$C6/$D6)</f>
        <v>0</v>
      </c>
      <c r="AF6" s="4" cm="1">
        <f t="array" ref="AF6">IF($D6=0,0,SUMIFS(JLevel3,BOMComp,$A6,BOMLevel,"&lt;&gt;First")*$C6/$D6)</f>
        <v>0</v>
      </c>
      <c r="AG6" s="4" cm="1">
        <f t="array" ref="AG6">IF($D6=0,0,SUMIFS(JLevel4,BOMComp,$A6,BOMLevel,"&lt;&gt;First")*$C6/$D6)</f>
        <v>0</v>
      </c>
      <c r="AH6" s="4" cm="1">
        <f t="array" ref="AH6">IF($D6=0,0,SUMIFS(JLevel5,BOMComp,$A6,BOMLevel,"&lt;&gt;First")*$C6/$D6)</f>
        <v>0</v>
      </c>
      <c r="AI6" s="4">
        <f>IF(ISNA(VLOOKUP($A6,JRCode,COLUMN(JReview!$E$4),0))=TRUE,0,IF($D6=0,0,VLOOKUP($A6,JRCode,COLUMN(JReview!$E$4),0)*$C6/$D6))</f>
        <v>0</v>
      </c>
      <c r="AJ6" s="4" cm="1">
        <f t="array" ref="AJ6">IF($D6=0,0,SUMIFS(JRLevel1,BOMComp,$A6,BOMLevel,"&lt;&gt;First")*$C6/$D6)</f>
        <v>105</v>
      </c>
      <c r="AK6" s="4" cm="1">
        <f t="array" ref="AK6">IF($D6=0,0,SUMIFS(JRLevel2,BOMComp,$A6,BOMLevel,"&lt;&gt;First")*$C6/$D6)</f>
        <v>0</v>
      </c>
      <c r="AL6" s="4" cm="1">
        <f t="array" ref="AL6">IF($D6=0,0,SUMIFS(JRLevel3,BOMComp,$A6,BOMLevel,"&lt;&gt;First")*$C6/$D6)</f>
        <v>0</v>
      </c>
      <c r="AM6" s="4" cm="1">
        <f t="array" ref="AM6">IF($D6=0,0,SUMIFS(JRLevel4,BOMComp,$A6,BOMLevel,"&lt;&gt;First")*$C6/$D6)</f>
        <v>0</v>
      </c>
      <c r="AN6" s="4" cm="1">
        <f t="array" ref="AN6">IF($D6=0,0,SUMIFS(JRLevel5,BOMComp,$A6,BOMLevel,"&lt;&gt;First")*$C6/$D6)</f>
        <v>0</v>
      </c>
      <c r="AO6" s="5">
        <f>IF(ISNA(VLOOKUP($A6,Require,COLUMN(ReqPlan!$E$6),0))=TRUE,0,IF($D6=0,0,VLOOKUP($A6,Require,COLUMN(ReqPlan!$E$6),0)*$C6/$D6))</f>
        <v>0</v>
      </c>
      <c r="AP6" s="5" cm="1">
        <f t="array" ref="AP6">IF($D6=0,0,SUMIFS(RLevel1,BOMComp,$A6,BOMLevel,"&lt;&gt;First")*$C6/$D6)</f>
        <v>550</v>
      </c>
      <c r="AQ6" s="5" cm="1">
        <f t="array" ref="AQ6">IF($D6=0,0,SUMIFS(RLevel2,BOMComp,$A6,BOMLevel,"&lt;&gt;First")*$C6/$D6)</f>
        <v>0</v>
      </c>
      <c r="AR6" s="5" cm="1">
        <f t="array" ref="AR6">IF($D6=0,0,SUMIFS(RLevel3,BOMComp,$A6,BOMLevel,"&lt;&gt;First")*$C6/$D6)</f>
        <v>0</v>
      </c>
      <c r="AS6" s="5" cm="1">
        <f t="array" ref="AS6">IF($D6=0,0,SUMIFS(RLevel4,BOMComp,$A6,BOMLevel,"&lt;&gt;First")*$C6/$D6)</f>
        <v>0</v>
      </c>
      <c r="AT6" s="5" cm="1">
        <f t="array" ref="AT6">IF($D6=0,0,SUMIFS(RLevel5,BOMComp,$A6,BOMLevel,"&lt;&gt;First")*$C6/$D6)</f>
        <v>0</v>
      </c>
    </row>
    <row r="7" spans="1:46" ht="16.149999999999999" customHeight="1" x14ac:dyDescent="0.25">
      <c r="A7" s="2" t="s">
        <v>56</v>
      </c>
      <c r="B7" s="2" t="s">
        <v>50</v>
      </c>
      <c r="C7" s="33">
        <v>0.1</v>
      </c>
      <c r="D7" s="34">
        <v>0.9</v>
      </c>
      <c r="E7" s="35" t="str">
        <f t="shared" si="0"/>
        <v>-</v>
      </c>
      <c r="F7" s="2" t="str">
        <f>IF(ISNA(VLOOKUP($A7,StockMaster,COLUMN(StockCode!$B$4),0))=TRUE,"does not exist",VLOOKUP($A7,StockMaster,COLUMN(StockCode!$B$4),0))</f>
        <v>Door</v>
      </c>
      <c r="G7" s="3" t="str">
        <f>IF(ISNA(VLOOKUP($A7,StockMaster,COLUMN(StockCode!$C$4),0))=TRUE,"error",VLOOKUP($A7,StockMaster,COLUMN(StockCode!$C$4),0))</f>
        <v>Units</v>
      </c>
      <c r="H7" s="3" t="str">
        <f>IF(ISNA(VLOOKUP($A7,StockMaster,COLUMN(StockCode!$E$4),0))=TRUE,"All",VLOOKUP($A7,StockMaster,COLUMN(StockCode!$E$4),0))</f>
        <v>All</v>
      </c>
      <c r="I7" s="2" t="str">
        <f>IF(ISNA(VLOOKUP($B7,StockMaster,COLUMN(StockCode!$B$4),0))=TRUE,"does not exist",VLOOKUP($B7,StockMaster,COLUMN(StockCode!$B$4),0))</f>
        <v>1 Inch Screws</v>
      </c>
      <c r="J7" s="3" t="str">
        <f>IF(ISNA(VLOOKUP($B7,StockMaster,COLUMN(StockCode!$C$4),0))=TRUE,"error",VLOOKUP($B7,StockMaster,COLUMN(StockCode!$C$4),0))</f>
        <v>Bag</v>
      </c>
      <c r="K7" s="3" t="str">
        <f>IF(ISNA(VLOOKUP($B7,StockMaster,COLUMN(StockCode!$G$4),0))=TRUE,0,VLOOKUP($B7,StockMaster,COLUMN(StockCode!$G$4),0))</f>
        <v>Bought-In</v>
      </c>
      <c r="L7" s="3" t="str">
        <f t="shared" si="1"/>
        <v>Y</v>
      </c>
      <c r="M7" s="5">
        <f>IF($K7="Manufactured",0,IF(ISNA(VLOOKUP($B7,StockMaster,COLUMN(StockCode!$D$4),0))=TRUE,0,VLOOKUP($B7,StockMaster,COLUMN(StockCode!$D$4),0)))</f>
        <v>30</v>
      </c>
      <c r="N7" s="5">
        <f t="shared" si="2"/>
        <v>3.3333333333333335</v>
      </c>
      <c r="O7" s="5">
        <f t="shared" si="3"/>
        <v>0</v>
      </c>
      <c r="P7" s="5">
        <f t="shared" si="4"/>
        <v>0</v>
      </c>
      <c r="Q7" s="4">
        <f t="shared" si="5"/>
        <v>3.3333333333333335</v>
      </c>
      <c r="R7" s="4">
        <f ca="1">IF($K7="Manufactured",0,IF(ISNA(VLOOKUP($B7,StockMaster,COLUMN(StockCode!$AA$4),0))=TRUE,0,VLOOKUP($B7,StockMaster,COLUMN(StockCode!$AA$4),0)))</f>
        <v>30.000000000000004</v>
      </c>
      <c r="S7" s="4">
        <f t="shared" ca="1" si="6"/>
        <v>3.3333333333333339</v>
      </c>
      <c r="T7" s="4">
        <f t="shared" si="7"/>
        <v>0</v>
      </c>
      <c r="U7" s="4">
        <f t="shared" si="8"/>
        <v>0</v>
      </c>
      <c r="V7" s="4">
        <f t="shared" ca="1" si="9"/>
        <v>3.3333333333333339</v>
      </c>
      <c r="W7" s="4">
        <f ca="1">IF(ISNA(VLOOKUP($A7,StockMaster,COLUMN(StockCode!$P$4),0))=TRUE,0,IF($D7=0,0,(VLOOKUP($A7,StockMaster,COLUMN(StockCode!$P$4),0)*$C7/$D7)))</f>
        <v>0</v>
      </c>
      <c r="X7" s="4" cm="1">
        <f t="array" aca="1" ref="X7" ca="1">IF($D7=0,0,SUMIFS(TLevel1,BOMComp,$A7,BOMLevel,"&lt;&gt;First")*$C7/$D7)</f>
        <v>131.88888888888889</v>
      </c>
      <c r="Y7" s="4" cm="1">
        <f t="array" ref="Y7">IF($D7=0,0,SUMIFS(TLevel2,BOMComp,$A7,BOMLevel,"&lt;&gt;First")*$C7/$D7)</f>
        <v>0</v>
      </c>
      <c r="Z7" s="4" cm="1">
        <f t="array" ref="Z7">IF($D7=0,0,SUMIFS(TLevel3,BOMComp,$A7,BOMLevel,"&lt;&gt;First")*$C7/$D7)</f>
        <v>0</v>
      </c>
      <c r="AA7" s="4" cm="1">
        <f t="array" ref="AA7">IF($D7=0,0,SUMIFS(TLevel4,BOMComp,$A7,BOMLevel,"&lt;&gt;First")*$C7/$D7)</f>
        <v>0</v>
      </c>
      <c r="AB7" s="4" cm="1">
        <f t="array" ref="AB7">IF($D7=0,0,SUMIFS(TLevel5,BOMComp,$A7,BOMLevel,"&lt;&gt;First")*$C7/$D7)</f>
        <v>0</v>
      </c>
      <c r="AC7" s="4">
        <f>IF(ISNA(VLOOKUP($A7,JRCode,COLUMN(JReview!$D$4),0))=TRUE,0,IF($D7=0,0,VLOOKUP($A7,JRCode,COLUMN(JReview!$D$4),0)*$C7/$D7))</f>
        <v>0</v>
      </c>
      <c r="AD7" s="4" cm="1">
        <f t="array" ref="AD7">IF($D7=0,0,SUMIFS(JLevel1,BOMComp,$A7,BOMLevel,"&lt;&gt;First")*$C7/$D7)</f>
        <v>11.111111111111111</v>
      </c>
      <c r="AE7" s="4" cm="1">
        <f t="array" ref="AE7">IF($D7=0,0,SUMIFS(JLevel2,BOMComp,$A7,BOMLevel,"&lt;&gt;First")*$C7/$D7)</f>
        <v>0</v>
      </c>
      <c r="AF7" s="4" cm="1">
        <f t="array" ref="AF7">IF($D7=0,0,SUMIFS(JLevel3,BOMComp,$A7,BOMLevel,"&lt;&gt;First")*$C7/$D7)</f>
        <v>0</v>
      </c>
      <c r="AG7" s="4" cm="1">
        <f t="array" ref="AG7">IF($D7=0,0,SUMIFS(JLevel4,BOMComp,$A7,BOMLevel,"&lt;&gt;First")*$C7/$D7)</f>
        <v>0</v>
      </c>
      <c r="AH7" s="4" cm="1">
        <f t="array" ref="AH7">IF($D7=0,0,SUMIFS(JLevel5,BOMComp,$A7,BOMLevel,"&lt;&gt;First")*$C7/$D7)</f>
        <v>0</v>
      </c>
      <c r="AI7" s="4">
        <f>IF(ISNA(VLOOKUP($A7,JRCode,COLUMN(JReview!$E$4),0))=TRUE,0,IF($D7=0,0,VLOOKUP($A7,JRCode,COLUMN(JReview!$E$4),0)*$C7/$D7))</f>
        <v>0</v>
      </c>
      <c r="AJ7" s="4" cm="1">
        <f t="array" ref="AJ7">IF($D7=0,0,SUMIFS(JRLevel1,BOMComp,$A7,BOMLevel,"&lt;&gt;First")*$C7/$D7)</f>
        <v>11.666666666666666</v>
      </c>
      <c r="AK7" s="4" cm="1">
        <f t="array" ref="AK7">IF($D7=0,0,SUMIFS(JRLevel2,BOMComp,$A7,BOMLevel,"&lt;&gt;First")*$C7/$D7)</f>
        <v>0</v>
      </c>
      <c r="AL7" s="4" cm="1">
        <f t="array" ref="AL7">IF($D7=0,0,SUMIFS(JRLevel3,BOMComp,$A7,BOMLevel,"&lt;&gt;First")*$C7/$D7)</f>
        <v>0</v>
      </c>
      <c r="AM7" s="4" cm="1">
        <f t="array" ref="AM7">IF($D7=0,0,SUMIFS(JRLevel4,BOMComp,$A7,BOMLevel,"&lt;&gt;First")*$C7/$D7)</f>
        <v>0</v>
      </c>
      <c r="AN7" s="4" cm="1">
        <f t="array" ref="AN7">IF($D7=0,0,SUMIFS(JRLevel5,BOMComp,$A7,BOMLevel,"&lt;&gt;First")*$C7/$D7)</f>
        <v>0</v>
      </c>
      <c r="AO7" s="5">
        <f>IF(ISNA(VLOOKUP($A7,Require,COLUMN(ReqPlan!$E$6),0))=TRUE,0,IF($D7=0,0,VLOOKUP($A7,Require,COLUMN(ReqPlan!$E$6),0)*$C7/$D7))</f>
        <v>0</v>
      </c>
      <c r="AP7" s="5" cm="1">
        <f t="array" ref="AP7">IF($D7=0,0,SUMIFS(RLevel1,BOMComp,$A7,BOMLevel,"&lt;&gt;First")*$C7/$D7)</f>
        <v>61.111111111111107</v>
      </c>
      <c r="AQ7" s="5" cm="1">
        <f t="array" ref="AQ7">IF($D7=0,0,SUMIFS(RLevel2,BOMComp,$A7,BOMLevel,"&lt;&gt;First")*$C7/$D7)</f>
        <v>0</v>
      </c>
      <c r="AR7" s="5" cm="1">
        <f t="array" ref="AR7">IF($D7=0,0,SUMIFS(RLevel3,BOMComp,$A7,BOMLevel,"&lt;&gt;First")*$C7/$D7)</f>
        <v>0</v>
      </c>
      <c r="AS7" s="5" cm="1">
        <f t="array" ref="AS7">IF($D7=0,0,SUMIFS(RLevel4,BOMComp,$A7,BOMLevel,"&lt;&gt;First")*$C7/$D7)</f>
        <v>0</v>
      </c>
      <c r="AT7" s="5" cm="1">
        <f t="array" ref="AT7">IF($D7=0,0,SUMIFS(RLevel5,BOMComp,$A7,BOMLevel,"&lt;&gt;First")*$C7/$D7)</f>
        <v>0</v>
      </c>
    </row>
    <row r="8" spans="1:46" ht="16.149999999999999" customHeight="1" x14ac:dyDescent="0.25">
      <c r="A8" s="2" t="s">
        <v>56</v>
      </c>
      <c r="B8" s="2" t="s">
        <v>72</v>
      </c>
      <c r="C8" s="33">
        <v>2</v>
      </c>
      <c r="D8" s="34">
        <v>1</v>
      </c>
      <c r="E8" s="35" t="str">
        <f t="shared" si="0"/>
        <v>-</v>
      </c>
      <c r="F8" s="2" t="str">
        <f>IF(ISNA(VLOOKUP($A8,StockMaster,COLUMN(StockCode!$B$4),0))=TRUE,"does not exist",VLOOKUP($A8,StockMaster,COLUMN(StockCode!$B$4),0))</f>
        <v>Door</v>
      </c>
      <c r="G8" s="3" t="str">
        <f>IF(ISNA(VLOOKUP($A8,StockMaster,COLUMN(StockCode!$C$4),0))=TRUE,"error",VLOOKUP($A8,StockMaster,COLUMN(StockCode!$C$4),0))</f>
        <v>Units</v>
      </c>
      <c r="H8" s="3" t="str">
        <f>IF(ISNA(VLOOKUP($A8,StockMaster,COLUMN(StockCode!$E$4),0))=TRUE,"All",VLOOKUP($A8,StockMaster,COLUMN(StockCode!$E$4),0))</f>
        <v>All</v>
      </c>
      <c r="I8" s="2" t="str">
        <f>IF(ISNA(VLOOKUP($B8,StockMaster,COLUMN(StockCode!$B$4),0))=TRUE,"does not exist",VLOOKUP($B8,StockMaster,COLUMN(StockCode!$B$4),0))</f>
        <v>Swivel</v>
      </c>
      <c r="J8" s="3" t="str">
        <f>IF(ISNA(VLOOKUP($B8,StockMaster,COLUMN(StockCode!$C$4),0))=TRUE,"error",VLOOKUP($B8,StockMaster,COLUMN(StockCode!$C$4),0))</f>
        <v>Units</v>
      </c>
      <c r="K8" s="3" t="str">
        <f>IF(ISNA(VLOOKUP($B8,StockMaster,COLUMN(StockCode!$G$4),0))=TRUE,0,VLOOKUP($B8,StockMaster,COLUMN(StockCode!$G$4),0))</f>
        <v>Bought-In</v>
      </c>
      <c r="L8" s="3" t="str">
        <f t="shared" si="1"/>
        <v>Y</v>
      </c>
      <c r="M8" s="5">
        <f>IF($K8="Manufactured",0,IF(ISNA(VLOOKUP($B8,StockMaster,COLUMN(StockCode!$D$4),0))=TRUE,0,VLOOKUP($B8,StockMaster,COLUMN(StockCode!$D$4),0)))</f>
        <v>3.5</v>
      </c>
      <c r="N8" s="5">
        <f t="shared" si="2"/>
        <v>7</v>
      </c>
      <c r="O8" s="5">
        <f t="shared" si="3"/>
        <v>0</v>
      </c>
      <c r="P8" s="5">
        <f t="shared" si="4"/>
        <v>0</v>
      </c>
      <c r="Q8" s="4">
        <f t="shared" si="5"/>
        <v>7</v>
      </c>
      <c r="R8" s="4">
        <f ca="1">IF($K8="Manufactured",0,IF(ISNA(VLOOKUP($B8,StockMaster,COLUMN(StockCode!$AA$4),0))=TRUE,0,VLOOKUP($B8,StockMaster,COLUMN(StockCode!$AA$4),0)))</f>
        <v>3.5</v>
      </c>
      <c r="S8" s="4">
        <f t="shared" ca="1" si="6"/>
        <v>7</v>
      </c>
      <c r="T8" s="4">
        <f t="shared" si="7"/>
        <v>0</v>
      </c>
      <c r="U8" s="4">
        <f t="shared" si="8"/>
        <v>0</v>
      </c>
      <c r="V8" s="4">
        <f t="shared" ca="1" si="9"/>
        <v>7</v>
      </c>
      <c r="W8" s="4">
        <f ca="1">IF(ISNA(VLOOKUP($A8,StockMaster,COLUMN(StockCode!$P$4),0))=TRUE,0,IF($D8=0,0,(VLOOKUP($A8,StockMaster,COLUMN(StockCode!$P$4),0)*$C8/$D8)))</f>
        <v>0</v>
      </c>
      <c r="X8" s="4" cm="1">
        <f t="array" aca="1" ref="X8" ca="1">IF($D8=0,0,SUMIFS(TLevel1,BOMComp,$A8,BOMLevel,"&lt;&gt;First")*$C8/$D8)</f>
        <v>2374</v>
      </c>
      <c r="Y8" s="4" cm="1">
        <f t="array" ref="Y8">IF($D8=0,0,SUMIFS(TLevel2,BOMComp,$A8,BOMLevel,"&lt;&gt;First")*$C8/$D8)</f>
        <v>0</v>
      </c>
      <c r="Z8" s="4" cm="1">
        <f t="array" ref="Z8">IF($D8=0,0,SUMIFS(TLevel3,BOMComp,$A8,BOMLevel,"&lt;&gt;First")*$C8/$D8)</f>
        <v>0</v>
      </c>
      <c r="AA8" s="4" cm="1">
        <f t="array" ref="AA8">IF($D8=0,0,SUMIFS(TLevel4,BOMComp,$A8,BOMLevel,"&lt;&gt;First")*$C8/$D8)</f>
        <v>0</v>
      </c>
      <c r="AB8" s="4" cm="1">
        <f t="array" ref="AB8">IF($D8=0,0,SUMIFS(TLevel5,BOMComp,$A8,BOMLevel,"&lt;&gt;First")*$C8/$D8)</f>
        <v>0</v>
      </c>
      <c r="AC8" s="4">
        <f>IF(ISNA(VLOOKUP($A8,JRCode,COLUMN(JReview!$D$4),0))=TRUE,0,IF($D8=0,0,VLOOKUP($A8,JRCode,COLUMN(JReview!$D$4),0)*$C8/$D8))</f>
        <v>0</v>
      </c>
      <c r="AD8" s="4" cm="1">
        <f t="array" ref="AD8">IF($D8=0,0,SUMIFS(JLevel1,BOMComp,$A8,BOMLevel,"&lt;&gt;First")*$C8/$D8)</f>
        <v>200</v>
      </c>
      <c r="AE8" s="4" cm="1">
        <f t="array" ref="AE8">IF($D8=0,0,SUMIFS(JLevel2,BOMComp,$A8,BOMLevel,"&lt;&gt;First")*$C8/$D8)</f>
        <v>0</v>
      </c>
      <c r="AF8" s="4" cm="1">
        <f t="array" ref="AF8">IF($D8=0,0,SUMIFS(JLevel3,BOMComp,$A8,BOMLevel,"&lt;&gt;First")*$C8/$D8)</f>
        <v>0</v>
      </c>
      <c r="AG8" s="4" cm="1">
        <f t="array" ref="AG8">IF($D8=0,0,SUMIFS(JLevel4,BOMComp,$A8,BOMLevel,"&lt;&gt;First")*$C8/$D8)</f>
        <v>0</v>
      </c>
      <c r="AH8" s="4" cm="1">
        <f t="array" ref="AH8">IF($D8=0,0,SUMIFS(JLevel5,BOMComp,$A8,BOMLevel,"&lt;&gt;First")*$C8/$D8)</f>
        <v>0</v>
      </c>
      <c r="AI8" s="4">
        <f>IF(ISNA(VLOOKUP($A8,JRCode,COLUMN(JReview!$E$4),0))=TRUE,0,IF($D8=0,0,VLOOKUP($A8,JRCode,COLUMN(JReview!$E$4),0)*$C8/$D8))</f>
        <v>0</v>
      </c>
      <c r="AJ8" s="4" cm="1">
        <f t="array" ref="AJ8">IF($D8=0,0,SUMIFS(JRLevel1,BOMComp,$A8,BOMLevel,"&lt;&gt;First")*$C8/$D8)</f>
        <v>210</v>
      </c>
      <c r="AK8" s="4" cm="1">
        <f t="array" ref="AK8">IF($D8=0,0,SUMIFS(JRLevel2,BOMComp,$A8,BOMLevel,"&lt;&gt;First")*$C8/$D8)</f>
        <v>0</v>
      </c>
      <c r="AL8" s="4" cm="1">
        <f t="array" ref="AL8">IF($D8=0,0,SUMIFS(JRLevel3,BOMComp,$A8,BOMLevel,"&lt;&gt;First")*$C8/$D8)</f>
        <v>0</v>
      </c>
      <c r="AM8" s="4" cm="1">
        <f t="array" ref="AM8">IF($D8=0,0,SUMIFS(JRLevel4,BOMComp,$A8,BOMLevel,"&lt;&gt;First")*$C8/$D8)</f>
        <v>0</v>
      </c>
      <c r="AN8" s="4" cm="1">
        <f t="array" ref="AN8">IF($D8=0,0,SUMIFS(JRLevel5,BOMComp,$A8,BOMLevel,"&lt;&gt;First")*$C8/$D8)</f>
        <v>0</v>
      </c>
      <c r="AO8" s="5">
        <f>IF(ISNA(VLOOKUP($A8,Require,COLUMN(ReqPlan!$E$6),0))=TRUE,0,IF($D8=0,0,VLOOKUP($A8,Require,COLUMN(ReqPlan!$E$6),0)*$C8/$D8))</f>
        <v>0</v>
      </c>
      <c r="AP8" s="5" cm="1">
        <f t="array" ref="AP8">IF($D8=0,0,SUMIFS(RLevel1,BOMComp,$A8,BOMLevel,"&lt;&gt;First")*$C8/$D8)</f>
        <v>1100</v>
      </c>
      <c r="AQ8" s="5" cm="1">
        <f t="array" ref="AQ8">IF($D8=0,0,SUMIFS(RLevel2,BOMComp,$A8,BOMLevel,"&lt;&gt;First")*$C8/$D8)</f>
        <v>0</v>
      </c>
      <c r="AR8" s="5" cm="1">
        <f t="array" ref="AR8">IF($D8=0,0,SUMIFS(RLevel3,BOMComp,$A8,BOMLevel,"&lt;&gt;First")*$C8/$D8)</f>
        <v>0</v>
      </c>
      <c r="AS8" s="5" cm="1">
        <f t="array" ref="AS8">IF($D8=0,0,SUMIFS(RLevel4,BOMComp,$A8,BOMLevel,"&lt;&gt;First")*$C8/$D8)</f>
        <v>0</v>
      </c>
      <c r="AT8" s="5" cm="1">
        <f t="array" ref="AT8">IF($D8=0,0,SUMIFS(RLevel5,BOMComp,$A8,BOMLevel,"&lt;&gt;First")*$C8/$D8)</f>
        <v>0</v>
      </c>
    </row>
    <row r="9" spans="1:46" ht="16.149999999999999" customHeight="1" x14ac:dyDescent="0.25">
      <c r="A9" s="2" t="s">
        <v>56</v>
      </c>
      <c r="B9" s="2" t="s">
        <v>82</v>
      </c>
      <c r="C9" s="33">
        <v>1</v>
      </c>
      <c r="D9" s="34">
        <v>1</v>
      </c>
      <c r="E9" s="35" t="str">
        <f t="shared" si="0"/>
        <v>-</v>
      </c>
      <c r="F9" s="2" t="str">
        <f>IF(ISNA(VLOOKUP($A9,StockMaster,COLUMN(StockCode!$B$4),0))=TRUE,"does not exist",VLOOKUP($A9,StockMaster,COLUMN(StockCode!$B$4),0))</f>
        <v>Door</v>
      </c>
      <c r="G9" s="3" t="str">
        <f>IF(ISNA(VLOOKUP($A9,StockMaster,COLUMN(StockCode!$C$4),0))=TRUE,"error",VLOOKUP($A9,StockMaster,COLUMN(StockCode!$C$4),0))</f>
        <v>Units</v>
      </c>
      <c r="H9" s="3" t="str">
        <f>IF(ISNA(VLOOKUP($A9,StockMaster,COLUMN(StockCode!$E$4),0))=TRUE,"All",VLOOKUP($A9,StockMaster,COLUMN(StockCode!$E$4),0))</f>
        <v>All</v>
      </c>
      <c r="I9" s="2" t="str">
        <f>IF(ISNA(VLOOKUP($B9,StockMaster,COLUMN(StockCode!$B$4),0))=TRUE,"does not exist",VLOOKUP($B9,StockMaster,COLUMN(StockCode!$B$4),0))</f>
        <v>Labour - Grade 1</v>
      </c>
      <c r="J9" s="3" t="str">
        <f>IF(ISNA(VLOOKUP($B9,StockMaster,COLUMN(StockCode!$C$4),0))=TRUE,"error",VLOOKUP($B9,StockMaster,COLUMN(StockCode!$C$4),0))</f>
        <v>Hours</v>
      </c>
      <c r="K9" s="3" t="str">
        <f>IF(ISNA(VLOOKUP($B9,StockMaster,COLUMN(StockCode!$G$4),0))=TRUE,0,VLOOKUP($B9,StockMaster,COLUMN(StockCode!$G$4),0))</f>
        <v>Bought-In</v>
      </c>
      <c r="L9" s="3" t="str">
        <f t="shared" si="1"/>
        <v>Y</v>
      </c>
      <c r="M9" s="5">
        <f>IF($K9="Manufactured",0,IF(ISNA(VLOOKUP($B9,StockMaster,COLUMN(StockCode!$D$4),0))=TRUE,0,VLOOKUP($B9,StockMaster,COLUMN(StockCode!$D$4),0)))</f>
        <v>20</v>
      </c>
      <c r="N9" s="5">
        <f t="shared" si="2"/>
        <v>20</v>
      </c>
      <c r="O9" s="5">
        <f t="shared" si="3"/>
        <v>0</v>
      </c>
      <c r="P9" s="5">
        <f t="shared" si="4"/>
        <v>0</v>
      </c>
      <c r="Q9" s="4">
        <f t="shared" si="5"/>
        <v>20</v>
      </c>
      <c r="R9" s="4">
        <f ca="1">IF($K9="Manufactured",0,IF(ISNA(VLOOKUP($B9,StockMaster,COLUMN(StockCode!$AA$4),0))=TRUE,0,VLOOKUP($B9,StockMaster,COLUMN(StockCode!$AA$4),0)))</f>
        <v>20.330774751337231</v>
      </c>
      <c r="S9" s="4">
        <f t="shared" ca="1" si="6"/>
        <v>20.330774751337231</v>
      </c>
      <c r="T9" s="4">
        <f t="shared" si="7"/>
        <v>0</v>
      </c>
      <c r="U9" s="4">
        <f t="shared" si="8"/>
        <v>0</v>
      </c>
      <c r="V9" s="4">
        <f t="shared" ca="1" si="9"/>
        <v>20.330774751337231</v>
      </c>
      <c r="W9" s="4">
        <f ca="1">IF(ISNA(VLOOKUP($A9,StockMaster,COLUMN(StockCode!$P$4),0))=TRUE,0,IF($D9=0,0,(VLOOKUP($A9,StockMaster,COLUMN(StockCode!$P$4),0)*$C9/$D9)))</f>
        <v>0</v>
      </c>
      <c r="X9" s="4" cm="1">
        <f t="array" aca="1" ref="X9" ca="1">IF($D9=0,0,SUMIFS(TLevel1,BOMComp,$A9,BOMLevel,"&lt;&gt;First")*$C9/$D9)</f>
        <v>1187</v>
      </c>
      <c r="Y9" s="4" cm="1">
        <f t="array" ref="Y9">IF($D9=0,0,SUMIFS(TLevel2,BOMComp,$A9,BOMLevel,"&lt;&gt;First")*$C9/$D9)</f>
        <v>0</v>
      </c>
      <c r="Z9" s="4" cm="1">
        <f t="array" ref="Z9">IF($D9=0,0,SUMIFS(TLevel3,BOMComp,$A9,BOMLevel,"&lt;&gt;First")*$C9/$D9)</f>
        <v>0</v>
      </c>
      <c r="AA9" s="4" cm="1">
        <f t="array" ref="AA9">IF($D9=0,0,SUMIFS(TLevel4,BOMComp,$A9,BOMLevel,"&lt;&gt;First")*$C9/$D9)</f>
        <v>0</v>
      </c>
      <c r="AB9" s="4" cm="1">
        <f t="array" ref="AB9">IF($D9=0,0,SUMIFS(TLevel5,BOMComp,$A9,BOMLevel,"&lt;&gt;First")*$C9/$D9)</f>
        <v>0</v>
      </c>
      <c r="AC9" s="4">
        <f>IF(ISNA(VLOOKUP($A9,JRCode,COLUMN(JReview!$D$4),0))=TRUE,0,IF($D9=0,0,VLOOKUP($A9,JRCode,COLUMN(JReview!$D$4),0)*$C9/$D9))</f>
        <v>0</v>
      </c>
      <c r="AD9" s="4" cm="1">
        <f t="array" ref="AD9">IF($D9=0,0,SUMIFS(JLevel1,BOMComp,$A9,BOMLevel,"&lt;&gt;First")*$C9/$D9)</f>
        <v>100</v>
      </c>
      <c r="AE9" s="4" cm="1">
        <f t="array" ref="AE9">IF($D9=0,0,SUMIFS(JLevel2,BOMComp,$A9,BOMLevel,"&lt;&gt;First")*$C9/$D9)</f>
        <v>0</v>
      </c>
      <c r="AF9" s="4" cm="1">
        <f t="array" ref="AF9">IF($D9=0,0,SUMIFS(JLevel3,BOMComp,$A9,BOMLevel,"&lt;&gt;First")*$C9/$D9)</f>
        <v>0</v>
      </c>
      <c r="AG9" s="4" cm="1">
        <f t="array" ref="AG9">IF($D9=0,0,SUMIFS(JLevel4,BOMComp,$A9,BOMLevel,"&lt;&gt;First")*$C9/$D9)</f>
        <v>0</v>
      </c>
      <c r="AH9" s="4" cm="1">
        <f t="array" ref="AH9">IF($D9=0,0,SUMIFS(JLevel5,BOMComp,$A9,BOMLevel,"&lt;&gt;First")*$C9/$D9)</f>
        <v>0</v>
      </c>
      <c r="AI9" s="4">
        <f>IF(ISNA(VLOOKUP($A9,JRCode,COLUMN(JReview!$E$4),0))=TRUE,0,IF($D9=0,0,VLOOKUP($A9,JRCode,COLUMN(JReview!$E$4),0)*$C9/$D9))</f>
        <v>0</v>
      </c>
      <c r="AJ9" s="4" cm="1">
        <f t="array" ref="AJ9">IF($D9=0,0,SUMIFS(JRLevel1,BOMComp,$A9,BOMLevel,"&lt;&gt;First")*$C9/$D9)</f>
        <v>105</v>
      </c>
      <c r="AK9" s="4" cm="1">
        <f t="array" ref="AK9">IF($D9=0,0,SUMIFS(JRLevel2,BOMComp,$A9,BOMLevel,"&lt;&gt;First")*$C9/$D9)</f>
        <v>0</v>
      </c>
      <c r="AL9" s="4" cm="1">
        <f t="array" ref="AL9">IF($D9=0,0,SUMIFS(JRLevel3,BOMComp,$A9,BOMLevel,"&lt;&gt;First")*$C9/$D9)</f>
        <v>0</v>
      </c>
      <c r="AM9" s="4" cm="1">
        <f t="array" ref="AM9">IF($D9=0,0,SUMIFS(JRLevel4,BOMComp,$A9,BOMLevel,"&lt;&gt;First")*$C9/$D9)</f>
        <v>0</v>
      </c>
      <c r="AN9" s="4" cm="1">
        <f t="array" ref="AN9">IF($D9=0,0,SUMIFS(JRLevel5,BOMComp,$A9,BOMLevel,"&lt;&gt;First")*$C9/$D9)</f>
        <v>0</v>
      </c>
      <c r="AO9" s="5">
        <f>IF(ISNA(VLOOKUP($A9,Require,COLUMN(ReqPlan!$E$6),0))=TRUE,0,IF($D9=0,0,VLOOKUP($A9,Require,COLUMN(ReqPlan!$E$6),0)*$C9/$D9))</f>
        <v>0</v>
      </c>
      <c r="AP9" s="5" cm="1">
        <f t="array" ref="AP9">IF($D9=0,0,SUMIFS(RLevel1,BOMComp,$A9,BOMLevel,"&lt;&gt;First")*$C9/$D9)</f>
        <v>550</v>
      </c>
      <c r="AQ9" s="5" cm="1">
        <f t="array" ref="AQ9">IF($D9=0,0,SUMIFS(RLevel2,BOMComp,$A9,BOMLevel,"&lt;&gt;First")*$C9/$D9)</f>
        <v>0</v>
      </c>
      <c r="AR9" s="5" cm="1">
        <f t="array" ref="AR9">IF($D9=0,0,SUMIFS(RLevel3,BOMComp,$A9,BOMLevel,"&lt;&gt;First")*$C9/$D9)</f>
        <v>0</v>
      </c>
      <c r="AS9" s="5" cm="1">
        <f t="array" ref="AS9">IF($D9=0,0,SUMIFS(RLevel4,BOMComp,$A9,BOMLevel,"&lt;&gt;First")*$C9/$D9)</f>
        <v>0</v>
      </c>
      <c r="AT9" s="5" cm="1">
        <f t="array" ref="AT9">IF($D9=0,0,SUMIFS(RLevel5,BOMComp,$A9,BOMLevel,"&lt;&gt;First")*$C9/$D9)</f>
        <v>0</v>
      </c>
    </row>
    <row r="10" spans="1:46" ht="16.149999999999999" customHeight="1" x14ac:dyDescent="0.25">
      <c r="A10" s="2" t="s">
        <v>57</v>
      </c>
      <c r="B10" s="2" t="s">
        <v>52</v>
      </c>
      <c r="C10" s="33">
        <v>0.25</v>
      </c>
      <c r="D10" s="34">
        <v>0.85</v>
      </c>
      <c r="E10" s="35" t="str">
        <f t="shared" si="0"/>
        <v>-</v>
      </c>
      <c r="F10" s="2" t="str">
        <f>IF(ISNA(VLOOKUP($A10,StockMaster,COLUMN(StockCode!$B$4),0))=TRUE,"does not exist",VLOOKUP($A10,StockMaster,COLUMN(StockCode!$B$4),0))</f>
        <v>Window</v>
      </c>
      <c r="G10" s="3" t="str">
        <f>IF(ISNA(VLOOKUP($A10,StockMaster,COLUMN(StockCode!$C$4),0))=TRUE,"error",VLOOKUP($A10,StockMaster,COLUMN(StockCode!$C$4),0))</f>
        <v>Units</v>
      </c>
      <c r="H10" s="3" t="str">
        <f>IF(ISNA(VLOOKUP($A10,StockMaster,COLUMN(StockCode!$E$4),0))=TRUE,"All",VLOOKUP($A10,StockMaster,COLUMN(StockCode!$E$4),0))</f>
        <v>All</v>
      </c>
      <c r="I10" s="2" t="str">
        <f>IF(ISNA(VLOOKUP($B10,StockMaster,COLUMN(StockCode!$B$4),0))=TRUE,"does not exist",VLOOKUP($B10,StockMaster,COLUMN(StockCode!$B$4),0))</f>
        <v>Glass</v>
      </c>
      <c r="J10" s="3" t="str">
        <f>IF(ISNA(VLOOKUP($B10,StockMaster,COLUMN(StockCode!$C$4),0))=TRUE,"error",VLOOKUP($B10,StockMaster,COLUMN(StockCode!$C$4),0))</f>
        <v>M2</v>
      </c>
      <c r="K10" s="3" t="str">
        <f>IF(ISNA(VLOOKUP($B10,StockMaster,COLUMN(StockCode!$G$4),0))=TRUE,0,VLOOKUP($B10,StockMaster,COLUMN(StockCode!$G$4),0))</f>
        <v>Bought-In</v>
      </c>
      <c r="L10" s="3" t="str">
        <f t="shared" si="1"/>
        <v>Y</v>
      </c>
      <c r="M10" s="5">
        <f>IF($K10="Manufactured",0,IF(ISNA(VLOOKUP($B10,StockMaster,COLUMN(StockCode!$D$4),0))=TRUE,0,VLOOKUP($B10,StockMaster,COLUMN(StockCode!$D$4),0)))</f>
        <v>80</v>
      </c>
      <c r="N10" s="5">
        <f t="shared" si="2"/>
        <v>23.529411764705884</v>
      </c>
      <c r="O10" s="5">
        <f t="shared" si="3"/>
        <v>0</v>
      </c>
      <c r="P10" s="5">
        <f t="shared" si="4"/>
        <v>0</v>
      </c>
      <c r="Q10" s="4">
        <f t="shared" si="5"/>
        <v>23.529411764705884</v>
      </c>
      <c r="R10" s="4">
        <f ca="1">IF($K10="Manufactured",0,IF(ISNA(VLOOKUP($B10,StockMaster,COLUMN(StockCode!$AA$4),0))=TRUE,0,VLOOKUP($B10,StockMaster,COLUMN(StockCode!$AA$4),0)))</f>
        <v>81.872116476943404</v>
      </c>
      <c r="S10" s="4">
        <f t="shared" ca="1" si="6"/>
        <v>24.080034257924531</v>
      </c>
      <c r="T10" s="4">
        <f t="shared" si="7"/>
        <v>0</v>
      </c>
      <c r="U10" s="4">
        <f t="shared" si="8"/>
        <v>0</v>
      </c>
      <c r="V10" s="4">
        <f t="shared" ca="1" si="9"/>
        <v>24.080034257924531</v>
      </c>
      <c r="W10" s="4">
        <f ca="1">IF(ISNA(VLOOKUP($A10,StockMaster,COLUMN(StockCode!$P$4),0))=TRUE,0,IF($D10=0,0,(VLOOKUP($A10,StockMaster,COLUMN(StockCode!$P$4),0)*$C10/$D10)))</f>
        <v>0</v>
      </c>
      <c r="X10" s="4" cm="1">
        <f t="array" aca="1" ref="X10" ca="1">IF($D10=0,0,SUMIFS(TLevel1,BOMComp,$A10,BOMLevel,"&lt;&gt;First")*$C10/$D10)</f>
        <v>0</v>
      </c>
      <c r="Y10" s="4" cm="1">
        <f t="array" aca="1" ref="Y10" ca="1">IF($D10=0,0,SUMIFS(TLevel2,BOMComp,$A10,BOMLevel,"&lt;&gt;First")*$C10/$D10)</f>
        <v>2501.5479876160989</v>
      </c>
      <c r="Z10" s="4" cm="1">
        <f t="array" aca="1" ref="Z10" ca="1">IF($D10=0,0,SUMIFS(TLevel3,BOMComp,$A10,BOMLevel,"&lt;&gt;First")*$C10/$D10)</f>
        <v>122.35294117647059</v>
      </c>
      <c r="AA10" s="4" cm="1">
        <f t="array" ref="AA10">IF($D10=0,0,SUMIFS(TLevel4,BOMComp,$A10,BOMLevel,"&lt;&gt;First")*$C10/$D10)</f>
        <v>0</v>
      </c>
      <c r="AB10" s="4" cm="1">
        <f t="array" ref="AB10">IF($D10=0,0,SUMIFS(TLevel5,BOMComp,$A10,BOMLevel,"&lt;&gt;First")*$C10/$D10)</f>
        <v>0</v>
      </c>
      <c r="AC10" s="4">
        <f>IF(ISNA(VLOOKUP($A10,JRCode,COLUMN(JReview!$D$4),0))=TRUE,0,IF($D10=0,0,VLOOKUP($A10,JRCode,COLUMN(JReview!$D$4),0)*$C10/$D10))</f>
        <v>0</v>
      </c>
      <c r="AD10" s="4" cm="1">
        <f t="array" ref="AD10">IF($D10=0,0,SUMIFS(JLevel1,BOMComp,$A10,BOMLevel,"&lt;&gt;First")*$C10/$D10)</f>
        <v>0</v>
      </c>
      <c r="AE10" s="4" cm="1">
        <f t="array" ref="AE10">IF($D10=0,0,SUMIFS(JLevel2,BOMComp,$A10,BOMLevel,"&lt;&gt;First")*$C10/$D10)</f>
        <v>247.67801857585141</v>
      </c>
      <c r="AF10" s="4" cm="1">
        <f t="array" ref="AF10">IF($D10=0,0,SUMIFS(JLevel3,BOMComp,$A10,BOMLevel,"&lt;&gt;First")*$C10/$D10)</f>
        <v>0</v>
      </c>
      <c r="AG10" s="4" cm="1">
        <f t="array" ref="AG10">IF($D10=0,0,SUMIFS(JLevel4,BOMComp,$A10,BOMLevel,"&lt;&gt;First")*$C10/$D10)</f>
        <v>0</v>
      </c>
      <c r="AH10" s="4" cm="1">
        <f t="array" ref="AH10">IF($D10=0,0,SUMIFS(JLevel5,BOMComp,$A10,BOMLevel,"&lt;&gt;First")*$C10/$D10)</f>
        <v>0</v>
      </c>
      <c r="AI10" s="4">
        <f>IF(ISNA(VLOOKUP($A10,JRCode,COLUMN(JReview!$E$4),0))=TRUE,0,IF($D10=0,0,VLOOKUP($A10,JRCode,COLUMN(JReview!$E$4),0)*$C10/$D10))</f>
        <v>0</v>
      </c>
      <c r="AJ10" s="4" cm="1">
        <f t="array" ref="AJ10">IF($D10=0,0,SUMIFS(JRLevel1,BOMComp,$A10,BOMLevel,"&lt;&gt;First")*$C10/$D10)</f>
        <v>0</v>
      </c>
      <c r="AK10" s="4" cm="1">
        <f t="array" ref="AK10">IF($D10=0,0,SUMIFS(JRLevel2,BOMComp,$A10,BOMLevel,"&lt;&gt;First")*$C10/$D10)</f>
        <v>260.06191950464398</v>
      </c>
      <c r="AL10" s="4" cm="1">
        <f t="array" ref="AL10">IF($D10=0,0,SUMIFS(JRLevel3,BOMComp,$A10,BOMLevel,"&lt;&gt;First")*$C10/$D10)</f>
        <v>0</v>
      </c>
      <c r="AM10" s="4" cm="1">
        <f t="array" ref="AM10">IF($D10=0,0,SUMIFS(JRLevel4,BOMComp,$A10,BOMLevel,"&lt;&gt;First")*$C10/$D10)</f>
        <v>0</v>
      </c>
      <c r="AN10" s="4" cm="1">
        <f t="array" ref="AN10">IF($D10=0,0,SUMIFS(JRLevel5,BOMComp,$A10,BOMLevel,"&lt;&gt;First")*$C10/$D10)</f>
        <v>0</v>
      </c>
      <c r="AO10" s="5">
        <f>IF(ISNA(VLOOKUP($A10,Require,COLUMN(ReqPlan!$E$6),0))=TRUE,0,IF($D10=0,0,VLOOKUP($A10,Require,COLUMN(ReqPlan!$E$6),0)*$C10/$D10))</f>
        <v>0</v>
      </c>
      <c r="AP10" s="5" cm="1">
        <f t="array" ref="AP10">IF($D10=0,0,SUMIFS(RLevel1,BOMComp,$A10,BOMLevel,"&lt;&gt;First")*$C10/$D10)</f>
        <v>0</v>
      </c>
      <c r="AQ10" s="5" cm="1">
        <f t="array" ref="AQ10">IF($D10=0,0,SUMIFS(RLevel2,BOMComp,$A10,BOMLevel,"&lt;&gt;First")*$C10/$D10)</f>
        <v>1238.3900928792571</v>
      </c>
      <c r="AR10" s="5" cm="1">
        <f t="array" ref="AR10">IF($D10=0,0,SUMIFS(RLevel3,BOMComp,$A10,BOMLevel,"&lt;&gt;First")*$C10/$D10)</f>
        <v>0</v>
      </c>
      <c r="AS10" s="5" cm="1">
        <f t="array" ref="AS10">IF($D10=0,0,SUMIFS(RLevel4,BOMComp,$A10,BOMLevel,"&lt;&gt;First")*$C10/$D10)</f>
        <v>0</v>
      </c>
      <c r="AT10" s="5" cm="1">
        <f t="array" ref="AT10">IF($D10=0,0,SUMIFS(RLevel5,BOMComp,$A10,BOMLevel,"&lt;&gt;First")*$C10/$D10)</f>
        <v>0</v>
      </c>
    </row>
    <row r="11" spans="1:46" ht="16.149999999999999" customHeight="1" x14ac:dyDescent="0.25">
      <c r="A11" s="2" t="s">
        <v>57</v>
      </c>
      <c r="B11" s="2" t="s">
        <v>82</v>
      </c>
      <c r="C11" s="33">
        <v>0.3</v>
      </c>
      <c r="D11" s="34">
        <v>1</v>
      </c>
      <c r="E11" s="35" t="str">
        <f t="shared" si="0"/>
        <v>-</v>
      </c>
      <c r="F11" s="2" t="str">
        <f>IF(ISNA(VLOOKUP($A11,StockMaster,COLUMN(StockCode!$B$4),0))=TRUE,"does not exist",VLOOKUP($A11,StockMaster,COLUMN(StockCode!$B$4),0))</f>
        <v>Window</v>
      </c>
      <c r="G11" s="3" t="str">
        <f>IF(ISNA(VLOOKUP($A11,StockMaster,COLUMN(StockCode!$C$4),0))=TRUE,"error",VLOOKUP($A11,StockMaster,COLUMN(StockCode!$C$4),0))</f>
        <v>Units</v>
      </c>
      <c r="H11" s="3" t="str">
        <f>IF(ISNA(VLOOKUP($A11,StockMaster,COLUMN(StockCode!$E$4),0))=TRUE,"All",VLOOKUP($A11,StockMaster,COLUMN(StockCode!$E$4),0))</f>
        <v>All</v>
      </c>
      <c r="I11" s="2" t="str">
        <f>IF(ISNA(VLOOKUP($B11,StockMaster,COLUMN(StockCode!$B$4),0))=TRUE,"does not exist",VLOOKUP($B11,StockMaster,COLUMN(StockCode!$B$4),0))</f>
        <v>Labour - Grade 1</v>
      </c>
      <c r="J11" s="3" t="str">
        <f>IF(ISNA(VLOOKUP($B11,StockMaster,COLUMN(StockCode!$C$4),0))=TRUE,"error",VLOOKUP($B11,StockMaster,COLUMN(StockCode!$C$4),0))</f>
        <v>Hours</v>
      </c>
      <c r="K11" s="3" t="str">
        <f>IF(ISNA(VLOOKUP($B11,StockMaster,COLUMN(StockCode!$G$4),0))=TRUE,0,VLOOKUP($B11,StockMaster,COLUMN(StockCode!$G$4),0))</f>
        <v>Bought-In</v>
      </c>
      <c r="L11" s="3" t="str">
        <f t="shared" si="1"/>
        <v>Y</v>
      </c>
      <c r="M11" s="5">
        <f>IF($K11="Manufactured",0,IF(ISNA(VLOOKUP($B11,StockMaster,COLUMN(StockCode!$D$4),0))=TRUE,0,VLOOKUP($B11,StockMaster,COLUMN(StockCode!$D$4),0)))</f>
        <v>20</v>
      </c>
      <c r="N11" s="5">
        <f t="shared" si="2"/>
        <v>6</v>
      </c>
      <c r="O11" s="5">
        <f t="shared" si="3"/>
        <v>0</v>
      </c>
      <c r="P11" s="5">
        <f t="shared" si="4"/>
        <v>0</v>
      </c>
      <c r="Q11" s="4">
        <f t="shared" si="5"/>
        <v>6</v>
      </c>
      <c r="R11" s="4">
        <f ca="1">IF($K11="Manufactured",0,IF(ISNA(VLOOKUP($B11,StockMaster,COLUMN(StockCode!$AA$4),0))=TRUE,0,VLOOKUP($B11,StockMaster,COLUMN(StockCode!$AA$4),0)))</f>
        <v>20.330774751337231</v>
      </c>
      <c r="S11" s="4">
        <f t="shared" ca="1" si="6"/>
        <v>6.0992324254011692</v>
      </c>
      <c r="T11" s="4">
        <f t="shared" si="7"/>
        <v>0</v>
      </c>
      <c r="U11" s="4">
        <f t="shared" si="8"/>
        <v>0</v>
      </c>
      <c r="V11" s="4">
        <f t="shared" ca="1" si="9"/>
        <v>6.0992324254011692</v>
      </c>
      <c r="W11" s="4">
        <f ca="1">IF(ISNA(VLOOKUP($A11,StockMaster,COLUMN(StockCode!$P$4),0))=TRUE,0,IF($D11=0,0,(VLOOKUP($A11,StockMaster,COLUMN(StockCode!$P$4),0)*$C11/$D11)))</f>
        <v>0</v>
      </c>
      <c r="X11" s="4" cm="1">
        <f t="array" aca="1" ref="X11" ca="1">IF($D11=0,0,SUMIFS(TLevel1,BOMComp,$A11,BOMLevel,"&lt;&gt;First")*$C11/$D11)</f>
        <v>0</v>
      </c>
      <c r="Y11" s="4" cm="1">
        <f t="array" aca="1" ref="Y11" ca="1">IF($D11=0,0,SUMIFS(TLevel2,BOMComp,$A11,BOMLevel,"&lt;&gt;First")*$C11/$D11)</f>
        <v>2551.5789473684208</v>
      </c>
      <c r="Z11" s="4" cm="1">
        <f t="array" aca="1" ref="Z11" ca="1">IF($D11=0,0,SUMIFS(TLevel3,BOMComp,$A11,BOMLevel,"&lt;&gt;First")*$C11/$D11)</f>
        <v>124.8</v>
      </c>
      <c r="AA11" s="4" cm="1">
        <f t="array" ref="AA11">IF($D11=0,0,SUMIFS(TLevel4,BOMComp,$A11,BOMLevel,"&lt;&gt;First")*$C11/$D11)</f>
        <v>0</v>
      </c>
      <c r="AB11" s="4" cm="1">
        <f t="array" ref="AB11">IF($D11=0,0,SUMIFS(TLevel5,BOMComp,$A11,BOMLevel,"&lt;&gt;First")*$C11/$D11)</f>
        <v>0</v>
      </c>
      <c r="AC11" s="4">
        <f>IF(ISNA(VLOOKUP($A11,JRCode,COLUMN(JReview!$D$4),0))=TRUE,0,IF($D11=0,0,VLOOKUP($A11,JRCode,COLUMN(JReview!$D$4),0)*$C11/$D11))</f>
        <v>0</v>
      </c>
      <c r="AD11" s="4" cm="1">
        <f t="array" ref="AD11">IF($D11=0,0,SUMIFS(JLevel1,BOMComp,$A11,BOMLevel,"&lt;&gt;First")*$C11/$D11)</f>
        <v>0</v>
      </c>
      <c r="AE11" s="4" cm="1">
        <f t="array" ref="AE11">IF($D11=0,0,SUMIFS(JLevel2,BOMComp,$A11,BOMLevel,"&lt;&gt;First")*$C11/$D11)</f>
        <v>252.63157894736844</v>
      </c>
      <c r="AF11" s="4" cm="1">
        <f t="array" ref="AF11">IF($D11=0,0,SUMIFS(JLevel3,BOMComp,$A11,BOMLevel,"&lt;&gt;First")*$C11/$D11)</f>
        <v>0</v>
      </c>
      <c r="AG11" s="4" cm="1">
        <f t="array" ref="AG11">IF($D11=0,0,SUMIFS(JLevel4,BOMComp,$A11,BOMLevel,"&lt;&gt;First")*$C11/$D11)</f>
        <v>0</v>
      </c>
      <c r="AH11" s="4" cm="1">
        <f t="array" ref="AH11">IF($D11=0,0,SUMIFS(JLevel5,BOMComp,$A11,BOMLevel,"&lt;&gt;First")*$C11/$D11)</f>
        <v>0</v>
      </c>
      <c r="AI11" s="4">
        <f>IF(ISNA(VLOOKUP($A11,JRCode,COLUMN(JReview!$E$4),0))=TRUE,0,IF($D11=0,0,VLOOKUP($A11,JRCode,COLUMN(JReview!$E$4),0)*$C11/$D11))</f>
        <v>0</v>
      </c>
      <c r="AJ11" s="4" cm="1">
        <f t="array" ref="AJ11">IF($D11=0,0,SUMIFS(JRLevel1,BOMComp,$A11,BOMLevel,"&lt;&gt;First")*$C11/$D11)</f>
        <v>0</v>
      </c>
      <c r="AK11" s="4" cm="1">
        <f t="array" ref="AK11">IF($D11=0,0,SUMIFS(JRLevel2,BOMComp,$A11,BOMLevel,"&lt;&gt;First")*$C11/$D11)</f>
        <v>265.26315789473682</v>
      </c>
      <c r="AL11" s="4" cm="1">
        <f t="array" ref="AL11">IF($D11=0,0,SUMIFS(JRLevel3,BOMComp,$A11,BOMLevel,"&lt;&gt;First")*$C11/$D11)</f>
        <v>0</v>
      </c>
      <c r="AM11" s="4" cm="1">
        <f t="array" ref="AM11">IF($D11=0,0,SUMIFS(JRLevel4,BOMComp,$A11,BOMLevel,"&lt;&gt;First")*$C11/$D11)</f>
        <v>0</v>
      </c>
      <c r="AN11" s="4" cm="1">
        <f t="array" ref="AN11">IF($D11=0,0,SUMIFS(JRLevel5,BOMComp,$A11,BOMLevel,"&lt;&gt;First")*$C11/$D11)</f>
        <v>0</v>
      </c>
      <c r="AO11" s="5">
        <f>IF(ISNA(VLOOKUP($A11,Require,COLUMN(ReqPlan!$E$6),0))=TRUE,0,IF($D11=0,0,VLOOKUP($A11,Require,COLUMN(ReqPlan!$E$6),0)*$C11/$D11))</f>
        <v>0</v>
      </c>
      <c r="AP11" s="5" cm="1">
        <f t="array" ref="AP11">IF($D11=0,0,SUMIFS(RLevel1,BOMComp,$A11,BOMLevel,"&lt;&gt;First")*$C11/$D11)</f>
        <v>0</v>
      </c>
      <c r="AQ11" s="5" cm="1">
        <f t="array" ref="AQ11">IF($D11=0,0,SUMIFS(RLevel2,BOMComp,$A11,BOMLevel,"&lt;&gt;First")*$C11/$D11)</f>
        <v>1263.1578947368423</v>
      </c>
      <c r="AR11" s="5" cm="1">
        <f t="array" ref="AR11">IF($D11=0,0,SUMIFS(RLevel3,BOMComp,$A11,BOMLevel,"&lt;&gt;First")*$C11/$D11)</f>
        <v>0</v>
      </c>
      <c r="AS11" s="5" cm="1">
        <f t="array" ref="AS11">IF($D11=0,0,SUMIFS(RLevel4,BOMComp,$A11,BOMLevel,"&lt;&gt;First")*$C11/$D11)</f>
        <v>0</v>
      </c>
      <c r="AT11" s="5" cm="1">
        <f t="array" ref="AT11">IF($D11=0,0,SUMIFS(RLevel5,BOMComp,$A11,BOMLevel,"&lt;&gt;First")*$C11/$D11)</f>
        <v>0</v>
      </c>
    </row>
    <row r="12" spans="1:46" ht="16.149999999999999" customHeight="1" x14ac:dyDescent="0.25">
      <c r="A12" s="2" t="s">
        <v>59</v>
      </c>
      <c r="B12" s="2" t="s">
        <v>43</v>
      </c>
      <c r="C12" s="33">
        <v>10</v>
      </c>
      <c r="D12" s="34">
        <v>0.9</v>
      </c>
      <c r="E12" s="35" t="str">
        <f t="shared" si="0"/>
        <v>-</v>
      </c>
      <c r="F12" s="2" t="str">
        <f>IF(ISNA(VLOOKUP($A12,StockMaster,COLUMN(StockCode!$B$4),0))=TRUE,"does not exist",VLOOKUP($A12,StockMaster,COLUMN(StockCode!$B$4),0))</f>
        <v>Roof</v>
      </c>
      <c r="G12" s="3" t="str">
        <f>IF(ISNA(VLOOKUP($A12,StockMaster,COLUMN(StockCode!$C$4),0))=TRUE,"error",VLOOKUP($A12,StockMaster,COLUMN(StockCode!$C$4),0))</f>
        <v>Units</v>
      </c>
      <c r="H12" s="3" t="str">
        <f>IF(ISNA(VLOOKUP($A12,StockMaster,COLUMN(StockCode!$E$4),0))=TRUE,"All",VLOOKUP($A12,StockMaster,COLUMN(StockCode!$E$4),0))</f>
        <v>All</v>
      </c>
      <c r="I12" s="2" t="str">
        <f>IF(ISNA(VLOOKUP($B12,StockMaster,COLUMN(StockCode!$B$4),0))=TRUE,"does not exist",VLOOKUP($B12,StockMaster,COLUMN(StockCode!$B$4),0))</f>
        <v>Steel Plates</v>
      </c>
      <c r="J12" s="3" t="str">
        <f>IF(ISNA(VLOOKUP($B12,StockMaster,COLUMN(StockCode!$C$4),0))=TRUE,"error",VLOOKUP($B12,StockMaster,COLUMN(StockCode!$C$4),0))</f>
        <v>M2</v>
      </c>
      <c r="K12" s="3" t="str">
        <f>IF(ISNA(VLOOKUP($B12,StockMaster,COLUMN(StockCode!$G$4),0))=TRUE,0,VLOOKUP($B12,StockMaster,COLUMN(StockCode!$G$4),0))</f>
        <v>Bought-In</v>
      </c>
      <c r="L12" s="3" t="str">
        <f t="shared" si="1"/>
        <v>Y</v>
      </c>
      <c r="M12" s="5">
        <f>IF($K12="Manufactured",0,IF(ISNA(VLOOKUP($B12,StockMaster,COLUMN(StockCode!$D$4),0))=TRUE,0,VLOOKUP($B12,StockMaster,COLUMN(StockCode!$D$4),0)))</f>
        <v>140</v>
      </c>
      <c r="N12" s="5">
        <f t="shared" si="2"/>
        <v>1555.5555555555554</v>
      </c>
      <c r="O12" s="5">
        <f t="shared" si="3"/>
        <v>0</v>
      </c>
      <c r="P12" s="5">
        <f t="shared" si="4"/>
        <v>0</v>
      </c>
      <c r="Q12" s="4">
        <f t="shared" si="5"/>
        <v>1555.5555555555554</v>
      </c>
      <c r="R12" s="4">
        <f ca="1">IF($K12="Manufactured",0,IF(ISNA(VLOOKUP($B12,StockMaster,COLUMN(StockCode!$AA$4),0))=TRUE,0,VLOOKUP($B12,StockMaster,COLUMN(StockCode!$AA$4),0)))</f>
        <v>140</v>
      </c>
      <c r="S12" s="4">
        <f t="shared" ca="1" si="6"/>
        <v>1555.5555555555554</v>
      </c>
      <c r="T12" s="4">
        <f t="shared" si="7"/>
        <v>0</v>
      </c>
      <c r="U12" s="4">
        <f t="shared" si="8"/>
        <v>0</v>
      </c>
      <c r="V12" s="4">
        <f t="shared" ca="1" si="9"/>
        <v>1555.5555555555554</v>
      </c>
      <c r="W12" s="4">
        <f ca="1">IF(ISNA(VLOOKUP($A12,StockMaster,COLUMN(StockCode!$P$4),0))=TRUE,0,IF($D12=0,0,(VLOOKUP($A12,StockMaster,COLUMN(StockCode!$P$4),0)*$C12/$D12)))</f>
        <v>0</v>
      </c>
      <c r="X12" s="4" cm="1">
        <f t="array" aca="1" ref="X12" ca="1">IF($D12=0,0,SUMIFS(TLevel1,BOMComp,$A12,BOMLevel,"&lt;&gt;First")*$C12/$D12)</f>
        <v>13188.888888888889</v>
      </c>
      <c r="Y12" s="4" cm="1">
        <f t="array" ref="Y12">IF($D12=0,0,SUMIFS(TLevel2,BOMComp,$A12,BOMLevel,"&lt;&gt;First")*$C12/$D12)</f>
        <v>0</v>
      </c>
      <c r="Z12" s="4" cm="1">
        <f t="array" ref="Z12">IF($D12=0,0,SUMIFS(TLevel3,BOMComp,$A12,BOMLevel,"&lt;&gt;First")*$C12/$D12)</f>
        <v>0</v>
      </c>
      <c r="AA12" s="4" cm="1">
        <f t="array" ref="AA12">IF($D12=0,0,SUMIFS(TLevel4,BOMComp,$A12,BOMLevel,"&lt;&gt;First")*$C12/$D12)</f>
        <v>0</v>
      </c>
      <c r="AB12" s="4" cm="1">
        <f t="array" ref="AB12">IF($D12=0,0,SUMIFS(TLevel5,BOMComp,$A12,BOMLevel,"&lt;&gt;First")*$C12/$D12)</f>
        <v>0</v>
      </c>
      <c r="AC12" s="4">
        <f>IF(ISNA(VLOOKUP($A12,JRCode,COLUMN(JReview!$D$4),0))=TRUE,0,IF($D12=0,0,VLOOKUP($A12,JRCode,COLUMN(JReview!$D$4),0)*$C12/$D12))</f>
        <v>0</v>
      </c>
      <c r="AD12" s="4" cm="1">
        <f t="array" ref="AD12">IF($D12=0,0,SUMIFS(JLevel1,BOMComp,$A12,BOMLevel,"&lt;&gt;First")*$C12/$D12)</f>
        <v>1111.1111111111111</v>
      </c>
      <c r="AE12" s="4" cm="1">
        <f t="array" ref="AE12">IF($D12=0,0,SUMIFS(JLevel2,BOMComp,$A12,BOMLevel,"&lt;&gt;First")*$C12/$D12)</f>
        <v>0</v>
      </c>
      <c r="AF12" s="4" cm="1">
        <f t="array" ref="AF12">IF($D12=0,0,SUMIFS(JLevel3,BOMComp,$A12,BOMLevel,"&lt;&gt;First")*$C12/$D12)</f>
        <v>0</v>
      </c>
      <c r="AG12" s="4" cm="1">
        <f t="array" ref="AG12">IF($D12=0,0,SUMIFS(JLevel4,BOMComp,$A12,BOMLevel,"&lt;&gt;First")*$C12/$D12)</f>
        <v>0</v>
      </c>
      <c r="AH12" s="4" cm="1">
        <f t="array" ref="AH12">IF($D12=0,0,SUMIFS(JLevel5,BOMComp,$A12,BOMLevel,"&lt;&gt;First")*$C12/$D12)</f>
        <v>0</v>
      </c>
      <c r="AI12" s="4">
        <f>IF(ISNA(VLOOKUP($A12,JRCode,COLUMN(JReview!$E$4),0))=TRUE,0,IF($D12=0,0,VLOOKUP($A12,JRCode,COLUMN(JReview!$E$4),0)*$C12/$D12))</f>
        <v>0</v>
      </c>
      <c r="AJ12" s="4" cm="1">
        <f t="array" ref="AJ12">IF($D12=0,0,SUMIFS(JRLevel1,BOMComp,$A12,BOMLevel,"&lt;&gt;First")*$C12/$D12)</f>
        <v>1166.6666666666667</v>
      </c>
      <c r="AK12" s="4" cm="1">
        <f t="array" ref="AK12">IF($D12=0,0,SUMIFS(JRLevel2,BOMComp,$A12,BOMLevel,"&lt;&gt;First")*$C12/$D12)</f>
        <v>0</v>
      </c>
      <c r="AL12" s="4" cm="1">
        <f t="array" ref="AL12">IF($D12=0,0,SUMIFS(JRLevel3,BOMComp,$A12,BOMLevel,"&lt;&gt;First")*$C12/$D12)</f>
        <v>0</v>
      </c>
      <c r="AM12" s="4" cm="1">
        <f t="array" ref="AM12">IF($D12=0,0,SUMIFS(JRLevel4,BOMComp,$A12,BOMLevel,"&lt;&gt;First")*$C12/$D12)</f>
        <v>0</v>
      </c>
      <c r="AN12" s="4" cm="1">
        <f t="array" ref="AN12">IF($D12=0,0,SUMIFS(JRLevel5,BOMComp,$A12,BOMLevel,"&lt;&gt;First")*$C12/$D12)</f>
        <v>0</v>
      </c>
      <c r="AO12" s="5">
        <f>IF(ISNA(VLOOKUP($A12,Require,COLUMN(ReqPlan!$E$6),0))=TRUE,0,IF($D12=0,0,VLOOKUP($A12,Require,COLUMN(ReqPlan!$E$6),0)*$C12/$D12))</f>
        <v>0</v>
      </c>
      <c r="AP12" s="5" cm="1">
        <f t="array" ref="AP12">IF($D12=0,0,SUMIFS(RLevel1,BOMComp,$A12,BOMLevel,"&lt;&gt;First")*$C12/$D12)</f>
        <v>6111.1111111111113</v>
      </c>
      <c r="AQ12" s="5" cm="1">
        <f t="array" ref="AQ12">IF($D12=0,0,SUMIFS(RLevel2,BOMComp,$A12,BOMLevel,"&lt;&gt;First")*$C12/$D12)</f>
        <v>0</v>
      </c>
      <c r="AR12" s="5" cm="1">
        <f t="array" ref="AR12">IF($D12=0,0,SUMIFS(RLevel3,BOMComp,$A12,BOMLevel,"&lt;&gt;First")*$C12/$D12)</f>
        <v>0</v>
      </c>
      <c r="AS12" s="5" cm="1">
        <f t="array" ref="AS12">IF($D12=0,0,SUMIFS(RLevel4,BOMComp,$A12,BOMLevel,"&lt;&gt;First")*$C12/$D12)</f>
        <v>0</v>
      </c>
      <c r="AT12" s="5" cm="1">
        <f t="array" ref="AT12">IF($D12=0,0,SUMIFS(RLevel5,BOMComp,$A12,BOMLevel,"&lt;&gt;First")*$C12/$D12)</f>
        <v>0</v>
      </c>
    </row>
    <row r="13" spans="1:46" ht="16.149999999999999" customHeight="1" x14ac:dyDescent="0.25">
      <c r="A13" s="2" t="s">
        <v>59</v>
      </c>
      <c r="B13" s="2" t="s">
        <v>48</v>
      </c>
      <c r="C13" s="33">
        <v>1</v>
      </c>
      <c r="D13" s="34">
        <v>0.9</v>
      </c>
      <c r="E13" s="35" t="str">
        <f t="shared" si="0"/>
        <v>-</v>
      </c>
      <c r="F13" s="2" t="str">
        <f>IF(ISNA(VLOOKUP($A13,StockMaster,COLUMN(StockCode!$B$4),0))=TRUE,"does not exist",VLOOKUP($A13,StockMaster,COLUMN(StockCode!$B$4),0))</f>
        <v>Roof</v>
      </c>
      <c r="G13" s="3" t="str">
        <f>IF(ISNA(VLOOKUP($A13,StockMaster,COLUMN(StockCode!$C$4),0))=TRUE,"error",VLOOKUP($A13,StockMaster,COLUMN(StockCode!$C$4),0))</f>
        <v>Units</v>
      </c>
      <c r="H13" s="3" t="str">
        <f>IF(ISNA(VLOOKUP($A13,StockMaster,COLUMN(StockCode!$E$4),0))=TRUE,"All",VLOOKUP($A13,StockMaster,COLUMN(StockCode!$E$4),0))</f>
        <v>All</v>
      </c>
      <c r="I13" s="2" t="str">
        <f>IF(ISNA(VLOOKUP($B13,StockMaster,COLUMN(StockCode!$B$4),0))=TRUE,"does not exist",VLOOKUP($B13,StockMaster,COLUMN(StockCode!$B$4),0))</f>
        <v>Wood</v>
      </c>
      <c r="J13" s="3" t="str">
        <f>IF(ISNA(VLOOKUP($B13,StockMaster,COLUMN(StockCode!$C$4),0))=TRUE,"error",VLOOKUP($B13,StockMaster,COLUMN(StockCode!$C$4),0))</f>
        <v>M2</v>
      </c>
      <c r="K13" s="3" t="str">
        <f>IF(ISNA(VLOOKUP($B13,StockMaster,COLUMN(StockCode!$G$4),0))=TRUE,0,VLOOKUP($B13,StockMaster,COLUMN(StockCode!$G$4),0))</f>
        <v>Bought-In</v>
      </c>
      <c r="L13" s="3" t="str">
        <f t="shared" si="1"/>
        <v>Y</v>
      </c>
      <c r="M13" s="5">
        <f>IF($K13="Manufactured",0,IF(ISNA(VLOOKUP($B13,StockMaster,COLUMN(StockCode!$D$4),0))=TRUE,0,VLOOKUP($B13,StockMaster,COLUMN(StockCode!$D$4),0)))</f>
        <v>120</v>
      </c>
      <c r="N13" s="5">
        <f t="shared" si="2"/>
        <v>133.33333333333334</v>
      </c>
      <c r="O13" s="5">
        <f t="shared" si="3"/>
        <v>0</v>
      </c>
      <c r="P13" s="5">
        <f t="shared" si="4"/>
        <v>0</v>
      </c>
      <c r="Q13" s="4">
        <f t="shared" si="5"/>
        <v>133.33333333333334</v>
      </c>
      <c r="R13" s="4">
        <f ca="1">IF($K13="Manufactured",0,IF(ISNA(VLOOKUP($B13,StockMaster,COLUMN(StockCode!$AA$4),0))=TRUE,0,VLOOKUP($B13,StockMaster,COLUMN(StockCode!$AA$4),0)))</f>
        <v>124.21322263327481</v>
      </c>
      <c r="S13" s="4">
        <f t="shared" ca="1" si="6"/>
        <v>138.0146918147498</v>
      </c>
      <c r="T13" s="4">
        <f t="shared" si="7"/>
        <v>0</v>
      </c>
      <c r="U13" s="4">
        <f t="shared" si="8"/>
        <v>0</v>
      </c>
      <c r="V13" s="4">
        <f t="shared" ca="1" si="9"/>
        <v>138.0146918147498</v>
      </c>
      <c r="W13" s="4">
        <f ca="1">IF(ISNA(VLOOKUP($A13,StockMaster,COLUMN(StockCode!$P$4),0))=TRUE,0,IF($D13=0,0,(VLOOKUP($A13,StockMaster,COLUMN(StockCode!$P$4),0)*$C13/$D13)))</f>
        <v>0</v>
      </c>
      <c r="X13" s="4" cm="1">
        <f t="array" aca="1" ref="X13" ca="1">IF($D13=0,0,SUMIFS(TLevel1,BOMComp,$A13,BOMLevel,"&lt;&gt;First")*$C13/$D13)</f>
        <v>1318.8888888888889</v>
      </c>
      <c r="Y13" s="4" cm="1">
        <f t="array" ref="Y13">IF($D13=0,0,SUMIFS(TLevel2,BOMComp,$A13,BOMLevel,"&lt;&gt;First")*$C13/$D13)</f>
        <v>0</v>
      </c>
      <c r="Z13" s="4" cm="1">
        <f t="array" ref="Z13">IF($D13=0,0,SUMIFS(TLevel3,BOMComp,$A13,BOMLevel,"&lt;&gt;First")*$C13/$D13)</f>
        <v>0</v>
      </c>
      <c r="AA13" s="4" cm="1">
        <f t="array" ref="AA13">IF($D13=0,0,SUMIFS(TLevel4,BOMComp,$A13,BOMLevel,"&lt;&gt;First")*$C13/$D13)</f>
        <v>0</v>
      </c>
      <c r="AB13" s="4" cm="1">
        <f t="array" ref="AB13">IF($D13=0,0,SUMIFS(TLevel5,BOMComp,$A13,BOMLevel,"&lt;&gt;First")*$C13/$D13)</f>
        <v>0</v>
      </c>
      <c r="AC13" s="4">
        <f>IF(ISNA(VLOOKUP($A13,JRCode,COLUMN(JReview!$D$4),0))=TRUE,0,IF($D13=0,0,VLOOKUP($A13,JRCode,COLUMN(JReview!$D$4),0)*$C13/$D13))</f>
        <v>0</v>
      </c>
      <c r="AD13" s="4" cm="1">
        <f t="array" ref="AD13">IF($D13=0,0,SUMIFS(JLevel1,BOMComp,$A13,BOMLevel,"&lt;&gt;First")*$C13/$D13)</f>
        <v>111.11111111111111</v>
      </c>
      <c r="AE13" s="4" cm="1">
        <f t="array" ref="AE13">IF($D13=0,0,SUMIFS(JLevel2,BOMComp,$A13,BOMLevel,"&lt;&gt;First")*$C13/$D13)</f>
        <v>0</v>
      </c>
      <c r="AF13" s="4" cm="1">
        <f t="array" ref="AF13">IF($D13=0,0,SUMIFS(JLevel3,BOMComp,$A13,BOMLevel,"&lt;&gt;First")*$C13/$D13)</f>
        <v>0</v>
      </c>
      <c r="AG13" s="4" cm="1">
        <f t="array" ref="AG13">IF($D13=0,0,SUMIFS(JLevel4,BOMComp,$A13,BOMLevel,"&lt;&gt;First")*$C13/$D13)</f>
        <v>0</v>
      </c>
      <c r="AH13" s="4" cm="1">
        <f t="array" ref="AH13">IF($D13=0,0,SUMIFS(JLevel5,BOMComp,$A13,BOMLevel,"&lt;&gt;First")*$C13/$D13)</f>
        <v>0</v>
      </c>
      <c r="AI13" s="4">
        <f>IF(ISNA(VLOOKUP($A13,JRCode,COLUMN(JReview!$E$4),0))=TRUE,0,IF($D13=0,0,VLOOKUP($A13,JRCode,COLUMN(JReview!$E$4),0)*$C13/$D13))</f>
        <v>0</v>
      </c>
      <c r="AJ13" s="4" cm="1">
        <f t="array" ref="AJ13">IF($D13=0,0,SUMIFS(JRLevel1,BOMComp,$A13,BOMLevel,"&lt;&gt;First")*$C13/$D13)</f>
        <v>116.66666666666666</v>
      </c>
      <c r="AK13" s="4" cm="1">
        <f t="array" ref="AK13">IF($D13=0,0,SUMIFS(JRLevel2,BOMComp,$A13,BOMLevel,"&lt;&gt;First")*$C13/$D13)</f>
        <v>0</v>
      </c>
      <c r="AL13" s="4" cm="1">
        <f t="array" ref="AL13">IF($D13=0,0,SUMIFS(JRLevel3,BOMComp,$A13,BOMLevel,"&lt;&gt;First")*$C13/$D13)</f>
        <v>0</v>
      </c>
      <c r="AM13" s="4" cm="1">
        <f t="array" ref="AM13">IF($D13=0,0,SUMIFS(JRLevel4,BOMComp,$A13,BOMLevel,"&lt;&gt;First")*$C13/$D13)</f>
        <v>0</v>
      </c>
      <c r="AN13" s="4" cm="1">
        <f t="array" ref="AN13">IF($D13=0,0,SUMIFS(JRLevel5,BOMComp,$A13,BOMLevel,"&lt;&gt;First")*$C13/$D13)</f>
        <v>0</v>
      </c>
      <c r="AO13" s="5">
        <f>IF(ISNA(VLOOKUP($A13,Require,COLUMN(ReqPlan!$E$6),0))=TRUE,0,IF($D13=0,0,VLOOKUP($A13,Require,COLUMN(ReqPlan!$E$6),0)*$C13/$D13))</f>
        <v>0</v>
      </c>
      <c r="AP13" s="5" cm="1">
        <f t="array" ref="AP13">IF($D13=0,0,SUMIFS(RLevel1,BOMComp,$A13,BOMLevel,"&lt;&gt;First")*$C13/$D13)</f>
        <v>611.11111111111109</v>
      </c>
      <c r="AQ13" s="5" cm="1">
        <f t="array" ref="AQ13">IF($D13=0,0,SUMIFS(RLevel2,BOMComp,$A13,BOMLevel,"&lt;&gt;First")*$C13/$D13)</f>
        <v>0</v>
      </c>
      <c r="AR13" s="5" cm="1">
        <f t="array" ref="AR13">IF($D13=0,0,SUMIFS(RLevel3,BOMComp,$A13,BOMLevel,"&lt;&gt;First")*$C13/$D13)</f>
        <v>0</v>
      </c>
      <c r="AS13" s="5" cm="1">
        <f t="array" ref="AS13">IF($D13=0,0,SUMIFS(RLevel4,BOMComp,$A13,BOMLevel,"&lt;&gt;First")*$C13/$D13)</f>
        <v>0</v>
      </c>
      <c r="AT13" s="5" cm="1">
        <f t="array" ref="AT13">IF($D13=0,0,SUMIFS(RLevel5,BOMComp,$A13,BOMLevel,"&lt;&gt;First")*$C13/$D13)</f>
        <v>0</v>
      </c>
    </row>
    <row r="14" spans="1:46" ht="16.149999999999999" customHeight="1" x14ac:dyDescent="0.25">
      <c r="A14" s="2" t="s">
        <v>59</v>
      </c>
      <c r="B14" s="2" t="s">
        <v>70</v>
      </c>
      <c r="C14" s="33">
        <v>1</v>
      </c>
      <c r="D14" s="34">
        <v>0.9</v>
      </c>
      <c r="E14" s="35" t="str">
        <f t="shared" si="0"/>
        <v>-</v>
      </c>
      <c r="F14" s="2" t="str">
        <f>IF(ISNA(VLOOKUP($A14,StockMaster,COLUMN(StockCode!$B$4),0))=TRUE,"does not exist",VLOOKUP($A14,StockMaster,COLUMN(StockCode!$B$4),0))</f>
        <v>Roof</v>
      </c>
      <c r="G14" s="3" t="str">
        <f>IF(ISNA(VLOOKUP($A14,StockMaster,COLUMN(StockCode!$C$4),0))=TRUE,"error",VLOOKUP($A14,StockMaster,COLUMN(StockCode!$C$4),0))</f>
        <v>Units</v>
      </c>
      <c r="H14" s="3" t="str">
        <f>IF(ISNA(VLOOKUP($A14,StockMaster,COLUMN(StockCode!$E$4),0))=TRUE,"All",VLOOKUP($A14,StockMaster,COLUMN(StockCode!$E$4),0))</f>
        <v>All</v>
      </c>
      <c r="I14" s="2" t="str">
        <f>IF(ISNA(VLOOKUP($B14,StockMaster,COLUMN(StockCode!$B$4),0))=TRUE,"does not exist",VLOOKUP($B14,StockMaster,COLUMN(StockCode!$B$4),0))</f>
        <v>2 Inch Screws</v>
      </c>
      <c r="J14" s="3" t="str">
        <f>IF(ISNA(VLOOKUP($B14,StockMaster,COLUMN(StockCode!$C$4),0))=TRUE,"error",VLOOKUP($B14,StockMaster,COLUMN(StockCode!$C$4),0))</f>
        <v>Bag</v>
      </c>
      <c r="K14" s="3" t="str">
        <f>IF(ISNA(VLOOKUP($B14,StockMaster,COLUMN(StockCode!$G$4),0))=TRUE,0,VLOOKUP($B14,StockMaster,COLUMN(StockCode!$G$4),0))</f>
        <v>Bought-In</v>
      </c>
      <c r="L14" s="3" t="str">
        <f t="shared" si="1"/>
        <v>Y</v>
      </c>
      <c r="M14" s="5">
        <f>IF($K14="Manufactured",0,IF(ISNA(VLOOKUP($B14,StockMaster,COLUMN(StockCode!$D$4),0))=TRUE,0,VLOOKUP($B14,StockMaster,COLUMN(StockCode!$D$4),0)))</f>
        <v>50</v>
      </c>
      <c r="N14" s="5">
        <f t="shared" si="2"/>
        <v>55.555555555555557</v>
      </c>
      <c r="O14" s="5">
        <f t="shared" si="3"/>
        <v>0</v>
      </c>
      <c r="P14" s="5">
        <f t="shared" si="4"/>
        <v>0</v>
      </c>
      <c r="Q14" s="4">
        <f t="shared" si="5"/>
        <v>55.555555555555557</v>
      </c>
      <c r="R14" s="4">
        <f ca="1">IF($K14="Manufactured",0,IF(ISNA(VLOOKUP($B14,StockMaster,COLUMN(StockCode!$AA$4),0))=TRUE,0,VLOOKUP($B14,StockMaster,COLUMN(StockCode!$AA$4),0)))</f>
        <v>48.743512252808621</v>
      </c>
      <c r="S14" s="4">
        <f t="shared" ca="1" si="6"/>
        <v>54.15945805867625</v>
      </c>
      <c r="T14" s="4">
        <f t="shared" si="7"/>
        <v>0</v>
      </c>
      <c r="U14" s="4">
        <f t="shared" si="8"/>
        <v>0</v>
      </c>
      <c r="V14" s="4">
        <f t="shared" ca="1" si="9"/>
        <v>54.15945805867625</v>
      </c>
      <c r="W14" s="4">
        <f ca="1">IF(ISNA(VLOOKUP($A14,StockMaster,COLUMN(StockCode!$P$4),0))=TRUE,0,IF($D14=0,0,(VLOOKUP($A14,StockMaster,COLUMN(StockCode!$P$4),0)*$C14/$D14)))</f>
        <v>0</v>
      </c>
      <c r="X14" s="4" cm="1">
        <f t="array" aca="1" ref="X14" ca="1">IF($D14=0,0,SUMIFS(TLevel1,BOMComp,$A14,BOMLevel,"&lt;&gt;First")*$C14/$D14)</f>
        <v>1318.8888888888889</v>
      </c>
      <c r="Y14" s="4" cm="1">
        <f t="array" ref="Y14">IF($D14=0,0,SUMIFS(TLevel2,BOMComp,$A14,BOMLevel,"&lt;&gt;First")*$C14/$D14)</f>
        <v>0</v>
      </c>
      <c r="Z14" s="4" cm="1">
        <f t="array" ref="Z14">IF($D14=0,0,SUMIFS(TLevel3,BOMComp,$A14,BOMLevel,"&lt;&gt;First")*$C14/$D14)</f>
        <v>0</v>
      </c>
      <c r="AA14" s="4" cm="1">
        <f t="array" ref="AA14">IF($D14=0,0,SUMIFS(TLevel4,BOMComp,$A14,BOMLevel,"&lt;&gt;First")*$C14/$D14)</f>
        <v>0</v>
      </c>
      <c r="AB14" s="4" cm="1">
        <f t="array" ref="AB14">IF($D14=0,0,SUMIFS(TLevel5,BOMComp,$A14,BOMLevel,"&lt;&gt;First")*$C14/$D14)</f>
        <v>0</v>
      </c>
      <c r="AC14" s="4">
        <f>IF(ISNA(VLOOKUP($A14,JRCode,COLUMN(JReview!$D$4),0))=TRUE,0,IF($D14=0,0,VLOOKUP($A14,JRCode,COLUMN(JReview!$D$4),0)*$C14/$D14))</f>
        <v>0</v>
      </c>
      <c r="AD14" s="4" cm="1">
        <f t="array" ref="AD14">IF($D14=0,0,SUMIFS(JLevel1,BOMComp,$A14,BOMLevel,"&lt;&gt;First")*$C14/$D14)</f>
        <v>111.11111111111111</v>
      </c>
      <c r="AE14" s="4" cm="1">
        <f t="array" ref="AE14">IF($D14=0,0,SUMIFS(JLevel2,BOMComp,$A14,BOMLevel,"&lt;&gt;First")*$C14/$D14)</f>
        <v>0</v>
      </c>
      <c r="AF14" s="4" cm="1">
        <f t="array" ref="AF14">IF($D14=0,0,SUMIFS(JLevel3,BOMComp,$A14,BOMLevel,"&lt;&gt;First")*$C14/$D14)</f>
        <v>0</v>
      </c>
      <c r="AG14" s="4" cm="1">
        <f t="array" ref="AG14">IF($D14=0,0,SUMIFS(JLevel4,BOMComp,$A14,BOMLevel,"&lt;&gt;First")*$C14/$D14)</f>
        <v>0</v>
      </c>
      <c r="AH14" s="4" cm="1">
        <f t="array" ref="AH14">IF($D14=0,0,SUMIFS(JLevel5,BOMComp,$A14,BOMLevel,"&lt;&gt;First")*$C14/$D14)</f>
        <v>0</v>
      </c>
      <c r="AI14" s="4">
        <f>IF(ISNA(VLOOKUP($A14,JRCode,COLUMN(JReview!$E$4),0))=TRUE,0,IF($D14=0,0,VLOOKUP($A14,JRCode,COLUMN(JReview!$E$4),0)*$C14/$D14))</f>
        <v>0</v>
      </c>
      <c r="AJ14" s="4" cm="1">
        <f t="array" ref="AJ14">IF($D14=0,0,SUMIFS(JRLevel1,BOMComp,$A14,BOMLevel,"&lt;&gt;First")*$C14/$D14)</f>
        <v>116.66666666666666</v>
      </c>
      <c r="AK14" s="4" cm="1">
        <f t="array" ref="AK14">IF($D14=0,0,SUMIFS(JRLevel2,BOMComp,$A14,BOMLevel,"&lt;&gt;First")*$C14/$D14)</f>
        <v>0</v>
      </c>
      <c r="AL14" s="4" cm="1">
        <f t="array" ref="AL14">IF($D14=0,0,SUMIFS(JRLevel3,BOMComp,$A14,BOMLevel,"&lt;&gt;First")*$C14/$D14)</f>
        <v>0</v>
      </c>
      <c r="AM14" s="4" cm="1">
        <f t="array" ref="AM14">IF($D14=0,0,SUMIFS(JRLevel4,BOMComp,$A14,BOMLevel,"&lt;&gt;First")*$C14/$D14)</f>
        <v>0</v>
      </c>
      <c r="AN14" s="4" cm="1">
        <f t="array" ref="AN14">IF($D14=0,0,SUMIFS(JRLevel5,BOMComp,$A14,BOMLevel,"&lt;&gt;First")*$C14/$D14)</f>
        <v>0</v>
      </c>
      <c r="AO14" s="5">
        <f>IF(ISNA(VLOOKUP($A14,Require,COLUMN(ReqPlan!$E$6),0))=TRUE,0,IF($D14=0,0,VLOOKUP($A14,Require,COLUMN(ReqPlan!$E$6),0)*$C14/$D14))</f>
        <v>0</v>
      </c>
      <c r="AP14" s="5" cm="1">
        <f t="array" ref="AP14">IF($D14=0,0,SUMIFS(RLevel1,BOMComp,$A14,BOMLevel,"&lt;&gt;First")*$C14/$D14)</f>
        <v>611.11111111111109</v>
      </c>
      <c r="AQ14" s="5" cm="1">
        <f t="array" ref="AQ14">IF($D14=0,0,SUMIFS(RLevel2,BOMComp,$A14,BOMLevel,"&lt;&gt;First")*$C14/$D14)</f>
        <v>0</v>
      </c>
      <c r="AR14" s="5" cm="1">
        <f t="array" ref="AR14">IF($D14=0,0,SUMIFS(RLevel3,BOMComp,$A14,BOMLevel,"&lt;&gt;First")*$C14/$D14)</f>
        <v>0</v>
      </c>
      <c r="AS14" s="5" cm="1">
        <f t="array" ref="AS14">IF($D14=0,0,SUMIFS(RLevel4,BOMComp,$A14,BOMLevel,"&lt;&gt;First")*$C14/$D14)</f>
        <v>0</v>
      </c>
      <c r="AT14" s="5" cm="1">
        <f t="array" ref="AT14">IF($D14=0,0,SUMIFS(RLevel5,BOMComp,$A14,BOMLevel,"&lt;&gt;First")*$C14/$D14)</f>
        <v>0</v>
      </c>
    </row>
    <row r="15" spans="1:46" ht="16.149999999999999" customHeight="1" x14ac:dyDescent="0.25">
      <c r="A15" s="2" t="s">
        <v>59</v>
      </c>
      <c r="B15" s="2" t="s">
        <v>82</v>
      </c>
      <c r="C15" s="33">
        <v>1</v>
      </c>
      <c r="D15" s="34">
        <v>0.9</v>
      </c>
      <c r="E15" s="35" t="str">
        <f t="shared" si="0"/>
        <v>-</v>
      </c>
      <c r="F15" s="2" t="str">
        <f>IF(ISNA(VLOOKUP($A15,StockMaster,COLUMN(StockCode!$B$4),0))=TRUE,"does not exist",VLOOKUP($A15,StockMaster,COLUMN(StockCode!$B$4),0))</f>
        <v>Roof</v>
      </c>
      <c r="G15" s="3" t="str">
        <f>IF(ISNA(VLOOKUP($A15,StockMaster,COLUMN(StockCode!$C$4),0))=TRUE,"error",VLOOKUP($A15,StockMaster,COLUMN(StockCode!$C$4),0))</f>
        <v>Units</v>
      </c>
      <c r="H15" s="3" t="str">
        <f>IF(ISNA(VLOOKUP($A15,StockMaster,COLUMN(StockCode!$E$4),0))=TRUE,"All",VLOOKUP($A15,StockMaster,COLUMN(StockCode!$E$4),0))</f>
        <v>All</v>
      </c>
      <c r="I15" s="2" t="str">
        <f>IF(ISNA(VLOOKUP($B15,StockMaster,COLUMN(StockCode!$B$4),0))=TRUE,"does not exist",VLOOKUP($B15,StockMaster,COLUMN(StockCode!$B$4),0))</f>
        <v>Labour - Grade 1</v>
      </c>
      <c r="J15" s="3" t="str">
        <f>IF(ISNA(VLOOKUP($B15,StockMaster,COLUMN(StockCode!$C$4),0))=TRUE,"error",VLOOKUP($B15,StockMaster,COLUMN(StockCode!$C$4),0))</f>
        <v>Hours</v>
      </c>
      <c r="K15" s="3" t="str">
        <f>IF(ISNA(VLOOKUP($B15,StockMaster,COLUMN(StockCode!$G$4),0))=TRUE,0,VLOOKUP($B15,StockMaster,COLUMN(StockCode!$G$4),0))</f>
        <v>Bought-In</v>
      </c>
      <c r="L15" s="3" t="str">
        <f t="shared" si="1"/>
        <v>Y</v>
      </c>
      <c r="M15" s="5">
        <f>IF($K15="Manufactured",0,IF(ISNA(VLOOKUP($B15,StockMaster,COLUMN(StockCode!$D$4),0))=TRUE,0,VLOOKUP($B15,StockMaster,COLUMN(StockCode!$D$4),0)))</f>
        <v>20</v>
      </c>
      <c r="N15" s="5">
        <f t="shared" si="2"/>
        <v>22.222222222222221</v>
      </c>
      <c r="O15" s="5">
        <f t="shared" si="3"/>
        <v>0</v>
      </c>
      <c r="P15" s="5">
        <f t="shared" si="4"/>
        <v>0</v>
      </c>
      <c r="Q15" s="4">
        <f t="shared" si="5"/>
        <v>22.222222222222221</v>
      </c>
      <c r="R15" s="4">
        <f ca="1">IF($K15="Manufactured",0,IF(ISNA(VLOOKUP($B15,StockMaster,COLUMN(StockCode!$AA$4),0))=TRUE,0,VLOOKUP($B15,StockMaster,COLUMN(StockCode!$AA$4),0)))</f>
        <v>20.330774751337231</v>
      </c>
      <c r="S15" s="4">
        <f t="shared" ca="1" si="6"/>
        <v>22.589749723708035</v>
      </c>
      <c r="T15" s="4">
        <f t="shared" si="7"/>
        <v>0</v>
      </c>
      <c r="U15" s="4">
        <f t="shared" si="8"/>
        <v>0</v>
      </c>
      <c r="V15" s="4">
        <f t="shared" ca="1" si="9"/>
        <v>22.589749723708035</v>
      </c>
      <c r="W15" s="4">
        <f ca="1">IF(ISNA(VLOOKUP($A15,StockMaster,COLUMN(StockCode!$P$4),0))=TRUE,0,IF($D15=0,0,(VLOOKUP($A15,StockMaster,COLUMN(StockCode!$P$4),0)*$C15/$D15)))</f>
        <v>0</v>
      </c>
      <c r="X15" s="4" cm="1">
        <f t="array" aca="1" ref="X15" ca="1">IF($D15=0,0,SUMIFS(TLevel1,BOMComp,$A15,BOMLevel,"&lt;&gt;First")*$C15/$D15)</f>
        <v>1318.8888888888889</v>
      </c>
      <c r="Y15" s="4" cm="1">
        <f t="array" ref="Y15">IF($D15=0,0,SUMIFS(TLevel2,BOMComp,$A15,BOMLevel,"&lt;&gt;First")*$C15/$D15)</f>
        <v>0</v>
      </c>
      <c r="Z15" s="4" cm="1">
        <f t="array" ref="Z15">IF($D15=0,0,SUMIFS(TLevel3,BOMComp,$A15,BOMLevel,"&lt;&gt;First")*$C15/$D15)</f>
        <v>0</v>
      </c>
      <c r="AA15" s="4" cm="1">
        <f t="array" ref="AA15">IF($D15=0,0,SUMIFS(TLevel4,BOMComp,$A15,BOMLevel,"&lt;&gt;First")*$C15/$D15)</f>
        <v>0</v>
      </c>
      <c r="AB15" s="4" cm="1">
        <f t="array" ref="AB15">IF($D15=0,0,SUMIFS(TLevel5,BOMComp,$A15,BOMLevel,"&lt;&gt;First")*$C15/$D15)</f>
        <v>0</v>
      </c>
      <c r="AC15" s="4">
        <f>IF(ISNA(VLOOKUP($A15,JRCode,COLUMN(JReview!$D$4),0))=TRUE,0,IF($D15=0,0,VLOOKUP($A15,JRCode,COLUMN(JReview!$D$4),0)*$C15/$D15))</f>
        <v>0</v>
      </c>
      <c r="AD15" s="4" cm="1">
        <f t="array" ref="AD15">IF($D15=0,0,SUMIFS(JLevel1,BOMComp,$A15,BOMLevel,"&lt;&gt;First")*$C15/$D15)</f>
        <v>111.11111111111111</v>
      </c>
      <c r="AE15" s="4" cm="1">
        <f t="array" ref="AE15">IF($D15=0,0,SUMIFS(JLevel2,BOMComp,$A15,BOMLevel,"&lt;&gt;First")*$C15/$D15)</f>
        <v>0</v>
      </c>
      <c r="AF15" s="4" cm="1">
        <f t="array" ref="AF15">IF($D15=0,0,SUMIFS(JLevel3,BOMComp,$A15,BOMLevel,"&lt;&gt;First")*$C15/$D15)</f>
        <v>0</v>
      </c>
      <c r="AG15" s="4" cm="1">
        <f t="array" ref="AG15">IF($D15=0,0,SUMIFS(JLevel4,BOMComp,$A15,BOMLevel,"&lt;&gt;First")*$C15/$D15)</f>
        <v>0</v>
      </c>
      <c r="AH15" s="4" cm="1">
        <f t="array" ref="AH15">IF($D15=0,0,SUMIFS(JLevel5,BOMComp,$A15,BOMLevel,"&lt;&gt;First")*$C15/$D15)</f>
        <v>0</v>
      </c>
      <c r="AI15" s="4">
        <f>IF(ISNA(VLOOKUP($A15,JRCode,COLUMN(JReview!$E$4),0))=TRUE,0,IF($D15=0,0,VLOOKUP($A15,JRCode,COLUMN(JReview!$E$4),0)*$C15/$D15))</f>
        <v>0</v>
      </c>
      <c r="AJ15" s="4" cm="1">
        <f t="array" ref="AJ15">IF($D15=0,0,SUMIFS(JRLevel1,BOMComp,$A15,BOMLevel,"&lt;&gt;First")*$C15/$D15)</f>
        <v>116.66666666666666</v>
      </c>
      <c r="AK15" s="4" cm="1">
        <f t="array" ref="AK15">IF($D15=0,0,SUMIFS(JRLevel2,BOMComp,$A15,BOMLevel,"&lt;&gt;First")*$C15/$D15)</f>
        <v>0</v>
      </c>
      <c r="AL15" s="4" cm="1">
        <f t="array" ref="AL15">IF($D15=0,0,SUMIFS(JRLevel3,BOMComp,$A15,BOMLevel,"&lt;&gt;First")*$C15/$D15)</f>
        <v>0</v>
      </c>
      <c r="AM15" s="4" cm="1">
        <f t="array" ref="AM15">IF($D15=0,0,SUMIFS(JRLevel4,BOMComp,$A15,BOMLevel,"&lt;&gt;First")*$C15/$D15)</f>
        <v>0</v>
      </c>
      <c r="AN15" s="4" cm="1">
        <f t="array" ref="AN15">IF($D15=0,0,SUMIFS(JRLevel5,BOMComp,$A15,BOMLevel,"&lt;&gt;First")*$C15/$D15)</f>
        <v>0</v>
      </c>
      <c r="AO15" s="5">
        <f>IF(ISNA(VLOOKUP($A15,Require,COLUMN(ReqPlan!$E$6),0))=TRUE,0,IF($D15=0,0,VLOOKUP($A15,Require,COLUMN(ReqPlan!$E$6),0)*$C15/$D15))</f>
        <v>0</v>
      </c>
      <c r="AP15" s="5" cm="1">
        <f t="array" ref="AP15">IF($D15=0,0,SUMIFS(RLevel1,BOMComp,$A15,BOMLevel,"&lt;&gt;First")*$C15/$D15)</f>
        <v>611.11111111111109</v>
      </c>
      <c r="AQ15" s="5" cm="1">
        <f t="array" ref="AQ15">IF($D15=0,0,SUMIFS(RLevel2,BOMComp,$A15,BOMLevel,"&lt;&gt;First")*$C15/$D15)</f>
        <v>0</v>
      </c>
      <c r="AR15" s="5" cm="1">
        <f t="array" ref="AR15">IF($D15=0,0,SUMIFS(RLevel3,BOMComp,$A15,BOMLevel,"&lt;&gt;First")*$C15/$D15)</f>
        <v>0</v>
      </c>
      <c r="AS15" s="5" cm="1">
        <f t="array" ref="AS15">IF($D15=0,0,SUMIFS(RLevel4,BOMComp,$A15,BOMLevel,"&lt;&gt;First")*$C15/$D15)</f>
        <v>0</v>
      </c>
      <c r="AT15" s="5" cm="1">
        <f t="array" ref="AT15">IF($D15=0,0,SUMIFS(RLevel5,BOMComp,$A15,BOMLevel,"&lt;&gt;First")*$C15/$D15)</f>
        <v>0</v>
      </c>
    </row>
    <row r="16" spans="1:46" ht="16.149999999999999" customHeight="1" x14ac:dyDescent="0.25">
      <c r="A16" s="2" t="s">
        <v>61</v>
      </c>
      <c r="B16" s="2" t="s">
        <v>57</v>
      </c>
      <c r="C16" s="33">
        <v>4</v>
      </c>
      <c r="D16" s="34">
        <v>1</v>
      </c>
      <c r="E16" s="35" t="str">
        <f t="shared" si="0"/>
        <v>-</v>
      </c>
      <c r="F16" s="2" t="str">
        <f>IF(ISNA(VLOOKUP($A16,StockMaster,COLUMN(StockCode!$B$4),0))=TRUE,"does not exist",VLOOKUP($A16,StockMaster,COLUMN(StockCode!$B$4),0))</f>
        <v>Window Frame</v>
      </c>
      <c r="G16" s="3" t="str">
        <f>IF(ISNA(VLOOKUP($A16,StockMaster,COLUMN(StockCode!$C$4),0))=TRUE,"error",VLOOKUP($A16,StockMaster,COLUMN(StockCode!$C$4),0))</f>
        <v>Units</v>
      </c>
      <c r="H16" s="3" t="str">
        <f>IF(ISNA(VLOOKUP($A16,StockMaster,COLUMN(StockCode!$E$4),0))=TRUE,"All",VLOOKUP($A16,StockMaster,COLUMN(StockCode!$E$4),0))</f>
        <v>All</v>
      </c>
      <c r="I16" s="2" t="str">
        <f>IF(ISNA(VLOOKUP($B16,StockMaster,COLUMN(StockCode!$B$4),0))=TRUE,"does not exist",VLOOKUP($B16,StockMaster,COLUMN(StockCode!$B$4),0))</f>
        <v>Window</v>
      </c>
      <c r="J16" s="3" t="str">
        <f>IF(ISNA(VLOOKUP($B16,StockMaster,COLUMN(StockCode!$C$4),0))=TRUE,"error",VLOOKUP($B16,StockMaster,COLUMN(StockCode!$C$4),0))</f>
        <v>Units</v>
      </c>
      <c r="K16" s="3" t="str">
        <f>IF(ISNA(VLOOKUP($B16,StockMaster,COLUMN(StockCode!$G$4),0))=TRUE,0,VLOOKUP($B16,StockMaster,COLUMN(StockCode!$G$4),0))</f>
        <v>Manufactured</v>
      </c>
      <c r="L16" s="3" t="str">
        <f t="shared" si="1"/>
        <v>N</v>
      </c>
      <c r="M16" s="5">
        <f>IF($K16="Manufactured",0,IF(ISNA(VLOOKUP($B16,StockMaster,COLUMN(StockCode!$D$4),0))=TRUE,0,VLOOKUP($B16,StockMaster,COLUMN(StockCode!$D$4),0)))</f>
        <v>0</v>
      </c>
      <c r="N16" s="5">
        <f t="shared" si="2"/>
        <v>0</v>
      </c>
      <c r="O16" s="5">
        <f t="shared" si="3"/>
        <v>29.529411764705884</v>
      </c>
      <c r="P16" s="5">
        <f t="shared" si="4"/>
        <v>118.11764705882354</v>
      </c>
      <c r="Q16" s="4">
        <f t="shared" si="5"/>
        <v>118.11764705882354</v>
      </c>
      <c r="R16" s="4">
        <f>IF($K16="Manufactured",0,IF(ISNA(VLOOKUP($B16,StockMaster,COLUMN(StockCode!$AA$4),0))=TRUE,0,VLOOKUP($B16,StockMaster,COLUMN(StockCode!$AA$4),0)))</f>
        <v>0</v>
      </c>
      <c r="S16" s="4">
        <f t="shared" si="6"/>
        <v>0</v>
      </c>
      <c r="T16" s="4">
        <f t="shared" ca="1" si="7"/>
        <v>30.1792666833257</v>
      </c>
      <c r="U16" s="4">
        <f t="shared" ca="1" si="8"/>
        <v>120.7170667333028</v>
      </c>
      <c r="V16" s="4">
        <f t="shared" ca="1" si="9"/>
        <v>120.7170667333028</v>
      </c>
      <c r="W16" s="4">
        <f ca="1">IF(ISNA(VLOOKUP($A16,StockMaster,COLUMN(StockCode!$P$4),0))=TRUE,0,IF($D16=0,0,(VLOOKUP($A16,StockMaster,COLUMN(StockCode!$P$4),0)*$C16/$D16)))</f>
        <v>0</v>
      </c>
      <c r="X16" s="4" cm="1">
        <f t="array" aca="1" ref="X16" ca="1">IF($D16=0,0,SUMIFS(TLevel1,BOMComp,$A16,BOMLevel,"&lt;&gt;First")*$C16/$D16)</f>
        <v>8505.2631578947367</v>
      </c>
      <c r="Y16" s="4" cm="1">
        <f t="array" ref="Y16">IF($D16=0,0,SUMIFS(TLevel2,BOMComp,$A16,BOMLevel,"&lt;&gt;First")*$C16/$D16)</f>
        <v>0</v>
      </c>
      <c r="Z16" s="4" cm="1">
        <f t="array" ref="Z16">IF($D16=0,0,SUMIFS(TLevel3,BOMComp,$A16,BOMLevel,"&lt;&gt;First")*$C16/$D16)</f>
        <v>0</v>
      </c>
      <c r="AA16" s="4" cm="1">
        <f t="array" ref="AA16">IF($D16=0,0,SUMIFS(TLevel4,BOMComp,$A16,BOMLevel,"&lt;&gt;First")*$C16/$D16)</f>
        <v>0</v>
      </c>
      <c r="AB16" s="4" cm="1">
        <f t="array" ref="AB16">IF($D16=0,0,SUMIFS(TLevel5,BOMComp,$A16,BOMLevel,"&lt;&gt;First")*$C16/$D16)</f>
        <v>0</v>
      </c>
      <c r="AC16" s="4">
        <f>IF(ISNA(VLOOKUP($A16,JRCode,COLUMN(JReview!$D$4),0))=TRUE,0,IF($D16=0,0,VLOOKUP($A16,JRCode,COLUMN(JReview!$D$4),0)*$C16/$D16))</f>
        <v>0</v>
      </c>
      <c r="AD16" s="4" cm="1">
        <f t="array" ref="AD16">IF($D16=0,0,SUMIFS(JLevel1,BOMComp,$A16,BOMLevel,"&lt;&gt;First")*$C16/$D16)</f>
        <v>842.1052631578948</v>
      </c>
      <c r="AE16" s="4" cm="1">
        <f t="array" ref="AE16">IF($D16=0,0,SUMIFS(JLevel2,BOMComp,$A16,BOMLevel,"&lt;&gt;First")*$C16/$D16)</f>
        <v>0</v>
      </c>
      <c r="AF16" s="4" cm="1">
        <f t="array" ref="AF16">IF($D16=0,0,SUMIFS(JLevel3,BOMComp,$A16,BOMLevel,"&lt;&gt;First")*$C16/$D16)</f>
        <v>0</v>
      </c>
      <c r="AG16" s="4" cm="1">
        <f t="array" ref="AG16">IF($D16=0,0,SUMIFS(JLevel4,BOMComp,$A16,BOMLevel,"&lt;&gt;First")*$C16/$D16)</f>
        <v>0</v>
      </c>
      <c r="AH16" s="4" cm="1">
        <f t="array" ref="AH16">IF($D16=0,0,SUMIFS(JLevel5,BOMComp,$A16,BOMLevel,"&lt;&gt;First")*$C16/$D16)</f>
        <v>0</v>
      </c>
      <c r="AI16" s="4">
        <f>IF(ISNA(VLOOKUP($A16,JRCode,COLUMN(JReview!$E$4),0))=TRUE,0,IF($D16=0,0,VLOOKUP($A16,JRCode,COLUMN(JReview!$E$4),0)*$C16/$D16))</f>
        <v>0</v>
      </c>
      <c r="AJ16" s="4" cm="1">
        <f t="array" ref="AJ16">IF($D16=0,0,SUMIFS(JRLevel1,BOMComp,$A16,BOMLevel,"&lt;&gt;First")*$C16/$D16)</f>
        <v>884.21052631578948</v>
      </c>
      <c r="AK16" s="4" cm="1">
        <f t="array" ref="AK16">IF($D16=0,0,SUMIFS(JRLevel2,BOMComp,$A16,BOMLevel,"&lt;&gt;First")*$C16/$D16)</f>
        <v>0</v>
      </c>
      <c r="AL16" s="4" cm="1">
        <f t="array" ref="AL16">IF($D16=0,0,SUMIFS(JRLevel3,BOMComp,$A16,BOMLevel,"&lt;&gt;First")*$C16/$D16)</f>
        <v>0</v>
      </c>
      <c r="AM16" s="4" cm="1">
        <f t="array" ref="AM16">IF($D16=0,0,SUMIFS(JRLevel4,BOMComp,$A16,BOMLevel,"&lt;&gt;First")*$C16/$D16)</f>
        <v>0</v>
      </c>
      <c r="AN16" s="4" cm="1">
        <f t="array" ref="AN16">IF($D16=0,0,SUMIFS(JRLevel5,BOMComp,$A16,BOMLevel,"&lt;&gt;First")*$C16/$D16)</f>
        <v>0</v>
      </c>
      <c r="AO16" s="5">
        <f>IF(ISNA(VLOOKUP($A16,Require,COLUMN(ReqPlan!$E$6),0))=TRUE,0,IF($D16=0,0,VLOOKUP($A16,Require,COLUMN(ReqPlan!$E$6),0)*$C16/$D16))</f>
        <v>0</v>
      </c>
      <c r="AP16" s="5" cm="1">
        <f t="array" ref="AP16">IF($D16=0,0,SUMIFS(RLevel1,BOMComp,$A16,BOMLevel,"&lt;&gt;First")*$C16/$D16)</f>
        <v>4210.5263157894742</v>
      </c>
      <c r="AQ16" s="5" cm="1">
        <f t="array" ref="AQ16">IF($D16=0,0,SUMIFS(RLevel2,BOMComp,$A16,BOMLevel,"&lt;&gt;First")*$C16/$D16)</f>
        <v>0</v>
      </c>
      <c r="AR16" s="5" cm="1">
        <f t="array" ref="AR16">IF($D16=0,0,SUMIFS(RLevel3,BOMComp,$A16,BOMLevel,"&lt;&gt;First")*$C16/$D16)</f>
        <v>0</v>
      </c>
      <c r="AS16" s="5" cm="1">
        <f t="array" ref="AS16">IF($D16=0,0,SUMIFS(RLevel4,BOMComp,$A16,BOMLevel,"&lt;&gt;First")*$C16/$D16)</f>
        <v>0</v>
      </c>
      <c r="AT16" s="5" cm="1">
        <f t="array" ref="AT16">IF($D16=0,0,SUMIFS(RLevel5,BOMComp,$A16,BOMLevel,"&lt;&gt;First")*$C16/$D16)</f>
        <v>0</v>
      </c>
    </row>
    <row r="17" spans="1:46" ht="16.149999999999999" customHeight="1" x14ac:dyDescent="0.25">
      <c r="A17" s="2" t="s">
        <v>61</v>
      </c>
      <c r="B17" s="2" t="s">
        <v>54</v>
      </c>
      <c r="C17" s="33">
        <v>0.5</v>
      </c>
      <c r="D17" s="34">
        <v>0.9</v>
      </c>
      <c r="E17" s="35" t="str">
        <f t="shared" si="0"/>
        <v>-</v>
      </c>
      <c r="F17" s="2" t="str">
        <f>IF(ISNA(VLOOKUP($A17,StockMaster,COLUMN(StockCode!$B$4),0))=TRUE,"does not exist",VLOOKUP($A17,StockMaster,COLUMN(StockCode!$B$4),0))</f>
        <v>Window Frame</v>
      </c>
      <c r="G17" s="3" t="str">
        <f>IF(ISNA(VLOOKUP($A17,StockMaster,COLUMN(StockCode!$C$4),0))=TRUE,"error",VLOOKUP($A17,StockMaster,COLUMN(StockCode!$C$4),0))</f>
        <v>Units</v>
      </c>
      <c r="H17" s="3" t="str">
        <f>IF(ISNA(VLOOKUP($A17,StockMaster,COLUMN(StockCode!$E$4),0))=TRUE,"All",VLOOKUP($A17,StockMaster,COLUMN(StockCode!$E$4),0))</f>
        <v>All</v>
      </c>
      <c r="I17" s="2" t="str">
        <f>IF(ISNA(VLOOKUP($B17,StockMaster,COLUMN(StockCode!$B$4),0))=TRUE,"does not exist",VLOOKUP($B17,StockMaster,COLUMN(StockCode!$B$4),0))</f>
        <v>Filler</v>
      </c>
      <c r="J17" s="3" t="str">
        <f>IF(ISNA(VLOOKUP($B17,StockMaster,COLUMN(StockCode!$C$4),0))=TRUE,"error",VLOOKUP($B17,StockMaster,COLUMN(StockCode!$C$4),0))</f>
        <v>Bag</v>
      </c>
      <c r="K17" s="3" t="str">
        <f>IF(ISNA(VLOOKUP($B17,StockMaster,COLUMN(StockCode!$G$4),0))=TRUE,0,VLOOKUP($B17,StockMaster,COLUMN(StockCode!$G$4),0))</f>
        <v>Bought-In</v>
      </c>
      <c r="L17" s="3" t="str">
        <f t="shared" si="1"/>
        <v>Y</v>
      </c>
      <c r="M17" s="5">
        <f>IF($K17="Manufactured",0,IF(ISNA(VLOOKUP($B17,StockMaster,COLUMN(StockCode!$D$4),0))=TRUE,0,VLOOKUP($B17,StockMaster,COLUMN(StockCode!$D$4),0)))</f>
        <v>60</v>
      </c>
      <c r="N17" s="5">
        <f t="shared" si="2"/>
        <v>33.333333333333336</v>
      </c>
      <c r="O17" s="5">
        <f t="shared" si="3"/>
        <v>0</v>
      </c>
      <c r="P17" s="5">
        <f t="shared" si="4"/>
        <v>0</v>
      </c>
      <c r="Q17" s="4">
        <f t="shared" si="5"/>
        <v>33.333333333333336</v>
      </c>
      <c r="R17" s="4">
        <f ca="1">IF($K17="Manufactured",0,IF(ISNA(VLOOKUP($B17,StockMaster,COLUMN(StockCode!$AA$4),0))=TRUE,0,VLOOKUP($B17,StockMaster,COLUMN(StockCode!$AA$4),0)))</f>
        <v>60.000000000000007</v>
      </c>
      <c r="S17" s="4">
        <f t="shared" ca="1" si="6"/>
        <v>33.333333333333336</v>
      </c>
      <c r="T17" s="4">
        <f t="shared" si="7"/>
        <v>0</v>
      </c>
      <c r="U17" s="4">
        <f t="shared" si="8"/>
        <v>0</v>
      </c>
      <c r="V17" s="4">
        <f t="shared" ca="1" si="9"/>
        <v>33.333333333333336</v>
      </c>
      <c r="W17" s="4">
        <f ca="1">IF(ISNA(VLOOKUP($A17,StockMaster,COLUMN(StockCode!$P$4),0))=TRUE,0,IF($D17=0,0,(VLOOKUP($A17,StockMaster,COLUMN(StockCode!$P$4),0)*$C17/$D17)))</f>
        <v>0</v>
      </c>
      <c r="X17" s="4" cm="1">
        <f t="array" aca="1" ref="X17" ca="1">IF($D17=0,0,SUMIFS(TLevel1,BOMComp,$A17,BOMLevel,"&lt;&gt;First")*$C17/$D17)</f>
        <v>1181.2865497076023</v>
      </c>
      <c r="Y17" s="4" cm="1">
        <f t="array" ref="Y17">IF($D17=0,0,SUMIFS(TLevel2,BOMComp,$A17,BOMLevel,"&lt;&gt;First")*$C17/$D17)</f>
        <v>0</v>
      </c>
      <c r="Z17" s="4" cm="1">
        <f t="array" ref="Z17">IF($D17=0,0,SUMIFS(TLevel3,BOMComp,$A17,BOMLevel,"&lt;&gt;First")*$C17/$D17)</f>
        <v>0</v>
      </c>
      <c r="AA17" s="4" cm="1">
        <f t="array" ref="AA17">IF($D17=0,0,SUMIFS(TLevel4,BOMComp,$A17,BOMLevel,"&lt;&gt;First")*$C17/$D17)</f>
        <v>0</v>
      </c>
      <c r="AB17" s="4" cm="1">
        <f t="array" ref="AB17">IF($D17=0,0,SUMIFS(TLevel5,BOMComp,$A17,BOMLevel,"&lt;&gt;First")*$C17/$D17)</f>
        <v>0</v>
      </c>
      <c r="AC17" s="4">
        <f>IF(ISNA(VLOOKUP($A17,JRCode,COLUMN(JReview!$D$4),0))=TRUE,0,IF($D17=0,0,VLOOKUP($A17,JRCode,COLUMN(JReview!$D$4),0)*$C17/$D17))</f>
        <v>0</v>
      </c>
      <c r="AD17" s="4" cm="1">
        <f t="array" ref="AD17">IF($D17=0,0,SUMIFS(JLevel1,BOMComp,$A17,BOMLevel,"&lt;&gt;First")*$C17/$D17)</f>
        <v>116.95906432748538</v>
      </c>
      <c r="AE17" s="4" cm="1">
        <f t="array" ref="AE17">IF($D17=0,0,SUMIFS(JLevel2,BOMComp,$A17,BOMLevel,"&lt;&gt;First")*$C17/$D17)</f>
        <v>0</v>
      </c>
      <c r="AF17" s="4" cm="1">
        <f t="array" ref="AF17">IF($D17=0,0,SUMIFS(JLevel3,BOMComp,$A17,BOMLevel,"&lt;&gt;First")*$C17/$D17)</f>
        <v>0</v>
      </c>
      <c r="AG17" s="4" cm="1">
        <f t="array" ref="AG17">IF($D17=0,0,SUMIFS(JLevel4,BOMComp,$A17,BOMLevel,"&lt;&gt;First")*$C17/$D17)</f>
        <v>0</v>
      </c>
      <c r="AH17" s="4" cm="1">
        <f t="array" ref="AH17">IF($D17=0,0,SUMIFS(JLevel5,BOMComp,$A17,BOMLevel,"&lt;&gt;First")*$C17/$D17)</f>
        <v>0</v>
      </c>
      <c r="AI17" s="4">
        <f>IF(ISNA(VLOOKUP($A17,JRCode,COLUMN(JReview!$E$4),0))=TRUE,0,IF($D17=0,0,VLOOKUP($A17,JRCode,COLUMN(JReview!$E$4),0)*$C17/$D17))</f>
        <v>0</v>
      </c>
      <c r="AJ17" s="4" cm="1">
        <f t="array" ref="AJ17">IF($D17=0,0,SUMIFS(JRLevel1,BOMComp,$A17,BOMLevel,"&lt;&gt;First")*$C17/$D17)</f>
        <v>122.80701754385964</v>
      </c>
      <c r="AK17" s="4" cm="1">
        <f t="array" ref="AK17">IF($D17=0,0,SUMIFS(JRLevel2,BOMComp,$A17,BOMLevel,"&lt;&gt;First")*$C17/$D17)</f>
        <v>0</v>
      </c>
      <c r="AL17" s="4" cm="1">
        <f t="array" ref="AL17">IF($D17=0,0,SUMIFS(JRLevel3,BOMComp,$A17,BOMLevel,"&lt;&gt;First")*$C17/$D17)</f>
        <v>0</v>
      </c>
      <c r="AM17" s="4" cm="1">
        <f t="array" ref="AM17">IF($D17=0,0,SUMIFS(JRLevel4,BOMComp,$A17,BOMLevel,"&lt;&gt;First")*$C17/$D17)</f>
        <v>0</v>
      </c>
      <c r="AN17" s="4" cm="1">
        <f t="array" ref="AN17">IF($D17=0,0,SUMIFS(JRLevel5,BOMComp,$A17,BOMLevel,"&lt;&gt;First")*$C17/$D17)</f>
        <v>0</v>
      </c>
      <c r="AO17" s="5">
        <f>IF(ISNA(VLOOKUP($A17,Require,COLUMN(ReqPlan!$E$6),0))=TRUE,0,IF($D17=0,0,VLOOKUP($A17,Require,COLUMN(ReqPlan!$E$6),0)*$C17/$D17))</f>
        <v>0</v>
      </c>
      <c r="AP17" s="5" cm="1">
        <f t="array" ref="AP17">IF($D17=0,0,SUMIFS(RLevel1,BOMComp,$A17,BOMLevel,"&lt;&gt;First")*$C17/$D17)</f>
        <v>584.79532163742692</v>
      </c>
      <c r="AQ17" s="5" cm="1">
        <f t="array" ref="AQ17">IF($D17=0,0,SUMIFS(RLevel2,BOMComp,$A17,BOMLevel,"&lt;&gt;First")*$C17/$D17)</f>
        <v>0</v>
      </c>
      <c r="AR17" s="5" cm="1">
        <f t="array" ref="AR17">IF($D17=0,0,SUMIFS(RLevel3,BOMComp,$A17,BOMLevel,"&lt;&gt;First")*$C17/$D17)</f>
        <v>0</v>
      </c>
      <c r="AS17" s="5" cm="1">
        <f t="array" ref="AS17">IF($D17=0,0,SUMIFS(RLevel4,BOMComp,$A17,BOMLevel,"&lt;&gt;First")*$C17/$D17)</f>
        <v>0</v>
      </c>
      <c r="AT17" s="5" cm="1">
        <f t="array" ref="AT17">IF($D17=0,0,SUMIFS(RLevel5,BOMComp,$A17,BOMLevel,"&lt;&gt;First")*$C17/$D17)</f>
        <v>0</v>
      </c>
    </row>
    <row r="18" spans="1:46" ht="16.149999999999999" customHeight="1" x14ac:dyDescent="0.25">
      <c r="A18" s="2" t="s">
        <v>61</v>
      </c>
      <c r="B18" s="2" t="s">
        <v>48</v>
      </c>
      <c r="C18" s="33">
        <v>1</v>
      </c>
      <c r="D18" s="34">
        <v>0.8</v>
      </c>
      <c r="E18" s="35" t="str">
        <f t="shared" si="0"/>
        <v>-</v>
      </c>
      <c r="F18" s="2" t="str">
        <f>IF(ISNA(VLOOKUP($A18,StockMaster,COLUMN(StockCode!$B$4),0))=TRUE,"does not exist",VLOOKUP($A18,StockMaster,COLUMN(StockCode!$B$4),0))</f>
        <v>Window Frame</v>
      </c>
      <c r="G18" s="3" t="str">
        <f>IF(ISNA(VLOOKUP($A18,StockMaster,COLUMN(StockCode!$C$4),0))=TRUE,"error",VLOOKUP($A18,StockMaster,COLUMN(StockCode!$C$4),0))</f>
        <v>Units</v>
      </c>
      <c r="H18" s="3" t="str">
        <f>IF(ISNA(VLOOKUP($A18,StockMaster,COLUMN(StockCode!$E$4),0))=TRUE,"All",VLOOKUP($A18,StockMaster,COLUMN(StockCode!$E$4),0))</f>
        <v>All</v>
      </c>
      <c r="I18" s="2" t="str">
        <f>IF(ISNA(VLOOKUP($B18,StockMaster,COLUMN(StockCode!$B$4),0))=TRUE,"does not exist",VLOOKUP($B18,StockMaster,COLUMN(StockCode!$B$4),0))</f>
        <v>Wood</v>
      </c>
      <c r="J18" s="3" t="str">
        <f>IF(ISNA(VLOOKUP($B18,StockMaster,COLUMN(StockCode!$C$4),0))=TRUE,"error",VLOOKUP($B18,StockMaster,COLUMN(StockCode!$C$4),0))</f>
        <v>M2</v>
      </c>
      <c r="K18" s="3" t="str">
        <f>IF(ISNA(VLOOKUP($B18,StockMaster,COLUMN(StockCode!$G$4),0))=TRUE,0,VLOOKUP($B18,StockMaster,COLUMN(StockCode!$G$4),0))</f>
        <v>Bought-In</v>
      </c>
      <c r="L18" s="3" t="str">
        <f t="shared" si="1"/>
        <v>Y</v>
      </c>
      <c r="M18" s="5">
        <f>IF($K18="Manufactured",0,IF(ISNA(VLOOKUP($B18,StockMaster,COLUMN(StockCode!$D$4),0))=TRUE,0,VLOOKUP($B18,StockMaster,COLUMN(StockCode!$D$4),0)))</f>
        <v>120</v>
      </c>
      <c r="N18" s="5">
        <f t="shared" si="2"/>
        <v>150</v>
      </c>
      <c r="O18" s="5">
        <f t="shared" si="3"/>
        <v>0</v>
      </c>
      <c r="P18" s="5">
        <f t="shared" si="4"/>
        <v>0</v>
      </c>
      <c r="Q18" s="4">
        <f t="shared" si="5"/>
        <v>150</v>
      </c>
      <c r="R18" s="4">
        <f ca="1">IF($K18="Manufactured",0,IF(ISNA(VLOOKUP($B18,StockMaster,COLUMN(StockCode!$AA$4),0))=TRUE,0,VLOOKUP($B18,StockMaster,COLUMN(StockCode!$AA$4),0)))</f>
        <v>124.21322263327481</v>
      </c>
      <c r="S18" s="4">
        <f t="shared" ca="1" si="6"/>
        <v>155.26652829159352</v>
      </c>
      <c r="T18" s="4">
        <f t="shared" si="7"/>
        <v>0</v>
      </c>
      <c r="U18" s="4">
        <f t="shared" si="8"/>
        <v>0</v>
      </c>
      <c r="V18" s="4">
        <f t="shared" ca="1" si="9"/>
        <v>155.26652829159352</v>
      </c>
      <c r="W18" s="4">
        <f ca="1">IF(ISNA(VLOOKUP($A18,StockMaster,COLUMN(StockCode!$P$4),0))=TRUE,0,IF($D18=0,0,(VLOOKUP($A18,StockMaster,COLUMN(StockCode!$P$4),0)*$C18/$D18)))</f>
        <v>0</v>
      </c>
      <c r="X18" s="4" cm="1">
        <f t="array" aca="1" ref="X18" ca="1">IF($D18=0,0,SUMIFS(TLevel1,BOMComp,$A18,BOMLevel,"&lt;&gt;First")*$C18/$D18)</f>
        <v>2657.894736842105</v>
      </c>
      <c r="Y18" s="4" cm="1">
        <f t="array" ref="Y18">IF($D18=0,0,SUMIFS(TLevel2,BOMComp,$A18,BOMLevel,"&lt;&gt;First")*$C18/$D18)</f>
        <v>0</v>
      </c>
      <c r="Z18" s="4" cm="1">
        <f t="array" ref="Z18">IF($D18=0,0,SUMIFS(TLevel3,BOMComp,$A18,BOMLevel,"&lt;&gt;First")*$C18/$D18)</f>
        <v>0</v>
      </c>
      <c r="AA18" s="4" cm="1">
        <f t="array" ref="AA18">IF($D18=0,0,SUMIFS(TLevel4,BOMComp,$A18,BOMLevel,"&lt;&gt;First")*$C18/$D18)</f>
        <v>0</v>
      </c>
      <c r="AB18" s="4" cm="1">
        <f t="array" ref="AB18">IF($D18=0,0,SUMIFS(TLevel5,BOMComp,$A18,BOMLevel,"&lt;&gt;First")*$C18/$D18)</f>
        <v>0</v>
      </c>
      <c r="AC18" s="4">
        <f>IF(ISNA(VLOOKUP($A18,JRCode,COLUMN(JReview!$D$4),0))=TRUE,0,IF($D18=0,0,VLOOKUP($A18,JRCode,COLUMN(JReview!$D$4),0)*$C18/$D18))</f>
        <v>0</v>
      </c>
      <c r="AD18" s="4" cm="1">
        <f t="array" ref="AD18">IF($D18=0,0,SUMIFS(JLevel1,BOMComp,$A18,BOMLevel,"&lt;&gt;First")*$C18/$D18)</f>
        <v>263.15789473684208</v>
      </c>
      <c r="AE18" s="4" cm="1">
        <f t="array" ref="AE18">IF($D18=0,0,SUMIFS(JLevel2,BOMComp,$A18,BOMLevel,"&lt;&gt;First")*$C18/$D18)</f>
        <v>0</v>
      </c>
      <c r="AF18" s="4" cm="1">
        <f t="array" ref="AF18">IF($D18=0,0,SUMIFS(JLevel3,BOMComp,$A18,BOMLevel,"&lt;&gt;First")*$C18/$D18)</f>
        <v>0</v>
      </c>
      <c r="AG18" s="4" cm="1">
        <f t="array" ref="AG18">IF($D18=0,0,SUMIFS(JLevel4,BOMComp,$A18,BOMLevel,"&lt;&gt;First")*$C18/$D18)</f>
        <v>0</v>
      </c>
      <c r="AH18" s="4" cm="1">
        <f t="array" ref="AH18">IF($D18=0,0,SUMIFS(JLevel5,BOMComp,$A18,BOMLevel,"&lt;&gt;First")*$C18/$D18)</f>
        <v>0</v>
      </c>
      <c r="AI18" s="4">
        <f>IF(ISNA(VLOOKUP($A18,JRCode,COLUMN(JReview!$E$4),0))=TRUE,0,IF($D18=0,0,VLOOKUP($A18,JRCode,COLUMN(JReview!$E$4),0)*$C18/$D18))</f>
        <v>0</v>
      </c>
      <c r="AJ18" s="4" cm="1">
        <f t="array" ref="AJ18">IF($D18=0,0,SUMIFS(JRLevel1,BOMComp,$A18,BOMLevel,"&lt;&gt;First")*$C18/$D18)</f>
        <v>276.31578947368422</v>
      </c>
      <c r="AK18" s="4" cm="1">
        <f t="array" ref="AK18">IF($D18=0,0,SUMIFS(JRLevel2,BOMComp,$A18,BOMLevel,"&lt;&gt;First")*$C18/$D18)</f>
        <v>0</v>
      </c>
      <c r="AL18" s="4" cm="1">
        <f t="array" ref="AL18">IF($D18=0,0,SUMIFS(JRLevel3,BOMComp,$A18,BOMLevel,"&lt;&gt;First")*$C18/$D18)</f>
        <v>0</v>
      </c>
      <c r="AM18" s="4" cm="1">
        <f t="array" ref="AM18">IF($D18=0,0,SUMIFS(JRLevel4,BOMComp,$A18,BOMLevel,"&lt;&gt;First")*$C18/$D18)</f>
        <v>0</v>
      </c>
      <c r="AN18" s="4" cm="1">
        <f t="array" ref="AN18">IF($D18=0,0,SUMIFS(JRLevel5,BOMComp,$A18,BOMLevel,"&lt;&gt;First")*$C18/$D18)</f>
        <v>0</v>
      </c>
      <c r="AO18" s="5">
        <f>IF(ISNA(VLOOKUP($A18,Require,COLUMN(ReqPlan!$E$6),0))=TRUE,0,IF($D18=0,0,VLOOKUP($A18,Require,COLUMN(ReqPlan!$E$6),0)*$C18/$D18))</f>
        <v>0</v>
      </c>
      <c r="AP18" s="5" cm="1">
        <f t="array" ref="AP18">IF($D18=0,0,SUMIFS(RLevel1,BOMComp,$A18,BOMLevel,"&lt;&gt;First")*$C18/$D18)</f>
        <v>1315.7894736842106</v>
      </c>
      <c r="AQ18" s="5" cm="1">
        <f t="array" ref="AQ18">IF($D18=0,0,SUMIFS(RLevel2,BOMComp,$A18,BOMLevel,"&lt;&gt;First")*$C18/$D18)</f>
        <v>0</v>
      </c>
      <c r="AR18" s="5" cm="1">
        <f t="array" ref="AR18">IF($D18=0,0,SUMIFS(RLevel3,BOMComp,$A18,BOMLevel,"&lt;&gt;First")*$C18/$D18)</f>
        <v>0</v>
      </c>
      <c r="AS18" s="5" cm="1">
        <f t="array" ref="AS18">IF($D18=0,0,SUMIFS(RLevel4,BOMComp,$A18,BOMLevel,"&lt;&gt;First")*$C18/$D18)</f>
        <v>0</v>
      </c>
      <c r="AT18" s="5" cm="1">
        <f t="array" ref="AT18">IF($D18=0,0,SUMIFS(RLevel5,BOMComp,$A18,BOMLevel,"&lt;&gt;First")*$C18/$D18)</f>
        <v>0</v>
      </c>
    </row>
    <row r="19" spans="1:46" ht="16.149999999999999" customHeight="1" x14ac:dyDescent="0.25">
      <c r="A19" s="2" t="s">
        <v>61</v>
      </c>
      <c r="B19" s="2" t="s">
        <v>82</v>
      </c>
      <c r="C19" s="33">
        <v>1</v>
      </c>
      <c r="D19" s="34">
        <v>1</v>
      </c>
      <c r="E19" s="35" t="str">
        <f t="shared" si="0"/>
        <v>-</v>
      </c>
      <c r="F19" s="2" t="str">
        <f>IF(ISNA(VLOOKUP($A19,StockMaster,COLUMN(StockCode!$B$4),0))=TRUE,"does not exist",VLOOKUP($A19,StockMaster,COLUMN(StockCode!$B$4),0))</f>
        <v>Window Frame</v>
      </c>
      <c r="G19" s="3" t="str">
        <f>IF(ISNA(VLOOKUP($A19,StockMaster,COLUMN(StockCode!$C$4),0))=TRUE,"error",VLOOKUP($A19,StockMaster,COLUMN(StockCode!$C$4),0))</f>
        <v>Units</v>
      </c>
      <c r="H19" s="3" t="str">
        <f>IF(ISNA(VLOOKUP($A19,StockMaster,COLUMN(StockCode!$E$4),0))=TRUE,"All",VLOOKUP($A19,StockMaster,COLUMN(StockCode!$E$4),0))</f>
        <v>All</v>
      </c>
      <c r="I19" s="2" t="str">
        <f>IF(ISNA(VLOOKUP($B19,StockMaster,COLUMN(StockCode!$B$4),0))=TRUE,"does not exist",VLOOKUP($B19,StockMaster,COLUMN(StockCode!$B$4),0))</f>
        <v>Labour - Grade 1</v>
      </c>
      <c r="J19" s="3" t="str">
        <f>IF(ISNA(VLOOKUP($B19,StockMaster,COLUMN(StockCode!$C$4),0))=TRUE,"error",VLOOKUP($B19,StockMaster,COLUMN(StockCode!$C$4),0))</f>
        <v>Hours</v>
      </c>
      <c r="K19" s="40" t="str">
        <f>IF(ISNA(VLOOKUP($B19,StockMaster,COLUMN(StockCode!$G$4),0))=TRUE,0,VLOOKUP($B19,StockMaster,COLUMN(StockCode!$G$4),0))</f>
        <v>Bought-In</v>
      </c>
      <c r="L19" s="40" t="str">
        <f t="shared" si="1"/>
        <v>Y</v>
      </c>
      <c r="M19" s="5">
        <f>IF($K19="Manufactured",0,IF(ISNA(VLOOKUP($B19,StockMaster,COLUMN(StockCode!$D$4),0))=TRUE,0,VLOOKUP($B19,StockMaster,COLUMN(StockCode!$D$4),0)))</f>
        <v>20</v>
      </c>
      <c r="N19" s="32">
        <f t="shared" ref="N19:N47" si="10">IF($D19=0,0,$C19/$D19*$M19)</f>
        <v>20</v>
      </c>
      <c r="O19" s="32">
        <f t="shared" si="3"/>
        <v>0</v>
      </c>
      <c r="P19" s="32">
        <f t="shared" ref="P19:P47" si="11">IF($D19=0,0,$C19/$D19*$O19)</f>
        <v>0</v>
      </c>
      <c r="Q19" s="31">
        <f t="shared" ref="Q19:Q47" si="12">SUM(N19,P19)</f>
        <v>20</v>
      </c>
      <c r="R19" s="31">
        <f ca="1">IF($K19="Manufactured",0,IF(ISNA(VLOOKUP($B19,StockMaster,COLUMN(StockCode!$AA$4),0))=TRUE,0,VLOOKUP($B19,StockMaster,COLUMN(StockCode!$AA$4),0)))</f>
        <v>20.330774751337231</v>
      </c>
      <c r="S19" s="31">
        <f t="shared" ca="1" si="6"/>
        <v>20.330774751337231</v>
      </c>
      <c r="T19" s="31">
        <f t="shared" si="7"/>
        <v>0</v>
      </c>
      <c r="U19" s="31">
        <f t="shared" si="8"/>
        <v>0</v>
      </c>
      <c r="V19" s="31">
        <f t="shared" ca="1" si="9"/>
        <v>20.330774751337231</v>
      </c>
      <c r="W19" s="31">
        <f ca="1">IF(ISNA(VLOOKUP($A19,StockMaster,COLUMN(StockCode!$P$4),0))=TRUE,0,IF($D19=0,0,(VLOOKUP($A19,StockMaster,COLUMN(StockCode!$P$4),0)*$C19/$D19)))</f>
        <v>0</v>
      </c>
      <c r="X19" s="4" cm="1">
        <f t="array" aca="1" ref="X19" ca="1">IF($D19=0,0,SUMIFS(TLevel1,BOMComp,$A19,BOMLevel,"&lt;&gt;First")*$C19/$D19)</f>
        <v>2126.3157894736842</v>
      </c>
      <c r="Y19" s="4" cm="1">
        <f t="array" ref="Y19">IF($D19=0,0,SUMIFS(TLevel2,BOMComp,$A19,BOMLevel,"&lt;&gt;First")*$C19/$D19)</f>
        <v>0</v>
      </c>
      <c r="Z19" s="4" cm="1">
        <f t="array" ref="Z19">IF($D19=0,0,SUMIFS(TLevel3,BOMComp,$A19,BOMLevel,"&lt;&gt;First")*$C19/$D19)</f>
        <v>0</v>
      </c>
      <c r="AA19" s="4" cm="1">
        <f t="array" ref="AA19">IF($D19=0,0,SUMIFS(TLevel4,BOMComp,$A19,BOMLevel,"&lt;&gt;First")*$C19/$D19)</f>
        <v>0</v>
      </c>
      <c r="AB19" s="4" cm="1">
        <f t="array" ref="AB19">IF($D19=0,0,SUMIFS(TLevel5,BOMComp,$A19,BOMLevel,"&lt;&gt;First")*$C19/$D19)</f>
        <v>0</v>
      </c>
      <c r="AC19" s="4">
        <f>IF(ISNA(VLOOKUP($A19,JRCode,COLUMN(JReview!$D$4),0))=TRUE,0,IF($D19=0,0,VLOOKUP($A19,JRCode,COLUMN(JReview!$D$4),0)*$C19/$D19))</f>
        <v>0</v>
      </c>
      <c r="AD19" s="4" cm="1">
        <f t="array" ref="AD19">IF($D19=0,0,SUMIFS(JLevel1,BOMComp,$A19,BOMLevel,"&lt;&gt;First")*$C19/$D19)</f>
        <v>210.5263157894737</v>
      </c>
      <c r="AE19" s="4" cm="1">
        <f t="array" ref="AE19">IF($D19=0,0,SUMIFS(JLevel2,BOMComp,$A19,BOMLevel,"&lt;&gt;First")*$C19/$D19)</f>
        <v>0</v>
      </c>
      <c r="AF19" s="4" cm="1">
        <f t="array" ref="AF19">IF($D19=0,0,SUMIFS(JLevel3,BOMComp,$A19,BOMLevel,"&lt;&gt;First")*$C19/$D19)</f>
        <v>0</v>
      </c>
      <c r="AG19" s="4" cm="1">
        <f t="array" ref="AG19">IF($D19=0,0,SUMIFS(JLevel4,BOMComp,$A19,BOMLevel,"&lt;&gt;First")*$C19/$D19)</f>
        <v>0</v>
      </c>
      <c r="AH19" s="4" cm="1">
        <f t="array" ref="AH19">IF($D19=0,0,SUMIFS(JLevel5,BOMComp,$A19,BOMLevel,"&lt;&gt;First")*$C19/$D19)</f>
        <v>0</v>
      </c>
      <c r="AI19" s="4">
        <f>IF(ISNA(VLOOKUP($A19,JRCode,COLUMN(JReview!$E$4),0))=TRUE,0,IF($D19=0,0,VLOOKUP($A19,JRCode,COLUMN(JReview!$E$4),0)*$C19/$D19))</f>
        <v>0</v>
      </c>
      <c r="AJ19" s="4" cm="1">
        <f t="array" ref="AJ19">IF($D19=0,0,SUMIFS(JRLevel1,BOMComp,$A19,BOMLevel,"&lt;&gt;First")*$C19/$D19)</f>
        <v>221.05263157894737</v>
      </c>
      <c r="AK19" s="4" cm="1">
        <f t="array" ref="AK19">IF($D19=0,0,SUMIFS(JRLevel2,BOMComp,$A19,BOMLevel,"&lt;&gt;First")*$C19/$D19)</f>
        <v>0</v>
      </c>
      <c r="AL19" s="4" cm="1">
        <f t="array" ref="AL19">IF($D19=0,0,SUMIFS(JRLevel3,BOMComp,$A19,BOMLevel,"&lt;&gt;First")*$C19/$D19)</f>
        <v>0</v>
      </c>
      <c r="AM19" s="4" cm="1">
        <f t="array" ref="AM19">IF($D19=0,0,SUMIFS(JRLevel4,BOMComp,$A19,BOMLevel,"&lt;&gt;First")*$C19/$D19)</f>
        <v>0</v>
      </c>
      <c r="AN19" s="4" cm="1">
        <f t="array" ref="AN19">IF($D19=0,0,SUMIFS(JRLevel5,BOMComp,$A19,BOMLevel,"&lt;&gt;First")*$C19/$D19)</f>
        <v>0</v>
      </c>
      <c r="AO19" s="5">
        <f>IF(ISNA(VLOOKUP($A19,Require,COLUMN(ReqPlan!$E$6),0))=TRUE,0,IF($D19=0,0,VLOOKUP($A19,Require,COLUMN(ReqPlan!$E$6),0)*$C19/$D19))</f>
        <v>0</v>
      </c>
      <c r="AP19" s="5" cm="1">
        <f t="array" ref="AP19">IF($D19=0,0,SUMIFS(RLevel1,BOMComp,$A19,BOMLevel,"&lt;&gt;First")*$C19/$D19)</f>
        <v>1052.6315789473686</v>
      </c>
      <c r="AQ19" s="5" cm="1">
        <f t="array" ref="AQ19">IF($D19=0,0,SUMIFS(RLevel2,BOMComp,$A19,BOMLevel,"&lt;&gt;First")*$C19/$D19)</f>
        <v>0</v>
      </c>
      <c r="AR19" s="5" cm="1">
        <f t="array" ref="AR19">IF($D19=0,0,SUMIFS(RLevel3,BOMComp,$A19,BOMLevel,"&lt;&gt;First")*$C19/$D19)</f>
        <v>0</v>
      </c>
      <c r="AS19" s="5" cm="1">
        <f t="array" ref="AS19">IF($D19=0,0,SUMIFS(RLevel4,BOMComp,$A19,BOMLevel,"&lt;&gt;First")*$C19/$D19)</f>
        <v>0</v>
      </c>
      <c r="AT19" s="5" cm="1">
        <f t="array" ref="AT19">IF($D19=0,0,SUMIFS(RLevel5,BOMComp,$A19,BOMLevel,"&lt;&gt;First")*$C19/$D19)</f>
        <v>0</v>
      </c>
    </row>
    <row r="20" spans="1:46" ht="16.149999999999999" customHeight="1" x14ac:dyDescent="0.25">
      <c r="A20" s="2" t="s">
        <v>63</v>
      </c>
      <c r="B20" s="2" t="s">
        <v>57</v>
      </c>
      <c r="C20" s="33">
        <v>1</v>
      </c>
      <c r="D20" s="34">
        <v>1</v>
      </c>
      <c r="E20" s="35" t="str">
        <f t="shared" si="0"/>
        <v>-</v>
      </c>
      <c r="F20" s="2" t="str">
        <f>IF(ISNA(VLOOKUP($A20,StockMaster,COLUMN(StockCode!$B$4),0))=TRUE,"does not exist",VLOOKUP($A20,StockMaster,COLUMN(StockCode!$B$4),0))</f>
        <v>Glazed Window</v>
      </c>
      <c r="G20" s="3" t="str">
        <f>IF(ISNA(VLOOKUP($A20,StockMaster,COLUMN(StockCode!$C$4),0))=TRUE,"error",VLOOKUP($A20,StockMaster,COLUMN(StockCode!$C$4),0))</f>
        <v>Units</v>
      </c>
      <c r="H20" s="3" t="str">
        <f>IF(ISNA(VLOOKUP($A20,StockMaster,COLUMN(StockCode!$E$4),0))=TRUE,"All",VLOOKUP($A20,StockMaster,COLUMN(StockCode!$E$4),0))</f>
        <v>All</v>
      </c>
      <c r="I20" s="2" t="str">
        <f>IF(ISNA(VLOOKUP($B20,StockMaster,COLUMN(StockCode!$B$4),0))=TRUE,"does not exist",VLOOKUP($B20,StockMaster,COLUMN(StockCode!$B$4),0))</f>
        <v>Window</v>
      </c>
      <c r="J20" s="3" t="str">
        <f>IF(ISNA(VLOOKUP($B20,StockMaster,COLUMN(StockCode!$C$4),0))=TRUE,"error",VLOOKUP($B20,StockMaster,COLUMN(StockCode!$C$4),0))</f>
        <v>Units</v>
      </c>
      <c r="K20" s="40" t="str">
        <f>IF(ISNA(VLOOKUP($B20,StockMaster,COLUMN(StockCode!$G$4),0))=TRUE,0,VLOOKUP($B20,StockMaster,COLUMN(StockCode!$G$4),0))</f>
        <v>Manufactured</v>
      </c>
      <c r="L20" s="40" t="str">
        <f t="shared" si="1"/>
        <v>N</v>
      </c>
      <c r="M20" s="5">
        <f>IF($K20="Manufactured",0,IF(ISNA(VLOOKUP($B20,StockMaster,COLUMN(StockCode!$D$4),0))=TRUE,0,VLOOKUP($B20,StockMaster,COLUMN(StockCode!$D$4),0)))</f>
        <v>0</v>
      </c>
      <c r="N20" s="32">
        <f t="shared" si="10"/>
        <v>0</v>
      </c>
      <c r="O20" s="32">
        <f t="shared" si="3"/>
        <v>29.529411764705884</v>
      </c>
      <c r="P20" s="32">
        <f t="shared" si="11"/>
        <v>29.529411764705884</v>
      </c>
      <c r="Q20" s="31">
        <f t="shared" si="12"/>
        <v>29.529411764705884</v>
      </c>
      <c r="R20" s="31">
        <f>IF($K20="Manufactured",0,IF(ISNA(VLOOKUP($B20,StockMaster,COLUMN(StockCode!$AA$4),0))=TRUE,0,VLOOKUP($B20,StockMaster,COLUMN(StockCode!$AA$4),0)))</f>
        <v>0</v>
      </c>
      <c r="S20" s="31">
        <f t="shared" si="6"/>
        <v>0</v>
      </c>
      <c r="T20" s="31">
        <f t="shared" ca="1" si="7"/>
        <v>30.1792666833257</v>
      </c>
      <c r="U20" s="31">
        <f t="shared" ca="1" si="8"/>
        <v>30.1792666833257</v>
      </c>
      <c r="V20" s="31">
        <f t="shared" ca="1" si="9"/>
        <v>30.1792666833257</v>
      </c>
      <c r="W20" s="31">
        <f ca="1">IF(ISNA(VLOOKUP($A20,StockMaster,COLUMN(StockCode!$P$4),0))=TRUE,0,IF($D20=0,0,(VLOOKUP($A20,StockMaster,COLUMN(StockCode!$P$4),0)*$C20/$D20)))</f>
        <v>0</v>
      </c>
      <c r="X20" s="4" cm="1">
        <f t="array" aca="1" ref="X20" ca="1">IF($D20=0,0,SUMIFS(TLevel1,BOMComp,$A20,BOMLevel,"&lt;&gt;First")*$C20/$D20)</f>
        <v>0</v>
      </c>
      <c r="Y20" s="4" cm="1">
        <f t="array" aca="1" ref="Y20" ca="1">IF($D20=0,0,SUMIFS(TLevel2,BOMComp,$A20,BOMLevel,"&lt;&gt;First")*$C20/$D20)</f>
        <v>416</v>
      </c>
      <c r="Z20" s="4" cm="1">
        <f t="array" ref="Z20">IF($D20=0,0,SUMIFS(TLevel3,BOMComp,$A20,BOMLevel,"&lt;&gt;First")*$C20/$D20)</f>
        <v>0</v>
      </c>
      <c r="AA20" s="4" cm="1">
        <f t="array" ref="AA20">IF($D20=0,0,SUMIFS(TLevel4,BOMComp,$A20,BOMLevel,"&lt;&gt;First")*$C20/$D20)</f>
        <v>0</v>
      </c>
      <c r="AB20" s="4" cm="1">
        <f t="array" ref="AB20">IF($D20=0,0,SUMIFS(TLevel5,BOMComp,$A20,BOMLevel,"&lt;&gt;First")*$C20/$D20)</f>
        <v>0</v>
      </c>
      <c r="AC20" s="4">
        <f>IF(ISNA(VLOOKUP($A20,JRCode,COLUMN(JReview!$D$4),0))=TRUE,0,IF($D20=0,0,VLOOKUP($A20,JRCode,COLUMN(JReview!$D$4),0)*$C20/$D20))</f>
        <v>0</v>
      </c>
      <c r="AD20" s="4" cm="1">
        <f t="array" ref="AD20">IF($D20=0,0,SUMIFS(JLevel1,BOMComp,$A20,BOMLevel,"&lt;&gt;First")*$C20/$D20)</f>
        <v>0</v>
      </c>
      <c r="AE20" s="4" cm="1">
        <f t="array" ref="AE20">IF($D20=0,0,SUMIFS(JLevel2,BOMComp,$A20,BOMLevel,"&lt;&gt;First")*$C20/$D20)</f>
        <v>0</v>
      </c>
      <c r="AF20" s="4" cm="1">
        <f t="array" ref="AF20">IF($D20=0,0,SUMIFS(JLevel3,BOMComp,$A20,BOMLevel,"&lt;&gt;First")*$C20/$D20)</f>
        <v>0</v>
      </c>
      <c r="AG20" s="4" cm="1">
        <f t="array" ref="AG20">IF($D20=0,0,SUMIFS(JLevel4,BOMComp,$A20,BOMLevel,"&lt;&gt;First")*$C20/$D20)</f>
        <v>0</v>
      </c>
      <c r="AH20" s="4" cm="1">
        <f t="array" ref="AH20">IF($D20=0,0,SUMIFS(JLevel5,BOMComp,$A20,BOMLevel,"&lt;&gt;First")*$C20/$D20)</f>
        <v>0</v>
      </c>
      <c r="AI20" s="4">
        <f>IF(ISNA(VLOOKUP($A20,JRCode,COLUMN(JReview!$E$4),0))=TRUE,0,IF($D20=0,0,VLOOKUP($A20,JRCode,COLUMN(JReview!$E$4),0)*$C20/$D20))</f>
        <v>0</v>
      </c>
      <c r="AJ20" s="4" cm="1">
        <f t="array" ref="AJ20">IF($D20=0,0,SUMIFS(JRLevel1,BOMComp,$A20,BOMLevel,"&lt;&gt;First")*$C20/$D20)</f>
        <v>0</v>
      </c>
      <c r="AK20" s="4" cm="1">
        <f t="array" ref="AK20">IF($D20=0,0,SUMIFS(JRLevel2,BOMComp,$A20,BOMLevel,"&lt;&gt;First")*$C20/$D20)</f>
        <v>0</v>
      </c>
      <c r="AL20" s="4" cm="1">
        <f t="array" ref="AL20">IF($D20=0,0,SUMIFS(JRLevel3,BOMComp,$A20,BOMLevel,"&lt;&gt;First")*$C20/$D20)</f>
        <v>0</v>
      </c>
      <c r="AM20" s="4" cm="1">
        <f t="array" ref="AM20">IF($D20=0,0,SUMIFS(JRLevel4,BOMComp,$A20,BOMLevel,"&lt;&gt;First")*$C20/$D20)</f>
        <v>0</v>
      </c>
      <c r="AN20" s="4" cm="1">
        <f t="array" ref="AN20">IF($D20=0,0,SUMIFS(JRLevel5,BOMComp,$A20,BOMLevel,"&lt;&gt;First")*$C20/$D20)</f>
        <v>0</v>
      </c>
      <c r="AO20" s="5">
        <f>IF(ISNA(VLOOKUP($A20,Require,COLUMN(ReqPlan!$E$6),0))=TRUE,0,IF($D20=0,0,VLOOKUP($A20,Require,COLUMN(ReqPlan!$E$6),0)*$C20/$D20))</f>
        <v>0</v>
      </c>
      <c r="AP20" s="5" cm="1">
        <f t="array" ref="AP20">IF($D20=0,0,SUMIFS(RLevel1,BOMComp,$A20,BOMLevel,"&lt;&gt;First")*$C20/$D20)</f>
        <v>0</v>
      </c>
      <c r="AQ20" s="5" cm="1">
        <f t="array" ref="AQ20">IF($D20=0,0,SUMIFS(RLevel2,BOMComp,$A20,BOMLevel,"&lt;&gt;First")*$C20/$D20)</f>
        <v>0</v>
      </c>
      <c r="AR20" s="5" cm="1">
        <f t="array" ref="AR20">IF($D20=0,0,SUMIFS(RLevel3,BOMComp,$A20,BOMLevel,"&lt;&gt;First")*$C20/$D20)</f>
        <v>0</v>
      </c>
      <c r="AS20" s="5" cm="1">
        <f t="array" ref="AS20">IF($D20=0,0,SUMIFS(RLevel4,BOMComp,$A20,BOMLevel,"&lt;&gt;First")*$C20/$D20)</f>
        <v>0</v>
      </c>
      <c r="AT20" s="5" cm="1">
        <f t="array" ref="AT20">IF($D20=0,0,SUMIFS(RLevel5,BOMComp,$A20,BOMLevel,"&lt;&gt;First")*$C20/$D20)</f>
        <v>0</v>
      </c>
    </row>
    <row r="21" spans="1:46" ht="16.149999999999999" customHeight="1" x14ac:dyDescent="0.25">
      <c r="A21" s="2" t="s">
        <v>63</v>
      </c>
      <c r="B21" s="2" t="s">
        <v>82</v>
      </c>
      <c r="C21" s="33">
        <v>0.5</v>
      </c>
      <c r="D21" s="34">
        <v>1</v>
      </c>
      <c r="E21" s="35" t="str">
        <f t="shared" si="0"/>
        <v>-</v>
      </c>
      <c r="F21" s="2" t="str">
        <f>IF(ISNA(VLOOKUP($A21,StockMaster,COLUMN(StockCode!$B$4),0))=TRUE,"does not exist",VLOOKUP($A21,StockMaster,COLUMN(StockCode!$B$4),0))</f>
        <v>Glazed Window</v>
      </c>
      <c r="G21" s="3" t="str">
        <f>IF(ISNA(VLOOKUP($A21,StockMaster,COLUMN(StockCode!$C$4),0))=TRUE,"error",VLOOKUP($A21,StockMaster,COLUMN(StockCode!$C$4),0))</f>
        <v>Units</v>
      </c>
      <c r="H21" s="3" t="str">
        <f>IF(ISNA(VLOOKUP($A21,StockMaster,COLUMN(StockCode!$E$4),0))=TRUE,"All",VLOOKUP($A21,StockMaster,COLUMN(StockCode!$E$4),0))</f>
        <v>All</v>
      </c>
      <c r="I21" s="2" t="str">
        <f>IF(ISNA(VLOOKUP($B21,StockMaster,COLUMN(StockCode!$B$4),0))=TRUE,"does not exist",VLOOKUP($B21,StockMaster,COLUMN(StockCode!$B$4),0))</f>
        <v>Labour - Grade 1</v>
      </c>
      <c r="J21" s="3" t="str">
        <f>IF(ISNA(VLOOKUP($B21,StockMaster,COLUMN(StockCode!$C$4),0))=TRUE,"error",VLOOKUP($B21,StockMaster,COLUMN(StockCode!$C$4),0))</f>
        <v>Hours</v>
      </c>
      <c r="K21" s="40" t="str">
        <f>IF(ISNA(VLOOKUP($B21,StockMaster,COLUMN(StockCode!$G$4),0))=TRUE,0,VLOOKUP($B21,StockMaster,COLUMN(StockCode!$G$4),0))</f>
        <v>Bought-In</v>
      </c>
      <c r="L21" s="40" t="str">
        <f t="shared" si="1"/>
        <v>Y</v>
      </c>
      <c r="M21" s="5">
        <f>IF($K21="Manufactured",0,IF(ISNA(VLOOKUP($B21,StockMaster,COLUMN(StockCode!$D$4),0))=TRUE,0,VLOOKUP($B21,StockMaster,COLUMN(StockCode!$D$4),0)))</f>
        <v>20</v>
      </c>
      <c r="N21" s="32">
        <f t="shared" si="10"/>
        <v>10</v>
      </c>
      <c r="O21" s="32">
        <f t="shared" si="3"/>
        <v>0</v>
      </c>
      <c r="P21" s="32">
        <f t="shared" si="11"/>
        <v>0</v>
      </c>
      <c r="Q21" s="31">
        <f t="shared" si="12"/>
        <v>10</v>
      </c>
      <c r="R21" s="31">
        <f ca="1">IF($K21="Manufactured",0,IF(ISNA(VLOOKUP($B21,StockMaster,COLUMN(StockCode!$AA$4),0))=TRUE,0,VLOOKUP($B21,StockMaster,COLUMN(StockCode!$AA$4),0)))</f>
        <v>20.330774751337231</v>
      </c>
      <c r="S21" s="31">
        <f t="shared" ca="1" si="6"/>
        <v>10.165387375668615</v>
      </c>
      <c r="T21" s="31">
        <f t="shared" si="7"/>
        <v>0</v>
      </c>
      <c r="U21" s="31">
        <f t="shared" si="8"/>
        <v>0</v>
      </c>
      <c r="V21" s="31">
        <f t="shared" ca="1" si="9"/>
        <v>10.165387375668615</v>
      </c>
      <c r="W21" s="31">
        <f ca="1">IF(ISNA(VLOOKUP($A21,StockMaster,COLUMN(StockCode!$P$4),0))=TRUE,0,IF($D21=0,0,(VLOOKUP($A21,StockMaster,COLUMN(StockCode!$P$4),0)*$C21/$D21)))</f>
        <v>0</v>
      </c>
      <c r="X21" s="4" cm="1">
        <f t="array" aca="1" ref="X21" ca="1">IF($D21=0,0,SUMIFS(TLevel1,BOMComp,$A21,BOMLevel,"&lt;&gt;First")*$C21/$D21)</f>
        <v>0</v>
      </c>
      <c r="Y21" s="4" cm="1">
        <f t="array" aca="1" ref="Y21" ca="1">IF($D21=0,0,SUMIFS(TLevel2,BOMComp,$A21,BOMLevel,"&lt;&gt;First")*$C21/$D21)</f>
        <v>208</v>
      </c>
      <c r="Z21" s="4" cm="1">
        <f t="array" ref="Z21">IF($D21=0,0,SUMIFS(TLevel3,BOMComp,$A21,BOMLevel,"&lt;&gt;First")*$C21/$D21)</f>
        <v>0</v>
      </c>
      <c r="AA21" s="4" cm="1">
        <f t="array" ref="AA21">IF($D21=0,0,SUMIFS(TLevel4,BOMComp,$A21,BOMLevel,"&lt;&gt;First")*$C21/$D21)</f>
        <v>0</v>
      </c>
      <c r="AB21" s="4" cm="1">
        <f t="array" ref="AB21">IF($D21=0,0,SUMIFS(TLevel5,BOMComp,$A21,BOMLevel,"&lt;&gt;First")*$C21/$D21)</f>
        <v>0</v>
      </c>
      <c r="AC21" s="4">
        <f>IF(ISNA(VLOOKUP($A21,JRCode,COLUMN(JReview!$D$4),0))=TRUE,0,IF($D21=0,0,VLOOKUP($A21,JRCode,COLUMN(JReview!$D$4),0)*$C21/$D21))</f>
        <v>0</v>
      </c>
      <c r="AD21" s="4" cm="1">
        <f t="array" ref="AD21">IF($D21=0,0,SUMIFS(JLevel1,BOMComp,$A21,BOMLevel,"&lt;&gt;First")*$C21/$D21)</f>
        <v>0</v>
      </c>
      <c r="AE21" s="4" cm="1">
        <f t="array" ref="AE21">IF($D21=0,0,SUMIFS(JLevel2,BOMComp,$A21,BOMLevel,"&lt;&gt;First")*$C21/$D21)</f>
        <v>0</v>
      </c>
      <c r="AF21" s="4" cm="1">
        <f t="array" ref="AF21">IF($D21=0,0,SUMIFS(JLevel3,BOMComp,$A21,BOMLevel,"&lt;&gt;First")*$C21/$D21)</f>
        <v>0</v>
      </c>
      <c r="AG21" s="4" cm="1">
        <f t="array" ref="AG21">IF($D21=0,0,SUMIFS(JLevel4,BOMComp,$A21,BOMLevel,"&lt;&gt;First")*$C21/$D21)</f>
        <v>0</v>
      </c>
      <c r="AH21" s="4" cm="1">
        <f t="array" ref="AH21">IF($D21=0,0,SUMIFS(JLevel5,BOMComp,$A21,BOMLevel,"&lt;&gt;First")*$C21/$D21)</f>
        <v>0</v>
      </c>
      <c r="AI21" s="4">
        <f>IF(ISNA(VLOOKUP($A21,JRCode,COLUMN(JReview!$E$4),0))=TRUE,0,IF($D21=0,0,VLOOKUP($A21,JRCode,COLUMN(JReview!$E$4),0)*$C21/$D21))</f>
        <v>0</v>
      </c>
      <c r="AJ21" s="4" cm="1">
        <f t="array" ref="AJ21">IF($D21=0,0,SUMIFS(JRLevel1,BOMComp,$A21,BOMLevel,"&lt;&gt;First")*$C21/$D21)</f>
        <v>0</v>
      </c>
      <c r="AK21" s="4" cm="1">
        <f t="array" ref="AK21">IF($D21=0,0,SUMIFS(JRLevel2,BOMComp,$A21,BOMLevel,"&lt;&gt;First")*$C21/$D21)</f>
        <v>0</v>
      </c>
      <c r="AL21" s="4" cm="1">
        <f t="array" ref="AL21">IF($D21=0,0,SUMIFS(JRLevel3,BOMComp,$A21,BOMLevel,"&lt;&gt;First")*$C21/$D21)</f>
        <v>0</v>
      </c>
      <c r="AM21" s="4" cm="1">
        <f t="array" ref="AM21">IF($D21=0,0,SUMIFS(JRLevel4,BOMComp,$A21,BOMLevel,"&lt;&gt;First")*$C21/$D21)</f>
        <v>0</v>
      </c>
      <c r="AN21" s="4" cm="1">
        <f t="array" ref="AN21">IF($D21=0,0,SUMIFS(JRLevel5,BOMComp,$A21,BOMLevel,"&lt;&gt;First")*$C21/$D21)</f>
        <v>0</v>
      </c>
      <c r="AO21" s="5">
        <f>IF(ISNA(VLOOKUP($A21,Require,COLUMN(ReqPlan!$E$6),0))=TRUE,0,IF($D21=0,0,VLOOKUP($A21,Require,COLUMN(ReqPlan!$E$6),0)*$C21/$D21))</f>
        <v>0</v>
      </c>
      <c r="AP21" s="5" cm="1">
        <f t="array" ref="AP21">IF($D21=0,0,SUMIFS(RLevel1,BOMComp,$A21,BOMLevel,"&lt;&gt;First")*$C21/$D21)</f>
        <v>0</v>
      </c>
      <c r="AQ21" s="5" cm="1">
        <f t="array" ref="AQ21">IF($D21=0,0,SUMIFS(RLevel2,BOMComp,$A21,BOMLevel,"&lt;&gt;First")*$C21/$D21)</f>
        <v>0</v>
      </c>
      <c r="AR21" s="5" cm="1">
        <f t="array" ref="AR21">IF($D21=0,0,SUMIFS(RLevel3,BOMComp,$A21,BOMLevel,"&lt;&gt;First")*$C21/$D21)</f>
        <v>0</v>
      </c>
      <c r="AS21" s="5" cm="1">
        <f t="array" ref="AS21">IF($D21=0,0,SUMIFS(RLevel4,BOMComp,$A21,BOMLevel,"&lt;&gt;First")*$C21/$D21)</f>
        <v>0</v>
      </c>
      <c r="AT21" s="5" cm="1">
        <f t="array" ref="AT21">IF($D21=0,0,SUMIFS(RLevel5,BOMComp,$A21,BOMLevel,"&lt;&gt;First")*$C21/$D21)</f>
        <v>0</v>
      </c>
    </row>
    <row r="22" spans="1:46" ht="16.149999999999999" customHeight="1" x14ac:dyDescent="0.25">
      <c r="A22" s="2" t="s">
        <v>80</v>
      </c>
      <c r="B22" s="2" t="s">
        <v>63</v>
      </c>
      <c r="C22" s="33">
        <v>4</v>
      </c>
      <c r="D22" s="34">
        <v>1</v>
      </c>
      <c r="E22" s="35" t="str">
        <f t="shared" si="0"/>
        <v>-</v>
      </c>
      <c r="F22" s="2" t="str">
        <f>IF(ISNA(VLOOKUP($A22,StockMaster,COLUMN(StockCode!$B$4),0))=TRUE,"does not exist",VLOOKUP($A22,StockMaster,COLUMN(StockCode!$B$4),0))</f>
        <v>Glazed Window Frame</v>
      </c>
      <c r="G22" s="3" t="str">
        <f>IF(ISNA(VLOOKUP($A22,StockMaster,COLUMN(StockCode!$C$4),0))=TRUE,"error",VLOOKUP($A22,StockMaster,COLUMN(StockCode!$C$4),0))</f>
        <v>Units</v>
      </c>
      <c r="H22" s="3" t="str">
        <f>IF(ISNA(VLOOKUP($A22,StockMaster,COLUMN(StockCode!$E$4),0))=TRUE,"All",VLOOKUP($A22,StockMaster,COLUMN(StockCode!$E$4),0))</f>
        <v>All</v>
      </c>
      <c r="I22" s="2" t="str">
        <f>IF(ISNA(VLOOKUP($B22,StockMaster,COLUMN(StockCode!$B$4),0))=TRUE,"does not exist",VLOOKUP($B22,StockMaster,COLUMN(StockCode!$B$4),0))</f>
        <v>Glazed Window</v>
      </c>
      <c r="J22" s="3" t="str">
        <f>IF(ISNA(VLOOKUP($B22,StockMaster,COLUMN(StockCode!$C$4),0))=TRUE,"error",VLOOKUP($B22,StockMaster,COLUMN(StockCode!$C$4),0))</f>
        <v>Units</v>
      </c>
      <c r="K22" s="40" t="str">
        <f>IF(ISNA(VLOOKUP($B22,StockMaster,COLUMN(StockCode!$G$4),0))=TRUE,0,VLOOKUP($B22,StockMaster,COLUMN(StockCode!$G$4),0))</f>
        <v>Manufactured</v>
      </c>
      <c r="L22" s="40" t="str">
        <f t="shared" si="1"/>
        <v>N</v>
      </c>
      <c r="M22" s="5">
        <f>IF($K22="Manufactured",0,IF(ISNA(VLOOKUP($B22,StockMaster,COLUMN(StockCode!$D$4),0))=TRUE,0,VLOOKUP($B22,StockMaster,COLUMN(StockCode!$D$4),0)))</f>
        <v>0</v>
      </c>
      <c r="N22" s="32">
        <f t="shared" si="10"/>
        <v>0</v>
      </c>
      <c r="O22" s="32">
        <f t="shared" si="3"/>
        <v>39.529411764705884</v>
      </c>
      <c r="P22" s="32">
        <f t="shared" si="11"/>
        <v>158.11764705882354</v>
      </c>
      <c r="Q22" s="31">
        <f t="shared" si="12"/>
        <v>158.11764705882354</v>
      </c>
      <c r="R22" s="31">
        <f>IF($K22="Manufactured",0,IF(ISNA(VLOOKUP($B22,StockMaster,COLUMN(StockCode!$AA$4),0))=TRUE,0,VLOOKUP($B22,StockMaster,COLUMN(StockCode!$AA$4),0)))</f>
        <v>0</v>
      </c>
      <c r="S22" s="31">
        <f t="shared" si="6"/>
        <v>0</v>
      </c>
      <c r="T22" s="31">
        <f t="shared" ca="1" si="7"/>
        <v>40.344654058994315</v>
      </c>
      <c r="U22" s="31">
        <f t="shared" ca="1" si="8"/>
        <v>161.37861623597726</v>
      </c>
      <c r="V22" s="31">
        <f t="shared" ca="1" si="9"/>
        <v>161.37861623597726</v>
      </c>
      <c r="W22" s="31">
        <f ca="1">IF(ISNA(VLOOKUP($A22,StockMaster,COLUMN(StockCode!$P$4),0))=TRUE,0,IF($D22=0,0,(VLOOKUP($A22,StockMaster,COLUMN(StockCode!$P$4),0)*$C22/$D22)))</f>
        <v>0</v>
      </c>
      <c r="X22" s="4" cm="1">
        <f t="array" aca="1" ref="X22" ca="1">IF($D22=0,0,SUMIFS(TLevel1,BOMComp,$A22,BOMLevel,"&lt;&gt;First")*$C22/$D22)</f>
        <v>416</v>
      </c>
      <c r="Y22" s="4" cm="1">
        <f t="array" ref="Y22">IF($D22=0,0,SUMIFS(TLevel2,BOMComp,$A22,BOMLevel,"&lt;&gt;First")*$C22/$D22)</f>
        <v>0</v>
      </c>
      <c r="Z22" s="4" cm="1">
        <f t="array" ref="Z22">IF($D22=0,0,SUMIFS(TLevel3,BOMComp,$A22,BOMLevel,"&lt;&gt;First")*$C22/$D22)</f>
        <v>0</v>
      </c>
      <c r="AA22" s="4" cm="1">
        <f t="array" ref="AA22">IF($D22=0,0,SUMIFS(TLevel4,BOMComp,$A22,BOMLevel,"&lt;&gt;First")*$C22/$D22)</f>
        <v>0</v>
      </c>
      <c r="AB22" s="4" cm="1">
        <f t="array" ref="AB22">IF($D22=0,0,SUMIFS(TLevel5,BOMComp,$A22,BOMLevel,"&lt;&gt;First")*$C22/$D22)</f>
        <v>0</v>
      </c>
      <c r="AC22" s="4">
        <f>IF(ISNA(VLOOKUP($A22,JRCode,COLUMN(JReview!$D$4),0))=TRUE,0,IF($D22=0,0,VLOOKUP($A22,JRCode,COLUMN(JReview!$D$4),0)*$C22/$D22))</f>
        <v>0</v>
      </c>
      <c r="AD22" s="4" cm="1">
        <f t="array" ref="AD22">IF($D22=0,0,SUMIFS(JLevel1,BOMComp,$A22,BOMLevel,"&lt;&gt;First")*$C22/$D22)</f>
        <v>0</v>
      </c>
      <c r="AE22" s="4" cm="1">
        <f t="array" ref="AE22">IF($D22=0,0,SUMIFS(JLevel2,BOMComp,$A22,BOMLevel,"&lt;&gt;First")*$C22/$D22)</f>
        <v>0</v>
      </c>
      <c r="AF22" s="4" cm="1">
        <f t="array" ref="AF22">IF($D22=0,0,SUMIFS(JLevel3,BOMComp,$A22,BOMLevel,"&lt;&gt;First")*$C22/$D22)</f>
        <v>0</v>
      </c>
      <c r="AG22" s="4" cm="1">
        <f t="array" ref="AG22">IF($D22=0,0,SUMIFS(JLevel4,BOMComp,$A22,BOMLevel,"&lt;&gt;First")*$C22/$D22)</f>
        <v>0</v>
      </c>
      <c r="AH22" s="4" cm="1">
        <f t="array" ref="AH22">IF($D22=0,0,SUMIFS(JLevel5,BOMComp,$A22,BOMLevel,"&lt;&gt;First")*$C22/$D22)</f>
        <v>0</v>
      </c>
      <c r="AI22" s="4">
        <f>IF(ISNA(VLOOKUP($A22,JRCode,COLUMN(JReview!$E$4),0))=TRUE,0,IF($D22=0,0,VLOOKUP($A22,JRCode,COLUMN(JReview!$E$4),0)*$C22/$D22))</f>
        <v>0</v>
      </c>
      <c r="AJ22" s="4" cm="1">
        <f t="array" ref="AJ22">IF($D22=0,0,SUMIFS(JRLevel1,BOMComp,$A22,BOMLevel,"&lt;&gt;First")*$C22/$D22)</f>
        <v>0</v>
      </c>
      <c r="AK22" s="4" cm="1">
        <f t="array" ref="AK22">IF($D22=0,0,SUMIFS(JRLevel2,BOMComp,$A22,BOMLevel,"&lt;&gt;First")*$C22/$D22)</f>
        <v>0</v>
      </c>
      <c r="AL22" s="4" cm="1">
        <f t="array" ref="AL22">IF($D22=0,0,SUMIFS(JRLevel3,BOMComp,$A22,BOMLevel,"&lt;&gt;First")*$C22/$D22)</f>
        <v>0</v>
      </c>
      <c r="AM22" s="4" cm="1">
        <f t="array" ref="AM22">IF($D22=0,0,SUMIFS(JRLevel4,BOMComp,$A22,BOMLevel,"&lt;&gt;First")*$C22/$D22)</f>
        <v>0</v>
      </c>
      <c r="AN22" s="4" cm="1">
        <f t="array" ref="AN22">IF($D22=0,0,SUMIFS(JRLevel5,BOMComp,$A22,BOMLevel,"&lt;&gt;First")*$C22/$D22)</f>
        <v>0</v>
      </c>
      <c r="AO22" s="5">
        <f>IF(ISNA(VLOOKUP($A22,Require,COLUMN(ReqPlan!$E$6),0))=TRUE,0,IF($D22=0,0,VLOOKUP($A22,Require,COLUMN(ReqPlan!$E$6),0)*$C22/$D22))</f>
        <v>0</v>
      </c>
      <c r="AP22" s="5" cm="1">
        <f t="array" ref="AP22">IF($D22=0,0,SUMIFS(RLevel1,BOMComp,$A22,BOMLevel,"&lt;&gt;First")*$C22/$D22)</f>
        <v>0</v>
      </c>
      <c r="AQ22" s="5" cm="1">
        <f t="array" ref="AQ22">IF($D22=0,0,SUMIFS(RLevel2,BOMComp,$A22,BOMLevel,"&lt;&gt;First")*$C22/$D22)</f>
        <v>0</v>
      </c>
      <c r="AR22" s="5" cm="1">
        <f t="array" ref="AR22">IF($D22=0,0,SUMIFS(RLevel3,BOMComp,$A22,BOMLevel,"&lt;&gt;First")*$C22/$D22)</f>
        <v>0</v>
      </c>
      <c r="AS22" s="5" cm="1">
        <f t="array" ref="AS22">IF($D22=0,0,SUMIFS(RLevel4,BOMComp,$A22,BOMLevel,"&lt;&gt;First")*$C22/$D22)</f>
        <v>0</v>
      </c>
      <c r="AT22" s="5" cm="1">
        <f t="array" ref="AT22">IF($D22=0,0,SUMIFS(RLevel5,BOMComp,$A22,BOMLevel,"&lt;&gt;First")*$C22/$D22)</f>
        <v>0</v>
      </c>
    </row>
    <row r="23" spans="1:46" ht="16.149999999999999" customHeight="1" x14ac:dyDescent="0.25">
      <c r="A23" s="2" t="s">
        <v>80</v>
      </c>
      <c r="B23" s="2" t="s">
        <v>54</v>
      </c>
      <c r="C23" s="33">
        <v>0.5</v>
      </c>
      <c r="D23" s="34">
        <v>0.9</v>
      </c>
      <c r="E23" s="35" t="str">
        <f t="shared" si="0"/>
        <v>-</v>
      </c>
      <c r="F23" s="2" t="str">
        <f>IF(ISNA(VLOOKUP($A23,StockMaster,COLUMN(StockCode!$B$4),0))=TRUE,"does not exist",VLOOKUP($A23,StockMaster,COLUMN(StockCode!$B$4),0))</f>
        <v>Glazed Window Frame</v>
      </c>
      <c r="G23" s="3" t="str">
        <f>IF(ISNA(VLOOKUP($A23,StockMaster,COLUMN(StockCode!$C$4),0))=TRUE,"error",VLOOKUP($A23,StockMaster,COLUMN(StockCode!$C$4),0))</f>
        <v>Units</v>
      </c>
      <c r="H23" s="3" t="str">
        <f>IF(ISNA(VLOOKUP($A23,StockMaster,COLUMN(StockCode!$E$4),0))=TRUE,"All",VLOOKUP($A23,StockMaster,COLUMN(StockCode!$E$4),0))</f>
        <v>All</v>
      </c>
      <c r="I23" s="2" t="str">
        <f>IF(ISNA(VLOOKUP($B23,StockMaster,COLUMN(StockCode!$B$4),0))=TRUE,"does not exist",VLOOKUP($B23,StockMaster,COLUMN(StockCode!$B$4),0))</f>
        <v>Filler</v>
      </c>
      <c r="J23" s="3" t="str">
        <f>IF(ISNA(VLOOKUP($B23,StockMaster,COLUMN(StockCode!$C$4),0))=TRUE,"error",VLOOKUP($B23,StockMaster,COLUMN(StockCode!$C$4),0))</f>
        <v>Bag</v>
      </c>
      <c r="K23" s="40" t="str">
        <f>IF(ISNA(VLOOKUP($B23,StockMaster,COLUMN(StockCode!$G$4),0))=TRUE,0,VLOOKUP($B23,StockMaster,COLUMN(StockCode!$G$4),0))</f>
        <v>Bought-In</v>
      </c>
      <c r="L23" s="40" t="str">
        <f t="shared" si="1"/>
        <v>Y</v>
      </c>
      <c r="M23" s="5">
        <f>IF($K23="Manufactured",0,IF(ISNA(VLOOKUP($B23,StockMaster,COLUMN(StockCode!$D$4),0))=TRUE,0,VLOOKUP($B23,StockMaster,COLUMN(StockCode!$D$4),0)))</f>
        <v>60</v>
      </c>
      <c r="N23" s="32">
        <f t="shared" si="10"/>
        <v>33.333333333333336</v>
      </c>
      <c r="O23" s="32">
        <f t="shared" si="3"/>
        <v>0</v>
      </c>
      <c r="P23" s="32">
        <f t="shared" si="11"/>
        <v>0</v>
      </c>
      <c r="Q23" s="31">
        <f t="shared" si="12"/>
        <v>33.333333333333336</v>
      </c>
      <c r="R23" s="31">
        <f ca="1">IF($K23="Manufactured",0,IF(ISNA(VLOOKUP($B23,StockMaster,COLUMN(StockCode!$AA$4),0))=TRUE,0,VLOOKUP($B23,StockMaster,COLUMN(StockCode!$AA$4),0)))</f>
        <v>60.000000000000007</v>
      </c>
      <c r="S23" s="31">
        <f t="shared" ca="1" si="6"/>
        <v>33.333333333333336</v>
      </c>
      <c r="T23" s="31">
        <f t="shared" si="7"/>
        <v>0</v>
      </c>
      <c r="U23" s="31">
        <f t="shared" si="8"/>
        <v>0</v>
      </c>
      <c r="V23" s="31">
        <f t="shared" ca="1" si="9"/>
        <v>33.333333333333336</v>
      </c>
      <c r="W23" s="31">
        <f ca="1">IF(ISNA(VLOOKUP($A23,StockMaster,COLUMN(StockCode!$P$4),0))=TRUE,0,IF($D23=0,0,(VLOOKUP($A23,StockMaster,COLUMN(StockCode!$P$4),0)*$C23/$D23)))</f>
        <v>0</v>
      </c>
      <c r="X23" s="4" cm="1">
        <f t="array" aca="1" ref="X23" ca="1">IF($D23=0,0,SUMIFS(TLevel1,BOMComp,$A23,BOMLevel,"&lt;&gt;First")*$C23/$D23)</f>
        <v>57.777777777777779</v>
      </c>
      <c r="Y23" s="4" cm="1">
        <f t="array" ref="Y23">IF($D23=0,0,SUMIFS(TLevel2,BOMComp,$A23,BOMLevel,"&lt;&gt;First")*$C23/$D23)</f>
        <v>0</v>
      </c>
      <c r="Z23" s="4" cm="1">
        <f t="array" ref="Z23">IF($D23=0,0,SUMIFS(TLevel3,BOMComp,$A23,BOMLevel,"&lt;&gt;First")*$C23/$D23)</f>
        <v>0</v>
      </c>
      <c r="AA23" s="4" cm="1">
        <f t="array" ref="AA23">IF($D23=0,0,SUMIFS(TLevel4,BOMComp,$A23,BOMLevel,"&lt;&gt;First")*$C23/$D23)</f>
        <v>0</v>
      </c>
      <c r="AB23" s="4" cm="1">
        <f t="array" ref="AB23">IF($D23=0,0,SUMIFS(TLevel5,BOMComp,$A23,BOMLevel,"&lt;&gt;First")*$C23/$D23)</f>
        <v>0</v>
      </c>
      <c r="AC23" s="4">
        <f>IF(ISNA(VLOOKUP($A23,JRCode,COLUMN(JReview!$D$4),0))=TRUE,0,IF($D23=0,0,VLOOKUP($A23,JRCode,COLUMN(JReview!$D$4),0)*$C23/$D23))</f>
        <v>0</v>
      </c>
      <c r="AD23" s="4" cm="1">
        <f t="array" ref="AD23">IF($D23=0,0,SUMIFS(JLevel1,BOMComp,$A23,BOMLevel,"&lt;&gt;First")*$C23/$D23)</f>
        <v>0</v>
      </c>
      <c r="AE23" s="4" cm="1">
        <f t="array" ref="AE23">IF($D23=0,0,SUMIFS(JLevel2,BOMComp,$A23,BOMLevel,"&lt;&gt;First")*$C23/$D23)</f>
        <v>0</v>
      </c>
      <c r="AF23" s="4" cm="1">
        <f t="array" ref="AF23">IF($D23=0,0,SUMIFS(JLevel3,BOMComp,$A23,BOMLevel,"&lt;&gt;First")*$C23/$D23)</f>
        <v>0</v>
      </c>
      <c r="AG23" s="4" cm="1">
        <f t="array" ref="AG23">IF($D23=0,0,SUMIFS(JLevel4,BOMComp,$A23,BOMLevel,"&lt;&gt;First")*$C23/$D23)</f>
        <v>0</v>
      </c>
      <c r="AH23" s="4" cm="1">
        <f t="array" ref="AH23">IF($D23=0,0,SUMIFS(JLevel5,BOMComp,$A23,BOMLevel,"&lt;&gt;First")*$C23/$D23)</f>
        <v>0</v>
      </c>
      <c r="AI23" s="4">
        <f>IF(ISNA(VLOOKUP($A23,JRCode,COLUMN(JReview!$E$4),0))=TRUE,0,IF($D23=0,0,VLOOKUP($A23,JRCode,COLUMN(JReview!$E$4),0)*$C23/$D23))</f>
        <v>0</v>
      </c>
      <c r="AJ23" s="4" cm="1">
        <f t="array" ref="AJ23">IF($D23=0,0,SUMIFS(JRLevel1,BOMComp,$A23,BOMLevel,"&lt;&gt;First")*$C23/$D23)</f>
        <v>0</v>
      </c>
      <c r="AK23" s="4" cm="1">
        <f t="array" ref="AK23">IF($D23=0,0,SUMIFS(JRLevel2,BOMComp,$A23,BOMLevel,"&lt;&gt;First")*$C23/$D23)</f>
        <v>0</v>
      </c>
      <c r="AL23" s="4" cm="1">
        <f t="array" ref="AL23">IF($D23=0,0,SUMIFS(JRLevel3,BOMComp,$A23,BOMLevel,"&lt;&gt;First")*$C23/$D23)</f>
        <v>0</v>
      </c>
      <c r="AM23" s="4" cm="1">
        <f t="array" ref="AM23">IF($D23=0,0,SUMIFS(JRLevel4,BOMComp,$A23,BOMLevel,"&lt;&gt;First")*$C23/$D23)</f>
        <v>0</v>
      </c>
      <c r="AN23" s="4" cm="1">
        <f t="array" ref="AN23">IF($D23=0,0,SUMIFS(JRLevel5,BOMComp,$A23,BOMLevel,"&lt;&gt;First")*$C23/$D23)</f>
        <v>0</v>
      </c>
      <c r="AO23" s="5">
        <f>IF(ISNA(VLOOKUP($A23,Require,COLUMN(ReqPlan!$E$6),0))=TRUE,0,IF($D23=0,0,VLOOKUP($A23,Require,COLUMN(ReqPlan!$E$6),0)*$C23/$D23))</f>
        <v>0</v>
      </c>
      <c r="AP23" s="5" cm="1">
        <f t="array" ref="AP23">IF($D23=0,0,SUMIFS(RLevel1,BOMComp,$A23,BOMLevel,"&lt;&gt;First")*$C23/$D23)</f>
        <v>0</v>
      </c>
      <c r="AQ23" s="5" cm="1">
        <f t="array" ref="AQ23">IF($D23=0,0,SUMIFS(RLevel2,BOMComp,$A23,BOMLevel,"&lt;&gt;First")*$C23/$D23)</f>
        <v>0</v>
      </c>
      <c r="AR23" s="5" cm="1">
        <f t="array" ref="AR23">IF($D23=0,0,SUMIFS(RLevel3,BOMComp,$A23,BOMLevel,"&lt;&gt;First")*$C23/$D23)</f>
        <v>0</v>
      </c>
      <c r="AS23" s="5" cm="1">
        <f t="array" ref="AS23">IF($D23=0,0,SUMIFS(RLevel4,BOMComp,$A23,BOMLevel,"&lt;&gt;First")*$C23/$D23)</f>
        <v>0</v>
      </c>
      <c r="AT23" s="5" cm="1">
        <f t="array" ref="AT23">IF($D23=0,0,SUMIFS(RLevel5,BOMComp,$A23,BOMLevel,"&lt;&gt;First")*$C23/$D23)</f>
        <v>0</v>
      </c>
    </row>
    <row r="24" spans="1:46" ht="16.149999999999999" customHeight="1" x14ac:dyDescent="0.25">
      <c r="A24" s="2" t="s">
        <v>80</v>
      </c>
      <c r="B24" s="2" t="s">
        <v>48</v>
      </c>
      <c r="C24" s="33">
        <v>1</v>
      </c>
      <c r="D24" s="34">
        <v>0.8</v>
      </c>
      <c r="E24" s="35" t="str">
        <f t="shared" si="0"/>
        <v>-</v>
      </c>
      <c r="F24" s="2" t="str">
        <f>IF(ISNA(VLOOKUP($A24,StockMaster,COLUMN(StockCode!$B$4),0))=TRUE,"does not exist",VLOOKUP($A24,StockMaster,COLUMN(StockCode!$B$4),0))</f>
        <v>Glazed Window Frame</v>
      </c>
      <c r="G24" s="3" t="str">
        <f>IF(ISNA(VLOOKUP($A24,StockMaster,COLUMN(StockCode!$C$4),0))=TRUE,"error",VLOOKUP($A24,StockMaster,COLUMN(StockCode!$C$4),0))</f>
        <v>Units</v>
      </c>
      <c r="H24" s="3" t="str">
        <f>IF(ISNA(VLOOKUP($A24,StockMaster,COLUMN(StockCode!$E$4),0))=TRUE,"All",VLOOKUP($A24,StockMaster,COLUMN(StockCode!$E$4),0))</f>
        <v>All</v>
      </c>
      <c r="I24" s="2" t="str">
        <f>IF(ISNA(VLOOKUP($B24,StockMaster,COLUMN(StockCode!$B$4),0))=TRUE,"does not exist",VLOOKUP($B24,StockMaster,COLUMN(StockCode!$B$4),0))</f>
        <v>Wood</v>
      </c>
      <c r="J24" s="3" t="str">
        <f>IF(ISNA(VLOOKUP($B24,StockMaster,COLUMN(StockCode!$C$4),0))=TRUE,"error",VLOOKUP($B24,StockMaster,COLUMN(StockCode!$C$4),0))</f>
        <v>M2</v>
      </c>
      <c r="K24" s="40" t="str">
        <f>IF(ISNA(VLOOKUP($B24,StockMaster,COLUMN(StockCode!$G$4),0))=TRUE,0,VLOOKUP($B24,StockMaster,COLUMN(StockCode!$G$4),0))</f>
        <v>Bought-In</v>
      </c>
      <c r="L24" s="40" t="str">
        <f t="shared" si="1"/>
        <v>Y</v>
      </c>
      <c r="M24" s="5">
        <f>IF($K24="Manufactured",0,IF(ISNA(VLOOKUP($B24,StockMaster,COLUMN(StockCode!$D$4),0))=TRUE,0,VLOOKUP($B24,StockMaster,COLUMN(StockCode!$D$4),0)))</f>
        <v>120</v>
      </c>
      <c r="N24" s="32">
        <f t="shared" si="10"/>
        <v>150</v>
      </c>
      <c r="O24" s="32">
        <f t="shared" si="3"/>
        <v>0</v>
      </c>
      <c r="P24" s="32">
        <f t="shared" si="11"/>
        <v>0</v>
      </c>
      <c r="Q24" s="31">
        <f t="shared" si="12"/>
        <v>150</v>
      </c>
      <c r="R24" s="31">
        <f ca="1">IF($K24="Manufactured",0,IF(ISNA(VLOOKUP($B24,StockMaster,COLUMN(StockCode!$AA$4),0))=TRUE,0,VLOOKUP($B24,StockMaster,COLUMN(StockCode!$AA$4),0)))</f>
        <v>124.21322263327481</v>
      </c>
      <c r="S24" s="31">
        <f t="shared" ca="1" si="6"/>
        <v>155.26652829159352</v>
      </c>
      <c r="T24" s="31">
        <f t="shared" si="7"/>
        <v>0</v>
      </c>
      <c r="U24" s="31">
        <f t="shared" si="8"/>
        <v>0</v>
      </c>
      <c r="V24" s="31">
        <f t="shared" ca="1" si="9"/>
        <v>155.26652829159352</v>
      </c>
      <c r="W24" s="31">
        <f ca="1">IF(ISNA(VLOOKUP($A24,StockMaster,COLUMN(StockCode!$P$4),0))=TRUE,0,IF($D24=0,0,(VLOOKUP($A24,StockMaster,COLUMN(StockCode!$P$4),0)*$C24/$D24)))</f>
        <v>0</v>
      </c>
      <c r="X24" s="4" cm="1">
        <f t="array" aca="1" ref="X24" ca="1">IF($D24=0,0,SUMIFS(TLevel1,BOMComp,$A24,BOMLevel,"&lt;&gt;First")*$C24/$D24)</f>
        <v>130</v>
      </c>
      <c r="Y24" s="4" cm="1">
        <f t="array" ref="Y24">IF($D24=0,0,SUMIFS(TLevel2,BOMComp,$A24,BOMLevel,"&lt;&gt;First")*$C24/$D24)</f>
        <v>0</v>
      </c>
      <c r="Z24" s="4" cm="1">
        <f t="array" ref="Z24">IF($D24=0,0,SUMIFS(TLevel3,BOMComp,$A24,BOMLevel,"&lt;&gt;First")*$C24/$D24)</f>
        <v>0</v>
      </c>
      <c r="AA24" s="4" cm="1">
        <f t="array" ref="AA24">IF($D24=0,0,SUMIFS(TLevel4,BOMComp,$A24,BOMLevel,"&lt;&gt;First")*$C24/$D24)</f>
        <v>0</v>
      </c>
      <c r="AB24" s="4" cm="1">
        <f t="array" ref="AB24">IF($D24=0,0,SUMIFS(TLevel5,BOMComp,$A24,BOMLevel,"&lt;&gt;First")*$C24/$D24)</f>
        <v>0</v>
      </c>
      <c r="AC24" s="4">
        <f>IF(ISNA(VLOOKUP($A24,JRCode,COLUMN(JReview!$D$4),0))=TRUE,0,IF($D24=0,0,VLOOKUP($A24,JRCode,COLUMN(JReview!$D$4),0)*$C24/$D24))</f>
        <v>0</v>
      </c>
      <c r="AD24" s="4" cm="1">
        <f t="array" ref="AD24">IF($D24=0,0,SUMIFS(JLevel1,BOMComp,$A24,BOMLevel,"&lt;&gt;First")*$C24/$D24)</f>
        <v>0</v>
      </c>
      <c r="AE24" s="4" cm="1">
        <f t="array" ref="AE24">IF($D24=0,0,SUMIFS(JLevel2,BOMComp,$A24,BOMLevel,"&lt;&gt;First")*$C24/$D24)</f>
        <v>0</v>
      </c>
      <c r="AF24" s="4" cm="1">
        <f t="array" ref="AF24">IF($D24=0,0,SUMIFS(JLevel3,BOMComp,$A24,BOMLevel,"&lt;&gt;First")*$C24/$D24)</f>
        <v>0</v>
      </c>
      <c r="AG24" s="4" cm="1">
        <f t="array" ref="AG24">IF($D24=0,0,SUMIFS(JLevel4,BOMComp,$A24,BOMLevel,"&lt;&gt;First")*$C24/$D24)</f>
        <v>0</v>
      </c>
      <c r="AH24" s="4" cm="1">
        <f t="array" ref="AH24">IF($D24=0,0,SUMIFS(JLevel5,BOMComp,$A24,BOMLevel,"&lt;&gt;First")*$C24/$D24)</f>
        <v>0</v>
      </c>
      <c r="AI24" s="4">
        <f>IF(ISNA(VLOOKUP($A24,JRCode,COLUMN(JReview!$E$4),0))=TRUE,0,IF($D24=0,0,VLOOKUP($A24,JRCode,COLUMN(JReview!$E$4),0)*$C24/$D24))</f>
        <v>0</v>
      </c>
      <c r="AJ24" s="4" cm="1">
        <f t="array" ref="AJ24">IF($D24=0,0,SUMIFS(JRLevel1,BOMComp,$A24,BOMLevel,"&lt;&gt;First")*$C24/$D24)</f>
        <v>0</v>
      </c>
      <c r="AK24" s="4" cm="1">
        <f t="array" ref="AK24">IF($D24=0,0,SUMIFS(JRLevel2,BOMComp,$A24,BOMLevel,"&lt;&gt;First")*$C24/$D24)</f>
        <v>0</v>
      </c>
      <c r="AL24" s="4" cm="1">
        <f t="array" ref="AL24">IF($D24=0,0,SUMIFS(JRLevel3,BOMComp,$A24,BOMLevel,"&lt;&gt;First")*$C24/$D24)</f>
        <v>0</v>
      </c>
      <c r="AM24" s="4" cm="1">
        <f t="array" ref="AM24">IF($D24=0,0,SUMIFS(JRLevel4,BOMComp,$A24,BOMLevel,"&lt;&gt;First")*$C24/$D24)</f>
        <v>0</v>
      </c>
      <c r="AN24" s="4" cm="1">
        <f t="array" ref="AN24">IF($D24=0,0,SUMIFS(JRLevel5,BOMComp,$A24,BOMLevel,"&lt;&gt;First")*$C24/$D24)</f>
        <v>0</v>
      </c>
      <c r="AO24" s="5">
        <f>IF(ISNA(VLOOKUP($A24,Require,COLUMN(ReqPlan!$E$6),0))=TRUE,0,IF($D24=0,0,VLOOKUP($A24,Require,COLUMN(ReqPlan!$E$6),0)*$C24/$D24))</f>
        <v>0</v>
      </c>
      <c r="AP24" s="5" cm="1">
        <f t="array" ref="AP24">IF($D24=0,0,SUMIFS(RLevel1,BOMComp,$A24,BOMLevel,"&lt;&gt;First")*$C24/$D24)</f>
        <v>0</v>
      </c>
      <c r="AQ24" s="5" cm="1">
        <f t="array" ref="AQ24">IF($D24=0,0,SUMIFS(RLevel2,BOMComp,$A24,BOMLevel,"&lt;&gt;First")*$C24/$D24)</f>
        <v>0</v>
      </c>
      <c r="AR24" s="5" cm="1">
        <f t="array" ref="AR24">IF($D24=0,0,SUMIFS(RLevel3,BOMComp,$A24,BOMLevel,"&lt;&gt;First")*$C24/$D24)</f>
        <v>0</v>
      </c>
      <c r="AS24" s="5" cm="1">
        <f t="array" ref="AS24">IF($D24=0,0,SUMIFS(RLevel4,BOMComp,$A24,BOMLevel,"&lt;&gt;First")*$C24/$D24)</f>
        <v>0</v>
      </c>
      <c r="AT24" s="5" cm="1">
        <f t="array" ref="AT24">IF($D24=0,0,SUMIFS(RLevel5,BOMComp,$A24,BOMLevel,"&lt;&gt;First")*$C24/$D24)</f>
        <v>0</v>
      </c>
    </row>
    <row r="25" spans="1:46" ht="16.149999999999999" customHeight="1" x14ac:dyDescent="0.25">
      <c r="A25" s="2" t="s">
        <v>80</v>
      </c>
      <c r="B25" s="2" t="s">
        <v>82</v>
      </c>
      <c r="C25" s="33">
        <v>1</v>
      </c>
      <c r="D25" s="34">
        <v>1</v>
      </c>
      <c r="E25" s="35" t="str">
        <f t="shared" si="0"/>
        <v>-</v>
      </c>
      <c r="F25" s="2" t="str">
        <f>IF(ISNA(VLOOKUP($A25,StockMaster,COLUMN(StockCode!$B$4),0))=TRUE,"does not exist",VLOOKUP($A25,StockMaster,COLUMN(StockCode!$B$4),0))</f>
        <v>Glazed Window Frame</v>
      </c>
      <c r="G25" s="3" t="str">
        <f>IF(ISNA(VLOOKUP($A25,StockMaster,COLUMN(StockCode!$C$4),0))=TRUE,"error",VLOOKUP($A25,StockMaster,COLUMN(StockCode!$C$4),0))</f>
        <v>Units</v>
      </c>
      <c r="H25" s="3" t="str">
        <f>IF(ISNA(VLOOKUP($A25,StockMaster,COLUMN(StockCode!$E$4),0))=TRUE,"All",VLOOKUP($A25,StockMaster,COLUMN(StockCode!$E$4),0))</f>
        <v>All</v>
      </c>
      <c r="I25" s="2" t="str">
        <f>IF(ISNA(VLOOKUP($B25,StockMaster,COLUMN(StockCode!$B$4),0))=TRUE,"does not exist",VLOOKUP($B25,StockMaster,COLUMN(StockCode!$B$4),0))</f>
        <v>Labour - Grade 1</v>
      </c>
      <c r="J25" s="3" t="str">
        <f>IF(ISNA(VLOOKUP($B25,StockMaster,COLUMN(StockCode!$C$4),0))=TRUE,"error",VLOOKUP($B25,StockMaster,COLUMN(StockCode!$C$4),0))</f>
        <v>Hours</v>
      </c>
      <c r="K25" s="40" t="str">
        <f>IF(ISNA(VLOOKUP($B25,StockMaster,COLUMN(StockCode!$G$4),0))=TRUE,0,VLOOKUP($B25,StockMaster,COLUMN(StockCode!$G$4),0))</f>
        <v>Bought-In</v>
      </c>
      <c r="L25" s="40" t="str">
        <f t="shared" si="1"/>
        <v>Y</v>
      </c>
      <c r="M25" s="5">
        <f>IF($K25="Manufactured",0,IF(ISNA(VLOOKUP($B25,StockMaster,COLUMN(StockCode!$D$4),0))=TRUE,0,VLOOKUP($B25,StockMaster,COLUMN(StockCode!$D$4),0)))</f>
        <v>20</v>
      </c>
      <c r="N25" s="32">
        <f t="shared" si="10"/>
        <v>20</v>
      </c>
      <c r="O25" s="32">
        <f t="shared" si="3"/>
        <v>0</v>
      </c>
      <c r="P25" s="32">
        <f t="shared" si="11"/>
        <v>0</v>
      </c>
      <c r="Q25" s="31">
        <f t="shared" si="12"/>
        <v>20</v>
      </c>
      <c r="R25" s="31">
        <f ca="1">IF($K25="Manufactured",0,IF(ISNA(VLOOKUP($B25,StockMaster,COLUMN(StockCode!$AA$4),0))=TRUE,0,VLOOKUP($B25,StockMaster,COLUMN(StockCode!$AA$4),0)))</f>
        <v>20.330774751337231</v>
      </c>
      <c r="S25" s="31">
        <f t="shared" ca="1" si="6"/>
        <v>20.330774751337231</v>
      </c>
      <c r="T25" s="31">
        <f t="shared" si="7"/>
        <v>0</v>
      </c>
      <c r="U25" s="31">
        <f t="shared" si="8"/>
        <v>0</v>
      </c>
      <c r="V25" s="31">
        <f t="shared" ca="1" si="9"/>
        <v>20.330774751337231</v>
      </c>
      <c r="W25" s="31">
        <f ca="1">IF(ISNA(VLOOKUP($A25,StockMaster,COLUMN(StockCode!$P$4),0))=TRUE,0,IF($D25=0,0,(VLOOKUP($A25,StockMaster,COLUMN(StockCode!$P$4),0)*$C25/$D25)))</f>
        <v>0</v>
      </c>
      <c r="X25" s="4" cm="1">
        <f t="array" aca="1" ref="X25" ca="1">IF($D25=0,0,SUMIFS(TLevel1,BOMComp,$A25,BOMLevel,"&lt;&gt;First")*$C25/$D25)</f>
        <v>104</v>
      </c>
      <c r="Y25" s="4" cm="1">
        <f t="array" ref="Y25">IF($D25=0,0,SUMIFS(TLevel2,BOMComp,$A25,BOMLevel,"&lt;&gt;First")*$C25/$D25)</f>
        <v>0</v>
      </c>
      <c r="Z25" s="4" cm="1">
        <f t="array" ref="Z25">IF($D25=0,0,SUMIFS(TLevel3,BOMComp,$A25,BOMLevel,"&lt;&gt;First")*$C25/$D25)</f>
        <v>0</v>
      </c>
      <c r="AA25" s="4" cm="1">
        <f t="array" ref="AA25">IF($D25=0,0,SUMIFS(TLevel4,BOMComp,$A25,BOMLevel,"&lt;&gt;First")*$C25/$D25)</f>
        <v>0</v>
      </c>
      <c r="AB25" s="4" cm="1">
        <f t="array" ref="AB25">IF($D25=0,0,SUMIFS(TLevel5,BOMComp,$A25,BOMLevel,"&lt;&gt;First")*$C25/$D25)</f>
        <v>0</v>
      </c>
      <c r="AC25" s="4">
        <f>IF(ISNA(VLOOKUP($A25,JRCode,COLUMN(JReview!$D$4),0))=TRUE,0,IF($D25=0,0,VLOOKUP($A25,JRCode,COLUMN(JReview!$D$4),0)*$C25/$D25))</f>
        <v>0</v>
      </c>
      <c r="AD25" s="4" cm="1">
        <f t="array" ref="AD25">IF($D25=0,0,SUMIFS(JLevel1,BOMComp,$A25,BOMLevel,"&lt;&gt;First")*$C25/$D25)</f>
        <v>0</v>
      </c>
      <c r="AE25" s="4" cm="1">
        <f t="array" ref="AE25">IF($D25=0,0,SUMIFS(JLevel2,BOMComp,$A25,BOMLevel,"&lt;&gt;First")*$C25/$D25)</f>
        <v>0</v>
      </c>
      <c r="AF25" s="4" cm="1">
        <f t="array" ref="AF25">IF($D25=0,0,SUMIFS(JLevel3,BOMComp,$A25,BOMLevel,"&lt;&gt;First")*$C25/$D25)</f>
        <v>0</v>
      </c>
      <c r="AG25" s="4" cm="1">
        <f t="array" ref="AG25">IF($D25=0,0,SUMIFS(JLevel4,BOMComp,$A25,BOMLevel,"&lt;&gt;First")*$C25/$D25)</f>
        <v>0</v>
      </c>
      <c r="AH25" s="4" cm="1">
        <f t="array" ref="AH25">IF($D25=0,0,SUMIFS(JLevel5,BOMComp,$A25,BOMLevel,"&lt;&gt;First")*$C25/$D25)</f>
        <v>0</v>
      </c>
      <c r="AI25" s="4">
        <f>IF(ISNA(VLOOKUP($A25,JRCode,COLUMN(JReview!$E$4),0))=TRUE,0,IF($D25=0,0,VLOOKUP($A25,JRCode,COLUMN(JReview!$E$4),0)*$C25/$D25))</f>
        <v>0</v>
      </c>
      <c r="AJ25" s="4" cm="1">
        <f t="array" ref="AJ25">IF($D25=0,0,SUMIFS(JRLevel1,BOMComp,$A25,BOMLevel,"&lt;&gt;First")*$C25/$D25)</f>
        <v>0</v>
      </c>
      <c r="AK25" s="4" cm="1">
        <f t="array" ref="AK25">IF($D25=0,0,SUMIFS(JRLevel2,BOMComp,$A25,BOMLevel,"&lt;&gt;First")*$C25/$D25)</f>
        <v>0</v>
      </c>
      <c r="AL25" s="4" cm="1">
        <f t="array" ref="AL25">IF($D25=0,0,SUMIFS(JRLevel3,BOMComp,$A25,BOMLevel,"&lt;&gt;First")*$C25/$D25)</f>
        <v>0</v>
      </c>
      <c r="AM25" s="4" cm="1">
        <f t="array" ref="AM25">IF($D25=0,0,SUMIFS(JRLevel4,BOMComp,$A25,BOMLevel,"&lt;&gt;First")*$C25/$D25)</f>
        <v>0</v>
      </c>
      <c r="AN25" s="4" cm="1">
        <f t="array" ref="AN25">IF($D25=0,0,SUMIFS(JRLevel5,BOMComp,$A25,BOMLevel,"&lt;&gt;First")*$C25/$D25)</f>
        <v>0</v>
      </c>
      <c r="AO25" s="5">
        <f>IF(ISNA(VLOOKUP($A25,Require,COLUMN(ReqPlan!$E$6),0))=TRUE,0,IF($D25=0,0,VLOOKUP($A25,Require,COLUMN(ReqPlan!$E$6),0)*$C25/$D25))</f>
        <v>0</v>
      </c>
      <c r="AP25" s="5" cm="1">
        <f t="array" ref="AP25">IF($D25=0,0,SUMIFS(RLevel1,BOMComp,$A25,BOMLevel,"&lt;&gt;First")*$C25/$D25)</f>
        <v>0</v>
      </c>
      <c r="AQ25" s="5" cm="1">
        <f t="array" ref="AQ25">IF($D25=0,0,SUMIFS(RLevel2,BOMComp,$A25,BOMLevel,"&lt;&gt;First")*$C25/$D25)</f>
        <v>0</v>
      </c>
      <c r="AR25" s="5" cm="1">
        <f t="array" ref="AR25">IF($D25=0,0,SUMIFS(RLevel3,BOMComp,$A25,BOMLevel,"&lt;&gt;First")*$C25/$D25)</f>
        <v>0</v>
      </c>
      <c r="AS25" s="5" cm="1">
        <f t="array" ref="AS25">IF($D25=0,0,SUMIFS(RLevel4,BOMComp,$A25,BOMLevel,"&lt;&gt;First")*$C25/$D25)</f>
        <v>0</v>
      </c>
      <c r="AT25" s="5" cm="1">
        <f t="array" ref="AT25">IF($D25=0,0,SUMIFS(RLevel5,BOMComp,$A25,BOMLevel,"&lt;&gt;First")*$C25/$D25)</f>
        <v>0</v>
      </c>
    </row>
    <row r="26" spans="1:46" ht="16.149999999999999" customHeight="1" x14ac:dyDescent="0.25">
      <c r="A26" s="2" t="s">
        <v>41</v>
      </c>
      <c r="B26" s="2" t="s">
        <v>59</v>
      </c>
      <c r="C26" s="33">
        <v>1</v>
      </c>
      <c r="D26" s="34">
        <v>1</v>
      </c>
      <c r="E26" s="35" t="str">
        <f t="shared" si="0"/>
        <v>-</v>
      </c>
      <c r="F26" s="2" t="str">
        <f>IF(ISNA(VLOOKUP($A26,StockMaster,COLUMN(StockCode!$B$4),0))=TRUE,"does not exist",VLOOKUP($A26,StockMaster,COLUMN(StockCode!$B$4),0))</f>
        <v>Garden Shed</v>
      </c>
      <c r="G26" s="3" t="str">
        <f>IF(ISNA(VLOOKUP($A26,StockMaster,COLUMN(StockCode!$C$4),0))=TRUE,"error",VLOOKUP($A26,StockMaster,COLUMN(StockCode!$C$4),0))</f>
        <v>Units</v>
      </c>
      <c r="H26" s="3" t="str">
        <f>IF(ISNA(VLOOKUP($A26,StockMaster,COLUMN(StockCode!$E$4),0))=TRUE,"All",VLOOKUP($A26,StockMaster,COLUMN(StockCode!$E$4),0))</f>
        <v>All</v>
      </c>
      <c r="I26" s="2" t="str">
        <f>IF(ISNA(VLOOKUP($B26,StockMaster,COLUMN(StockCode!$B$4),0))=TRUE,"does not exist",VLOOKUP($B26,StockMaster,COLUMN(StockCode!$B$4),0))</f>
        <v>Roof</v>
      </c>
      <c r="J26" s="3" t="str">
        <f>IF(ISNA(VLOOKUP($B26,StockMaster,COLUMN(StockCode!$C$4),0))=TRUE,"error",VLOOKUP($B26,StockMaster,COLUMN(StockCode!$C$4),0))</f>
        <v>Units</v>
      </c>
      <c r="K26" s="40" t="str">
        <f>IF(ISNA(VLOOKUP($B26,StockMaster,COLUMN(StockCode!$G$4),0))=TRUE,0,VLOOKUP($B26,StockMaster,COLUMN(StockCode!$G$4),0))</f>
        <v>Manufactured</v>
      </c>
      <c r="L26" s="40" t="str">
        <f t="shared" si="1"/>
        <v>N</v>
      </c>
      <c r="M26" s="5">
        <f>IF($K26="Manufactured",0,IF(ISNA(VLOOKUP($B26,StockMaster,COLUMN(StockCode!$D$4),0))=TRUE,0,VLOOKUP($B26,StockMaster,COLUMN(StockCode!$D$4),0)))</f>
        <v>0</v>
      </c>
      <c r="N26" s="32">
        <f t="shared" si="10"/>
        <v>0</v>
      </c>
      <c r="O26" s="32">
        <f t="shared" si="3"/>
        <v>1766.6666666666665</v>
      </c>
      <c r="P26" s="32">
        <f t="shared" si="11"/>
        <v>1766.6666666666665</v>
      </c>
      <c r="Q26" s="31">
        <f t="shared" si="12"/>
        <v>1766.6666666666665</v>
      </c>
      <c r="R26" s="31">
        <f>IF($K26="Manufactured",0,IF(ISNA(VLOOKUP($B26,StockMaster,COLUMN(StockCode!$AA$4),0))=TRUE,0,VLOOKUP($B26,StockMaster,COLUMN(StockCode!$AA$4),0)))</f>
        <v>0</v>
      </c>
      <c r="S26" s="31">
        <f t="shared" si="6"/>
        <v>0</v>
      </c>
      <c r="T26" s="31">
        <f t="shared" ca="1" si="7"/>
        <v>1770.3194551526897</v>
      </c>
      <c r="U26" s="31">
        <f t="shared" ca="1" si="8"/>
        <v>1770.3194551526897</v>
      </c>
      <c r="V26" s="31">
        <f t="shared" ca="1" si="9"/>
        <v>1770.3194551526897</v>
      </c>
      <c r="W26" s="31">
        <f ca="1">IF(ISNA(VLOOKUP($A26,StockMaster,COLUMN(StockCode!$P$4),0))=TRUE,0,IF($D26=0,0,(VLOOKUP($A26,StockMaster,COLUMN(StockCode!$P$4),0)*$C26/$D26)))</f>
        <v>1010</v>
      </c>
      <c r="X26" s="4" cm="1">
        <f t="array" ref="X26">IF($D26=0,0,SUMIFS(TLevel1,BOMComp,$A26,BOMLevel,"&lt;&gt;First")*$C26/$D26)</f>
        <v>0</v>
      </c>
      <c r="Y26" s="4" cm="1">
        <f t="array" ref="Y26">IF($D26=0,0,SUMIFS(TLevel2,BOMComp,$A26,BOMLevel,"&lt;&gt;First")*$C26/$D26)</f>
        <v>0</v>
      </c>
      <c r="Z26" s="4" cm="1">
        <f t="array" ref="Z26">IF($D26=0,0,SUMIFS(TLevel3,BOMComp,$A26,BOMLevel,"&lt;&gt;First")*$C26/$D26)</f>
        <v>0</v>
      </c>
      <c r="AA26" s="4" cm="1">
        <f t="array" ref="AA26">IF($D26=0,0,SUMIFS(TLevel4,BOMComp,$A26,BOMLevel,"&lt;&gt;First")*$C26/$D26)</f>
        <v>0</v>
      </c>
      <c r="AB26" s="4" cm="1">
        <f t="array" ref="AB26">IF($D26=0,0,SUMIFS(TLevel5,BOMComp,$A26,BOMLevel,"&lt;&gt;First")*$C26/$D26)</f>
        <v>0</v>
      </c>
      <c r="AC26" s="4">
        <f>IF(ISNA(VLOOKUP($A26,JRCode,COLUMN(JReview!$D$4),0))=TRUE,0,IF($D26=0,0,VLOOKUP($A26,JRCode,COLUMN(JReview!$D$4),0)*$C26/$D26))</f>
        <v>100</v>
      </c>
      <c r="AD26" s="4" cm="1">
        <f t="array" ref="AD26">IF($D26=0,0,SUMIFS(JLevel1,BOMComp,$A26,BOMLevel,"&lt;&gt;First")*$C26/$D26)</f>
        <v>0</v>
      </c>
      <c r="AE26" s="4" cm="1">
        <f t="array" ref="AE26">IF($D26=0,0,SUMIFS(JLevel2,BOMComp,$A26,BOMLevel,"&lt;&gt;First")*$C26/$D26)</f>
        <v>0</v>
      </c>
      <c r="AF26" s="4" cm="1">
        <f t="array" ref="AF26">IF($D26=0,0,SUMIFS(JLevel3,BOMComp,$A26,BOMLevel,"&lt;&gt;First")*$C26/$D26)</f>
        <v>0</v>
      </c>
      <c r="AG26" s="4" cm="1">
        <f t="array" ref="AG26">IF($D26=0,0,SUMIFS(JLevel4,BOMComp,$A26,BOMLevel,"&lt;&gt;First")*$C26/$D26)</f>
        <v>0</v>
      </c>
      <c r="AH26" s="4" cm="1">
        <f t="array" ref="AH26">IF($D26=0,0,SUMIFS(JLevel5,BOMComp,$A26,BOMLevel,"&lt;&gt;First")*$C26/$D26)</f>
        <v>0</v>
      </c>
      <c r="AI26" s="4">
        <f>IF(ISNA(VLOOKUP($A26,JRCode,COLUMN(JReview!$E$4),0))=TRUE,0,IF($D26=0,0,VLOOKUP($A26,JRCode,COLUMN(JReview!$E$4),0)*$C26/$D26))</f>
        <v>105</v>
      </c>
      <c r="AJ26" s="4" cm="1">
        <f t="array" ref="AJ26">IF($D26=0,0,SUMIFS(JRLevel1,BOMComp,$A26,BOMLevel,"&lt;&gt;First")*$C26/$D26)</f>
        <v>0</v>
      </c>
      <c r="AK26" s="4" cm="1">
        <f t="array" ref="AK26">IF($D26=0,0,SUMIFS(JRLevel2,BOMComp,$A26,BOMLevel,"&lt;&gt;First")*$C26/$D26)</f>
        <v>0</v>
      </c>
      <c r="AL26" s="4" cm="1">
        <f t="array" ref="AL26">IF($D26=0,0,SUMIFS(JRLevel3,BOMComp,$A26,BOMLevel,"&lt;&gt;First")*$C26/$D26)</f>
        <v>0</v>
      </c>
      <c r="AM26" s="4" cm="1">
        <f t="array" ref="AM26">IF($D26=0,0,SUMIFS(JRLevel4,BOMComp,$A26,BOMLevel,"&lt;&gt;First")*$C26/$D26)</f>
        <v>0</v>
      </c>
      <c r="AN26" s="4" cm="1">
        <f t="array" ref="AN26">IF($D26=0,0,SUMIFS(JRLevel5,BOMComp,$A26,BOMLevel,"&lt;&gt;First")*$C26/$D26)</f>
        <v>0</v>
      </c>
      <c r="AO26" s="5">
        <f>IF(ISNA(VLOOKUP($A26,Require,COLUMN(ReqPlan!$E$6),0))=TRUE,0,IF($D26=0,0,VLOOKUP($A26,Require,COLUMN(ReqPlan!$E$6),0)*$C26/$D26))</f>
        <v>500</v>
      </c>
      <c r="AP26" s="5" cm="1">
        <f t="array" ref="AP26">IF($D26=0,0,SUMIFS(RLevel1,BOMComp,$A26,BOMLevel,"&lt;&gt;First")*$C26/$D26)</f>
        <v>0</v>
      </c>
      <c r="AQ26" s="5" cm="1">
        <f t="array" ref="AQ26">IF($D26=0,0,SUMIFS(RLevel2,BOMComp,$A26,BOMLevel,"&lt;&gt;First")*$C26/$D26)</f>
        <v>0</v>
      </c>
      <c r="AR26" s="5" cm="1">
        <f t="array" ref="AR26">IF($D26=0,0,SUMIFS(RLevel3,BOMComp,$A26,BOMLevel,"&lt;&gt;First")*$C26/$D26)</f>
        <v>0</v>
      </c>
      <c r="AS26" s="5" cm="1">
        <f t="array" ref="AS26">IF($D26=0,0,SUMIFS(RLevel4,BOMComp,$A26,BOMLevel,"&lt;&gt;First")*$C26/$D26)</f>
        <v>0</v>
      </c>
      <c r="AT26" s="5" cm="1">
        <f t="array" ref="AT26">IF($D26=0,0,SUMIFS(RLevel5,BOMComp,$A26,BOMLevel,"&lt;&gt;First")*$C26/$D26)</f>
        <v>0</v>
      </c>
    </row>
    <row r="27" spans="1:46" ht="16.149999999999999" customHeight="1" x14ac:dyDescent="0.25">
      <c r="A27" s="2" t="s">
        <v>41</v>
      </c>
      <c r="B27" s="2" t="s">
        <v>61</v>
      </c>
      <c r="C27" s="33">
        <v>2</v>
      </c>
      <c r="D27" s="34">
        <v>0.95</v>
      </c>
      <c r="E27" s="35" t="str">
        <f t="shared" si="0"/>
        <v>-</v>
      </c>
      <c r="F27" s="2" t="str">
        <f>IF(ISNA(VLOOKUP($A27,StockMaster,COLUMN(StockCode!$B$4),0))=TRUE,"does not exist",VLOOKUP($A27,StockMaster,COLUMN(StockCode!$B$4),0))</f>
        <v>Garden Shed</v>
      </c>
      <c r="G27" s="3" t="str">
        <f>IF(ISNA(VLOOKUP($A27,StockMaster,COLUMN(StockCode!$C$4),0))=TRUE,"error",VLOOKUP($A27,StockMaster,COLUMN(StockCode!$C$4),0))</f>
        <v>Units</v>
      </c>
      <c r="H27" s="3" t="str">
        <f>IF(ISNA(VLOOKUP($A27,StockMaster,COLUMN(StockCode!$E$4),0))=TRUE,"All",VLOOKUP($A27,StockMaster,COLUMN(StockCode!$E$4),0))</f>
        <v>All</v>
      </c>
      <c r="I27" s="2" t="str">
        <f>IF(ISNA(VLOOKUP($B27,StockMaster,COLUMN(StockCode!$B$4),0))=TRUE,"does not exist",VLOOKUP($B27,StockMaster,COLUMN(StockCode!$B$4),0))</f>
        <v>Window Frame</v>
      </c>
      <c r="J27" s="3" t="str">
        <f>IF(ISNA(VLOOKUP($B27,StockMaster,COLUMN(StockCode!$C$4),0))=TRUE,"error",VLOOKUP($B27,StockMaster,COLUMN(StockCode!$C$4),0))</f>
        <v>Units</v>
      </c>
      <c r="K27" s="40" t="str">
        <f>IF(ISNA(VLOOKUP($B27,StockMaster,COLUMN(StockCode!$G$4),0))=TRUE,0,VLOOKUP($B27,StockMaster,COLUMN(StockCode!$G$4),0))</f>
        <v>Manufactured</v>
      </c>
      <c r="L27" s="40" t="str">
        <f t="shared" si="1"/>
        <v>N</v>
      </c>
      <c r="M27" s="5">
        <f>IF($K27="Manufactured",0,IF(ISNA(VLOOKUP($B27,StockMaster,COLUMN(StockCode!$D$4),0))=TRUE,0,VLOOKUP($B27,StockMaster,COLUMN(StockCode!$D$4),0)))</f>
        <v>0</v>
      </c>
      <c r="N27" s="32">
        <f t="shared" si="10"/>
        <v>0</v>
      </c>
      <c r="O27" s="32">
        <f t="shared" si="3"/>
        <v>321.45098039215691</v>
      </c>
      <c r="P27" s="32">
        <f t="shared" si="11"/>
        <v>676.73890608875138</v>
      </c>
      <c r="Q27" s="31">
        <f t="shared" si="12"/>
        <v>676.73890608875138</v>
      </c>
      <c r="R27" s="31">
        <f>IF($K27="Manufactured",0,IF(ISNA(VLOOKUP($B27,StockMaster,COLUMN(StockCode!$AA$4),0))=TRUE,0,VLOOKUP($B27,StockMaster,COLUMN(StockCode!$AA$4),0)))</f>
        <v>0</v>
      </c>
      <c r="S27" s="31">
        <f t="shared" si="6"/>
        <v>0</v>
      </c>
      <c r="T27" s="31">
        <f t="shared" ca="1" si="7"/>
        <v>329.64770310956692</v>
      </c>
      <c r="U27" s="31">
        <f t="shared" ca="1" si="8"/>
        <v>693.99516444119342</v>
      </c>
      <c r="V27" s="31">
        <f t="shared" ca="1" si="9"/>
        <v>693.99516444119342</v>
      </c>
      <c r="W27" s="31">
        <f ca="1">IF(ISNA(VLOOKUP($A27,StockMaster,COLUMN(StockCode!$P$4),0))=TRUE,0,IF($D27=0,0,(VLOOKUP($A27,StockMaster,COLUMN(StockCode!$P$4),0)*$C27/$D27)))</f>
        <v>2126.3157894736842</v>
      </c>
      <c r="X27" s="4" cm="1">
        <f t="array" ref="X27">IF($D27=0,0,SUMIFS(TLevel1,BOMComp,$A27,BOMLevel,"&lt;&gt;First")*$C27/$D27)</f>
        <v>0</v>
      </c>
      <c r="Y27" s="4" cm="1">
        <f t="array" ref="Y27">IF($D27=0,0,SUMIFS(TLevel2,BOMComp,$A27,BOMLevel,"&lt;&gt;First")*$C27/$D27)</f>
        <v>0</v>
      </c>
      <c r="Z27" s="4" cm="1">
        <f t="array" ref="Z27">IF($D27=0,0,SUMIFS(TLevel3,BOMComp,$A27,BOMLevel,"&lt;&gt;First")*$C27/$D27)</f>
        <v>0</v>
      </c>
      <c r="AA27" s="4" cm="1">
        <f t="array" ref="AA27">IF($D27=0,0,SUMIFS(TLevel4,BOMComp,$A27,BOMLevel,"&lt;&gt;First")*$C27/$D27)</f>
        <v>0</v>
      </c>
      <c r="AB27" s="4" cm="1">
        <f t="array" ref="AB27">IF($D27=0,0,SUMIFS(TLevel5,BOMComp,$A27,BOMLevel,"&lt;&gt;First")*$C27/$D27)</f>
        <v>0</v>
      </c>
      <c r="AC27" s="4">
        <f>IF(ISNA(VLOOKUP($A27,JRCode,COLUMN(JReview!$D$4),0))=TRUE,0,IF($D27=0,0,VLOOKUP($A27,JRCode,COLUMN(JReview!$D$4),0)*$C27/$D27))</f>
        <v>210.5263157894737</v>
      </c>
      <c r="AD27" s="4" cm="1">
        <f t="array" ref="AD27">IF($D27=0,0,SUMIFS(JLevel1,BOMComp,$A27,BOMLevel,"&lt;&gt;First")*$C27/$D27)</f>
        <v>0</v>
      </c>
      <c r="AE27" s="4" cm="1">
        <f t="array" ref="AE27">IF($D27=0,0,SUMIFS(JLevel2,BOMComp,$A27,BOMLevel,"&lt;&gt;First")*$C27/$D27)</f>
        <v>0</v>
      </c>
      <c r="AF27" s="4" cm="1">
        <f t="array" ref="AF27">IF($D27=0,0,SUMIFS(JLevel3,BOMComp,$A27,BOMLevel,"&lt;&gt;First")*$C27/$D27)</f>
        <v>0</v>
      </c>
      <c r="AG27" s="4" cm="1">
        <f t="array" ref="AG27">IF($D27=0,0,SUMIFS(JLevel4,BOMComp,$A27,BOMLevel,"&lt;&gt;First")*$C27/$D27)</f>
        <v>0</v>
      </c>
      <c r="AH27" s="4" cm="1">
        <f t="array" ref="AH27">IF($D27=0,0,SUMIFS(JLevel5,BOMComp,$A27,BOMLevel,"&lt;&gt;First")*$C27/$D27)</f>
        <v>0</v>
      </c>
      <c r="AI27" s="4">
        <f>IF(ISNA(VLOOKUP($A27,JRCode,COLUMN(JReview!$E$4),0))=TRUE,0,IF($D27=0,0,VLOOKUP($A27,JRCode,COLUMN(JReview!$E$4),0)*$C27/$D27))</f>
        <v>221.05263157894737</v>
      </c>
      <c r="AJ27" s="4" cm="1">
        <f t="array" ref="AJ27">IF($D27=0,0,SUMIFS(JRLevel1,BOMComp,$A27,BOMLevel,"&lt;&gt;First")*$C27/$D27)</f>
        <v>0</v>
      </c>
      <c r="AK27" s="4" cm="1">
        <f t="array" ref="AK27">IF($D27=0,0,SUMIFS(JRLevel2,BOMComp,$A27,BOMLevel,"&lt;&gt;First")*$C27/$D27)</f>
        <v>0</v>
      </c>
      <c r="AL27" s="4" cm="1">
        <f t="array" ref="AL27">IF($D27=0,0,SUMIFS(JRLevel3,BOMComp,$A27,BOMLevel,"&lt;&gt;First")*$C27/$D27)</f>
        <v>0</v>
      </c>
      <c r="AM27" s="4" cm="1">
        <f t="array" ref="AM27">IF($D27=0,0,SUMIFS(JRLevel4,BOMComp,$A27,BOMLevel,"&lt;&gt;First")*$C27/$D27)</f>
        <v>0</v>
      </c>
      <c r="AN27" s="4" cm="1">
        <f t="array" ref="AN27">IF($D27=0,0,SUMIFS(JRLevel5,BOMComp,$A27,BOMLevel,"&lt;&gt;First")*$C27/$D27)</f>
        <v>0</v>
      </c>
      <c r="AO27" s="5">
        <f>IF(ISNA(VLOOKUP($A27,Require,COLUMN(ReqPlan!$E$6),0))=TRUE,0,IF($D27=0,0,VLOOKUP($A27,Require,COLUMN(ReqPlan!$E$6),0)*$C27/$D27))</f>
        <v>1052.6315789473686</v>
      </c>
      <c r="AP27" s="5" cm="1">
        <f t="array" ref="AP27">IF($D27=0,0,SUMIFS(RLevel1,BOMComp,$A27,BOMLevel,"&lt;&gt;First")*$C27/$D27)</f>
        <v>0</v>
      </c>
      <c r="AQ27" s="5" cm="1">
        <f t="array" ref="AQ27">IF($D27=0,0,SUMIFS(RLevel2,BOMComp,$A27,BOMLevel,"&lt;&gt;First")*$C27/$D27)</f>
        <v>0</v>
      </c>
      <c r="AR27" s="5" cm="1">
        <f t="array" ref="AR27">IF($D27=0,0,SUMIFS(RLevel3,BOMComp,$A27,BOMLevel,"&lt;&gt;First")*$C27/$D27)</f>
        <v>0</v>
      </c>
      <c r="AS27" s="5" cm="1">
        <f t="array" ref="AS27">IF($D27=0,0,SUMIFS(RLevel4,BOMComp,$A27,BOMLevel,"&lt;&gt;First")*$C27/$D27)</f>
        <v>0</v>
      </c>
      <c r="AT27" s="5" cm="1">
        <f t="array" ref="AT27">IF($D27=0,0,SUMIFS(RLevel5,BOMComp,$A27,BOMLevel,"&lt;&gt;First")*$C27/$D27)</f>
        <v>0</v>
      </c>
    </row>
    <row r="28" spans="1:46" ht="16.149999999999999" customHeight="1" x14ac:dyDescent="0.25">
      <c r="A28" s="2" t="s">
        <v>41</v>
      </c>
      <c r="B28" s="2" t="s">
        <v>56</v>
      </c>
      <c r="C28" s="33">
        <v>1</v>
      </c>
      <c r="D28" s="34">
        <v>1</v>
      </c>
      <c r="E28" s="35" t="str">
        <f t="shared" si="0"/>
        <v>-</v>
      </c>
      <c r="F28" s="2" t="str">
        <f>IF(ISNA(VLOOKUP($A28,StockMaster,COLUMN(StockCode!$B$4),0))=TRUE,"does not exist",VLOOKUP($A28,StockMaster,COLUMN(StockCode!$B$4),0))</f>
        <v>Garden Shed</v>
      </c>
      <c r="G28" s="3" t="str">
        <f>IF(ISNA(VLOOKUP($A28,StockMaster,COLUMN(StockCode!$C$4),0))=TRUE,"error",VLOOKUP($A28,StockMaster,COLUMN(StockCode!$C$4),0))</f>
        <v>Units</v>
      </c>
      <c r="H28" s="3" t="str">
        <f>IF(ISNA(VLOOKUP($A28,StockMaster,COLUMN(StockCode!$E$4),0))=TRUE,"All",VLOOKUP($A28,StockMaster,COLUMN(StockCode!$E$4),0))</f>
        <v>All</v>
      </c>
      <c r="I28" s="2" t="str">
        <f>IF(ISNA(VLOOKUP($B28,StockMaster,COLUMN(StockCode!$B$4),0))=TRUE,"does not exist",VLOOKUP($B28,StockMaster,COLUMN(StockCode!$B$4),0))</f>
        <v>Door</v>
      </c>
      <c r="J28" s="3" t="str">
        <f>IF(ISNA(VLOOKUP($B28,StockMaster,COLUMN(StockCode!$C$4),0))=TRUE,"error",VLOOKUP($B28,StockMaster,COLUMN(StockCode!$C$4),0))</f>
        <v>Units</v>
      </c>
      <c r="K28" s="40" t="str">
        <f>IF(ISNA(VLOOKUP($B28,StockMaster,COLUMN(StockCode!$G$4),0))=TRUE,0,VLOOKUP($B28,StockMaster,COLUMN(StockCode!$G$4),0))</f>
        <v>Manufactured</v>
      </c>
      <c r="L28" s="40" t="str">
        <f t="shared" si="1"/>
        <v>N</v>
      </c>
      <c r="M28" s="5">
        <f>IF($K28="Manufactured",0,IF(ISNA(VLOOKUP($B28,StockMaster,COLUMN(StockCode!$D$4),0))=TRUE,0,VLOOKUP($B28,StockMaster,COLUMN(StockCode!$D$4),0)))</f>
        <v>0</v>
      </c>
      <c r="N28" s="32">
        <f t="shared" si="10"/>
        <v>0</v>
      </c>
      <c r="O28" s="32">
        <f t="shared" si="3"/>
        <v>313.66666666666669</v>
      </c>
      <c r="P28" s="32">
        <f t="shared" si="11"/>
        <v>313.66666666666669</v>
      </c>
      <c r="Q28" s="31">
        <f t="shared" si="12"/>
        <v>313.66666666666669</v>
      </c>
      <c r="R28" s="31">
        <f>IF($K28="Manufactured",0,IF(ISNA(VLOOKUP($B28,StockMaster,COLUMN(StockCode!$AA$4),0))=TRUE,0,VLOOKUP($B28,StockMaster,COLUMN(StockCode!$AA$4),0)))</f>
        <v>0</v>
      </c>
      <c r="S28" s="31">
        <f t="shared" si="6"/>
        <v>0</v>
      </c>
      <c r="T28" s="31">
        <f t="shared" ca="1" si="7"/>
        <v>318.67879989942031</v>
      </c>
      <c r="U28" s="31">
        <f t="shared" ca="1" si="8"/>
        <v>318.67879989942031</v>
      </c>
      <c r="V28" s="31">
        <f t="shared" ca="1" si="9"/>
        <v>318.67879989942031</v>
      </c>
      <c r="W28" s="31">
        <f ca="1">IF(ISNA(VLOOKUP($A28,StockMaster,COLUMN(StockCode!$P$4),0))=TRUE,0,IF($D28=0,0,(VLOOKUP($A28,StockMaster,COLUMN(StockCode!$P$4),0)*$C28/$D28)))</f>
        <v>1010</v>
      </c>
      <c r="X28" s="4" cm="1">
        <f t="array" ref="X28">IF($D28=0,0,SUMIFS(TLevel1,BOMComp,$A28,BOMLevel,"&lt;&gt;First")*$C28/$D28)</f>
        <v>0</v>
      </c>
      <c r="Y28" s="4" cm="1">
        <f t="array" ref="Y28">IF($D28=0,0,SUMIFS(TLevel2,BOMComp,$A28,BOMLevel,"&lt;&gt;First")*$C28/$D28)</f>
        <v>0</v>
      </c>
      <c r="Z28" s="4" cm="1">
        <f t="array" ref="Z28">IF($D28=0,0,SUMIFS(TLevel3,BOMComp,$A28,BOMLevel,"&lt;&gt;First")*$C28/$D28)</f>
        <v>0</v>
      </c>
      <c r="AA28" s="4" cm="1">
        <f t="array" ref="AA28">IF($D28=0,0,SUMIFS(TLevel4,BOMComp,$A28,BOMLevel,"&lt;&gt;First")*$C28/$D28)</f>
        <v>0</v>
      </c>
      <c r="AB28" s="4" cm="1">
        <f t="array" ref="AB28">IF($D28=0,0,SUMIFS(TLevel5,BOMComp,$A28,BOMLevel,"&lt;&gt;First")*$C28/$D28)</f>
        <v>0</v>
      </c>
      <c r="AC28" s="4">
        <f>IF(ISNA(VLOOKUP($A28,JRCode,COLUMN(JReview!$D$4),0))=TRUE,0,IF($D28=0,0,VLOOKUP($A28,JRCode,COLUMN(JReview!$D$4),0)*$C28/$D28))</f>
        <v>100</v>
      </c>
      <c r="AD28" s="4" cm="1">
        <f t="array" ref="AD28">IF($D28=0,0,SUMIFS(JLevel1,BOMComp,$A28,BOMLevel,"&lt;&gt;First")*$C28/$D28)</f>
        <v>0</v>
      </c>
      <c r="AE28" s="4" cm="1">
        <f t="array" ref="AE28">IF($D28=0,0,SUMIFS(JLevel2,BOMComp,$A28,BOMLevel,"&lt;&gt;First")*$C28/$D28)</f>
        <v>0</v>
      </c>
      <c r="AF28" s="4" cm="1">
        <f t="array" ref="AF28">IF($D28=0,0,SUMIFS(JLevel3,BOMComp,$A28,BOMLevel,"&lt;&gt;First")*$C28/$D28)</f>
        <v>0</v>
      </c>
      <c r="AG28" s="4" cm="1">
        <f t="array" ref="AG28">IF($D28=0,0,SUMIFS(JLevel4,BOMComp,$A28,BOMLevel,"&lt;&gt;First")*$C28/$D28)</f>
        <v>0</v>
      </c>
      <c r="AH28" s="4" cm="1">
        <f t="array" ref="AH28">IF($D28=0,0,SUMIFS(JLevel5,BOMComp,$A28,BOMLevel,"&lt;&gt;First")*$C28/$D28)</f>
        <v>0</v>
      </c>
      <c r="AI28" s="4">
        <f>IF(ISNA(VLOOKUP($A28,JRCode,COLUMN(JReview!$E$4),0))=TRUE,0,IF($D28=0,0,VLOOKUP($A28,JRCode,COLUMN(JReview!$E$4),0)*$C28/$D28))</f>
        <v>105</v>
      </c>
      <c r="AJ28" s="4" cm="1">
        <f t="array" ref="AJ28">IF($D28=0,0,SUMIFS(JRLevel1,BOMComp,$A28,BOMLevel,"&lt;&gt;First")*$C28/$D28)</f>
        <v>0</v>
      </c>
      <c r="AK28" s="4" cm="1">
        <f t="array" ref="AK28">IF($D28=0,0,SUMIFS(JRLevel2,BOMComp,$A28,BOMLevel,"&lt;&gt;First")*$C28/$D28)</f>
        <v>0</v>
      </c>
      <c r="AL28" s="4" cm="1">
        <f t="array" ref="AL28">IF($D28=0,0,SUMIFS(JRLevel3,BOMComp,$A28,BOMLevel,"&lt;&gt;First")*$C28/$D28)</f>
        <v>0</v>
      </c>
      <c r="AM28" s="4" cm="1">
        <f t="array" ref="AM28">IF($D28=0,0,SUMIFS(JRLevel4,BOMComp,$A28,BOMLevel,"&lt;&gt;First")*$C28/$D28)</f>
        <v>0</v>
      </c>
      <c r="AN28" s="4" cm="1">
        <f t="array" ref="AN28">IF($D28=0,0,SUMIFS(JRLevel5,BOMComp,$A28,BOMLevel,"&lt;&gt;First")*$C28/$D28)</f>
        <v>0</v>
      </c>
      <c r="AO28" s="5">
        <f>IF(ISNA(VLOOKUP($A28,Require,COLUMN(ReqPlan!$E$6),0))=TRUE,0,IF($D28=0,0,VLOOKUP($A28,Require,COLUMN(ReqPlan!$E$6),0)*$C28/$D28))</f>
        <v>500</v>
      </c>
      <c r="AP28" s="5" cm="1">
        <f t="array" ref="AP28">IF($D28=0,0,SUMIFS(RLevel1,BOMComp,$A28,BOMLevel,"&lt;&gt;First")*$C28/$D28)</f>
        <v>0</v>
      </c>
      <c r="AQ28" s="5" cm="1">
        <f t="array" ref="AQ28">IF($D28=0,0,SUMIFS(RLevel2,BOMComp,$A28,BOMLevel,"&lt;&gt;First")*$C28/$D28)</f>
        <v>0</v>
      </c>
      <c r="AR28" s="5" cm="1">
        <f t="array" ref="AR28">IF($D28=0,0,SUMIFS(RLevel3,BOMComp,$A28,BOMLevel,"&lt;&gt;First")*$C28/$D28)</f>
        <v>0</v>
      </c>
      <c r="AS28" s="5" cm="1">
        <f t="array" ref="AS28">IF($D28=0,0,SUMIFS(RLevel4,BOMComp,$A28,BOMLevel,"&lt;&gt;First")*$C28/$D28)</f>
        <v>0</v>
      </c>
      <c r="AT28" s="5" cm="1">
        <f t="array" ref="AT28">IF($D28=0,0,SUMIFS(RLevel5,BOMComp,$A28,BOMLevel,"&lt;&gt;First")*$C28/$D28)</f>
        <v>0</v>
      </c>
    </row>
    <row r="29" spans="1:46" ht="16.149999999999999" customHeight="1" x14ac:dyDescent="0.25">
      <c r="A29" s="2" t="s">
        <v>41</v>
      </c>
      <c r="B29" s="2" t="s">
        <v>48</v>
      </c>
      <c r="C29" s="33">
        <v>9</v>
      </c>
      <c r="D29" s="34">
        <v>0.9</v>
      </c>
      <c r="E29" s="35" t="str">
        <f t="shared" si="0"/>
        <v>-</v>
      </c>
      <c r="F29" s="2" t="str">
        <f>IF(ISNA(VLOOKUP($A29,StockMaster,COLUMN(StockCode!$B$4),0))=TRUE,"does not exist",VLOOKUP($A29,StockMaster,COLUMN(StockCode!$B$4),0))</f>
        <v>Garden Shed</v>
      </c>
      <c r="G29" s="3" t="str">
        <f>IF(ISNA(VLOOKUP($A29,StockMaster,COLUMN(StockCode!$C$4),0))=TRUE,"error",VLOOKUP($A29,StockMaster,COLUMN(StockCode!$C$4),0))</f>
        <v>Units</v>
      </c>
      <c r="H29" s="3" t="str">
        <f>IF(ISNA(VLOOKUP($A29,StockMaster,COLUMN(StockCode!$E$4),0))=TRUE,"All",VLOOKUP($A29,StockMaster,COLUMN(StockCode!$E$4),0))</f>
        <v>All</v>
      </c>
      <c r="I29" s="2" t="str">
        <f>IF(ISNA(VLOOKUP($B29,StockMaster,COLUMN(StockCode!$B$4),0))=TRUE,"does not exist",VLOOKUP($B29,StockMaster,COLUMN(StockCode!$B$4),0))</f>
        <v>Wood</v>
      </c>
      <c r="J29" s="3" t="str">
        <f>IF(ISNA(VLOOKUP($B29,StockMaster,COLUMN(StockCode!$C$4),0))=TRUE,"error",VLOOKUP($B29,StockMaster,COLUMN(StockCode!$C$4),0))</f>
        <v>M2</v>
      </c>
      <c r="K29" s="40" t="str">
        <f>IF(ISNA(VLOOKUP($B29,StockMaster,COLUMN(StockCode!$G$4),0))=TRUE,0,VLOOKUP($B29,StockMaster,COLUMN(StockCode!$G$4),0))</f>
        <v>Bought-In</v>
      </c>
      <c r="L29" s="40" t="str">
        <f t="shared" si="1"/>
        <v>Y</v>
      </c>
      <c r="M29" s="5">
        <f>IF($K29="Manufactured",0,IF(ISNA(VLOOKUP($B29,StockMaster,COLUMN(StockCode!$D$4),0))=TRUE,0,VLOOKUP($B29,StockMaster,COLUMN(StockCode!$D$4),0)))</f>
        <v>120</v>
      </c>
      <c r="N29" s="32">
        <f t="shared" si="10"/>
        <v>1200</v>
      </c>
      <c r="O29" s="32">
        <f t="shared" si="3"/>
        <v>0</v>
      </c>
      <c r="P29" s="32">
        <f t="shared" si="11"/>
        <v>0</v>
      </c>
      <c r="Q29" s="31">
        <f t="shared" si="12"/>
        <v>1200</v>
      </c>
      <c r="R29" s="31">
        <f ca="1">IF($K29="Manufactured",0,IF(ISNA(VLOOKUP($B29,StockMaster,COLUMN(StockCode!$AA$4),0))=TRUE,0,VLOOKUP($B29,StockMaster,COLUMN(StockCode!$AA$4),0)))</f>
        <v>124.21322263327481</v>
      </c>
      <c r="S29" s="31">
        <f t="shared" ca="1" si="6"/>
        <v>1242.1322263327481</v>
      </c>
      <c r="T29" s="31">
        <f t="shared" si="7"/>
        <v>0</v>
      </c>
      <c r="U29" s="31">
        <f t="shared" si="8"/>
        <v>0</v>
      </c>
      <c r="V29" s="31">
        <f t="shared" ca="1" si="9"/>
        <v>1242.1322263327481</v>
      </c>
      <c r="W29" s="31">
        <f ca="1">IF(ISNA(VLOOKUP($A29,StockMaster,COLUMN(StockCode!$P$4),0))=TRUE,0,IF($D29=0,0,(VLOOKUP($A29,StockMaster,COLUMN(StockCode!$P$4),0)*$C29/$D29)))</f>
        <v>10100</v>
      </c>
      <c r="X29" s="4" cm="1">
        <f t="array" ref="X29">IF($D29=0,0,SUMIFS(TLevel1,BOMComp,$A29,BOMLevel,"&lt;&gt;First")*$C29/$D29)</f>
        <v>0</v>
      </c>
      <c r="Y29" s="4" cm="1">
        <f t="array" ref="Y29">IF($D29=0,0,SUMIFS(TLevel2,BOMComp,$A29,BOMLevel,"&lt;&gt;First")*$C29/$D29)</f>
        <v>0</v>
      </c>
      <c r="Z29" s="4" cm="1">
        <f t="array" ref="Z29">IF($D29=0,0,SUMIFS(TLevel3,BOMComp,$A29,BOMLevel,"&lt;&gt;First")*$C29/$D29)</f>
        <v>0</v>
      </c>
      <c r="AA29" s="4" cm="1">
        <f t="array" ref="AA29">IF($D29=0,0,SUMIFS(TLevel4,BOMComp,$A29,BOMLevel,"&lt;&gt;First")*$C29/$D29)</f>
        <v>0</v>
      </c>
      <c r="AB29" s="4" cm="1">
        <f t="array" ref="AB29">IF($D29=0,0,SUMIFS(TLevel5,BOMComp,$A29,BOMLevel,"&lt;&gt;First")*$C29/$D29)</f>
        <v>0</v>
      </c>
      <c r="AC29" s="4">
        <f>IF(ISNA(VLOOKUP($A29,JRCode,COLUMN(JReview!$D$4),0))=TRUE,0,IF($D29=0,0,VLOOKUP($A29,JRCode,COLUMN(JReview!$D$4),0)*$C29/$D29))</f>
        <v>1000</v>
      </c>
      <c r="AD29" s="4" cm="1">
        <f t="array" ref="AD29">IF($D29=0,0,SUMIFS(JLevel1,BOMComp,$A29,BOMLevel,"&lt;&gt;First")*$C29/$D29)</f>
        <v>0</v>
      </c>
      <c r="AE29" s="4" cm="1">
        <f t="array" ref="AE29">IF($D29=0,0,SUMIFS(JLevel2,BOMComp,$A29,BOMLevel,"&lt;&gt;First")*$C29/$D29)</f>
        <v>0</v>
      </c>
      <c r="AF29" s="4" cm="1">
        <f t="array" ref="AF29">IF($D29=0,0,SUMIFS(JLevel3,BOMComp,$A29,BOMLevel,"&lt;&gt;First")*$C29/$D29)</f>
        <v>0</v>
      </c>
      <c r="AG29" s="4" cm="1">
        <f t="array" ref="AG29">IF($D29=0,0,SUMIFS(JLevel4,BOMComp,$A29,BOMLevel,"&lt;&gt;First")*$C29/$D29)</f>
        <v>0</v>
      </c>
      <c r="AH29" s="4" cm="1">
        <f t="array" ref="AH29">IF($D29=0,0,SUMIFS(JLevel5,BOMComp,$A29,BOMLevel,"&lt;&gt;First")*$C29/$D29)</f>
        <v>0</v>
      </c>
      <c r="AI29" s="4">
        <f>IF(ISNA(VLOOKUP($A29,JRCode,COLUMN(JReview!$E$4),0))=TRUE,0,IF($D29=0,0,VLOOKUP($A29,JRCode,COLUMN(JReview!$E$4),0)*$C29/$D29))</f>
        <v>1050</v>
      </c>
      <c r="AJ29" s="4" cm="1">
        <f t="array" ref="AJ29">IF($D29=0,0,SUMIFS(JRLevel1,BOMComp,$A29,BOMLevel,"&lt;&gt;First")*$C29/$D29)</f>
        <v>0</v>
      </c>
      <c r="AK29" s="4" cm="1">
        <f t="array" ref="AK29">IF($D29=0,0,SUMIFS(JRLevel2,BOMComp,$A29,BOMLevel,"&lt;&gt;First")*$C29/$D29)</f>
        <v>0</v>
      </c>
      <c r="AL29" s="4" cm="1">
        <f t="array" ref="AL29">IF($D29=0,0,SUMIFS(JRLevel3,BOMComp,$A29,BOMLevel,"&lt;&gt;First")*$C29/$D29)</f>
        <v>0</v>
      </c>
      <c r="AM29" s="4" cm="1">
        <f t="array" ref="AM29">IF($D29=0,0,SUMIFS(JRLevel4,BOMComp,$A29,BOMLevel,"&lt;&gt;First")*$C29/$D29)</f>
        <v>0</v>
      </c>
      <c r="AN29" s="4" cm="1">
        <f t="array" ref="AN29">IF($D29=0,0,SUMIFS(JRLevel5,BOMComp,$A29,BOMLevel,"&lt;&gt;First")*$C29/$D29)</f>
        <v>0</v>
      </c>
      <c r="AO29" s="5">
        <f>IF(ISNA(VLOOKUP($A29,Require,COLUMN(ReqPlan!$E$6),0))=TRUE,0,IF($D29=0,0,VLOOKUP($A29,Require,COLUMN(ReqPlan!$E$6),0)*$C29/$D29))</f>
        <v>5000</v>
      </c>
      <c r="AP29" s="5" cm="1">
        <f t="array" ref="AP29">IF($D29=0,0,SUMIFS(RLevel1,BOMComp,$A29,BOMLevel,"&lt;&gt;First")*$C29/$D29)</f>
        <v>0</v>
      </c>
      <c r="AQ29" s="5" cm="1">
        <f t="array" ref="AQ29">IF($D29=0,0,SUMIFS(RLevel2,BOMComp,$A29,BOMLevel,"&lt;&gt;First")*$C29/$D29)</f>
        <v>0</v>
      </c>
      <c r="AR29" s="5" cm="1">
        <f t="array" ref="AR29">IF($D29=0,0,SUMIFS(RLevel3,BOMComp,$A29,BOMLevel,"&lt;&gt;First")*$C29/$D29)</f>
        <v>0</v>
      </c>
      <c r="AS29" s="5" cm="1">
        <f t="array" ref="AS29">IF($D29=0,0,SUMIFS(RLevel4,BOMComp,$A29,BOMLevel,"&lt;&gt;First")*$C29/$D29)</f>
        <v>0</v>
      </c>
      <c r="AT29" s="5" cm="1">
        <f t="array" ref="AT29">IF($D29=0,0,SUMIFS(RLevel5,BOMComp,$A29,BOMLevel,"&lt;&gt;First")*$C29/$D29)</f>
        <v>0</v>
      </c>
    </row>
    <row r="30" spans="1:46" ht="16.149999999999999" customHeight="1" x14ac:dyDescent="0.25">
      <c r="A30" s="2" t="s">
        <v>41</v>
      </c>
      <c r="B30" s="2" t="s">
        <v>70</v>
      </c>
      <c r="C30" s="33">
        <v>2</v>
      </c>
      <c r="D30" s="34">
        <v>0.85</v>
      </c>
      <c r="E30" s="35" t="str">
        <f t="shared" si="0"/>
        <v>-</v>
      </c>
      <c r="F30" s="2" t="str">
        <f>IF(ISNA(VLOOKUP($A30,StockMaster,COLUMN(StockCode!$B$4),0))=TRUE,"does not exist",VLOOKUP($A30,StockMaster,COLUMN(StockCode!$B$4),0))</f>
        <v>Garden Shed</v>
      </c>
      <c r="G30" s="3" t="str">
        <f>IF(ISNA(VLOOKUP($A30,StockMaster,COLUMN(StockCode!$C$4),0))=TRUE,"error",VLOOKUP($A30,StockMaster,COLUMN(StockCode!$C$4),0))</f>
        <v>Units</v>
      </c>
      <c r="H30" s="3" t="str">
        <f>IF(ISNA(VLOOKUP($A30,StockMaster,COLUMN(StockCode!$E$4),0))=TRUE,"All",VLOOKUP($A30,StockMaster,COLUMN(StockCode!$E$4),0))</f>
        <v>All</v>
      </c>
      <c r="I30" s="2" t="str">
        <f>IF(ISNA(VLOOKUP($B30,StockMaster,COLUMN(StockCode!$B$4),0))=TRUE,"does not exist",VLOOKUP($B30,StockMaster,COLUMN(StockCode!$B$4),0))</f>
        <v>2 Inch Screws</v>
      </c>
      <c r="J30" s="3" t="str">
        <f>IF(ISNA(VLOOKUP($B30,StockMaster,COLUMN(StockCode!$C$4),0))=TRUE,"error",VLOOKUP($B30,StockMaster,COLUMN(StockCode!$C$4),0))</f>
        <v>Bag</v>
      </c>
      <c r="K30" s="40" t="str">
        <f>IF(ISNA(VLOOKUP($B30,StockMaster,COLUMN(StockCode!$G$4),0))=TRUE,0,VLOOKUP($B30,StockMaster,COLUMN(StockCode!$G$4),0))</f>
        <v>Bought-In</v>
      </c>
      <c r="L30" s="40" t="str">
        <f t="shared" si="1"/>
        <v>Y</v>
      </c>
      <c r="M30" s="5">
        <f>IF($K30="Manufactured",0,IF(ISNA(VLOOKUP($B30,StockMaster,COLUMN(StockCode!$D$4),0))=TRUE,0,VLOOKUP($B30,StockMaster,COLUMN(StockCode!$D$4),0)))</f>
        <v>50</v>
      </c>
      <c r="N30" s="32">
        <f t="shared" si="10"/>
        <v>117.64705882352942</v>
      </c>
      <c r="O30" s="32">
        <f t="shared" si="3"/>
        <v>0</v>
      </c>
      <c r="P30" s="32">
        <f t="shared" si="11"/>
        <v>0</v>
      </c>
      <c r="Q30" s="31">
        <f t="shared" si="12"/>
        <v>117.64705882352942</v>
      </c>
      <c r="R30" s="31">
        <f ca="1">IF($K30="Manufactured",0,IF(ISNA(VLOOKUP($B30,StockMaster,COLUMN(StockCode!$AA$4),0))=TRUE,0,VLOOKUP($B30,StockMaster,COLUMN(StockCode!$AA$4),0)))</f>
        <v>48.743512252808621</v>
      </c>
      <c r="S30" s="31">
        <f t="shared" ca="1" si="6"/>
        <v>114.69061706543205</v>
      </c>
      <c r="T30" s="31">
        <f t="shared" si="7"/>
        <v>0</v>
      </c>
      <c r="U30" s="31">
        <f t="shared" si="8"/>
        <v>0</v>
      </c>
      <c r="V30" s="31">
        <f t="shared" ca="1" si="9"/>
        <v>114.69061706543205</v>
      </c>
      <c r="W30" s="31">
        <f ca="1">IF(ISNA(VLOOKUP($A30,StockMaster,COLUMN(StockCode!$P$4),0))=TRUE,0,IF($D30=0,0,(VLOOKUP($A30,StockMaster,COLUMN(StockCode!$P$4),0)*$C30/$D30)))</f>
        <v>2376.4705882352941</v>
      </c>
      <c r="X30" s="4" cm="1">
        <f t="array" ref="X30">IF($D30=0,0,SUMIFS(TLevel1,BOMComp,$A30,BOMLevel,"&lt;&gt;First")*$C30/$D30)</f>
        <v>0</v>
      </c>
      <c r="Y30" s="4" cm="1">
        <f t="array" ref="Y30">IF($D30=0,0,SUMIFS(TLevel2,BOMComp,$A30,BOMLevel,"&lt;&gt;First")*$C30/$D30)</f>
        <v>0</v>
      </c>
      <c r="Z30" s="4" cm="1">
        <f t="array" ref="Z30">IF($D30=0,0,SUMIFS(TLevel3,BOMComp,$A30,BOMLevel,"&lt;&gt;First")*$C30/$D30)</f>
        <v>0</v>
      </c>
      <c r="AA30" s="4" cm="1">
        <f t="array" ref="AA30">IF($D30=0,0,SUMIFS(TLevel4,BOMComp,$A30,BOMLevel,"&lt;&gt;First")*$C30/$D30)</f>
        <v>0</v>
      </c>
      <c r="AB30" s="4" cm="1">
        <f t="array" ref="AB30">IF($D30=0,0,SUMIFS(TLevel5,BOMComp,$A30,BOMLevel,"&lt;&gt;First")*$C30/$D30)</f>
        <v>0</v>
      </c>
      <c r="AC30" s="4">
        <f>IF(ISNA(VLOOKUP($A30,JRCode,COLUMN(JReview!$D$4),0))=TRUE,0,IF($D30=0,0,VLOOKUP($A30,JRCode,COLUMN(JReview!$D$4),0)*$C30/$D30))</f>
        <v>235.29411764705884</v>
      </c>
      <c r="AD30" s="4" cm="1">
        <f t="array" ref="AD30">IF($D30=0,0,SUMIFS(JLevel1,BOMComp,$A30,BOMLevel,"&lt;&gt;First")*$C30/$D30)</f>
        <v>0</v>
      </c>
      <c r="AE30" s="4" cm="1">
        <f t="array" ref="AE30">IF($D30=0,0,SUMIFS(JLevel2,BOMComp,$A30,BOMLevel,"&lt;&gt;First")*$C30/$D30)</f>
        <v>0</v>
      </c>
      <c r="AF30" s="4" cm="1">
        <f t="array" ref="AF30">IF($D30=0,0,SUMIFS(JLevel3,BOMComp,$A30,BOMLevel,"&lt;&gt;First")*$C30/$D30)</f>
        <v>0</v>
      </c>
      <c r="AG30" s="4" cm="1">
        <f t="array" ref="AG30">IF($D30=0,0,SUMIFS(JLevel4,BOMComp,$A30,BOMLevel,"&lt;&gt;First")*$C30/$D30)</f>
        <v>0</v>
      </c>
      <c r="AH30" s="4" cm="1">
        <f t="array" ref="AH30">IF($D30=0,0,SUMIFS(JLevel5,BOMComp,$A30,BOMLevel,"&lt;&gt;First")*$C30/$D30)</f>
        <v>0</v>
      </c>
      <c r="AI30" s="4">
        <f>IF(ISNA(VLOOKUP($A30,JRCode,COLUMN(JReview!$E$4),0))=TRUE,0,IF($D30=0,0,VLOOKUP($A30,JRCode,COLUMN(JReview!$E$4),0)*$C30/$D30))</f>
        <v>247.05882352941177</v>
      </c>
      <c r="AJ30" s="4" cm="1">
        <f t="array" ref="AJ30">IF($D30=0,0,SUMIFS(JRLevel1,BOMComp,$A30,BOMLevel,"&lt;&gt;First")*$C30/$D30)</f>
        <v>0</v>
      </c>
      <c r="AK30" s="4" cm="1">
        <f t="array" ref="AK30">IF($D30=0,0,SUMIFS(JRLevel2,BOMComp,$A30,BOMLevel,"&lt;&gt;First")*$C30/$D30)</f>
        <v>0</v>
      </c>
      <c r="AL30" s="4" cm="1">
        <f t="array" ref="AL30">IF($D30=0,0,SUMIFS(JRLevel3,BOMComp,$A30,BOMLevel,"&lt;&gt;First")*$C30/$D30)</f>
        <v>0</v>
      </c>
      <c r="AM30" s="4" cm="1">
        <f t="array" ref="AM30">IF($D30=0,0,SUMIFS(JRLevel4,BOMComp,$A30,BOMLevel,"&lt;&gt;First")*$C30/$D30)</f>
        <v>0</v>
      </c>
      <c r="AN30" s="4" cm="1">
        <f t="array" ref="AN30">IF($D30=0,0,SUMIFS(JRLevel5,BOMComp,$A30,BOMLevel,"&lt;&gt;First")*$C30/$D30)</f>
        <v>0</v>
      </c>
      <c r="AO30" s="5">
        <f>IF(ISNA(VLOOKUP($A30,Require,COLUMN(ReqPlan!$E$6),0))=TRUE,0,IF($D30=0,0,VLOOKUP($A30,Require,COLUMN(ReqPlan!$E$6),0)*$C30/$D30))</f>
        <v>1176.4705882352941</v>
      </c>
      <c r="AP30" s="5" cm="1">
        <f t="array" ref="AP30">IF($D30=0,0,SUMIFS(RLevel1,BOMComp,$A30,BOMLevel,"&lt;&gt;First")*$C30/$D30)</f>
        <v>0</v>
      </c>
      <c r="AQ30" s="5" cm="1">
        <f t="array" ref="AQ30">IF($D30=0,0,SUMIFS(RLevel2,BOMComp,$A30,BOMLevel,"&lt;&gt;First")*$C30/$D30)</f>
        <v>0</v>
      </c>
      <c r="AR30" s="5" cm="1">
        <f t="array" ref="AR30">IF($D30=0,0,SUMIFS(RLevel3,BOMComp,$A30,BOMLevel,"&lt;&gt;First")*$C30/$D30)</f>
        <v>0</v>
      </c>
      <c r="AS30" s="5" cm="1">
        <f t="array" ref="AS30">IF($D30=0,0,SUMIFS(RLevel4,BOMComp,$A30,BOMLevel,"&lt;&gt;First")*$C30/$D30)</f>
        <v>0</v>
      </c>
      <c r="AT30" s="5" cm="1">
        <f t="array" ref="AT30">IF($D30=0,0,SUMIFS(RLevel5,BOMComp,$A30,BOMLevel,"&lt;&gt;First")*$C30/$D30)</f>
        <v>0</v>
      </c>
    </row>
    <row r="31" spans="1:46" ht="16.149999999999999" customHeight="1" x14ac:dyDescent="0.25">
      <c r="A31" s="2" t="s">
        <v>41</v>
      </c>
      <c r="B31" s="2" t="s">
        <v>82</v>
      </c>
      <c r="C31" s="33">
        <v>3</v>
      </c>
      <c r="D31" s="34">
        <v>1</v>
      </c>
      <c r="E31" s="35" t="str">
        <f t="shared" si="0"/>
        <v>-</v>
      </c>
      <c r="F31" s="2" t="str">
        <f>IF(ISNA(VLOOKUP($A31,StockMaster,COLUMN(StockCode!$B$4),0))=TRUE,"does not exist",VLOOKUP($A31,StockMaster,COLUMN(StockCode!$B$4),0))</f>
        <v>Garden Shed</v>
      </c>
      <c r="G31" s="3" t="str">
        <f>IF(ISNA(VLOOKUP($A31,StockMaster,COLUMN(StockCode!$C$4),0))=TRUE,"error",VLOOKUP($A31,StockMaster,COLUMN(StockCode!$C$4),0))</f>
        <v>Units</v>
      </c>
      <c r="H31" s="3" t="str">
        <f>IF(ISNA(VLOOKUP($A31,StockMaster,COLUMN(StockCode!$E$4),0))=TRUE,"All",VLOOKUP($A31,StockMaster,COLUMN(StockCode!$E$4),0))</f>
        <v>All</v>
      </c>
      <c r="I31" s="2" t="str">
        <f>IF(ISNA(VLOOKUP($B31,StockMaster,COLUMN(StockCode!$B$4),0))=TRUE,"does not exist",VLOOKUP($B31,StockMaster,COLUMN(StockCode!$B$4),0))</f>
        <v>Labour - Grade 1</v>
      </c>
      <c r="J31" s="3" t="str">
        <f>IF(ISNA(VLOOKUP($B31,StockMaster,COLUMN(StockCode!$C$4),0))=TRUE,"error",VLOOKUP($B31,StockMaster,COLUMN(StockCode!$C$4),0))</f>
        <v>Hours</v>
      </c>
      <c r="K31" s="40" t="str">
        <f>IF(ISNA(VLOOKUP($B31,StockMaster,COLUMN(StockCode!$G$4),0))=TRUE,0,VLOOKUP($B31,StockMaster,COLUMN(StockCode!$G$4),0))</f>
        <v>Bought-In</v>
      </c>
      <c r="L31" s="40" t="str">
        <f t="shared" si="1"/>
        <v>Y</v>
      </c>
      <c r="M31" s="5">
        <f>IF($K31="Manufactured",0,IF(ISNA(VLOOKUP($B31,StockMaster,COLUMN(StockCode!$D$4),0))=TRUE,0,VLOOKUP($B31,StockMaster,COLUMN(StockCode!$D$4),0)))</f>
        <v>20</v>
      </c>
      <c r="N31" s="32">
        <f t="shared" si="10"/>
        <v>60</v>
      </c>
      <c r="O31" s="32">
        <f t="shared" si="3"/>
        <v>0</v>
      </c>
      <c r="P31" s="32">
        <f t="shared" si="11"/>
        <v>0</v>
      </c>
      <c r="Q31" s="31">
        <f t="shared" si="12"/>
        <v>60</v>
      </c>
      <c r="R31" s="31">
        <f ca="1">IF($K31="Manufactured",0,IF(ISNA(VLOOKUP($B31,StockMaster,COLUMN(StockCode!$AA$4),0))=TRUE,0,VLOOKUP($B31,StockMaster,COLUMN(StockCode!$AA$4),0)))</f>
        <v>20.330774751337231</v>
      </c>
      <c r="S31" s="31">
        <f t="shared" ca="1" si="6"/>
        <v>60.992324254011692</v>
      </c>
      <c r="T31" s="31">
        <f t="shared" si="7"/>
        <v>0</v>
      </c>
      <c r="U31" s="31">
        <f t="shared" si="8"/>
        <v>0</v>
      </c>
      <c r="V31" s="31">
        <f t="shared" ca="1" si="9"/>
        <v>60.992324254011692</v>
      </c>
      <c r="W31" s="31">
        <f ca="1">IF(ISNA(VLOOKUP($A31,StockMaster,COLUMN(StockCode!$P$4),0))=TRUE,0,IF($D31=0,0,(VLOOKUP($A31,StockMaster,COLUMN(StockCode!$P$4),0)*$C31/$D31)))</f>
        <v>3030</v>
      </c>
      <c r="X31" s="4" cm="1">
        <f t="array" ref="X31">IF($D31=0,0,SUMIFS(TLevel1,BOMComp,$A31,BOMLevel,"&lt;&gt;First")*$C31/$D31)</f>
        <v>0</v>
      </c>
      <c r="Y31" s="4" cm="1">
        <f t="array" ref="Y31">IF($D31=0,0,SUMIFS(TLevel2,BOMComp,$A31,BOMLevel,"&lt;&gt;First")*$C31/$D31)</f>
        <v>0</v>
      </c>
      <c r="Z31" s="4" cm="1">
        <f t="array" ref="Z31">IF($D31=0,0,SUMIFS(TLevel3,BOMComp,$A31,BOMLevel,"&lt;&gt;First")*$C31/$D31)</f>
        <v>0</v>
      </c>
      <c r="AA31" s="4" cm="1">
        <f t="array" ref="AA31">IF($D31=0,0,SUMIFS(TLevel4,BOMComp,$A31,BOMLevel,"&lt;&gt;First")*$C31/$D31)</f>
        <v>0</v>
      </c>
      <c r="AB31" s="4" cm="1">
        <f t="array" ref="AB31">IF($D31=0,0,SUMIFS(TLevel5,BOMComp,$A31,BOMLevel,"&lt;&gt;First")*$C31/$D31)</f>
        <v>0</v>
      </c>
      <c r="AC31" s="4">
        <f>IF(ISNA(VLOOKUP($A31,JRCode,COLUMN(JReview!$D$4),0))=TRUE,0,IF($D31=0,0,VLOOKUP($A31,JRCode,COLUMN(JReview!$D$4),0)*$C31/$D31))</f>
        <v>300</v>
      </c>
      <c r="AD31" s="4" cm="1">
        <f t="array" ref="AD31">IF($D31=0,0,SUMIFS(JLevel1,BOMComp,$A31,BOMLevel,"&lt;&gt;First")*$C31/$D31)</f>
        <v>0</v>
      </c>
      <c r="AE31" s="4" cm="1">
        <f t="array" ref="AE31">IF($D31=0,0,SUMIFS(JLevel2,BOMComp,$A31,BOMLevel,"&lt;&gt;First")*$C31/$D31)</f>
        <v>0</v>
      </c>
      <c r="AF31" s="4" cm="1">
        <f t="array" ref="AF31">IF($D31=0,0,SUMIFS(JLevel3,BOMComp,$A31,BOMLevel,"&lt;&gt;First")*$C31/$D31)</f>
        <v>0</v>
      </c>
      <c r="AG31" s="4" cm="1">
        <f t="array" ref="AG31">IF($D31=0,0,SUMIFS(JLevel4,BOMComp,$A31,BOMLevel,"&lt;&gt;First")*$C31/$D31)</f>
        <v>0</v>
      </c>
      <c r="AH31" s="4" cm="1">
        <f t="array" ref="AH31">IF($D31=0,0,SUMIFS(JLevel5,BOMComp,$A31,BOMLevel,"&lt;&gt;First")*$C31/$D31)</f>
        <v>0</v>
      </c>
      <c r="AI31" s="4">
        <f>IF(ISNA(VLOOKUP($A31,JRCode,COLUMN(JReview!$E$4),0))=TRUE,0,IF($D31=0,0,VLOOKUP($A31,JRCode,COLUMN(JReview!$E$4),0)*$C31/$D31))</f>
        <v>315</v>
      </c>
      <c r="AJ31" s="4" cm="1">
        <f t="array" ref="AJ31">IF($D31=0,0,SUMIFS(JRLevel1,BOMComp,$A31,BOMLevel,"&lt;&gt;First")*$C31/$D31)</f>
        <v>0</v>
      </c>
      <c r="AK31" s="4" cm="1">
        <f t="array" ref="AK31">IF($D31=0,0,SUMIFS(JRLevel2,BOMComp,$A31,BOMLevel,"&lt;&gt;First")*$C31/$D31)</f>
        <v>0</v>
      </c>
      <c r="AL31" s="4" cm="1">
        <f t="array" ref="AL31">IF($D31=0,0,SUMIFS(JRLevel3,BOMComp,$A31,BOMLevel,"&lt;&gt;First")*$C31/$D31)</f>
        <v>0</v>
      </c>
      <c r="AM31" s="4" cm="1">
        <f t="array" ref="AM31">IF($D31=0,0,SUMIFS(JRLevel4,BOMComp,$A31,BOMLevel,"&lt;&gt;First")*$C31/$D31)</f>
        <v>0</v>
      </c>
      <c r="AN31" s="4" cm="1">
        <f t="array" ref="AN31">IF($D31=0,0,SUMIFS(JRLevel5,BOMComp,$A31,BOMLevel,"&lt;&gt;First")*$C31/$D31)</f>
        <v>0</v>
      </c>
      <c r="AO31" s="5">
        <f>IF(ISNA(VLOOKUP($A31,Require,COLUMN(ReqPlan!$E$6),0))=TRUE,0,IF($D31=0,0,VLOOKUP($A31,Require,COLUMN(ReqPlan!$E$6),0)*$C31/$D31))</f>
        <v>1500</v>
      </c>
      <c r="AP31" s="5" cm="1">
        <f t="array" ref="AP31">IF($D31=0,0,SUMIFS(RLevel1,BOMComp,$A31,BOMLevel,"&lt;&gt;First")*$C31/$D31)</f>
        <v>0</v>
      </c>
      <c r="AQ31" s="5" cm="1">
        <f t="array" ref="AQ31">IF($D31=0,0,SUMIFS(RLevel2,BOMComp,$A31,BOMLevel,"&lt;&gt;First")*$C31/$D31)</f>
        <v>0</v>
      </c>
      <c r="AR31" s="5" cm="1">
        <f t="array" ref="AR31">IF($D31=0,0,SUMIFS(RLevel3,BOMComp,$A31,BOMLevel,"&lt;&gt;First")*$C31/$D31)</f>
        <v>0</v>
      </c>
      <c r="AS31" s="5" cm="1">
        <f t="array" ref="AS31">IF($D31=0,0,SUMIFS(RLevel4,BOMComp,$A31,BOMLevel,"&lt;&gt;First")*$C31/$D31)</f>
        <v>0</v>
      </c>
      <c r="AT31" s="5" cm="1">
        <f t="array" ref="AT31">IF($D31=0,0,SUMIFS(RLevel5,BOMComp,$A31,BOMLevel,"&lt;&gt;First")*$C31/$D31)</f>
        <v>0</v>
      </c>
    </row>
    <row r="32" spans="1:46" ht="16.149999999999999" customHeight="1" x14ac:dyDescent="0.25">
      <c r="A32" s="2" t="s">
        <v>41</v>
      </c>
      <c r="B32" s="2" t="s">
        <v>84</v>
      </c>
      <c r="C32" s="33">
        <v>1</v>
      </c>
      <c r="D32" s="34">
        <v>1</v>
      </c>
      <c r="E32" s="35" t="str">
        <f t="shared" si="0"/>
        <v>-</v>
      </c>
      <c r="F32" s="2" t="str">
        <f>IF(ISNA(VLOOKUP($A32,StockMaster,COLUMN(StockCode!$B$4),0))=TRUE,"does not exist",VLOOKUP($A32,StockMaster,COLUMN(StockCode!$B$4),0))</f>
        <v>Garden Shed</v>
      </c>
      <c r="G32" s="3" t="str">
        <f>IF(ISNA(VLOOKUP($A32,StockMaster,COLUMN(StockCode!$C$4),0))=TRUE,"error",VLOOKUP($A32,StockMaster,COLUMN(StockCode!$C$4),0))</f>
        <v>Units</v>
      </c>
      <c r="H32" s="3" t="str">
        <f>IF(ISNA(VLOOKUP($A32,StockMaster,COLUMN(StockCode!$E$4),0))=TRUE,"All",VLOOKUP($A32,StockMaster,COLUMN(StockCode!$E$4),0))</f>
        <v>All</v>
      </c>
      <c r="I32" s="2" t="str">
        <f>IF(ISNA(VLOOKUP($B32,StockMaster,COLUMN(StockCode!$B$4),0))=TRUE,"does not exist",VLOOKUP($B32,StockMaster,COLUMN(StockCode!$B$4),0))</f>
        <v>Labour - Grade 2</v>
      </c>
      <c r="J32" s="3" t="str">
        <f>IF(ISNA(VLOOKUP($B32,StockMaster,COLUMN(StockCode!$C$4),0))=TRUE,"error",VLOOKUP($B32,StockMaster,COLUMN(StockCode!$C$4),0))</f>
        <v>Hours</v>
      </c>
      <c r="K32" s="40" t="str">
        <f>IF(ISNA(VLOOKUP($B32,StockMaster,COLUMN(StockCode!$G$4),0))=TRUE,0,VLOOKUP($B32,StockMaster,COLUMN(StockCode!$G$4),0))</f>
        <v>Bought-In</v>
      </c>
      <c r="L32" s="40" t="str">
        <f t="shared" si="1"/>
        <v>Y</v>
      </c>
      <c r="M32" s="5">
        <f>IF($K32="Manufactured",0,IF(ISNA(VLOOKUP($B32,StockMaster,COLUMN(StockCode!$D$4),0))=TRUE,0,VLOOKUP($B32,StockMaster,COLUMN(StockCode!$D$4),0)))</f>
        <v>30</v>
      </c>
      <c r="N32" s="32">
        <f t="shared" si="10"/>
        <v>30</v>
      </c>
      <c r="O32" s="32">
        <f t="shared" si="3"/>
        <v>0</v>
      </c>
      <c r="P32" s="32">
        <f t="shared" si="11"/>
        <v>0</v>
      </c>
      <c r="Q32" s="31">
        <f t="shared" si="12"/>
        <v>30</v>
      </c>
      <c r="R32" s="31">
        <f ca="1">IF($K32="Manufactured",0,IF(ISNA(VLOOKUP($B32,StockMaster,COLUMN(StockCode!$AA$4),0))=TRUE,0,VLOOKUP($B32,StockMaster,COLUMN(StockCode!$AA$4),0)))</f>
        <v>30</v>
      </c>
      <c r="S32" s="31">
        <f t="shared" ca="1" si="6"/>
        <v>30</v>
      </c>
      <c r="T32" s="31">
        <f t="shared" si="7"/>
        <v>0</v>
      </c>
      <c r="U32" s="31">
        <f t="shared" si="8"/>
        <v>0</v>
      </c>
      <c r="V32" s="31">
        <f t="shared" ca="1" si="9"/>
        <v>30</v>
      </c>
      <c r="W32" s="31">
        <f ca="1">IF(ISNA(VLOOKUP($A32,StockMaster,COLUMN(StockCode!$P$4),0))=TRUE,0,IF($D32=0,0,(VLOOKUP($A32,StockMaster,COLUMN(StockCode!$P$4),0)*$C32/$D32)))</f>
        <v>1010</v>
      </c>
      <c r="X32" s="4" cm="1">
        <f t="array" ref="X32">IF($D32=0,0,SUMIFS(TLevel1,BOMComp,$A32,BOMLevel,"&lt;&gt;First")*$C32/$D32)</f>
        <v>0</v>
      </c>
      <c r="Y32" s="4" cm="1">
        <f t="array" ref="Y32">IF($D32=0,0,SUMIFS(TLevel2,BOMComp,$A32,BOMLevel,"&lt;&gt;First")*$C32/$D32)</f>
        <v>0</v>
      </c>
      <c r="Z32" s="4" cm="1">
        <f t="array" ref="Z32">IF($D32=0,0,SUMIFS(TLevel3,BOMComp,$A32,BOMLevel,"&lt;&gt;First")*$C32/$D32)</f>
        <v>0</v>
      </c>
      <c r="AA32" s="4" cm="1">
        <f t="array" ref="AA32">IF($D32=0,0,SUMIFS(TLevel4,BOMComp,$A32,BOMLevel,"&lt;&gt;First")*$C32/$D32)</f>
        <v>0</v>
      </c>
      <c r="AB32" s="4" cm="1">
        <f t="array" ref="AB32">IF($D32=0,0,SUMIFS(TLevel5,BOMComp,$A32,BOMLevel,"&lt;&gt;First")*$C32/$D32)</f>
        <v>0</v>
      </c>
      <c r="AC32" s="4">
        <f>IF(ISNA(VLOOKUP($A32,JRCode,COLUMN(JReview!$D$4),0))=TRUE,0,IF($D32=0,0,VLOOKUP($A32,JRCode,COLUMN(JReview!$D$4),0)*$C32/$D32))</f>
        <v>100</v>
      </c>
      <c r="AD32" s="4" cm="1">
        <f t="array" ref="AD32">IF($D32=0,0,SUMIFS(JLevel1,BOMComp,$A32,BOMLevel,"&lt;&gt;First")*$C32/$D32)</f>
        <v>0</v>
      </c>
      <c r="AE32" s="4" cm="1">
        <f t="array" ref="AE32">IF($D32=0,0,SUMIFS(JLevel2,BOMComp,$A32,BOMLevel,"&lt;&gt;First")*$C32/$D32)</f>
        <v>0</v>
      </c>
      <c r="AF32" s="4" cm="1">
        <f t="array" ref="AF32">IF($D32=0,0,SUMIFS(JLevel3,BOMComp,$A32,BOMLevel,"&lt;&gt;First")*$C32/$D32)</f>
        <v>0</v>
      </c>
      <c r="AG32" s="4" cm="1">
        <f t="array" ref="AG32">IF($D32=0,0,SUMIFS(JLevel4,BOMComp,$A32,BOMLevel,"&lt;&gt;First")*$C32/$D32)</f>
        <v>0</v>
      </c>
      <c r="AH32" s="4" cm="1">
        <f t="array" ref="AH32">IF($D32=0,0,SUMIFS(JLevel5,BOMComp,$A32,BOMLevel,"&lt;&gt;First")*$C32/$D32)</f>
        <v>0</v>
      </c>
      <c r="AI32" s="4">
        <f>IF(ISNA(VLOOKUP($A32,JRCode,COLUMN(JReview!$E$4),0))=TRUE,0,IF($D32=0,0,VLOOKUP($A32,JRCode,COLUMN(JReview!$E$4),0)*$C32/$D32))</f>
        <v>105</v>
      </c>
      <c r="AJ32" s="4" cm="1">
        <f t="array" ref="AJ32">IF($D32=0,0,SUMIFS(JRLevel1,BOMComp,$A32,BOMLevel,"&lt;&gt;First")*$C32/$D32)</f>
        <v>0</v>
      </c>
      <c r="AK32" s="4" cm="1">
        <f t="array" ref="AK32">IF($D32=0,0,SUMIFS(JRLevel2,BOMComp,$A32,BOMLevel,"&lt;&gt;First")*$C32/$D32)</f>
        <v>0</v>
      </c>
      <c r="AL32" s="4" cm="1">
        <f t="array" ref="AL32">IF($D32=0,0,SUMIFS(JRLevel3,BOMComp,$A32,BOMLevel,"&lt;&gt;First")*$C32/$D32)</f>
        <v>0</v>
      </c>
      <c r="AM32" s="4" cm="1">
        <f t="array" ref="AM32">IF($D32=0,0,SUMIFS(JRLevel4,BOMComp,$A32,BOMLevel,"&lt;&gt;First")*$C32/$D32)</f>
        <v>0</v>
      </c>
      <c r="AN32" s="4" cm="1">
        <f t="array" ref="AN32">IF($D32=0,0,SUMIFS(JRLevel5,BOMComp,$A32,BOMLevel,"&lt;&gt;First")*$C32/$D32)</f>
        <v>0</v>
      </c>
      <c r="AO32" s="5">
        <f>IF(ISNA(VLOOKUP($A32,Require,COLUMN(ReqPlan!$E$6),0))=TRUE,0,IF($D32=0,0,VLOOKUP($A32,Require,COLUMN(ReqPlan!$E$6),0)*$C32/$D32))</f>
        <v>500</v>
      </c>
      <c r="AP32" s="5" cm="1">
        <f t="array" ref="AP32">IF($D32=0,0,SUMIFS(RLevel1,BOMComp,$A32,BOMLevel,"&lt;&gt;First")*$C32/$D32)</f>
        <v>0</v>
      </c>
      <c r="AQ32" s="5" cm="1">
        <f t="array" ref="AQ32">IF($D32=0,0,SUMIFS(RLevel2,BOMComp,$A32,BOMLevel,"&lt;&gt;First")*$C32/$D32)</f>
        <v>0</v>
      </c>
      <c r="AR32" s="5" cm="1">
        <f t="array" ref="AR32">IF($D32=0,0,SUMIFS(RLevel3,BOMComp,$A32,BOMLevel,"&lt;&gt;First")*$C32/$D32)</f>
        <v>0</v>
      </c>
      <c r="AS32" s="5" cm="1">
        <f t="array" ref="AS32">IF($D32=0,0,SUMIFS(RLevel4,BOMComp,$A32,BOMLevel,"&lt;&gt;First")*$C32/$D32)</f>
        <v>0</v>
      </c>
      <c r="AT32" s="5" cm="1">
        <f t="array" ref="AT32">IF($D32=0,0,SUMIFS(RLevel5,BOMComp,$A32,BOMLevel,"&lt;&gt;First")*$C32/$D32)</f>
        <v>0</v>
      </c>
    </row>
    <row r="33" spans="1:46" ht="16.149999999999999" customHeight="1" x14ac:dyDescent="0.25">
      <c r="A33" s="2" t="s">
        <v>65</v>
      </c>
      <c r="B33" s="2" t="s">
        <v>59</v>
      </c>
      <c r="C33" s="33">
        <v>1</v>
      </c>
      <c r="D33" s="34">
        <v>1</v>
      </c>
      <c r="E33" s="35" t="str">
        <f t="shared" si="0"/>
        <v>-</v>
      </c>
      <c r="F33" s="2" t="str">
        <f>IF(ISNA(VLOOKUP($A33,StockMaster,COLUMN(StockCode!$B$4),0))=TRUE,"does not exist",VLOOKUP($A33,StockMaster,COLUMN(StockCode!$B$4),0))</f>
        <v>Painted Garden Shed</v>
      </c>
      <c r="G33" s="3" t="str">
        <f>IF(ISNA(VLOOKUP($A33,StockMaster,COLUMN(StockCode!$C$4),0))=TRUE,"error",VLOOKUP($A33,StockMaster,COLUMN(StockCode!$C$4),0))</f>
        <v>Units</v>
      </c>
      <c r="H33" s="3" t="str">
        <f>IF(ISNA(VLOOKUP($A33,StockMaster,COLUMN(StockCode!$E$4),0))=TRUE,"All",VLOOKUP($A33,StockMaster,COLUMN(StockCode!$E$4),0))</f>
        <v>All</v>
      </c>
      <c r="I33" s="2" t="str">
        <f>IF(ISNA(VLOOKUP($B33,StockMaster,COLUMN(StockCode!$B$4),0))=TRUE,"does not exist",VLOOKUP($B33,StockMaster,COLUMN(StockCode!$B$4),0))</f>
        <v>Roof</v>
      </c>
      <c r="J33" s="3" t="str">
        <f>IF(ISNA(VLOOKUP($B33,StockMaster,COLUMN(StockCode!$C$4),0))=TRUE,"error",VLOOKUP($B33,StockMaster,COLUMN(StockCode!$C$4),0))</f>
        <v>Units</v>
      </c>
      <c r="K33" s="40" t="str">
        <f>IF(ISNA(VLOOKUP($B33,StockMaster,COLUMN(StockCode!$G$4),0))=TRUE,0,VLOOKUP($B33,StockMaster,COLUMN(StockCode!$G$4),0))</f>
        <v>Manufactured</v>
      </c>
      <c r="L33" s="40" t="str">
        <f t="shared" si="1"/>
        <v>N</v>
      </c>
      <c r="M33" s="5">
        <f>IF($K33="Manufactured",0,IF(ISNA(VLOOKUP($B33,StockMaster,COLUMN(StockCode!$D$4),0))=TRUE,0,VLOOKUP($B33,StockMaster,COLUMN(StockCode!$D$4),0)))</f>
        <v>0</v>
      </c>
      <c r="N33" s="32">
        <f t="shared" si="10"/>
        <v>0</v>
      </c>
      <c r="O33" s="32">
        <f t="shared" si="3"/>
        <v>1766.6666666666665</v>
      </c>
      <c r="P33" s="32">
        <f t="shared" si="11"/>
        <v>1766.6666666666665</v>
      </c>
      <c r="Q33" s="31">
        <f t="shared" si="12"/>
        <v>1766.6666666666665</v>
      </c>
      <c r="R33" s="31">
        <f>IF($K33="Manufactured",0,IF(ISNA(VLOOKUP($B33,StockMaster,COLUMN(StockCode!$AA$4),0))=TRUE,0,VLOOKUP($B33,StockMaster,COLUMN(StockCode!$AA$4),0)))</f>
        <v>0</v>
      </c>
      <c r="S33" s="31">
        <f t="shared" si="6"/>
        <v>0</v>
      </c>
      <c r="T33" s="31">
        <f t="shared" ca="1" si="7"/>
        <v>1770.3194551526897</v>
      </c>
      <c r="U33" s="31">
        <f t="shared" ca="1" si="8"/>
        <v>1770.3194551526897</v>
      </c>
      <c r="V33" s="31">
        <f t="shared" ca="1" si="9"/>
        <v>1770.3194551526897</v>
      </c>
      <c r="W33" s="31">
        <f ca="1">IF(ISNA(VLOOKUP($A33,StockMaster,COLUMN(StockCode!$P$4),0))=TRUE,0,IF($D33=0,0,(VLOOKUP($A33,StockMaster,COLUMN(StockCode!$P$4),0)*$C33/$D33)))</f>
        <v>52</v>
      </c>
      <c r="X33" s="4" cm="1">
        <f t="array" ref="X33">IF($D33=0,0,SUMIFS(TLevel1,BOMComp,$A33,BOMLevel,"&lt;&gt;First")*$C33/$D33)</f>
        <v>0</v>
      </c>
      <c r="Y33" s="4" cm="1">
        <f t="array" ref="Y33">IF($D33=0,0,SUMIFS(TLevel2,BOMComp,$A33,BOMLevel,"&lt;&gt;First")*$C33/$D33)</f>
        <v>0</v>
      </c>
      <c r="Z33" s="4" cm="1">
        <f t="array" ref="Z33">IF($D33=0,0,SUMIFS(TLevel3,BOMComp,$A33,BOMLevel,"&lt;&gt;First")*$C33/$D33)</f>
        <v>0</v>
      </c>
      <c r="AA33" s="4" cm="1">
        <f t="array" ref="AA33">IF($D33=0,0,SUMIFS(TLevel4,BOMComp,$A33,BOMLevel,"&lt;&gt;First")*$C33/$D33)</f>
        <v>0</v>
      </c>
      <c r="AB33" s="4" cm="1">
        <f t="array" ref="AB33">IF($D33=0,0,SUMIFS(TLevel5,BOMComp,$A33,BOMLevel,"&lt;&gt;First")*$C33/$D33)</f>
        <v>0</v>
      </c>
      <c r="AC33" s="4">
        <f>IF(ISNA(VLOOKUP($A33,JRCode,COLUMN(JReview!$D$4),0))=TRUE,0,IF($D33=0,0,VLOOKUP($A33,JRCode,COLUMN(JReview!$D$4),0)*$C33/$D33))</f>
        <v>0</v>
      </c>
      <c r="AD33" s="4" cm="1">
        <f t="array" ref="AD33">IF($D33=0,0,SUMIFS(JLevel1,BOMComp,$A33,BOMLevel,"&lt;&gt;First")*$C33/$D33)</f>
        <v>0</v>
      </c>
      <c r="AE33" s="4" cm="1">
        <f t="array" ref="AE33">IF($D33=0,0,SUMIFS(JLevel2,BOMComp,$A33,BOMLevel,"&lt;&gt;First")*$C33/$D33)</f>
        <v>0</v>
      </c>
      <c r="AF33" s="4" cm="1">
        <f t="array" ref="AF33">IF($D33=0,0,SUMIFS(JLevel3,BOMComp,$A33,BOMLevel,"&lt;&gt;First")*$C33/$D33)</f>
        <v>0</v>
      </c>
      <c r="AG33" s="4" cm="1">
        <f t="array" ref="AG33">IF($D33=0,0,SUMIFS(JLevel4,BOMComp,$A33,BOMLevel,"&lt;&gt;First")*$C33/$D33)</f>
        <v>0</v>
      </c>
      <c r="AH33" s="4" cm="1">
        <f t="array" ref="AH33">IF($D33=0,0,SUMIFS(JLevel5,BOMComp,$A33,BOMLevel,"&lt;&gt;First")*$C33/$D33)</f>
        <v>0</v>
      </c>
      <c r="AI33" s="4">
        <f>IF(ISNA(VLOOKUP($A33,JRCode,COLUMN(JReview!$E$4),0))=TRUE,0,IF($D33=0,0,VLOOKUP($A33,JRCode,COLUMN(JReview!$E$4),0)*$C33/$D33))</f>
        <v>0</v>
      </c>
      <c r="AJ33" s="4" cm="1">
        <f t="array" ref="AJ33">IF($D33=0,0,SUMIFS(JRLevel1,BOMComp,$A33,BOMLevel,"&lt;&gt;First")*$C33/$D33)</f>
        <v>0</v>
      </c>
      <c r="AK33" s="4" cm="1">
        <f t="array" ref="AK33">IF($D33=0,0,SUMIFS(JRLevel2,BOMComp,$A33,BOMLevel,"&lt;&gt;First")*$C33/$D33)</f>
        <v>0</v>
      </c>
      <c r="AL33" s="4" cm="1">
        <f t="array" ref="AL33">IF($D33=0,0,SUMIFS(JRLevel3,BOMComp,$A33,BOMLevel,"&lt;&gt;First")*$C33/$D33)</f>
        <v>0</v>
      </c>
      <c r="AM33" s="4" cm="1">
        <f t="array" ref="AM33">IF($D33=0,0,SUMIFS(JRLevel4,BOMComp,$A33,BOMLevel,"&lt;&gt;First")*$C33/$D33)</f>
        <v>0</v>
      </c>
      <c r="AN33" s="4" cm="1">
        <f t="array" ref="AN33">IF($D33=0,0,SUMIFS(JRLevel5,BOMComp,$A33,BOMLevel,"&lt;&gt;First")*$C33/$D33)</f>
        <v>0</v>
      </c>
      <c r="AO33" s="5">
        <f>IF(ISNA(VLOOKUP($A33,Require,COLUMN(ReqPlan!$E$6),0))=TRUE,0,IF($D33=0,0,VLOOKUP($A33,Require,COLUMN(ReqPlan!$E$6),0)*$C33/$D33))</f>
        <v>0</v>
      </c>
      <c r="AP33" s="5" cm="1">
        <f t="array" ref="AP33">IF($D33=0,0,SUMIFS(RLevel1,BOMComp,$A33,BOMLevel,"&lt;&gt;First")*$C33/$D33)</f>
        <v>0</v>
      </c>
      <c r="AQ33" s="5" cm="1">
        <f t="array" ref="AQ33">IF($D33=0,0,SUMIFS(RLevel2,BOMComp,$A33,BOMLevel,"&lt;&gt;First")*$C33/$D33)</f>
        <v>0</v>
      </c>
      <c r="AR33" s="5" cm="1">
        <f t="array" ref="AR33">IF($D33=0,0,SUMIFS(RLevel3,BOMComp,$A33,BOMLevel,"&lt;&gt;First")*$C33/$D33)</f>
        <v>0</v>
      </c>
      <c r="AS33" s="5" cm="1">
        <f t="array" ref="AS33">IF($D33=0,0,SUMIFS(RLevel4,BOMComp,$A33,BOMLevel,"&lt;&gt;First")*$C33/$D33)</f>
        <v>0</v>
      </c>
      <c r="AT33" s="5" cm="1">
        <f t="array" ref="AT33">IF($D33=0,0,SUMIFS(RLevel5,BOMComp,$A33,BOMLevel,"&lt;&gt;First")*$C33/$D33)</f>
        <v>0</v>
      </c>
    </row>
    <row r="34" spans="1:46" ht="16.149999999999999" customHeight="1" x14ac:dyDescent="0.25">
      <c r="A34" s="2" t="s">
        <v>65</v>
      </c>
      <c r="B34" s="2" t="s">
        <v>80</v>
      </c>
      <c r="C34" s="33">
        <v>2</v>
      </c>
      <c r="D34" s="34">
        <v>1</v>
      </c>
      <c r="E34" s="35" t="str">
        <f t="shared" si="0"/>
        <v>-</v>
      </c>
      <c r="F34" s="2" t="str">
        <f>IF(ISNA(VLOOKUP($A34,StockMaster,COLUMN(StockCode!$B$4),0))=TRUE,"does not exist",VLOOKUP($A34,StockMaster,COLUMN(StockCode!$B$4),0))</f>
        <v>Painted Garden Shed</v>
      </c>
      <c r="G34" s="3" t="str">
        <f>IF(ISNA(VLOOKUP($A34,StockMaster,COLUMN(StockCode!$C$4),0))=TRUE,"error",VLOOKUP($A34,StockMaster,COLUMN(StockCode!$C$4),0))</f>
        <v>Units</v>
      </c>
      <c r="H34" s="3" t="str">
        <f>IF(ISNA(VLOOKUP($A34,StockMaster,COLUMN(StockCode!$E$4),0))=TRUE,"All",VLOOKUP($A34,StockMaster,COLUMN(StockCode!$E$4),0))</f>
        <v>All</v>
      </c>
      <c r="I34" s="2" t="str">
        <f>IF(ISNA(VLOOKUP($B34,StockMaster,COLUMN(StockCode!$B$4),0))=TRUE,"does not exist",VLOOKUP($B34,StockMaster,COLUMN(StockCode!$B$4),0))</f>
        <v>Glazed Window Frame</v>
      </c>
      <c r="J34" s="3" t="str">
        <f>IF(ISNA(VLOOKUP($B34,StockMaster,COLUMN(StockCode!$C$4),0))=TRUE,"error",VLOOKUP($B34,StockMaster,COLUMN(StockCode!$C$4),0))</f>
        <v>Units</v>
      </c>
      <c r="K34" s="40" t="str">
        <f>IF(ISNA(VLOOKUP($B34,StockMaster,COLUMN(StockCode!$G$4),0))=TRUE,0,VLOOKUP($B34,StockMaster,COLUMN(StockCode!$G$4),0))</f>
        <v>Manufactured</v>
      </c>
      <c r="L34" s="40" t="str">
        <f t="shared" si="1"/>
        <v>N</v>
      </c>
      <c r="M34" s="5">
        <f>IF($K34="Manufactured",0,IF(ISNA(VLOOKUP($B34,StockMaster,COLUMN(StockCode!$D$4),0))=TRUE,0,VLOOKUP($B34,StockMaster,COLUMN(StockCode!$D$4),0)))</f>
        <v>0</v>
      </c>
      <c r="N34" s="32">
        <f t="shared" si="10"/>
        <v>0</v>
      </c>
      <c r="O34" s="32">
        <f t="shared" si="3"/>
        <v>361.45098039215691</v>
      </c>
      <c r="P34" s="32">
        <f t="shared" si="11"/>
        <v>722.90196078431381</v>
      </c>
      <c r="Q34" s="31">
        <f t="shared" si="12"/>
        <v>722.90196078431381</v>
      </c>
      <c r="R34" s="31">
        <f>IF($K34="Manufactured",0,IF(ISNA(VLOOKUP($B34,StockMaster,COLUMN(StockCode!$AA$4),0))=TRUE,0,VLOOKUP($B34,StockMaster,COLUMN(StockCode!$AA$4),0)))</f>
        <v>0</v>
      </c>
      <c r="S34" s="31">
        <f t="shared" si="6"/>
        <v>0</v>
      </c>
      <c r="T34" s="31">
        <f t="shared" ca="1" si="7"/>
        <v>370.30925261224138</v>
      </c>
      <c r="U34" s="31">
        <f t="shared" ca="1" si="8"/>
        <v>740.61850522448276</v>
      </c>
      <c r="V34" s="31">
        <f t="shared" ca="1" si="9"/>
        <v>740.61850522448276</v>
      </c>
      <c r="W34" s="31">
        <f ca="1">IF(ISNA(VLOOKUP($A34,StockMaster,COLUMN(StockCode!$P$4),0))=TRUE,0,IF($D34=0,0,(VLOOKUP($A34,StockMaster,COLUMN(StockCode!$P$4),0)*$C34/$D34)))</f>
        <v>104</v>
      </c>
      <c r="X34" s="4" cm="1">
        <f t="array" ref="X34">IF($D34=0,0,SUMIFS(TLevel1,BOMComp,$A34,BOMLevel,"&lt;&gt;First")*$C34/$D34)</f>
        <v>0</v>
      </c>
      <c r="Y34" s="4" cm="1">
        <f t="array" ref="Y34">IF($D34=0,0,SUMIFS(TLevel2,BOMComp,$A34,BOMLevel,"&lt;&gt;First")*$C34/$D34)</f>
        <v>0</v>
      </c>
      <c r="Z34" s="4" cm="1">
        <f t="array" ref="Z34">IF($D34=0,0,SUMIFS(TLevel3,BOMComp,$A34,BOMLevel,"&lt;&gt;First")*$C34/$D34)</f>
        <v>0</v>
      </c>
      <c r="AA34" s="4" cm="1">
        <f t="array" ref="AA34">IF($D34=0,0,SUMIFS(TLevel4,BOMComp,$A34,BOMLevel,"&lt;&gt;First")*$C34/$D34)</f>
        <v>0</v>
      </c>
      <c r="AB34" s="4" cm="1">
        <f t="array" ref="AB34">IF($D34=0,0,SUMIFS(TLevel5,BOMComp,$A34,BOMLevel,"&lt;&gt;First")*$C34/$D34)</f>
        <v>0</v>
      </c>
      <c r="AC34" s="4">
        <f>IF(ISNA(VLOOKUP($A34,JRCode,COLUMN(JReview!$D$4),0))=TRUE,0,IF($D34=0,0,VLOOKUP($A34,JRCode,COLUMN(JReview!$D$4),0)*$C34/$D34))</f>
        <v>0</v>
      </c>
      <c r="AD34" s="4" cm="1">
        <f t="array" ref="AD34">IF($D34=0,0,SUMIFS(JLevel1,BOMComp,$A34,BOMLevel,"&lt;&gt;First")*$C34/$D34)</f>
        <v>0</v>
      </c>
      <c r="AE34" s="4" cm="1">
        <f t="array" ref="AE34">IF($D34=0,0,SUMIFS(JLevel2,BOMComp,$A34,BOMLevel,"&lt;&gt;First")*$C34/$D34)</f>
        <v>0</v>
      </c>
      <c r="AF34" s="4" cm="1">
        <f t="array" ref="AF34">IF($D34=0,0,SUMIFS(JLevel3,BOMComp,$A34,BOMLevel,"&lt;&gt;First")*$C34/$D34)</f>
        <v>0</v>
      </c>
      <c r="AG34" s="4" cm="1">
        <f t="array" ref="AG34">IF($D34=0,0,SUMIFS(JLevel4,BOMComp,$A34,BOMLevel,"&lt;&gt;First")*$C34/$D34)</f>
        <v>0</v>
      </c>
      <c r="AH34" s="4" cm="1">
        <f t="array" ref="AH34">IF($D34=0,0,SUMIFS(JLevel5,BOMComp,$A34,BOMLevel,"&lt;&gt;First")*$C34/$D34)</f>
        <v>0</v>
      </c>
      <c r="AI34" s="4">
        <f>IF(ISNA(VLOOKUP($A34,JRCode,COLUMN(JReview!$E$4),0))=TRUE,0,IF($D34=0,0,VLOOKUP($A34,JRCode,COLUMN(JReview!$E$4),0)*$C34/$D34))</f>
        <v>0</v>
      </c>
      <c r="AJ34" s="4" cm="1">
        <f t="array" ref="AJ34">IF($D34=0,0,SUMIFS(JRLevel1,BOMComp,$A34,BOMLevel,"&lt;&gt;First")*$C34/$D34)</f>
        <v>0</v>
      </c>
      <c r="AK34" s="4" cm="1">
        <f t="array" ref="AK34">IF($D34=0,0,SUMIFS(JRLevel2,BOMComp,$A34,BOMLevel,"&lt;&gt;First")*$C34/$D34)</f>
        <v>0</v>
      </c>
      <c r="AL34" s="4" cm="1">
        <f t="array" ref="AL34">IF($D34=0,0,SUMIFS(JRLevel3,BOMComp,$A34,BOMLevel,"&lt;&gt;First")*$C34/$D34)</f>
        <v>0</v>
      </c>
      <c r="AM34" s="4" cm="1">
        <f t="array" ref="AM34">IF($D34=0,0,SUMIFS(JRLevel4,BOMComp,$A34,BOMLevel,"&lt;&gt;First")*$C34/$D34)</f>
        <v>0</v>
      </c>
      <c r="AN34" s="4" cm="1">
        <f t="array" ref="AN34">IF($D34=0,0,SUMIFS(JRLevel5,BOMComp,$A34,BOMLevel,"&lt;&gt;First")*$C34/$D34)</f>
        <v>0</v>
      </c>
      <c r="AO34" s="5">
        <f>IF(ISNA(VLOOKUP($A34,Require,COLUMN(ReqPlan!$E$6),0))=TRUE,0,IF($D34=0,0,VLOOKUP($A34,Require,COLUMN(ReqPlan!$E$6),0)*$C34/$D34))</f>
        <v>0</v>
      </c>
      <c r="AP34" s="5" cm="1">
        <f t="array" ref="AP34">IF($D34=0,0,SUMIFS(RLevel1,BOMComp,$A34,BOMLevel,"&lt;&gt;First")*$C34/$D34)</f>
        <v>0</v>
      </c>
      <c r="AQ34" s="5" cm="1">
        <f t="array" ref="AQ34">IF($D34=0,0,SUMIFS(RLevel2,BOMComp,$A34,BOMLevel,"&lt;&gt;First")*$C34/$D34)</f>
        <v>0</v>
      </c>
      <c r="AR34" s="5" cm="1">
        <f t="array" ref="AR34">IF($D34=0,0,SUMIFS(RLevel3,BOMComp,$A34,BOMLevel,"&lt;&gt;First")*$C34/$D34)</f>
        <v>0</v>
      </c>
      <c r="AS34" s="5" cm="1">
        <f t="array" ref="AS34">IF($D34=0,0,SUMIFS(RLevel4,BOMComp,$A34,BOMLevel,"&lt;&gt;First")*$C34/$D34)</f>
        <v>0</v>
      </c>
      <c r="AT34" s="5" cm="1">
        <f t="array" ref="AT34">IF($D34=0,0,SUMIFS(RLevel5,BOMComp,$A34,BOMLevel,"&lt;&gt;First")*$C34/$D34)</f>
        <v>0</v>
      </c>
    </row>
    <row r="35" spans="1:46" ht="16.149999999999999" customHeight="1" x14ac:dyDescent="0.25">
      <c r="A35" s="2" t="s">
        <v>65</v>
      </c>
      <c r="B35" s="2" t="s">
        <v>56</v>
      </c>
      <c r="C35" s="33">
        <v>1</v>
      </c>
      <c r="D35" s="34">
        <v>1</v>
      </c>
      <c r="E35" s="35" t="str">
        <f t="shared" si="0"/>
        <v>-</v>
      </c>
      <c r="F35" s="2" t="str">
        <f>IF(ISNA(VLOOKUP($A35,StockMaster,COLUMN(StockCode!$B$4),0))=TRUE,"does not exist",VLOOKUP($A35,StockMaster,COLUMN(StockCode!$B$4),0))</f>
        <v>Painted Garden Shed</v>
      </c>
      <c r="G35" s="3" t="str">
        <f>IF(ISNA(VLOOKUP($A35,StockMaster,COLUMN(StockCode!$C$4),0))=TRUE,"error",VLOOKUP($A35,StockMaster,COLUMN(StockCode!$C$4),0))</f>
        <v>Units</v>
      </c>
      <c r="H35" s="3" t="str">
        <f>IF(ISNA(VLOOKUP($A35,StockMaster,COLUMN(StockCode!$E$4),0))=TRUE,"All",VLOOKUP($A35,StockMaster,COLUMN(StockCode!$E$4),0))</f>
        <v>All</v>
      </c>
      <c r="I35" s="2" t="str">
        <f>IF(ISNA(VLOOKUP($B35,StockMaster,COLUMN(StockCode!$B$4),0))=TRUE,"does not exist",VLOOKUP($B35,StockMaster,COLUMN(StockCode!$B$4),0))</f>
        <v>Door</v>
      </c>
      <c r="J35" s="3" t="str">
        <f>IF(ISNA(VLOOKUP($B35,StockMaster,COLUMN(StockCode!$C$4),0))=TRUE,"error",VLOOKUP($B35,StockMaster,COLUMN(StockCode!$C$4),0))</f>
        <v>Units</v>
      </c>
      <c r="K35" s="40" t="str">
        <f>IF(ISNA(VLOOKUP($B35,StockMaster,COLUMN(StockCode!$G$4),0))=TRUE,0,VLOOKUP($B35,StockMaster,COLUMN(StockCode!$G$4),0))</f>
        <v>Manufactured</v>
      </c>
      <c r="L35" s="40" t="str">
        <f t="shared" si="1"/>
        <v>N</v>
      </c>
      <c r="M35" s="5">
        <f>IF($K35="Manufactured",0,IF(ISNA(VLOOKUP($B35,StockMaster,COLUMN(StockCode!$D$4),0))=TRUE,0,VLOOKUP($B35,StockMaster,COLUMN(StockCode!$D$4),0)))</f>
        <v>0</v>
      </c>
      <c r="N35" s="32">
        <f t="shared" si="10"/>
        <v>0</v>
      </c>
      <c r="O35" s="32">
        <f t="shared" si="3"/>
        <v>313.66666666666669</v>
      </c>
      <c r="P35" s="32">
        <f t="shared" si="11"/>
        <v>313.66666666666669</v>
      </c>
      <c r="Q35" s="31">
        <f t="shared" si="12"/>
        <v>313.66666666666669</v>
      </c>
      <c r="R35" s="31">
        <f>IF($K35="Manufactured",0,IF(ISNA(VLOOKUP($B35,StockMaster,COLUMN(StockCode!$AA$4),0))=TRUE,0,VLOOKUP($B35,StockMaster,COLUMN(StockCode!$AA$4),0)))</f>
        <v>0</v>
      </c>
      <c r="S35" s="31">
        <f t="shared" si="6"/>
        <v>0</v>
      </c>
      <c r="T35" s="31">
        <f t="shared" ca="1" si="7"/>
        <v>318.67879989942031</v>
      </c>
      <c r="U35" s="31">
        <f t="shared" ca="1" si="8"/>
        <v>318.67879989942031</v>
      </c>
      <c r="V35" s="31">
        <f t="shared" ca="1" si="9"/>
        <v>318.67879989942031</v>
      </c>
      <c r="W35" s="31">
        <f ca="1">IF(ISNA(VLOOKUP($A35,StockMaster,COLUMN(StockCode!$P$4),0))=TRUE,0,IF($D35=0,0,(VLOOKUP($A35,StockMaster,COLUMN(StockCode!$P$4),0)*$C35/$D35)))</f>
        <v>52</v>
      </c>
      <c r="X35" s="4" cm="1">
        <f t="array" ref="X35">IF($D35=0,0,SUMIFS(TLevel1,BOMComp,$A35,BOMLevel,"&lt;&gt;First")*$C35/$D35)</f>
        <v>0</v>
      </c>
      <c r="Y35" s="4" cm="1">
        <f t="array" ref="Y35">IF($D35=0,0,SUMIFS(TLevel2,BOMComp,$A35,BOMLevel,"&lt;&gt;First")*$C35/$D35)</f>
        <v>0</v>
      </c>
      <c r="Z35" s="4" cm="1">
        <f t="array" ref="Z35">IF($D35=0,0,SUMIFS(TLevel3,BOMComp,$A35,BOMLevel,"&lt;&gt;First")*$C35/$D35)</f>
        <v>0</v>
      </c>
      <c r="AA35" s="4" cm="1">
        <f t="array" ref="AA35">IF($D35=0,0,SUMIFS(TLevel4,BOMComp,$A35,BOMLevel,"&lt;&gt;First")*$C35/$D35)</f>
        <v>0</v>
      </c>
      <c r="AB35" s="4" cm="1">
        <f t="array" ref="AB35">IF($D35=0,0,SUMIFS(TLevel5,BOMComp,$A35,BOMLevel,"&lt;&gt;First")*$C35/$D35)</f>
        <v>0</v>
      </c>
      <c r="AC35" s="4">
        <f>IF(ISNA(VLOOKUP($A35,JRCode,COLUMN(JReview!$D$4),0))=TRUE,0,IF($D35=0,0,VLOOKUP($A35,JRCode,COLUMN(JReview!$D$4),0)*$C35/$D35))</f>
        <v>0</v>
      </c>
      <c r="AD35" s="4" cm="1">
        <f t="array" ref="AD35">IF($D35=0,0,SUMIFS(JLevel1,BOMComp,$A35,BOMLevel,"&lt;&gt;First")*$C35/$D35)</f>
        <v>0</v>
      </c>
      <c r="AE35" s="4" cm="1">
        <f t="array" ref="AE35">IF($D35=0,0,SUMIFS(JLevel2,BOMComp,$A35,BOMLevel,"&lt;&gt;First")*$C35/$D35)</f>
        <v>0</v>
      </c>
      <c r="AF35" s="4" cm="1">
        <f t="array" ref="AF35">IF($D35=0,0,SUMIFS(JLevel3,BOMComp,$A35,BOMLevel,"&lt;&gt;First")*$C35/$D35)</f>
        <v>0</v>
      </c>
      <c r="AG35" s="4" cm="1">
        <f t="array" ref="AG35">IF($D35=0,0,SUMIFS(JLevel4,BOMComp,$A35,BOMLevel,"&lt;&gt;First")*$C35/$D35)</f>
        <v>0</v>
      </c>
      <c r="AH35" s="4" cm="1">
        <f t="array" ref="AH35">IF($D35=0,0,SUMIFS(JLevel5,BOMComp,$A35,BOMLevel,"&lt;&gt;First")*$C35/$D35)</f>
        <v>0</v>
      </c>
      <c r="AI35" s="4">
        <f>IF(ISNA(VLOOKUP($A35,JRCode,COLUMN(JReview!$E$4),0))=TRUE,0,IF($D35=0,0,VLOOKUP($A35,JRCode,COLUMN(JReview!$E$4),0)*$C35/$D35))</f>
        <v>0</v>
      </c>
      <c r="AJ35" s="4" cm="1">
        <f t="array" ref="AJ35">IF($D35=0,0,SUMIFS(JRLevel1,BOMComp,$A35,BOMLevel,"&lt;&gt;First")*$C35/$D35)</f>
        <v>0</v>
      </c>
      <c r="AK35" s="4" cm="1">
        <f t="array" ref="AK35">IF($D35=0,0,SUMIFS(JRLevel2,BOMComp,$A35,BOMLevel,"&lt;&gt;First")*$C35/$D35)</f>
        <v>0</v>
      </c>
      <c r="AL35" s="4" cm="1">
        <f t="array" ref="AL35">IF($D35=0,0,SUMIFS(JRLevel3,BOMComp,$A35,BOMLevel,"&lt;&gt;First")*$C35/$D35)</f>
        <v>0</v>
      </c>
      <c r="AM35" s="4" cm="1">
        <f t="array" ref="AM35">IF($D35=0,0,SUMIFS(JRLevel4,BOMComp,$A35,BOMLevel,"&lt;&gt;First")*$C35/$D35)</f>
        <v>0</v>
      </c>
      <c r="AN35" s="4" cm="1">
        <f t="array" ref="AN35">IF($D35=0,0,SUMIFS(JRLevel5,BOMComp,$A35,BOMLevel,"&lt;&gt;First")*$C35/$D35)</f>
        <v>0</v>
      </c>
      <c r="AO35" s="5">
        <f>IF(ISNA(VLOOKUP($A35,Require,COLUMN(ReqPlan!$E$6),0))=TRUE,0,IF($D35=0,0,VLOOKUP($A35,Require,COLUMN(ReqPlan!$E$6),0)*$C35/$D35))</f>
        <v>0</v>
      </c>
      <c r="AP35" s="5" cm="1">
        <f t="array" ref="AP35">IF($D35=0,0,SUMIFS(RLevel1,BOMComp,$A35,BOMLevel,"&lt;&gt;First")*$C35/$D35)</f>
        <v>0</v>
      </c>
      <c r="AQ35" s="5" cm="1">
        <f t="array" ref="AQ35">IF($D35=0,0,SUMIFS(RLevel2,BOMComp,$A35,BOMLevel,"&lt;&gt;First")*$C35/$D35)</f>
        <v>0</v>
      </c>
      <c r="AR35" s="5" cm="1">
        <f t="array" ref="AR35">IF($D35=0,0,SUMIFS(RLevel3,BOMComp,$A35,BOMLevel,"&lt;&gt;First")*$C35/$D35)</f>
        <v>0</v>
      </c>
      <c r="AS35" s="5" cm="1">
        <f t="array" ref="AS35">IF($D35=0,0,SUMIFS(RLevel4,BOMComp,$A35,BOMLevel,"&lt;&gt;First")*$C35/$D35)</f>
        <v>0</v>
      </c>
      <c r="AT35" s="5" cm="1">
        <f t="array" ref="AT35">IF($D35=0,0,SUMIFS(RLevel5,BOMComp,$A35,BOMLevel,"&lt;&gt;First")*$C35/$D35)</f>
        <v>0</v>
      </c>
    </row>
    <row r="36" spans="1:46" ht="16.149999999999999" customHeight="1" x14ac:dyDescent="0.25">
      <c r="A36" s="2" t="s">
        <v>65</v>
      </c>
      <c r="B36" s="2" t="s">
        <v>48</v>
      </c>
      <c r="C36" s="33">
        <v>9</v>
      </c>
      <c r="D36" s="34">
        <v>0.9</v>
      </c>
      <c r="E36" s="35" t="str">
        <f t="shared" si="0"/>
        <v>-</v>
      </c>
      <c r="F36" s="2" t="str">
        <f>IF(ISNA(VLOOKUP($A36,StockMaster,COLUMN(StockCode!$B$4),0))=TRUE,"does not exist",VLOOKUP($A36,StockMaster,COLUMN(StockCode!$B$4),0))</f>
        <v>Painted Garden Shed</v>
      </c>
      <c r="G36" s="3" t="str">
        <f>IF(ISNA(VLOOKUP($A36,StockMaster,COLUMN(StockCode!$C$4),0))=TRUE,"error",VLOOKUP($A36,StockMaster,COLUMN(StockCode!$C$4),0))</f>
        <v>Units</v>
      </c>
      <c r="H36" s="3" t="str">
        <f>IF(ISNA(VLOOKUP($A36,StockMaster,COLUMN(StockCode!$E$4),0))=TRUE,"All",VLOOKUP($A36,StockMaster,COLUMN(StockCode!$E$4),0))</f>
        <v>All</v>
      </c>
      <c r="I36" s="2" t="str">
        <f>IF(ISNA(VLOOKUP($B36,StockMaster,COLUMN(StockCode!$B$4),0))=TRUE,"does not exist",VLOOKUP($B36,StockMaster,COLUMN(StockCode!$B$4),0))</f>
        <v>Wood</v>
      </c>
      <c r="J36" s="3" t="str">
        <f>IF(ISNA(VLOOKUP($B36,StockMaster,COLUMN(StockCode!$C$4),0))=TRUE,"error",VLOOKUP($B36,StockMaster,COLUMN(StockCode!$C$4),0))</f>
        <v>M2</v>
      </c>
      <c r="K36" s="40" t="str">
        <f>IF(ISNA(VLOOKUP($B36,StockMaster,COLUMN(StockCode!$G$4),0))=TRUE,0,VLOOKUP($B36,StockMaster,COLUMN(StockCode!$G$4),0))</f>
        <v>Bought-In</v>
      </c>
      <c r="L36" s="40" t="str">
        <f t="shared" si="1"/>
        <v>Y</v>
      </c>
      <c r="M36" s="5">
        <f>IF($K36="Manufactured",0,IF(ISNA(VLOOKUP($B36,StockMaster,COLUMN(StockCode!$D$4),0))=TRUE,0,VLOOKUP($B36,StockMaster,COLUMN(StockCode!$D$4),0)))</f>
        <v>120</v>
      </c>
      <c r="N36" s="32">
        <f t="shared" si="10"/>
        <v>1200</v>
      </c>
      <c r="O36" s="32">
        <f t="shared" si="3"/>
        <v>0</v>
      </c>
      <c r="P36" s="32">
        <f t="shared" si="11"/>
        <v>0</v>
      </c>
      <c r="Q36" s="31">
        <f t="shared" si="12"/>
        <v>1200</v>
      </c>
      <c r="R36" s="31">
        <f ca="1">IF($K36="Manufactured",0,IF(ISNA(VLOOKUP($B36,StockMaster,COLUMN(StockCode!$AA$4),0))=TRUE,0,VLOOKUP($B36,StockMaster,COLUMN(StockCode!$AA$4),0)))</f>
        <v>124.21322263327481</v>
      </c>
      <c r="S36" s="31">
        <f t="shared" ca="1" si="6"/>
        <v>1242.1322263327481</v>
      </c>
      <c r="T36" s="31">
        <f t="shared" si="7"/>
        <v>0</v>
      </c>
      <c r="U36" s="31">
        <f t="shared" si="8"/>
        <v>0</v>
      </c>
      <c r="V36" s="31">
        <f t="shared" ca="1" si="9"/>
        <v>1242.1322263327481</v>
      </c>
      <c r="W36" s="31">
        <f ca="1">IF(ISNA(VLOOKUP($A36,StockMaster,COLUMN(StockCode!$P$4),0))=TRUE,0,IF($D36=0,0,(VLOOKUP($A36,StockMaster,COLUMN(StockCode!$P$4),0)*$C36/$D36)))</f>
        <v>520</v>
      </c>
      <c r="X36" s="4" cm="1">
        <f t="array" ref="X36">IF($D36=0,0,SUMIFS(TLevel1,BOMComp,$A36,BOMLevel,"&lt;&gt;First")*$C36/$D36)</f>
        <v>0</v>
      </c>
      <c r="Y36" s="4" cm="1">
        <f t="array" ref="Y36">IF($D36=0,0,SUMIFS(TLevel2,BOMComp,$A36,BOMLevel,"&lt;&gt;First")*$C36/$D36)</f>
        <v>0</v>
      </c>
      <c r="Z36" s="4" cm="1">
        <f t="array" ref="Z36">IF($D36=0,0,SUMIFS(TLevel3,BOMComp,$A36,BOMLevel,"&lt;&gt;First")*$C36/$D36)</f>
        <v>0</v>
      </c>
      <c r="AA36" s="4" cm="1">
        <f t="array" ref="AA36">IF($D36=0,0,SUMIFS(TLevel4,BOMComp,$A36,BOMLevel,"&lt;&gt;First")*$C36/$D36)</f>
        <v>0</v>
      </c>
      <c r="AB36" s="4" cm="1">
        <f t="array" ref="AB36">IF($D36=0,0,SUMIFS(TLevel5,BOMComp,$A36,BOMLevel,"&lt;&gt;First")*$C36/$D36)</f>
        <v>0</v>
      </c>
      <c r="AC36" s="4">
        <f>IF(ISNA(VLOOKUP($A36,JRCode,COLUMN(JReview!$D$4),0))=TRUE,0,IF($D36=0,0,VLOOKUP($A36,JRCode,COLUMN(JReview!$D$4),0)*$C36/$D36))</f>
        <v>0</v>
      </c>
      <c r="AD36" s="4" cm="1">
        <f t="array" ref="AD36">IF($D36=0,0,SUMIFS(JLevel1,BOMComp,$A36,BOMLevel,"&lt;&gt;First")*$C36/$D36)</f>
        <v>0</v>
      </c>
      <c r="AE36" s="4" cm="1">
        <f t="array" ref="AE36">IF($D36=0,0,SUMIFS(JLevel2,BOMComp,$A36,BOMLevel,"&lt;&gt;First")*$C36/$D36)</f>
        <v>0</v>
      </c>
      <c r="AF36" s="4" cm="1">
        <f t="array" ref="AF36">IF($D36=0,0,SUMIFS(JLevel3,BOMComp,$A36,BOMLevel,"&lt;&gt;First")*$C36/$D36)</f>
        <v>0</v>
      </c>
      <c r="AG36" s="4" cm="1">
        <f t="array" ref="AG36">IF($D36=0,0,SUMIFS(JLevel4,BOMComp,$A36,BOMLevel,"&lt;&gt;First")*$C36/$D36)</f>
        <v>0</v>
      </c>
      <c r="AH36" s="4" cm="1">
        <f t="array" ref="AH36">IF($D36=0,0,SUMIFS(JLevel5,BOMComp,$A36,BOMLevel,"&lt;&gt;First")*$C36/$D36)</f>
        <v>0</v>
      </c>
      <c r="AI36" s="4">
        <f>IF(ISNA(VLOOKUP($A36,JRCode,COLUMN(JReview!$E$4),0))=TRUE,0,IF($D36=0,0,VLOOKUP($A36,JRCode,COLUMN(JReview!$E$4),0)*$C36/$D36))</f>
        <v>0</v>
      </c>
      <c r="AJ36" s="4" cm="1">
        <f t="array" ref="AJ36">IF($D36=0,0,SUMIFS(JRLevel1,BOMComp,$A36,BOMLevel,"&lt;&gt;First")*$C36/$D36)</f>
        <v>0</v>
      </c>
      <c r="AK36" s="4" cm="1">
        <f t="array" ref="AK36">IF($D36=0,0,SUMIFS(JRLevel2,BOMComp,$A36,BOMLevel,"&lt;&gt;First")*$C36/$D36)</f>
        <v>0</v>
      </c>
      <c r="AL36" s="4" cm="1">
        <f t="array" ref="AL36">IF($D36=0,0,SUMIFS(JRLevel3,BOMComp,$A36,BOMLevel,"&lt;&gt;First")*$C36/$D36)</f>
        <v>0</v>
      </c>
      <c r="AM36" s="4" cm="1">
        <f t="array" ref="AM36">IF($D36=0,0,SUMIFS(JRLevel4,BOMComp,$A36,BOMLevel,"&lt;&gt;First")*$C36/$D36)</f>
        <v>0</v>
      </c>
      <c r="AN36" s="4" cm="1">
        <f t="array" ref="AN36">IF($D36=0,0,SUMIFS(JRLevel5,BOMComp,$A36,BOMLevel,"&lt;&gt;First")*$C36/$D36)</f>
        <v>0</v>
      </c>
      <c r="AO36" s="5">
        <f>IF(ISNA(VLOOKUP($A36,Require,COLUMN(ReqPlan!$E$6),0))=TRUE,0,IF($D36=0,0,VLOOKUP($A36,Require,COLUMN(ReqPlan!$E$6),0)*$C36/$D36))</f>
        <v>0</v>
      </c>
      <c r="AP36" s="5" cm="1">
        <f t="array" ref="AP36">IF($D36=0,0,SUMIFS(RLevel1,BOMComp,$A36,BOMLevel,"&lt;&gt;First")*$C36/$D36)</f>
        <v>0</v>
      </c>
      <c r="AQ36" s="5" cm="1">
        <f t="array" ref="AQ36">IF($D36=0,0,SUMIFS(RLevel2,BOMComp,$A36,BOMLevel,"&lt;&gt;First")*$C36/$D36)</f>
        <v>0</v>
      </c>
      <c r="AR36" s="5" cm="1">
        <f t="array" ref="AR36">IF($D36=0,0,SUMIFS(RLevel3,BOMComp,$A36,BOMLevel,"&lt;&gt;First")*$C36/$D36)</f>
        <v>0</v>
      </c>
      <c r="AS36" s="5" cm="1">
        <f t="array" ref="AS36">IF($D36=0,0,SUMIFS(RLevel4,BOMComp,$A36,BOMLevel,"&lt;&gt;First")*$C36/$D36)</f>
        <v>0</v>
      </c>
      <c r="AT36" s="5" cm="1">
        <f t="array" ref="AT36">IF($D36=0,0,SUMIFS(RLevel5,BOMComp,$A36,BOMLevel,"&lt;&gt;First")*$C36/$D36)</f>
        <v>0</v>
      </c>
    </row>
    <row r="37" spans="1:46" ht="16.149999999999999" customHeight="1" x14ac:dyDescent="0.25">
      <c r="A37" s="2" t="s">
        <v>65</v>
      </c>
      <c r="B37" s="2" t="s">
        <v>70</v>
      </c>
      <c r="C37" s="33">
        <v>2</v>
      </c>
      <c r="D37" s="34">
        <v>0.85</v>
      </c>
      <c r="E37" s="35" t="str">
        <f t="shared" si="0"/>
        <v>-</v>
      </c>
      <c r="F37" s="2" t="str">
        <f>IF(ISNA(VLOOKUP($A37,StockMaster,COLUMN(StockCode!$B$4),0))=TRUE,"does not exist",VLOOKUP($A37,StockMaster,COLUMN(StockCode!$B$4),0))</f>
        <v>Painted Garden Shed</v>
      </c>
      <c r="G37" s="3" t="str">
        <f>IF(ISNA(VLOOKUP($A37,StockMaster,COLUMN(StockCode!$C$4),0))=TRUE,"error",VLOOKUP($A37,StockMaster,COLUMN(StockCode!$C$4),0))</f>
        <v>Units</v>
      </c>
      <c r="H37" s="3" t="str">
        <f>IF(ISNA(VLOOKUP($A37,StockMaster,COLUMN(StockCode!$E$4),0))=TRUE,"All",VLOOKUP($A37,StockMaster,COLUMN(StockCode!$E$4),0))</f>
        <v>All</v>
      </c>
      <c r="I37" s="2" t="str">
        <f>IF(ISNA(VLOOKUP($B37,StockMaster,COLUMN(StockCode!$B$4),0))=TRUE,"does not exist",VLOOKUP($B37,StockMaster,COLUMN(StockCode!$B$4),0))</f>
        <v>2 Inch Screws</v>
      </c>
      <c r="J37" s="3" t="str">
        <f>IF(ISNA(VLOOKUP($B37,StockMaster,COLUMN(StockCode!$C$4),0))=TRUE,"error",VLOOKUP($B37,StockMaster,COLUMN(StockCode!$C$4),0))</f>
        <v>Bag</v>
      </c>
      <c r="K37" s="40" t="str">
        <f>IF(ISNA(VLOOKUP($B37,StockMaster,COLUMN(StockCode!$G$4),0))=TRUE,0,VLOOKUP($B37,StockMaster,COLUMN(StockCode!$G$4),0))</f>
        <v>Bought-In</v>
      </c>
      <c r="L37" s="40" t="str">
        <f t="shared" si="1"/>
        <v>Y</v>
      </c>
      <c r="M37" s="5">
        <f>IF($K37="Manufactured",0,IF(ISNA(VLOOKUP($B37,StockMaster,COLUMN(StockCode!$D$4),0))=TRUE,0,VLOOKUP($B37,StockMaster,COLUMN(StockCode!$D$4),0)))</f>
        <v>50</v>
      </c>
      <c r="N37" s="32">
        <f t="shared" si="10"/>
        <v>117.64705882352942</v>
      </c>
      <c r="O37" s="32">
        <f t="shared" si="3"/>
        <v>0</v>
      </c>
      <c r="P37" s="32">
        <f t="shared" si="11"/>
        <v>0</v>
      </c>
      <c r="Q37" s="31">
        <f t="shared" si="12"/>
        <v>117.64705882352942</v>
      </c>
      <c r="R37" s="31">
        <f ca="1">IF($K37="Manufactured",0,IF(ISNA(VLOOKUP($B37,StockMaster,COLUMN(StockCode!$AA$4),0))=TRUE,0,VLOOKUP($B37,StockMaster,COLUMN(StockCode!$AA$4),0)))</f>
        <v>48.743512252808621</v>
      </c>
      <c r="S37" s="31">
        <f t="shared" ca="1" si="6"/>
        <v>114.69061706543205</v>
      </c>
      <c r="T37" s="31">
        <f t="shared" si="7"/>
        <v>0</v>
      </c>
      <c r="U37" s="31">
        <f t="shared" si="8"/>
        <v>0</v>
      </c>
      <c r="V37" s="31">
        <f t="shared" ca="1" si="9"/>
        <v>114.69061706543205</v>
      </c>
      <c r="W37" s="31">
        <f ca="1">IF(ISNA(VLOOKUP($A37,StockMaster,COLUMN(StockCode!$P$4),0))=TRUE,0,IF($D37=0,0,(VLOOKUP($A37,StockMaster,COLUMN(StockCode!$P$4),0)*$C37/$D37)))</f>
        <v>122.35294117647059</v>
      </c>
      <c r="X37" s="4" cm="1">
        <f t="array" ref="X37">IF($D37=0,0,SUMIFS(TLevel1,BOMComp,$A37,BOMLevel,"&lt;&gt;First")*$C37/$D37)</f>
        <v>0</v>
      </c>
      <c r="Y37" s="4" cm="1">
        <f t="array" ref="Y37">IF($D37=0,0,SUMIFS(TLevel2,BOMComp,$A37,BOMLevel,"&lt;&gt;First")*$C37/$D37)</f>
        <v>0</v>
      </c>
      <c r="Z37" s="4" cm="1">
        <f t="array" ref="Z37">IF($D37=0,0,SUMIFS(TLevel3,BOMComp,$A37,BOMLevel,"&lt;&gt;First")*$C37/$D37)</f>
        <v>0</v>
      </c>
      <c r="AA37" s="4" cm="1">
        <f t="array" ref="AA37">IF($D37=0,0,SUMIFS(TLevel4,BOMComp,$A37,BOMLevel,"&lt;&gt;First")*$C37/$D37)</f>
        <v>0</v>
      </c>
      <c r="AB37" s="4" cm="1">
        <f t="array" ref="AB37">IF($D37=0,0,SUMIFS(TLevel5,BOMComp,$A37,BOMLevel,"&lt;&gt;First")*$C37/$D37)</f>
        <v>0</v>
      </c>
      <c r="AC37" s="4">
        <f>IF(ISNA(VLOOKUP($A37,JRCode,COLUMN(JReview!$D$4),0))=TRUE,0,IF($D37=0,0,VLOOKUP($A37,JRCode,COLUMN(JReview!$D$4),0)*$C37/$D37))</f>
        <v>0</v>
      </c>
      <c r="AD37" s="4" cm="1">
        <f t="array" ref="AD37">IF($D37=0,0,SUMIFS(JLevel1,BOMComp,$A37,BOMLevel,"&lt;&gt;First")*$C37/$D37)</f>
        <v>0</v>
      </c>
      <c r="AE37" s="4" cm="1">
        <f t="array" ref="AE37">IF($D37=0,0,SUMIFS(JLevel2,BOMComp,$A37,BOMLevel,"&lt;&gt;First")*$C37/$D37)</f>
        <v>0</v>
      </c>
      <c r="AF37" s="4" cm="1">
        <f t="array" ref="AF37">IF($D37=0,0,SUMIFS(JLevel3,BOMComp,$A37,BOMLevel,"&lt;&gt;First")*$C37/$D37)</f>
        <v>0</v>
      </c>
      <c r="AG37" s="4" cm="1">
        <f t="array" ref="AG37">IF($D37=0,0,SUMIFS(JLevel4,BOMComp,$A37,BOMLevel,"&lt;&gt;First")*$C37/$D37)</f>
        <v>0</v>
      </c>
      <c r="AH37" s="4" cm="1">
        <f t="array" ref="AH37">IF($D37=0,0,SUMIFS(JLevel5,BOMComp,$A37,BOMLevel,"&lt;&gt;First")*$C37/$D37)</f>
        <v>0</v>
      </c>
      <c r="AI37" s="4">
        <f>IF(ISNA(VLOOKUP($A37,JRCode,COLUMN(JReview!$E$4),0))=TRUE,0,IF($D37=0,0,VLOOKUP($A37,JRCode,COLUMN(JReview!$E$4),0)*$C37/$D37))</f>
        <v>0</v>
      </c>
      <c r="AJ37" s="4" cm="1">
        <f t="array" ref="AJ37">IF($D37=0,0,SUMIFS(JRLevel1,BOMComp,$A37,BOMLevel,"&lt;&gt;First")*$C37/$D37)</f>
        <v>0</v>
      </c>
      <c r="AK37" s="4" cm="1">
        <f t="array" ref="AK37">IF($D37=0,0,SUMIFS(JRLevel2,BOMComp,$A37,BOMLevel,"&lt;&gt;First")*$C37/$D37)</f>
        <v>0</v>
      </c>
      <c r="AL37" s="4" cm="1">
        <f t="array" ref="AL37">IF($D37=0,0,SUMIFS(JRLevel3,BOMComp,$A37,BOMLevel,"&lt;&gt;First")*$C37/$D37)</f>
        <v>0</v>
      </c>
      <c r="AM37" s="4" cm="1">
        <f t="array" ref="AM37">IF($D37=0,0,SUMIFS(JRLevel4,BOMComp,$A37,BOMLevel,"&lt;&gt;First")*$C37/$D37)</f>
        <v>0</v>
      </c>
      <c r="AN37" s="4" cm="1">
        <f t="array" ref="AN37">IF($D37=0,0,SUMIFS(JRLevel5,BOMComp,$A37,BOMLevel,"&lt;&gt;First")*$C37/$D37)</f>
        <v>0</v>
      </c>
      <c r="AO37" s="5">
        <f>IF(ISNA(VLOOKUP($A37,Require,COLUMN(ReqPlan!$E$6),0))=TRUE,0,IF($D37=0,0,VLOOKUP($A37,Require,COLUMN(ReqPlan!$E$6),0)*$C37/$D37))</f>
        <v>0</v>
      </c>
      <c r="AP37" s="5" cm="1">
        <f t="array" ref="AP37">IF($D37=0,0,SUMIFS(RLevel1,BOMComp,$A37,BOMLevel,"&lt;&gt;First")*$C37/$D37)</f>
        <v>0</v>
      </c>
      <c r="AQ37" s="5" cm="1">
        <f t="array" ref="AQ37">IF($D37=0,0,SUMIFS(RLevel2,BOMComp,$A37,BOMLevel,"&lt;&gt;First")*$C37/$D37)</f>
        <v>0</v>
      </c>
      <c r="AR37" s="5" cm="1">
        <f t="array" ref="AR37">IF($D37=0,0,SUMIFS(RLevel3,BOMComp,$A37,BOMLevel,"&lt;&gt;First")*$C37/$D37)</f>
        <v>0</v>
      </c>
      <c r="AS37" s="5" cm="1">
        <f t="array" ref="AS37">IF($D37=0,0,SUMIFS(RLevel4,BOMComp,$A37,BOMLevel,"&lt;&gt;First")*$C37/$D37)</f>
        <v>0</v>
      </c>
      <c r="AT37" s="5" cm="1">
        <f t="array" ref="AT37">IF($D37=0,0,SUMIFS(RLevel5,BOMComp,$A37,BOMLevel,"&lt;&gt;First")*$C37/$D37)</f>
        <v>0</v>
      </c>
    </row>
    <row r="38" spans="1:46" ht="16.149999999999999" customHeight="1" x14ac:dyDescent="0.25">
      <c r="A38" s="2" t="s">
        <v>65</v>
      </c>
      <c r="B38" s="2" t="s">
        <v>74</v>
      </c>
      <c r="C38" s="33">
        <v>2</v>
      </c>
      <c r="D38" s="34">
        <v>0.95</v>
      </c>
      <c r="E38" s="35" t="str">
        <f t="shared" si="0"/>
        <v>-</v>
      </c>
      <c r="F38" s="2" t="str">
        <f>IF(ISNA(VLOOKUP($A38,StockMaster,COLUMN(StockCode!$B$4),0))=TRUE,"does not exist",VLOOKUP($A38,StockMaster,COLUMN(StockCode!$B$4),0))</f>
        <v>Painted Garden Shed</v>
      </c>
      <c r="G38" s="3" t="str">
        <f>IF(ISNA(VLOOKUP($A38,StockMaster,COLUMN(StockCode!$C$4),0))=TRUE,"error",VLOOKUP($A38,StockMaster,COLUMN(StockCode!$C$4),0))</f>
        <v>Units</v>
      </c>
      <c r="H38" s="3" t="str">
        <f>IF(ISNA(VLOOKUP($A38,StockMaster,COLUMN(StockCode!$E$4),0))=TRUE,"All",VLOOKUP($A38,StockMaster,COLUMN(StockCode!$E$4),0))</f>
        <v>All</v>
      </c>
      <c r="I38" s="2" t="str">
        <f>IF(ISNA(VLOOKUP($B38,StockMaster,COLUMN(StockCode!$B$4),0))=TRUE,"does not exist",VLOOKUP($B38,StockMaster,COLUMN(StockCode!$B$4),0))</f>
        <v>Paint - White</v>
      </c>
      <c r="J38" s="3" t="str">
        <f>IF(ISNA(VLOOKUP($B38,StockMaster,COLUMN(StockCode!$C$4),0))=TRUE,"error",VLOOKUP($B38,StockMaster,COLUMN(StockCode!$C$4),0))</f>
        <v>Drum</v>
      </c>
      <c r="K38" s="40" t="str">
        <f>IF(ISNA(VLOOKUP($B38,StockMaster,COLUMN(StockCode!$G$4),0))=TRUE,0,VLOOKUP($B38,StockMaster,COLUMN(StockCode!$G$4),0))</f>
        <v>Bought-In</v>
      </c>
      <c r="L38" s="40" t="str">
        <f t="shared" si="1"/>
        <v>Y</v>
      </c>
      <c r="M38" s="5">
        <f>IF($K38="Manufactured",0,IF(ISNA(VLOOKUP($B38,StockMaster,COLUMN(StockCode!$D$4),0))=TRUE,0,VLOOKUP($B38,StockMaster,COLUMN(StockCode!$D$4),0)))</f>
        <v>220</v>
      </c>
      <c r="N38" s="32">
        <f t="shared" si="10"/>
        <v>463.15789473684208</v>
      </c>
      <c r="O38" s="32">
        <f t="shared" si="3"/>
        <v>0</v>
      </c>
      <c r="P38" s="32">
        <f t="shared" si="11"/>
        <v>0</v>
      </c>
      <c r="Q38" s="31">
        <f t="shared" si="12"/>
        <v>463.15789473684208</v>
      </c>
      <c r="R38" s="31">
        <f ca="1">IF($K38="Manufactured",0,IF(ISNA(VLOOKUP($B38,StockMaster,COLUMN(StockCode!$AA$4),0))=TRUE,0,VLOOKUP($B38,StockMaster,COLUMN(StockCode!$AA$4),0)))</f>
        <v>250</v>
      </c>
      <c r="S38" s="31">
        <f t="shared" ca="1" si="6"/>
        <v>526.31578947368416</v>
      </c>
      <c r="T38" s="31">
        <f t="shared" si="7"/>
        <v>0</v>
      </c>
      <c r="U38" s="31">
        <f t="shared" si="8"/>
        <v>0</v>
      </c>
      <c r="V38" s="31">
        <f t="shared" ca="1" si="9"/>
        <v>526.31578947368416</v>
      </c>
      <c r="W38" s="31">
        <f ca="1">IF(ISNA(VLOOKUP($A38,StockMaster,COLUMN(StockCode!$P$4),0))=TRUE,0,IF($D38=0,0,(VLOOKUP($A38,StockMaster,COLUMN(StockCode!$P$4),0)*$C38/$D38)))</f>
        <v>109.47368421052632</v>
      </c>
      <c r="X38" s="4" cm="1">
        <f t="array" ref="X38">IF($D38=0,0,SUMIFS(TLevel1,BOMComp,$A38,BOMLevel,"&lt;&gt;First")*$C38/$D38)</f>
        <v>0</v>
      </c>
      <c r="Y38" s="4" cm="1">
        <f t="array" ref="Y38">IF($D38=0,0,SUMIFS(TLevel2,BOMComp,$A38,BOMLevel,"&lt;&gt;First")*$C38/$D38)</f>
        <v>0</v>
      </c>
      <c r="Z38" s="4" cm="1">
        <f t="array" ref="Z38">IF($D38=0,0,SUMIFS(TLevel3,BOMComp,$A38,BOMLevel,"&lt;&gt;First")*$C38/$D38)</f>
        <v>0</v>
      </c>
      <c r="AA38" s="4" cm="1">
        <f t="array" ref="AA38">IF($D38=0,0,SUMIFS(TLevel4,BOMComp,$A38,BOMLevel,"&lt;&gt;First")*$C38/$D38)</f>
        <v>0</v>
      </c>
      <c r="AB38" s="4" cm="1">
        <f t="array" ref="AB38">IF($D38=0,0,SUMIFS(TLevel5,BOMComp,$A38,BOMLevel,"&lt;&gt;First")*$C38/$D38)</f>
        <v>0</v>
      </c>
      <c r="AC38" s="4">
        <f>IF(ISNA(VLOOKUP($A38,JRCode,COLUMN(JReview!$D$4),0))=TRUE,0,IF($D38=0,0,VLOOKUP($A38,JRCode,COLUMN(JReview!$D$4),0)*$C38/$D38))</f>
        <v>0</v>
      </c>
      <c r="AD38" s="4" cm="1">
        <f t="array" ref="AD38">IF($D38=0,0,SUMIFS(JLevel1,BOMComp,$A38,BOMLevel,"&lt;&gt;First")*$C38/$D38)</f>
        <v>0</v>
      </c>
      <c r="AE38" s="4" cm="1">
        <f t="array" ref="AE38">IF($D38=0,0,SUMIFS(JLevel2,BOMComp,$A38,BOMLevel,"&lt;&gt;First")*$C38/$D38)</f>
        <v>0</v>
      </c>
      <c r="AF38" s="4" cm="1">
        <f t="array" ref="AF38">IF($D38=0,0,SUMIFS(JLevel3,BOMComp,$A38,BOMLevel,"&lt;&gt;First")*$C38/$D38)</f>
        <v>0</v>
      </c>
      <c r="AG38" s="4" cm="1">
        <f t="array" ref="AG38">IF($D38=0,0,SUMIFS(JLevel4,BOMComp,$A38,BOMLevel,"&lt;&gt;First")*$C38/$D38)</f>
        <v>0</v>
      </c>
      <c r="AH38" s="4" cm="1">
        <f t="array" ref="AH38">IF($D38=0,0,SUMIFS(JLevel5,BOMComp,$A38,BOMLevel,"&lt;&gt;First")*$C38/$D38)</f>
        <v>0</v>
      </c>
      <c r="AI38" s="4">
        <f>IF(ISNA(VLOOKUP($A38,JRCode,COLUMN(JReview!$E$4),0))=TRUE,0,IF($D38=0,0,VLOOKUP($A38,JRCode,COLUMN(JReview!$E$4),0)*$C38/$D38))</f>
        <v>0</v>
      </c>
      <c r="AJ38" s="4" cm="1">
        <f t="array" ref="AJ38">IF($D38=0,0,SUMIFS(JRLevel1,BOMComp,$A38,BOMLevel,"&lt;&gt;First")*$C38/$D38)</f>
        <v>0</v>
      </c>
      <c r="AK38" s="4" cm="1">
        <f t="array" ref="AK38">IF($D38=0,0,SUMIFS(JRLevel2,BOMComp,$A38,BOMLevel,"&lt;&gt;First")*$C38/$D38)</f>
        <v>0</v>
      </c>
      <c r="AL38" s="4" cm="1">
        <f t="array" ref="AL38">IF($D38=0,0,SUMIFS(JRLevel3,BOMComp,$A38,BOMLevel,"&lt;&gt;First")*$C38/$D38)</f>
        <v>0</v>
      </c>
      <c r="AM38" s="4" cm="1">
        <f t="array" ref="AM38">IF($D38=0,0,SUMIFS(JRLevel4,BOMComp,$A38,BOMLevel,"&lt;&gt;First")*$C38/$D38)</f>
        <v>0</v>
      </c>
      <c r="AN38" s="4" cm="1">
        <f t="array" ref="AN38">IF($D38=0,0,SUMIFS(JRLevel5,BOMComp,$A38,BOMLevel,"&lt;&gt;First")*$C38/$D38)</f>
        <v>0</v>
      </c>
      <c r="AO38" s="5">
        <f>IF(ISNA(VLOOKUP($A38,Require,COLUMN(ReqPlan!$E$6),0))=TRUE,0,IF($D38=0,0,VLOOKUP($A38,Require,COLUMN(ReqPlan!$E$6),0)*$C38/$D38))</f>
        <v>0</v>
      </c>
      <c r="AP38" s="5" cm="1">
        <f t="array" ref="AP38">IF($D38=0,0,SUMIFS(RLevel1,BOMComp,$A38,BOMLevel,"&lt;&gt;First")*$C38/$D38)</f>
        <v>0</v>
      </c>
      <c r="AQ38" s="5" cm="1">
        <f t="array" ref="AQ38">IF($D38=0,0,SUMIFS(RLevel2,BOMComp,$A38,BOMLevel,"&lt;&gt;First")*$C38/$D38)</f>
        <v>0</v>
      </c>
      <c r="AR38" s="5" cm="1">
        <f t="array" ref="AR38">IF($D38=0,0,SUMIFS(RLevel3,BOMComp,$A38,BOMLevel,"&lt;&gt;First")*$C38/$D38)</f>
        <v>0</v>
      </c>
      <c r="AS38" s="5" cm="1">
        <f t="array" ref="AS38">IF($D38=0,0,SUMIFS(RLevel4,BOMComp,$A38,BOMLevel,"&lt;&gt;First")*$C38/$D38)</f>
        <v>0</v>
      </c>
      <c r="AT38" s="5" cm="1">
        <f t="array" ref="AT38">IF($D38=0,0,SUMIFS(RLevel5,BOMComp,$A38,BOMLevel,"&lt;&gt;First")*$C38/$D38)</f>
        <v>0</v>
      </c>
    </row>
    <row r="39" spans="1:46" ht="16.149999999999999" customHeight="1" x14ac:dyDescent="0.25">
      <c r="A39" s="2" t="s">
        <v>65</v>
      </c>
      <c r="B39" s="2" t="s">
        <v>77</v>
      </c>
      <c r="C39" s="33">
        <v>1</v>
      </c>
      <c r="D39" s="34">
        <v>0.85</v>
      </c>
      <c r="E39" s="35" t="str">
        <f t="shared" si="0"/>
        <v>-</v>
      </c>
      <c r="F39" s="2" t="str">
        <f>IF(ISNA(VLOOKUP($A39,StockMaster,COLUMN(StockCode!$B$4),0))=TRUE,"does not exist",VLOOKUP($A39,StockMaster,COLUMN(StockCode!$B$4),0))</f>
        <v>Painted Garden Shed</v>
      </c>
      <c r="G39" s="3" t="str">
        <f>IF(ISNA(VLOOKUP($A39,StockMaster,COLUMN(StockCode!$C$4),0))=TRUE,"error",VLOOKUP($A39,StockMaster,COLUMN(StockCode!$C$4),0))</f>
        <v>Units</v>
      </c>
      <c r="H39" s="3" t="str">
        <f>IF(ISNA(VLOOKUP($A39,StockMaster,COLUMN(StockCode!$E$4),0))=TRUE,"All",VLOOKUP($A39,StockMaster,COLUMN(StockCode!$E$4),0))</f>
        <v>All</v>
      </c>
      <c r="I39" s="2" t="str">
        <f>IF(ISNA(VLOOKUP($B39,StockMaster,COLUMN(StockCode!$B$4),0))=TRUE,"does not exist",VLOOKUP($B39,StockMaster,COLUMN(StockCode!$B$4),0))</f>
        <v>Paint - Green</v>
      </c>
      <c r="J39" s="3" t="str">
        <f>IF(ISNA(VLOOKUP($B39,StockMaster,COLUMN(StockCode!$C$4),0))=TRUE,"error",VLOOKUP($B39,StockMaster,COLUMN(StockCode!$C$4),0))</f>
        <v>Drum</v>
      </c>
      <c r="K39" s="40" t="str">
        <f>IF(ISNA(VLOOKUP($B39,StockMaster,COLUMN(StockCode!$G$4),0))=TRUE,0,VLOOKUP($B39,StockMaster,COLUMN(StockCode!$G$4),0))</f>
        <v>Bought-In</v>
      </c>
      <c r="L39" s="40" t="str">
        <f t="shared" si="1"/>
        <v>Y</v>
      </c>
      <c r="M39" s="5">
        <f>IF($K39="Manufactured",0,IF(ISNA(VLOOKUP($B39,StockMaster,COLUMN(StockCode!$D$4),0))=TRUE,0,VLOOKUP($B39,StockMaster,COLUMN(StockCode!$D$4),0)))</f>
        <v>240</v>
      </c>
      <c r="N39" s="32">
        <f t="shared" si="10"/>
        <v>282.35294117647061</v>
      </c>
      <c r="O39" s="32">
        <f t="shared" si="3"/>
        <v>0</v>
      </c>
      <c r="P39" s="32">
        <f t="shared" si="11"/>
        <v>0</v>
      </c>
      <c r="Q39" s="31">
        <f t="shared" si="12"/>
        <v>282.35294117647061</v>
      </c>
      <c r="R39" s="31">
        <f ca="1">IF($K39="Manufactured",0,IF(ISNA(VLOOKUP($B39,StockMaster,COLUMN(StockCode!$AA$4),0))=TRUE,0,VLOOKUP($B39,StockMaster,COLUMN(StockCode!$AA$4),0)))</f>
        <v>260</v>
      </c>
      <c r="S39" s="31">
        <f t="shared" ca="1" si="6"/>
        <v>305.88235294117646</v>
      </c>
      <c r="T39" s="31">
        <f t="shared" si="7"/>
        <v>0</v>
      </c>
      <c r="U39" s="31">
        <f t="shared" si="8"/>
        <v>0</v>
      </c>
      <c r="V39" s="31">
        <f t="shared" ca="1" si="9"/>
        <v>305.88235294117646</v>
      </c>
      <c r="W39" s="31">
        <f ca="1">IF(ISNA(VLOOKUP($A39,StockMaster,COLUMN(StockCode!$P$4),0))=TRUE,0,IF($D39=0,0,(VLOOKUP($A39,StockMaster,COLUMN(StockCode!$P$4),0)*$C39/$D39)))</f>
        <v>61.176470588235297</v>
      </c>
      <c r="X39" s="4" cm="1">
        <f t="array" ref="X39">IF($D39=0,0,SUMIFS(TLevel1,BOMComp,$A39,BOMLevel,"&lt;&gt;First")*$C39/$D39)</f>
        <v>0</v>
      </c>
      <c r="Y39" s="4" cm="1">
        <f t="array" ref="Y39">IF($D39=0,0,SUMIFS(TLevel2,BOMComp,$A39,BOMLevel,"&lt;&gt;First")*$C39/$D39)</f>
        <v>0</v>
      </c>
      <c r="Z39" s="4" cm="1">
        <f t="array" ref="Z39">IF($D39=0,0,SUMIFS(TLevel3,BOMComp,$A39,BOMLevel,"&lt;&gt;First")*$C39/$D39)</f>
        <v>0</v>
      </c>
      <c r="AA39" s="4" cm="1">
        <f t="array" ref="AA39">IF($D39=0,0,SUMIFS(TLevel4,BOMComp,$A39,BOMLevel,"&lt;&gt;First")*$C39/$D39)</f>
        <v>0</v>
      </c>
      <c r="AB39" s="4" cm="1">
        <f t="array" ref="AB39">IF($D39=0,0,SUMIFS(TLevel5,BOMComp,$A39,BOMLevel,"&lt;&gt;First")*$C39/$D39)</f>
        <v>0</v>
      </c>
      <c r="AC39" s="4">
        <f>IF(ISNA(VLOOKUP($A39,JRCode,COLUMN(JReview!$D$4),0))=TRUE,0,IF($D39=0,0,VLOOKUP($A39,JRCode,COLUMN(JReview!$D$4),0)*$C39/$D39))</f>
        <v>0</v>
      </c>
      <c r="AD39" s="4" cm="1">
        <f t="array" ref="AD39">IF($D39=0,0,SUMIFS(JLevel1,BOMComp,$A39,BOMLevel,"&lt;&gt;First")*$C39/$D39)</f>
        <v>0</v>
      </c>
      <c r="AE39" s="4" cm="1">
        <f t="array" ref="AE39">IF($D39=0,0,SUMIFS(JLevel2,BOMComp,$A39,BOMLevel,"&lt;&gt;First")*$C39/$D39)</f>
        <v>0</v>
      </c>
      <c r="AF39" s="4" cm="1">
        <f t="array" ref="AF39">IF($D39=0,0,SUMIFS(JLevel3,BOMComp,$A39,BOMLevel,"&lt;&gt;First")*$C39/$D39)</f>
        <v>0</v>
      </c>
      <c r="AG39" s="4" cm="1">
        <f t="array" ref="AG39">IF($D39=0,0,SUMIFS(JLevel4,BOMComp,$A39,BOMLevel,"&lt;&gt;First")*$C39/$D39)</f>
        <v>0</v>
      </c>
      <c r="AH39" s="4" cm="1">
        <f t="array" ref="AH39">IF($D39=0,0,SUMIFS(JLevel5,BOMComp,$A39,BOMLevel,"&lt;&gt;First")*$C39/$D39)</f>
        <v>0</v>
      </c>
      <c r="AI39" s="4">
        <f>IF(ISNA(VLOOKUP($A39,JRCode,COLUMN(JReview!$E$4),0))=TRUE,0,IF($D39=0,0,VLOOKUP($A39,JRCode,COLUMN(JReview!$E$4),0)*$C39/$D39))</f>
        <v>0</v>
      </c>
      <c r="AJ39" s="4" cm="1">
        <f t="array" ref="AJ39">IF($D39=0,0,SUMIFS(JRLevel1,BOMComp,$A39,BOMLevel,"&lt;&gt;First")*$C39/$D39)</f>
        <v>0</v>
      </c>
      <c r="AK39" s="4" cm="1">
        <f t="array" ref="AK39">IF($D39=0,0,SUMIFS(JRLevel2,BOMComp,$A39,BOMLevel,"&lt;&gt;First")*$C39/$D39)</f>
        <v>0</v>
      </c>
      <c r="AL39" s="4" cm="1">
        <f t="array" ref="AL39">IF($D39=0,0,SUMIFS(JRLevel3,BOMComp,$A39,BOMLevel,"&lt;&gt;First")*$C39/$D39)</f>
        <v>0</v>
      </c>
      <c r="AM39" s="4" cm="1">
        <f t="array" ref="AM39">IF($D39=0,0,SUMIFS(JRLevel4,BOMComp,$A39,BOMLevel,"&lt;&gt;First")*$C39/$D39)</f>
        <v>0</v>
      </c>
      <c r="AN39" s="4" cm="1">
        <f t="array" ref="AN39">IF($D39=0,0,SUMIFS(JRLevel5,BOMComp,$A39,BOMLevel,"&lt;&gt;First")*$C39/$D39)</f>
        <v>0</v>
      </c>
      <c r="AO39" s="5">
        <f>IF(ISNA(VLOOKUP($A39,Require,COLUMN(ReqPlan!$E$6),0))=TRUE,0,IF($D39=0,0,VLOOKUP($A39,Require,COLUMN(ReqPlan!$E$6),0)*$C39/$D39))</f>
        <v>0</v>
      </c>
      <c r="AP39" s="5" cm="1">
        <f t="array" ref="AP39">IF($D39=0,0,SUMIFS(RLevel1,BOMComp,$A39,BOMLevel,"&lt;&gt;First")*$C39/$D39)</f>
        <v>0</v>
      </c>
      <c r="AQ39" s="5" cm="1">
        <f t="array" ref="AQ39">IF($D39=0,0,SUMIFS(RLevel2,BOMComp,$A39,BOMLevel,"&lt;&gt;First")*$C39/$D39)</f>
        <v>0</v>
      </c>
      <c r="AR39" s="5" cm="1">
        <f t="array" ref="AR39">IF($D39=0,0,SUMIFS(RLevel3,BOMComp,$A39,BOMLevel,"&lt;&gt;First")*$C39/$D39)</f>
        <v>0</v>
      </c>
      <c r="AS39" s="5" cm="1">
        <f t="array" ref="AS39">IF($D39=0,0,SUMIFS(RLevel4,BOMComp,$A39,BOMLevel,"&lt;&gt;First")*$C39/$D39)</f>
        <v>0</v>
      </c>
      <c r="AT39" s="5" cm="1">
        <f t="array" ref="AT39">IF($D39=0,0,SUMIFS(RLevel5,BOMComp,$A39,BOMLevel,"&lt;&gt;First")*$C39/$D39)</f>
        <v>0</v>
      </c>
    </row>
    <row r="40" spans="1:46" ht="16.149999999999999" customHeight="1" x14ac:dyDescent="0.25">
      <c r="A40" s="2" t="s">
        <v>65</v>
      </c>
      <c r="B40" s="2" t="s">
        <v>82</v>
      </c>
      <c r="C40" s="33">
        <v>3</v>
      </c>
      <c r="D40" s="34">
        <v>1</v>
      </c>
      <c r="E40" s="35" t="str">
        <f t="shared" si="0"/>
        <v>-</v>
      </c>
      <c r="F40" s="2" t="str">
        <f>IF(ISNA(VLOOKUP($A40,StockMaster,COLUMN(StockCode!$B$4),0))=TRUE,"does not exist",VLOOKUP($A40,StockMaster,COLUMN(StockCode!$B$4),0))</f>
        <v>Painted Garden Shed</v>
      </c>
      <c r="G40" s="3" t="str">
        <f>IF(ISNA(VLOOKUP($A40,StockMaster,COLUMN(StockCode!$C$4),0))=TRUE,"error",VLOOKUP($A40,StockMaster,COLUMN(StockCode!$C$4),0))</f>
        <v>Units</v>
      </c>
      <c r="H40" s="3" t="str">
        <f>IF(ISNA(VLOOKUP($A40,StockMaster,COLUMN(StockCode!$E$4),0))=TRUE,"All",VLOOKUP($A40,StockMaster,COLUMN(StockCode!$E$4),0))</f>
        <v>All</v>
      </c>
      <c r="I40" s="2" t="str">
        <f>IF(ISNA(VLOOKUP($B40,StockMaster,COLUMN(StockCode!$B$4),0))=TRUE,"does not exist",VLOOKUP($B40,StockMaster,COLUMN(StockCode!$B$4),0))</f>
        <v>Labour - Grade 1</v>
      </c>
      <c r="J40" s="3" t="str">
        <f>IF(ISNA(VLOOKUP($B40,StockMaster,COLUMN(StockCode!$C$4),0))=TRUE,"error",VLOOKUP($B40,StockMaster,COLUMN(StockCode!$C$4),0))</f>
        <v>Hours</v>
      </c>
      <c r="K40" s="40" t="str">
        <f>IF(ISNA(VLOOKUP($B40,StockMaster,COLUMN(StockCode!$G$4),0))=TRUE,0,VLOOKUP($B40,StockMaster,COLUMN(StockCode!$G$4),0))</f>
        <v>Bought-In</v>
      </c>
      <c r="L40" s="40" t="str">
        <f t="shared" si="1"/>
        <v>Y</v>
      </c>
      <c r="M40" s="5">
        <f>IF($K40="Manufactured",0,IF(ISNA(VLOOKUP($B40,StockMaster,COLUMN(StockCode!$D$4),0))=TRUE,0,VLOOKUP($B40,StockMaster,COLUMN(StockCode!$D$4),0)))</f>
        <v>20</v>
      </c>
      <c r="N40" s="32">
        <f t="shared" si="10"/>
        <v>60</v>
      </c>
      <c r="O40" s="32">
        <f t="shared" si="3"/>
        <v>0</v>
      </c>
      <c r="P40" s="32">
        <f t="shared" si="11"/>
        <v>0</v>
      </c>
      <c r="Q40" s="31">
        <f t="shared" si="12"/>
        <v>60</v>
      </c>
      <c r="R40" s="31">
        <f ca="1">IF($K40="Manufactured",0,IF(ISNA(VLOOKUP($B40,StockMaster,COLUMN(StockCode!$AA$4),0))=TRUE,0,VLOOKUP($B40,StockMaster,COLUMN(StockCode!$AA$4),0)))</f>
        <v>20.330774751337231</v>
      </c>
      <c r="S40" s="31">
        <f t="shared" ca="1" si="6"/>
        <v>60.992324254011692</v>
      </c>
      <c r="T40" s="31">
        <f t="shared" si="7"/>
        <v>0</v>
      </c>
      <c r="U40" s="31">
        <f t="shared" si="8"/>
        <v>0</v>
      </c>
      <c r="V40" s="31">
        <f t="shared" ca="1" si="9"/>
        <v>60.992324254011692</v>
      </c>
      <c r="W40" s="31">
        <f ca="1">IF(ISNA(VLOOKUP($A40,StockMaster,COLUMN(StockCode!$P$4),0))=TRUE,0,IF($D40=0,0,(VLOOKUP($A40,StockMaster,COLUMN(StockCode!$P$4),0)*$C40/$D40)))</f>
        <v>156</v>
      </c>
      <c r="X40" s="4" cm="1">
        <f t="array" ref="X40">IF($D40=0,0,SUMIFS(TLevel1,BOMComp,$A40,BOMLevel,"&lt;&gt;First")*$C40/$D40)</f>
        <v>0</v>
      </c>
      <c r="Y40" s="4" cm="1">
        <f t="array" ref="Y40">IF($D40=0,0,SUMIFS(TLevel2,BOMComp,$A40,BOMLevel,"&lt;&gt;First")*$C40/$D40)</f>
        <v>0</v>
      </c>
      <c r="Z40" s="4" cm="1">
        <f t="array" ref="Z40">IF($D40=0,0,SUMIFS(TLevel3,BOMComp,$A40,BOMLevel,"&lt;&gt;First")*$C40/$D40)</f>
        <v>0</v>
      </c>
      <c r="AA40" s="4" cm="1">
        <f t="array" ref="AA40">IF($D40=0,0,SUMIFS(TLevel4,BOMComp,$A40,BOMLevel,"&lt;&gt;First")*$C40/$D40)</f>
        <v>0</v>
      </c>
      <c r="AB40" s="4" cm="1">
        <f t="array" ref="AB40">IF($D40=0,0,SUMIFS(TLevel5,BOMComp,$A40,BOMLevel,"&lt;&gt;First")*$C40/$D40)</f>
        <v>0</v>
      </c>
      <c r="AC40" s="4">
        <f>IF(ISNA(VLOOKUP($A40,JRCode,COLUMN(JReview!$D$4),0))=TRUE,0,IF($D40=0,0,VLOOKUP($A40,JRCode,COLUMN(JReview!$D$4),0)*$C40/$D40))</f>
        <v>0</v>
      </c>
      <c r="AD40" s="4" cm="1">
        <f t="array" ref="AD40">IF($D40=0,0,SUMIFS(JLevel1,BOMComp,$A40,BOMLevel,"&lt;&gt;First")*$C40/$D40)</f>
        <v>0</v>
      </c>
      <c r="AE40" s="4" cm="1">
        <f t="array" ref="AE40">IF($D40=0,0,SUMIFS(JLevel2,BOMComp,$A40,BOMLevel,"&lt;&gt;First")*$C40/$D40)</f>
        <v>0</v>
      </c>
      <c r="AF40" s="4" cm="1">
        <f t="array" ref="AF40">IF($D40=0,0,SUMIFS(JLevel3,BOMComp,$A40,BOMLevel,"&lt;&gt;First")*$C40/$D40)</f>
        <v>0</v>
      </c>
      <c r="AG40" s="4" cm="1">
        <f t="array" ref="AG40">IF($D40=0,0,SUMIFS(JLevel4,BOMComp,$A40,BOMLevel,"&lt;&gt;First")*$C40/$D40)</f>
        <v>0</v>
      </c>
      <c r="AH40" s="4" cm="1">
        <f t="array" ref="AH40">IF($D40=0,0,SUMIFS(JLevel5,BOMComp,$A40,BOMLevel,"&lt;&gt;First")*$C40/$D40)</f>
        <v>0</v>
      </c>
      <c r="AI40" s="4">
        <f>IF(ISNA(VLOOKUP($A40,JRCode,COLUMN(JReview!$E$4),0))=TRUE,0,IF($D40=0,0,VLOOKUP($A40,JRCode,COLUMN(JReview!$E$4),0)*$C40/$D40))</f>
        <v>0</v>
      </c>
      <c r="AJ40" s="4" cm="1">
        <f t="array" ref="AJ40">IF($D40=0,0,SUMIFS(JRLevel1,BOMComp,$A40,BOMLevel,"&lt;&gt;First")*$C40/$D40)</f>
        <v>0</v>
      </c>
      <c r="AK40" s="4" cm="1">
        <f t="array" ref="AK40">IF($D40=0,0,SUMIFS(JRLevel2,BOMComp,$A40,BOMLevel,"&lt;&gt;First")*$C40/$D40)</f>
        <v>0</v>
      </c>
      <c r="AL40" s="4" cm="1">
        <f t="array" ref="AL40">IF($D40=0,0,SUMIFS(JRLevel3,BOMComp,$A40,BOMLevel,"&lt;&gt;First")*$C40/$D40)</f>
        <v>0</v>
      </c>
      <c r="AM40" s="4" cm="1">
        <f t="array" ref="AM40">IF($D40=0,0,SUMIFS(JRLevel4,BOMComp,$A40,BOMLevel,"&lt;&gt;First")*$C40/$D40)</f>
        <v>0</v>
      </c>
      <c r="AN40" s="4" cm="1">
        <f t="array" ref="AN40">IF($D40=0,0,SUMIFS(JRLevel5,BOMComp,$A40,BOMLevel,"&lt;&gt;First")*$C40/$D40)</f>
        <v>0</v>
      </c>
      <c r="AO40" s="5">
        <f>IF(ISNA(VLOOKUP($A40,Require,COLUMN(ReqPlan!$E$6),0))=TRUE,0,IF($D40=0,0,VLOOKUP($A40,Require,COLUMN(ReqPlan!$E$6),0)*$C40/$D40))</f>
        <v>0</v>
      </c>
      <c r="AP40" s="5" cm="1">
        <f t="array" ref="AP40">IF($D40=0,0,SUMIFS(RLevel1,BOMComp,$A40,BOMLevel,"&lt;&gt;First")*$C40/$D40)</f>
        <v>0</v>
      </c>
      <c r="AQ40" s="5" cm="1">
        <f t="array" ref="AQ40">IF($D40=0,0,SUMIFS(RLevel2,BOMComp,$A40,BOMLevel,"&lt;&gt;First")*$C40/$D40)</f>
        <v>0</v>
      </c>
      <c r="AR40" s="5" cm="1">
        <f t="array" ref="AR40">IF($D40=0,0,SUMIFS(RLevel3,BOMComp,$A40,BOMLevel,"&lt;&gt;First")*$C40/$D40)</f>
        <v>0</v>
      </c>
      <c r="AS40" s="5" cm="1">
        <f t="array" ref="AS40">IF($D40=0,0,SUMIFS(RLevel4,BOMComp,$A40,BOMLevel,"&lt;&gt;First")*$C40/$D40)</f>
        <v>0</v>
      </c>
      <c r="AT40" s="5" cm="1">
        <f t="array" ref="AT40">IF($D40=0,0,SUMIFS(RLevel5,BOMComp,$A40,BOMLevel,"&lt;&gt;First")*$C40/$D40)</f>
        <v>0</v>
      </c>
    </row>
    <row r="41" spans="1:46" ht="16.149999999999999" customHeight="1" x14ac:dyDescent="0.25">
      <c r="A41" s="2" t="s">
        <v>65</v>
      </c>
      <c r="B41" s="2" t="s">
        <v>84</v>
      </c>
      <c r="C41" s="33">
        <v>1</v>
      </c>
      <c r="D41" s="34">
        <v>1</v>
      </c>
      <c r="E41" s="35" t="str">
        <f t="shared" si="0"/>
        <v>-</v>
      </c>
      <c r="F41" s="2" t="str">
        <f>IF(ISNA(VLOOKUP($A41,StockMaster,COLUMN(StockCode!$B$4),0))=TRUE,"does not exist",VLOOKUP($A41,StockMaster,COLUMN(StockCode!$B$4),0))</f>
        <v>Painted Garden Shed</v>
      </c>
      <c r="G41" s="3" t="str">
        <f>IF(ISNA(VLOOKUP($A41,StockMaster,COLUMN(StockCode!$C$4),0))=TRUE,"error",VLOOKUP($A41,StockMaster,COLUMN(StockCode!$C$4),0))</f>
        <v>Units</v>
      </c>
      <c r="H41" s="3" t="str">
        <f>IF(ISNA(VLOOKUP($A41,StockMaster,COLUMN(StockCode!$E$4),0))=TRUE,"All",VLOOKUP($A41,StockMaster,COLUMN(StockCode!$E$4),0))</f>
        <v>All</v>
      </c>
      <c r="I41" s="2" t="str">
        <f>IF(ISNA(VLOOKUP($B41,StockMaster,COLUMN(StockCode!$B$4),0))=TRUE,"does not exist",VLOOKUP($B41,StockMaster,COLUMN(StockCode!$B$4),0))</f>
        <v>Labour - Grade 2</v>
      </c>
      <c r="J41" s="3" t="str">
        <f>IF(ISNA(VLOOKUP($B41,StockMaster,COLUMN(StockCode!$C$4),0))=TRUE,"error",VLOOKUP($B41,StockMaster,COLUMN(StockCode!$C$4),0))</f>
        <v>Hours</v>
      </c>
      <c r="K41" s="40" t="str">
        <f>IF(ISNA(VLOOKUP($B41,StockMaster,COLUMN(StockCode!$G$4),0))=TRUE,0,VLOOKUP($B41,StockMaster,COLUMN(StockCode!$G$4),0))</f>
        <v>Bought-In</v>
      </c>
      <c r="L41" s="40" t="str">
        <f t="shared" si="1"/>
        <v>Y</v>
      </c>
      <c r="M41" s="5">
        <f>IF($K41="Manufactured",0,IF(ISNA(VLOOKUP($B41,StockMaster,COLUMN(StockCode!$D$4),0))=TRUE,0,VLOOKUP($B41,StockMaster,COLUMN(StockCode!$D$4),0)))</f>
        <v>30</v>
      </c>
      <c r="N41" s="32">
        <f t="shared" si="10"/>
        <v>30</v>
      </c>
      <c r="O41" s="32">
        <f t="shared" si="3"/>
        <v>0</v>
      </c>
      <c r="P41" s="32">
        <f t="shared" si="11"/>
        <v>0</v>
      </c>
      <c r="Q41" s="31">
        <f t="shared" si="12"/>
        <v>30</v>
      </c>
      <c r="R41" s="31">
        <f ca="1">IF($K41="Manufactured",0,IF(ISNA(VLOOKUP($B41,StockMaster,COLUMN(StockCode!$AA$4),0))=TRUE,0,VLOOKUP($B41,StockMaster,COLUMN(StockCode!$AA$4),0)))</f>
        <v>30</v>
      </c>
      <c r="S41" s="31">
        <f t="shared" ca="1" si="6"/>
        <v>30</v>
      </c>
      <c r="T41" s="31">
        <f t="shared" si="7"/>
        <v>0</v>
      </c>
      <c r="U41" s="31">
        <f t="shared" si="8"/>
        <v>0</v>
      </c>
      <c r="V41" s="31">
        <f t="shared" ca="1" si="9"/>
        <v>30</v>
      </c>
      <c r="W41" s="31">
        <f ca="1">IF(ISNA(VLOOKUP($A41,StockMaster,COLUMN(StockCode!$P$4),0))=TRUE,0,IF($D41=0,0,(VLOOKUP($A41,StockMaster,COLUMN(StockCode!$P$4),0)*$C41/$D41)))</f>
        <v>52</v>
      </c>
      <c r="X41" s="4" cm="1">
        <f t="array" ref="X41">IF($D41=0,0,SUMIFS(TLevel1,BOMComp,$A41,BOMLevel,"&lt;&gt;First")*$C41/$D41)</f>
        <v>0</v>
      </c>
      <c r="Y41" s="4" cm="1">
        <f t="array" ref="Y41">IF($D41=0,0,SUMIFS(TLevel2,BOMComp,$A41,BOMLevel,"&lt;&gt;First")*$C41/$D41)</f>
        <v>0</v>
      </c>
      <c r="Z41" s="4" cm="1">
        <f t="array" ref="Z41">IF($D41=0,0,SUMIFS(TLevel3,BOMComp,$A41,BOMLevel,"&lt;&gt;First")*$C41/$D41)</f>
        <v>0</v>
      </c>
      <c r="AA41" s="4" cm="1">
        <f t="array" ref="AA41">IF($D41=0,0,SUMIFS(TLevel4,BOMComp,$A41,BOMLevel,"&lt;&gt;First")*$C41/$D41)</f>
        <v>0</v>
      </c>
      <c r="AB41" s="4" cm="1">
        <f t="array" ref="AB41">IF($D41=0,0,SUMIFS(TLevel5,BOMComp,$A41,BOMLevel,"&lt;&gt;First")*$C41/$D41)</f>
        <v>0</v>
      </c>
      <c r="AC41" s="4">
        <f>IF(ISNA(VLOOKUP($A41,JRCode,COLUMN(JReview!$D$4),0))=TRUE,0,IF($D41=0,0,VLOOKUP($A41,JRCode,COLUMN(JReview!$D$4),0)*$C41/$D41))</f>
        <v>0</v>
      </c>
      <c r="AD41" s="4" cm="1">
        <f t="array" ref="AD41">IF($D41=0,0,SUMIFS(JLevel1,BOMComp,$A41,BOMLevel,"&lt;&gt;First")*$C41/$D41)</f>
        <v>0</v>
      </c>
      <c r="AE41" s="4" cm="1">
        <f t="array" ref="AE41">IF($D41=0,0,SUMIFS(JLevel2,BOMComp,$A41,BOMLevel,"&lt;&gt;First")*$C41/$D41)</f>
        <v>0</v>
      </c>
      <c r="AF41" s="4" cm="1">
        <f t="array" ref="AF41">IF($D41=0,0,SUMIFS(JLevel3,BOMComp,$A41,BOMLevel,"&lt;&gt;First")*$C41/$D41)</f>
        <v>0</v>
      </c>
      <c r="AG41" s="4" cm="1">
        <f t="array" ref="AG41">IF($D41=0,0,SUMIFS(JLevel4,BOMComp,$A41,BOMLevel,"&lt;&gt;First")*$C41/$D41)</f>
        <v>0</v>
      </c>
      <c r="AH41" s="4" cm="1">
        <f t="array" ref="AH41">IF($D41=0,0,SUMIFS(JLevel5,BOMComp,$A41,BOMLevel,"&lt;&gt;First")*$C41/$D41)</f>
        <v>0</v>
      </c>
      <c r="AI41" s="4">
        <f>IF(ISNA(VLOOKUP($A41,JRCode,COLUMN(JReview!$E$4),0))=TRUE,0,IF($D41=0,0,VLOOKUP($A41,JRCode,COLUMN(JReview!$E$4),0)*$C41/$D41))</f>
        <v>0</v>
      </c>
      <c r="AJ41" s="4" cm="1">
        <f t="array" ref="AJ41">IF($D41=0,0,SUMIFS(JRLevel1,BOMComp,$A41,BOMLevel,"&lt;&gt;First")*$C41/$D41)</f>
        <v>0</v>
      </c>
      <c r="AK41" s="4" cm="1">
        <f t="array" ref="AK41">IF($D41=0,0,SUMIFS(JRLevel2,BOMComp,$A41,BOMLevel,"&lt;&gt;First")*$C41/$D41)</f>
        <v>0</v>
      </c>
      <c r="AL41" s="4" cm="1">
        <f t="array" ref="AL41">IF($D41=0,0,SUMIFS(JRLevel3,BOMComp,$A41,BOMLevel,"&lt;&gt;First")*$C41/$D41)</f>
        <v>0</v>
      </c>
      <c r="AM41" s="4" cm="1">
        <f t="array" ref="AM41">IF($D41=0,0,SUMIFS(JRLevel4,BOMComp,$A41,BOMLevel,"&lt;&gt;First")*$C41/$D41)</f>
        <v>0</v>
      </c>
      <c r="AN41" s="4" cm="1">
        <f t="array" ref="AN41">IF($D41=0,0,SUMIFS(JRLevel5,BOMComp,$A41,BOMLevel,"&lt;&gt;First")*$C41/$D41)</f>
        <v>0</v>
      </c>
      <c r="AO41" s="5">
        <f>IF(ISNA(VLOOKUP($A41,Require,COLUMN(ReqPlan!$E$6),0))=TRUE,0,IF($D41=0,0,VLOOKUP($A41,Require,COLUMN(ReqPlan!$E$6),0)*$C41/$D41))</f>
        <v>0</v>
      </c>
      <c r="AP41" s="5" cm="1">
        <f t="array" ref="AP41">IF($D41=0,0,SUMIFS(RLevel1,BOMComp,$A41,BOMLevel,"&lt;&gt;First")*$C41/$D41)</f>
        <v>0</v>
      </c>
      <c r="AQ41" s="5" cm="1">
        <f t="array" ref="AQ41">IF($D41=0,0,SUMIFS(RLevel2,BOMComp,$A41,BOMLevel,"&lt;&gt;First")*$C41/$D41)</f>
        <v>0</v>
      </c>
      <c r="AR41" s="5" cm="1">
        <f t="array" ref="AR41">IF($D41=0,0,SUMIFS(RLevel3,BOMComp,$A41,BOMLevel,"&lt;&gt;First")*$C41/$D41)</f>
        <v>0</v>
      </c>
      <c r="AS41" s="5" cm="1">
        <f t="array" ref="AS41">IF($D41=0,0,SUMIFS(RLevel4,BOMComp,$A41,BOMLevel,"&lt;&gt;First")*$C41/$D41)</f>
        <v>0</v>
      </c>
      <c r="AT41" s="5" cm="1">
        <f t="array" ref="AT41">IF($D41=0,0,SUMIFS(RLevel5,BOMComp,$A41,BOMLevel,"&lt;&gt;First")*$C41/$D41)</f>
        <v>0</v>
      </c>
    </row>
    <row r="42" spans="1:46" ht="16.149999999999999" customHeight="1" x14ac:dyDescent="0.25">
      <c r="A42" s="2" t="s">
        <v>67</v>
      </c>
      <c r="B42" s="2" t="s">
        <v>59</v>
      </c>
      <c r="C42" s="33">
        <v>1</v>
      </c>
      <c r="D42" s="34">
        <v>1</v>
      </c>
      <c r="E42" s="35" t="str">
        <f t="shared" si="0"/>
        <v>-</v>
      </c>
      <c r="F42" s="2" t="str">
        <f>IF(ISNA(VLOOKUP($A42,StockMaster,COLUMN(StockCode!$B$4),0))=TRUE,"does not exist",VLOOKUP($A42,StockMaster,COLUMN(StockCode!$B$4),0))</f>
        <v>Tools Shed</v>
      </c>
      <c r="G42" s="3" t="str">
        <f>IF(ISNA(VLOOKUP($A42,StockMaster,COLUMN(StockCode!$C$4),0))=TRUE,"error",VLOOKUP($A42,StockMaster,COLUMN(StockCode!$C$4),0))</f>
        <v>Units</v>
      </c>
      <c r="H42" s="3" t="str">
        <f>IF(ISNA(VLOOKUP($A42,StockMaster,COLUMN(StockCode!$E$4),0))=TRUE,"All",VLOOKUP($A42,StockMaster,COLUMN(StockCode!$E$4),0))</f>
        <v>All</v>
      </c>
      <c r="I42" s="2" t="str">
        <f>IF(ISNA(VLOOKUP($B42,StockMaster,COLUMN(StockCode!$B$4),0))=TRUE,"does not exist",VLOOKUP($B42,StockMaster,COLUMN(StockCode!$B$4),0))</f>
        <v>Roof</v>
      </c>
      <c r="J42" s="3" t="str">
        <f>IF(ISNA(VLOOKUP($B42,StockMaster,COLUMN(StockCode!$C$4),0))=TRUE,"error",VLOOKUP($B42,StockMaster,COLUMN(StockCode!$C$4),0))</f>
        <v>Units</v>
      </c>
      <c r="K42" s="40" t="str">
        <f>IF(ISNA(VLOOKUP($B42,StockMaster,COLUMN(StockCode!$G$4),0))=TRUE,0,VLOOKUP($B42,StockMaster,COLUMN(StockCode!$G$4),0))</f>
        <v>Manufactured</v>
      </c>
      <c r="L42" s="40" t="str">
        <f t="shared" si="1"/>
        <v>N</v>
      </c>
      <c r="M42" s="5">
        <f>IF($K42="Manufactured",0,IF(ISNA(VLOOKUP($B42,StockMaster,COLUMN(StockCode!$D$4),0))=TRUE,0,VLOOKUP($B42,StockMaster,COLUMN(StockCode!$D$4),0)))</f>
        <v>0</v>
      </c>
      <c r="N42" s="32">
        <f t="shared" si="10"/>
        <v>0</v>
      </c>
      <c r="O42" s="32">
        <f t="shared" si="3"/>
        <v>1766.6666666666665</v>
      </c>
      <c r="P42" s="32">
        <f t="shared" si="11"/>
        <v>1766.6666666666665</v>
      </c>
      <c r="Q42" s="31">
        <f t="shared" si="12"/>
        <v>1766.6666666666665</v>
      </c>
      <c r="R42" s="31">
        <f>IF($K42="Manufactured",0,IF(ISNA(VLOOKUP($B42,StockMaster,COLUMN(StockCode!$AA$4),0))=TRUE,0,VLOOKUP($B42,StockMaster,COLUMN(StockCode!$AA$4),0)))</f>
        <v>0</v>
      </c>
      <c r="S42" s="31">
        <f t="shared" si="6"/>
        <v>0</v>
      </c>
      <c r="T42" s="31">
        <f t="shared" ca="1" si="7"/>
        <v>1770.3194551526897</v>
      </c>
      <c r="U42" s="31">
        <f t="shared" ca="1" si="8"/>
        <v>1770.3194551526897</v>
      </c>
      <c r="V42" s="31">
        <f t="shared" ca="1" si="9"/>
        <v>1770.3194551526897</v>
      </c>
      <c r="W42" s="31">
        <f ca="1">IF(ISNA(VLOOKUP($A42,StockMaster,COLUMN(StockCode!$P$4),0))=TRUE,0,IF($D42=0,0,(VLOOKUP($A42,StockMaster,COLUMN(StockCode!$P$4),0)*$C42/$D42)))</f>
        <v>125</v>
      </c>
      <c r="X42" s="4" cm="1">
        <f t="array" ref="X42">IF($D42=0,0,SUMIFS(TLevel1,BOMComp,$A42,BOMLevel,"&lt;&gt;First")*$C42/$D42)</f>
        <v>0</v>
      </c>
      <c r="Y42" s="4" cm="1">
        <f t="array" ref="Y42">IF($D42=0,0,SUMIFS(TLevel2,BOMComp,$A42,BOMLevel,"&lt;&gt;First")*$C42/$D42)</f>
        <v>0</v>
      </c>
      <c r="Z42" s="4" cm="1">
        <f t="array" ref="Z42">IF($D42=0,0,SUMIFS(TLevel3,BOMComp,$A42,BOMLevel,"&lt;&gt;First")*$C42/$D42)</f>
        <v>0</v>
      </c>
      <c r="AA42" s="4" cm="1">
        <f t="array" ref="AA42">IF($D42=0,0,SUMIFS(TLevel4,BOMComp,$A42,BOMLevel,"&lt;&gt;First")*$C42/$D42)</f>
        <v>0</v>
      </c>
      <c r="AB42" s="4" cm="1">
        <f t="array" ref="AB42">IF($D42=0,0,SUMIFS(TLevel5,BOMComp,$A42,BOMLevel,"&lt;&gt;First")*$C42/$D42)</f>
        <v>0</v>
      </c>
      <c r="AC42" s="4">
        <f>IF(ISNA(VLOOKUP($A42,JRCode,COLUMN(JReview!$D$4),0))=TRUE,0,IF($D42=0,0,VLOOKUP($A42,JRCode,COLUMN(JReview!$D$4),0)*$C42/$D42))</f>
        <v>0</v>
      </c>
      <c r="AD42" s="4" cm="1">
        <f t="array" ref="AD42">IF($D42=0,0,SUMIFS(JLevel1,BOMComp,$A42,BOMLevel,"&lt;&gt;First")*$C42/$D42)</f>
        <v>0</v>
      </c>
      <c r="AE42" s="4" cm="1">
        <f t="array" ref="AE42">IF($D42=0,0,SUMIFS(JLevel2,BOMComp,$A42,BOMLevel,"&lt;&gt;First")*$C42/$D42)</f>
        <v>0</v>
      </c>
      <c r="AF42" s="4" cm="1">
        <f t="array" ref="AF42">IF($D42=0,0,SUMIFS(JLevel3,BOMComp,$A42,BOMLevel,"&lt;&gt;First")*$C42/$D42)</f>
        <v>0</v>
      </c>
      <c r="AG42" s="4" cm="1">
        <f t="array" ref="AG42">IF($D42=0,0,SUMIFS(JLevel4,BOMComp,$A42,BOMLevel,"&lt;&gt;First")*$C42/$D42)</f>
        <v>0</v>
      </c>
      <c r="AH42" s="4" cm="1">
        <f t="array" ref="AH42">IF($D42=0,0,SUMIFS(JLevel5,BOMComp,$A42,BOMLevel,"&lt;&gt;First")*$C42/$D42)</f>
        <v>0</v>
      </c>
      <c r="AI42" s="4">
        <f>IF(ISNA(VLOOKUP($A42,JRCode,COLUMN(JReview!$E$4),0))=TRUE,0,IF($D42=0,0,VLOOKUP($A42,JRCode,COLUMN(JReview!$E$4),0)*$C42/$D42))</f>
        <v>0</v>
      </c>
      <c r="AJ42" s="4" cm="1">
        <f t="array" ref="AJ42">IF($D42=0,0,SUMIFS(JRLevel1,BOMComp,$A42,BOMLevel,"&lt;&gt;First")*$C42/$D42)</f>
        <v>0</v>
      </c>
      <c r="AK42" s="4" cm="1">
        <f t="array" ref="AK42">IF($D42=0,0,SUMIFS(JRLevel2,BOMComp,$A42,BOMLevel,"&lt;&gt;First")*$C42/$D42)</f>
        <v>0</v>
      </c>
      <c r="AL42" s="4" cm="1">
        <f t="array" ref="AL42">IF($D42=0,0,SUMIFS(JRLevel3,BOMComp,$A42,BOMLevel,"&lt;&gt;First")*$C42/$D42)</f>
        <v>0</v>
      </c>
      <c r="AM42" s="4" cm="1">
        <f t="array" ref="AM42">IF($D42=0,0,SUMIFS(JRLevel4,BOMComp,$A42,BOMLevel,"&lt;&gt;First")*$C42/$D42)</f>
        <v>0</v>
      </c>
      <c r="AN42" s="4" cm="1">
        <f t="array" ref="AN42">IF($D42=0,0,SUMIFS(JRLevel5,BOMComp,$A42,BOMLevel,"&lt;&gt;First")*$C42/$D42)</f>
        <v>0</v>
      </c>
      <c r="AO42" s="5">
        <f>IF(ISNA(VLOOKUP($A42,Require,COLUMN(ReqPlan!$E$6),0))=TRUE,0,IF($D42=0,0,VLOOKUP($A42,Require,COLUMN(ReqPlan!$E$6),0)*$C42/$D42))</f>
        <v>50</v>
      </c>
      <c r="AP42" s="5" cm="1">
        <f t="array" ref="AP42">IF($D42=0,0,SUMIFS(RLevel1,BOMComp,$A42,BOMLevel,"&lt;&gt;First")*$C42/$D42)</f>
        <v>0</v>
      </c>
      <c r="AQ42" s="5" cm="1">
        <f t="array" ref="AQ42">IF($D42=0,0,SUMIFS(RLevel2,BOMComp,$A42,BOMLevel,"&lt;&gt;First")*$C42/$D42)</f>
        <v>0</v>
      </c>
      <c r="AR42" s="5" cm="1">
        <f t="array" ref="AR42">IF($D42=0,0,SUMIFS(RLevel3,BOMComp,$A42,BOMLevel,"&lt;&gt;First")*$C42/$D42)</f>
        <v>0</v>
      </c>
      <c r="AS42" s="5" cm="1">
        <f t="array" ref="AS42">IF($D42=0,0,SUMIFS(RLevel4,BOMComp,$A42,BOMLevel,"&lt;&gt;First")*$C42/$D42)</f>
        <v>0</v>
      </c>
      <c r="AT42" s="5" cm="1">
        <f t="array" ref="AT42">IF($D42=0,0,SUMIFS(RLevel5,BOMComp,$A42,BOMLevel,"&lt;&gt;First")*$C42/$D42)</f>
        <v>0</v>
      </c>
    </row>
    <row r="43" spans="1:46" ht="16.149999999999999" customHeight="1" x14ac:dyDescent="0.25">
      <c r="A43" s="2" t="s">
        <v>67</v>
      </c>
      <c r="B43" s="2" t="s">
        <v>56</v>
      </c>
      <c r="C43" s="33">
        <v>1</v>
      </c>
      <c r="D43" s="34">
        <v>1</v>
      </c>
      <c r="E43" s="35" t="str">
        <f t="shared" si="0"/>
        <v>-</v>
      </c>
      <c r="F43" s="2" t="str">
        <f>IF(ISNA(VLOOKUP($A43,StockMaster,COLUMN(StockCode!$B$4),0))=TRUE,"does not exist",VLOOKUP($A43,StockMaster,COLUMN(StockCode!$B$4),0))</f>
        <v>Tools Shed</v>
      </c>
      <c r="G43" s="3" t="str">
        <f>IF(ISNA(VLOOKUP($A43,StockMaster,COLUMN(StockCode!$C$4),0))=TRUE,"error",VLOOKUP($A43,StockMaster,COLUMN(StockCode!$C$4),0))</f>
        <v>Units</v>
      </c>
      <c r="H43" s="3" t="str">
        <f>IF(ISNA(VLOOKUP($A43,StockMaster,COLUMN(StockCode!$E$4),0))=TRUE,"All",VLOOKUP($A43,StockMaster,COLUMN(StockCode!$E$4),0))</f>
        <v>All</v>
      </c>
      <c r="I43" s="2" t="str">
        <f>IF(ISNA(VLOOKUP($B43,StockMaster,COLUMN(StockCode!$B$4),0))=TRUE,"does not exist",VLOOKUP($B43,StockMaster,COLUMN(StockCode!$B$4),0))</f>
        <v>Door</v>
      </c>
      <c r="J43" s="3" t="str">
        <f>IF(ISNA(VLOOKUP($B43,StockMaster,COLUMN(StockCode!$C$4),0))=TRUE,"error",VLOOKUP($B43,StockMaster,COLUMN(StockCode!$C$4),0))</f>
        <v>Units</v>
      </c>
      <c r="K43" s="40" t="str">
        <f>IF(ISNA(VLOOKUP($B43,StockMaster,COLUMN(StockCode!$G$4),0))=TRUE,0,VLOOKUP($B43,StockMaster,COLUMN(StockCode!$G$4),0))</f>
        <v>Manufactured</v>
      </c>
      <c r="L43" s="40" t="str">
        <f t="shared" si="1"/>
        <v>N</v>
      </c>
      <c r="M43" s="5">
        <f>IF($K43="Manufactured",0,IF(ISNA(VLOOKUP($B43,StockMaster,COLUMN(StockCode!$D$4),0))=TRUE,0,VLOOKUP($B43,StockMaster,COLUMN(StockCode!$D$4),0)))</f>
        <v>0</v>
      </c>
      <c r="N43" s="32">
        <f t="shared" si="10"/>
        <v>0</v>
      </c>
      <c r="O43" s="32">
        <f t="shared" si="3"/>
        <v>313.66666666666669</v>
      </c>
      <c r="P43" s="32">
        <f t="shared" si="11"/>
        <v>313.66666666666669</v>
      </c>
      <c r="Q43" s="31">
        <f t="shared" si="12"/>
        <v>313.66666666666669</v>
      </c>
      <c r="R43" s="31">
        <f>IF($K43="Manufactured",0,IF(ISNA(VLOOKUP($B43,StockMaster,COLUMN(StockCode!$AA$4),0))=TRUE,0,VLOOKUP($B43,StockMaster,COLUMN(StockCode!$AA$4),0)))</f>
        <v>0</v>
      </c>
      <c r="S43" s="31">
        <f t="shared" si="6"/>
        <v>0</v>
      </c>
      <c r="T43" s="31">
        <f t="shared" ca="1" si="7"/>
        <v>318.67879989942031</v>
      </c>
      <c r="U43" s="31">
        <f t="shared" ca="1" si="8"/>
        <v>318.67879989942031</v>
      </c>
      <c r="V43" s="31">
        <f t="shared" ca="1" si="9"/>
        <v>318.67879989942031</v>
      </c>
      <c r="W43" s="31">
        <f ca="1">IF(ISNA(VLOOKUP($A43,StockMaster,COLUMN(StockCode!$P$4),0))=TRUE,0,IF($D43=0,0,(VLOOKUP($A43,StockMaster,COLUMN(StockCode!$P$4),0)*$C43/$D43)))</f>
        <v>125</v>
      </c>
      <c r="X43" s="4" cm="1">
        <f t="array" ref="X43">IF($D43=0,0,SUMIFS(TLevel1,BOMComp,$A43,BOMLevel,"&lt;&gt;First")*$C43/$D43)</f>
        <v>0</v>
      </c>
      <c r="Y43" s="4" cm="1">
        <f t="array" ref="Y43">IF($D43=0,0,SUMIFS(TLevel2,BOMComp,$A43,BOMLevel,"&lt;&gt;First")*$C43/$D43)</f>
        <v>0</v>
      </c>
      <c r="Z43" s="4" cm="1">
        <f t="array" ref="Z43">IF($D43=0,0,SUMIFS(TLevel3,BOMComp,$A43,BOMLevel,"&lt;&gt;First")*$C43/$D43)</f>
        <v>0</v>
      </c>
      <c r="AA43" s="4" cm="1">
        <f t="array" ref="AA43">IF($D43=0,0,SUMIFS(TLevel4,BOMComp,$A43,BOMLevel,"&lt;&gt;First")*$C43/$D43)</f>
        <v>0</v>
      </c>
      <c r="AB43" s="4" cm="1">
        <f t="array" ref="AB43">IF($D43=0,0,SUMIFS(TLevel5,BOMComp,$A43,BOMLevel,"&lt;&gt;First")*$C43/$D43)</f>
        <v>0</v>
      </c>
      <c r="AC43" s="4">
        <f>IF(ISNA(VLOOKUP($A43,JRCode,COLUMN(JReview!$D$4),0))=TRUE,0,IF($D43=0,0,VLOOKUP($A43,JRCode,COLUMN(JReview!$D$4),0)*$C43/$D43))</f>
        <v>0</v>
      </c>
      <c r="AD43" s="4" cm="1">
        <f t="array" ref="AD43">IF($D43=0,0,SUMIFS(JLevel1,BOMComp,$A43,BOMLevel,"&lt;&gt;First")*$C43/$D43)</f>
        <v>0</v>
      </c>
      <c r="AE43" s="4" cm="1">
        <f t="array" ref="AE43">IF($D43=0,0,SUMIFS(JLevel2,BOMComp,$A43,BOMLevel,"&lt;&gt;First")*$C43/$D43)</f>
        <v>0</v>
      </c>
      <c r="AF43" s="4" cm="1">
        <f t="array" ref="AF43">IF($D43=0,0,SUMIFS(JLevel3,BOMComp,$A43,BOMLevel,"&lt;&gt;First")*$C43/$D43)</f>
        <v>0</v>
      </c>
      <c r="AG43" s="4" cm="1">
        <f t="array" ref="AG43">IF($D43=0,0,SUMIFS(JLevel4,BOMComp,$A43,BOMLevel,"&lt;&gt;First")*$C43/$D43)</f>
        <v>0</v>
      </c>
      <c r="AH43" s="4" cm="1">
        <f t="array" ref="AH43">IF($D43=0,0,SUMIFS(JLevel5,BOMComp,$A43,BOMLevel,"&lt;&gt;First")*$C43/$D43)</f>
        <v>0</v>
      </c>
      <c r="AI43" s="4">
        <f>IF(ISNA(VLOOKUP($A43,JRCode,COLUMN(JReview!$E$4),0))=TRUE,0,IF($D43=0,0,VLOOKUP($A43,JRCode,COLUMN(JReview!$E$4),0)*$C43/$D43))</f>
        <v>0</v>
      </c>
      <c r="AJ43" s="4" cm="1">
        <f t="array" ref="AJ43">IF($D43=0,0,SUMIFS(JRLevel1,BOMComp,$A43,BOMLevel,"&lt;&gt;First")*$C43/$D43)</f>
        <v>0</v>
      </c>
      <c r="AK43" s="4" cm="1">
        <f t="array" ref="AK43">IF($D43=0,0,SUMIFS(JRLevel2,BOMComp,$A43,BOMLevel,"&lt;&gt;First")*$C43/$D43)</f>
        <v>0</v>
      </c>
      <c r="AL43" s="4" cm="1">
        <f t="array" ref="AL43">IF($D43=0,0,SUMIFS(JRLevel3,BOMComp,$A43,BOMLevel,"&lt;&gt;First")*$C43/$D43)</f>
        <v>0</v>
      </c>
      <c r="AM43" s="4" cm="1">
        <f t="array" ref="AM43">IF($D43=0,0,SUMIFS(JRLevel4,BOMComp,$A43,BOMLevel,"&lt;&gt;First")*$C43/$D43)</f>
        <v>0</v>
      </c>
      <c r="AN43" s="4" cm="1">
        <f t="array" ref="AN43">IF($D43=0,0,SUMIFS(JRLevel5,BOMComp,$A43,BOMLevel,"&lt;&gt;First")*$C43/$D43)</f>
        <v>0</v>
      </c>
      <c r="AO43" s="5">
        <f>IF(ISNA(VLOOKUP($A43,Require,COLUMN(ReqPlan!$E$6),0))=TRUE,0,IF($D43=0,0,VLOOKUP($A43,Require,COLUMN(ReqPlan!$E$6),0)*$C43/$D43))</f>
        <v>50</v>
      </c>
      <c r="AP43" s="5" cm="1">
        <f t="array" ref="AP43">IF($D43=0,0,SUMIFS(RLevel1,BOMComp,$A43,BOMLevel,"&lt;&gt;First")*$C43/$D43)</f>
        <v>0</v>
      </c>
      <c r="AQ43" s="5" cm="1">
        <f t="array" ref="AQ43">IF($D43=0,0,SUMIFS(RLevel2,BOMComp,$A43,BOMLevel,"&lt;&gt;First")*$C43/$D43)</f>
        <v>0</v>
      </c>
      <c r="AR43" s="5" cm="1">
        <f t="array" ref="AR43">IF($D43=0,0,SUMIFS(RLevel3,BOMComp,$A43,BOMLevel,"&lt;&gt;First")*$C43/$D43)</f>
        <v>0</v>
      </c>
      <c r="AS43" s="5" cm="1">
        <f t="array" ref="AS43">IF($D43=0,0,SUMIFS(RLevel4,BOMComp,$A43,BOMLevel,"&lt;&gt;First")*$C43/$D43)</f>
        <v>0</v>
      </c>
      <c r="AT43" s="5" cm="1">
        <f t="array" ref="AT43">IF($D43=0,0,SUMIFS(RLevel5,BOMComp,$A43,BOMLevel,"&lt;&gt;First")*$C43/$D43)</f>
        <v>0</v>
      </c>
    </row>
    <row r="44" spans="1:46" ht="16.149999999999999" customHeight="1" x14ac:dyDescent="0.25">
      <c r="A44" s="2" t="s">
        <v>67</v>
      </c>
      <c r="B44" s="2" t="s">
        <v>48</v>
      </c>
      <c r="C44" s="33">
        <v>10</v>
      </c>
      <c r="D44" s="34">
        <v>0.9</v>
      </c>
      <c r="E44" s="35" t="str">
        <f t="shared" si="0"/>
        <v>-</v>
      </c>
      <c r="F44" s="2" t="str">
        <f>IF(ISNA(VLOOKUP($A44,StockMaster,COLUMN(StockCode!$B$4),0))=TRUE,"does not exist",VLOOKUP($A44,StockMaster,COLUMN(StockCode!$B$4),0))</f>
        <v>Tools Shed</v>
      </c>
      <c r="G44" s="3" t="str">
        <f>IF(ISNA(VLOOKUP($A44,StockMaster,COLUMN(StockCode!$C$4),0))=TRUE,"error",VLOOKUP($A44,StockMaster,COLUMN(StockCode!$C$4),0))</f>
        <v>Units</v>
      </c>
      <c r="H44" s="3" t="str">
        <f>IF(ISNA(VLOOKUP($A44,StockMaster,COLUMN(StockCode!$E$4),0))=TRUE,"All",VLOOKUP($A44,StockMaster,COLUMN(StockCode!$E$4),0))</f>
        <v>All</v>
      </c>
      <c r="I44" s="2" t="str">
        <f>IF(ISNA(VLOOKUP($B44,StockMaster,COLUMN(StockCode!$B$4),0))=TRUE,"does not exist",VLOOKUP($B44,StockMaster,COLUMN(StockCode!$B$4),0))</f>
        <v>Wood</v>
      </c>
      <c r="J44" s="3" t="str">
        <f>IF(ISNA(VLOOKUP($B44,StockMaster,COLUMN(StockCode!$C$4),0))=TRUE,"error",VLOOKUP($B44,StockMaster,COLUMN(StockCode!$C$4),0))</f>
        <v>M2</v>
      </c>
      <c r="K44" s="40" t="str">
        <f>IF(ISNA(VLOOKUP($B44,StockMaster,COLUMN(StockCode!$G$4),0))=TRUE,0,VLOOKUP($B44,StockMaster,COLUMN(StockCode!$G$4),0))</f>
        <v>Bought-In</v>
      </c>
      <c r="L44" s="40" t="str">
        <f t="shared" si="1"/>
        <v>Y</v>
      </c>
      <c r="M44" s="5">
        <f>IF($K44="Manufactured",0,IF(ISNA(VLOOKUP($B44,StockMaster,COLUMN(StockCode!$D$4),0))=TRUE,0,VLOOKUP($B44,StockMaster,COLUMN(StockCode!$D$4),0)))</f>
        <v>120</v>
      </c>
      <c r="N44" s="32">
        <f t="shared" si="10"/>
        <v>1333.3333333333333</v>
      </c>
      <c r="O44" s="32">
        <f t="shared" si="3"/>
        <v>0</v>
      </c>
      <c r="P44" s="32">
        <f t="shared" si="11"/>
        <v>0</v>
      </c>
      <c r="Q44" s="31">
        <f t="shared" si="12"/>
        <v>1333.3333333333333</v>
      </c>
      <c r="R44" s="31">
        <f ca="1">IF($K44="Manufactured",0,IF(ISNA(VLOOKUP($B44,StockMaster,COLUMN(StockCode!$AA$4),0))=TRUE,0,VLOOKUP($B44,StockMaster,COLUMN(StockCode!$AA$4),0)))</f>
        <v>124.21322263327481</v>
      </c>
      <c r="S44" s="31">
        <f t="shared" ca="1" si="6"/>
        <v>1380.1469181474979</v>
      </c>
      <c r="T44" s="31">
        <f t="shared" si="7"/>
        <v>0</v>
      </c>
      <c r="U44" s="31">
        <f t="shared" si="8"/>
        <v>0</v>
      </c>
      <c r="V44" s="31">
        <f t="shared" ca="1" si="9"/>
        <v>1380.1469181474979</v>
      </c>
      <c r="W44" s="31">
        <f ca="1">IF(ISNA(VLOOKUP($A44,StockMaster,COLUMN(StockCode!$P$4),0))=TRUE,0,IF($D44=0,0,(VLOOKUP($A44,StockMaster,COLUMN(StockCode!$P$4),0)*$C44/$D44)))</f>
        <v>1388.8888888888889</v>
      </c>
      <c r="X44" s="4" cm="1">
        <f t="array" ref="X44">IF($D44=0,0,SUMIFS(TLevel1,BOMComp,$A44,BOMLevel,"&lt;&gt;First")*$C44/$D44)</f>
        <v>0</v>
      </c>
      <c r="Y44" s="4" cm="1">
        <f t="array" ref="Y44">IF($D44=0,0,SUMIFS(TLevel2,BOMComp,$A44,BOMLevel,"&lt;&gt;First")*$C44/$D44)</f>
        <v>0</v>
      </c>
      <c r="Z44" s="4" cm="1">
        <f t="array" ref="Z44">IF($D44=0,0,SUMIFS(TLevel3,BOMComp,$A44,BOMLevel,"&lt;&gt;First")*$C44/$D44)</f>
        <v>0</v>
      </c>
      <c r="AA44" s="4" cm="1">
        <f t="array" ref="AA44">IF($D44=0,0,SUMIFS(TLevel4,BOMComp,$A44,BOMLevel,"&lt;&gt;First")*$C44/$D44)</f>
        <v>0</v>
      </c>
      <c r="AB44" s="4" cm="1">
        <f t="array" ref="AB44">IF($D44=0,0,SUMIFS(TLevel5,BOMComp,$A44,BOMLevel,"&lt;&gt;First")*$C44/$D44)</f>
        <v>0</v>
      </c>
      <c r="AC44" s="4">
        <f>IF(ISNA(VLOOKUP($A44,JRCode,COLUMN(JReview!$D$4),0))=TRUE,0,IF($D44=0,0,VLOOKUP($A44,JRCode,COLUMN(JReview!$D$4),0)*$C44/$D44))</f>
        <v>0</v>
      </c>
      <c r="AD44" s="4" cm="1">
        <f t="array" ref="AD44">IF($D44=0,0,SUMIFS(JLevel1,BOMComp,$A44,BOMLevel,"&lt;&gt;First")*$C44/$D44)</f>
        <v>0</v>
      </c>
      <c r="AE44" s="4" cm="1">
        <f t="array" ref="AE44">IF($D44=0,0,SUMIFS(JLevel2,BOMComp,$A44,BOMLevel,"&lt;&gt;First")*$C44/$D44)</f>
        <v>0</v>
      </c>
      <c r="AF44" s="4" cm="1">
        <f t="array" ref="AF44">IF($D44=0,0,SUMIFS(JLevel3,BOMComp,$A44,BOMLevel,"&lt;&gt;First")*$C44/$D44)</f>
        <v>0</v>
      </c>
      <c r="AG44" s="4" cm="1">
        <f t="array" ref="AG44">IF($D44=0,0,SUMIFS(JLevel4,BOMComp,$A44,BOMLevel,"&lt;&gt;First")*$C44/$D44)</f>
        <v>0</v>
      </c>
      <c r="AH44" s="4" cm="1">
        <f t="array" ref="AH44">IF($D44=0,0,SUMIFS(JLevel5,BOMComp,$A44,BOMLevel,"&lt;&gt;First")*$C44/$D44)</f>
        <v>0</v>
      </c>
      <c r="AI44" s="4">
        <f>IF(ISNA(VLOOKUP($A44,JRCode,COLUMN(JReview!$E$4),0))=TRUE,0,IF($D44=0,0,VLOOKUP($A44,JRCode,COLUMN(JReview!$E$4),0)*$C44/$D44))</f>
        <v>0</v>
      </c>
      <c r="AJ44" s="4" cm="1">
        <f t="array" ref="AJ44">IF($D44=0,0,SUMIFS(JRLevel1,BOMComp,$A44,BOMLevel,"&lt;&gt;First")*$C44/$D44)</f>
        <v>0</v>
      </c>
      <c r="AK44" s="4" cm="1">
        <f t="array" ref="AK44">IF($D44=0,0,SUMIFS(JRLevel2,BOMComp,$A44,BOMLevel,"&lt;&gt;First")*$C44/$D44)</f>
        <v>0</v>
      </c>
      <c r="AL44" s="4" cm="1">
        <f t="array" ref="AL44">IF($D44=0,0,SUMIFS(JRLevel3,BOMComp,$A44,BOMLevel,"&lt;&gt;First")*$C44/$D44)</f>
        <v>0</v>
      </c>
      <c r="AM44" s="4" cm="1">
        <f t="array" ref="AM44">IF($D44=0,0,SUMIFS(JRLevel4,BOMComp,$A44,BOMLevel,"&lt;&gt;First")*$C44/$D44)</f>
        <v>0</v>
      </c>
      <c r="AN44" s="4" cm="1">
        <f t="array" ref="AN44">IF($D44=0,0,SUMIFS(JRLevel5,BOMComp,$A44,BOMLevel,"&lt;&gt;First")*$C44/$D44)</f>
        <v>0</v>
      </c>
      <c r="AO44" s="5">
        <f>IF(ISNA(VLOOKUP($A44,Require,COLUMN(ReqPlan!$E$6),0))=TRUE,0,IF($D44=0,0,VLOOKUP($A44,Require,COLUMN(ReqPlan!$E$6),0)*$C44/$D44))</f>
        <v>555.55555555555554</v>
      </c>
      <c r="AP44" s="5" cm="1">
        <f t="array" ref="AP44">IF($D44=0,0,SUMIFS(RLevel1,BOMComp,$A44,BOMLevel,"&lt;&gt;First")*$C44/$D44)</f>
        <v>0</v>
      </c>
      <c r="AQ44" s="5" cm="1">
        <f t="array" ref="AQ44">IF($D44=0,0,SUMIFS(RLevel2,BOMComp,$A44,BOMLevel,"&lt;&gt;First")*$C44/$D44)</f>
        <v>0</v>
      </c>
      <c r="AR44" s="5" cm="1">
        <f t="array" ref="AR44">IF($D44=0,0,SUMIFS(RLevel3,BOMComp,$A44,BOMLevel,"&lt;&gt;First")*$C44/$D44)</f>
        <v>0</v>
      </c>
      <c r="AS44" s="5" cm="1">
        <f t="array" ref="AS44">IF($D44=0,0,SUMIFS(RLevel4,BOMComp,$A44,BOMLevel,"&lt;&gt;First")*$C44/$D44)</f>
        <v>0</v>
      </c>
      <c r="AT44" s="5" cm="1">
        <f t="array" ref="AT44">IF($D44=0,0,SUMIFS(RLevel5,BOMComp,$A44,BOMLevel,"&lt;&gt;First")*$C44/$D44)</f>
        <v>0</v>
      </c>
    </row>
    <row r="45" spans="1:46" ht="16.149999999999999" customHeight="1" x14ac:dyDescent="0.25">
      <c r="A45" s="2" t="s">
        <v>67</v>
      </c>
      <c r="B45" s="2" t="s">
        <v>70</v>
      </c>
      <c r="C45" s="33">
        <v>2</v>
      </c>
      <c r="D45" s="34">
        <v>0.85</v>
      </c>
      <c r="E45" s="35" t="str">
        <f t="shared" si="0"/>
        <v>-</v>
      </c>
      <c r="F45" s="2" t="str">
        <f>IF(ISNA(VLOOKUP($A45,StockMaster,COLUMN(StockCode!$B$4),0))=TRUE,"does not exist",VLOOKUP($A45,StockMaster,COLUMN(StockCode!$B$4),0))</f>
        <v>Tools Shed</v>
      </c>
      <c r="G45" s="3" t="str">
        <f>IF(ISNA(VLOOKUP($A45,StockMaster,COLUMN(StockCode!$C$4),0))=TRUE,"error",VLOOKUP($A45,StockMaster,COLUMN(StockCode!$C$4),0))</f>
        <v>Units</v>
      </c>
      <c r="H45" s="3" t="str">
        <f>IF(ISNA(VLOOKUP($A45,StockMaster,COLUMN(StockCode!$E$4),0))=TRUE,"All",VLOOKUP($A45,StockMaster,COLUMN(StockCode!$E$4),0))</f>
        <v>All</v>
      </c>
      <c r="I45" s="2" t="str">
        <f>IF(ISNA(VLOOKUP($B45,StockMaster,COLUMN(StockCode!$B$4),0))=TRUE,"does not exist",VLOOKUP($B45,StockMaster,COLUMN(StockCode!$B$4),0))</f>
        <v>2 Inch Screws</v>
      </c>
      <c r="J45" s="3" t="str">
        <f>IF(ISNA(VLOOKUP($B45,StockMaster,COLUMN(StockCode!$C$4),0))=TRUE,"error",VLOOKUP($B45,StockMaster,COLUMN(StockCode!$C$4),0))</f>
        <v>Bag</v>
      </c>
      <c r="K45" s="40" t="str">
        <f>IF(ISNA(VLOOKUP($B45,StockMaster,COLUMN(StockCode!$G$4),0))=TRUE,0,VLOOKUP($B45,StockMaster,COLUMN(StockCode!$G$4),0))</f>
        <v>Bought-In</v>
      </c>
      <c r="L45" s="40" t="str">
        <f t="shared" si="1"/>
        <v>Y</v>
      </c>
      <c r="M45" s="5">
        <f>IF($K45="Manufactured",0,IF(ISNA(VLOOKUP($B45,StockMaster,COLUMN(StockCode!$D$4),0))=TRUE,0,VLOOKUP($B45,StockMaster,COLUMN(StockCode!$D$4),0)))</f>
        <v>50</v>
      </c>
      <c r="N45" s="32">
        <f t="shared" si="10"/>
        <v>117.64705882352942</v>
      </c>
      <c r="O45" s="32">
        <f t="shared" si="3"/>
        <v>0</v>
      </c>
      <c r="P45" s="32">
        <f t="shared" si="11"/>
        <v>0</v>
      </c>
      <c r="Q45" s="31">
        <f t="shared" si="12"/>
        <v>117.64705882352942</v>
      </c>
      <c r="R45" s="31">
        <f ca="1">IF($K45="Manufactured",0,IF(ISNA(VLOOKUP($B45,StockMaster,COLUMN(StockCode!$AA$4),0))=TRUE,0,VLOOKUP($B45,StockMaster,COLUMN(StockCode!$AA$4),0)))</f>
        <v>48.743512252808621</v>
      </c>
      <c r="S45" s="31">
        <f t="shared" ca="1" si="6"/>
        <v>114.69061706543205</v>
      </c>
      <c r="T45" s="31">
        <f t="shared" si="7"/>
        <v>0</v>
      </c>
      <c r="U45" s="31">
        <f t="shared" si="8"/>
        <v>0</v>
      </c>
      <c r="V45" s="31">
        <f t="shared" ca="1" si="9"/>
        <v>114.69061706543205</v>
      </c>
      <c r="W45" s="31">
        <f ca="1">IF(ISNA(VLOOKUP($A45,StockMaster,COLUMN(StockCode!$P$4),0))=TRUE,0,IF($D45=0,0,(VLOOKUP($A45,StockMaster,COLUMN(StockCode!$P$4),0)*$C45/$D45)))</f>
        <v>294.11764705882354</v>
      </c>
      <c r="X45" s="4" cm="1">
        <f t="array" ref="X45">IF($D45=0,0,SUMIFS(TLevel1,BOMComp,$A45,BOMLevel,"&lt;&gt;First")*$C45/$D45)</f>
        <v>0</v>
      </c>
      <c r="Y45" s="4" cm="1">
        <f t="array" ref="Y45">IF($D45=0,0,SUMIFS(TLevel2,BOMComp,$A45,BOMLevel,"&lt;&gt;First")*$C45/$D45)</f>
        <v>0</v>
      </c>
      <c r="Z45" s="4" cm="1">
        <f t="array" ref="Z45">IF($D45=0,0,SUMIFS(TLevel3,BOMComp,$A45,BOMLevel,"&lt;&gt;First")*$C45/$D45)</f>
        <v>0</v>
      </c>
      <c r="AA45" s="4" cm="1">
        <f t="array" ref="AA45">IF($D45=0,0,SUMIFS(TLevel4,BOMComp,$A45,BOMLevel,"&lt;&gt;First")*$C45/$D45)</f>
        <v>0</v>
      </c>
      <c r="AB45" s="4" cm="1">
        <f t="array" ref="AB45">IF($D45=0,0,SUMIFS(TLevel5,BOMComp,$A45,BOMLevel,"&lt;&gt;First")*$C45/$D45)</f>
        <v>0</v>
      </c>
      <c r="AC45" s="4">
        <f>IF(ISNA(VLOOKUP($A45,JRCode,COLUMN(JReview!$D$4),0))=TRUE,0,IF($D45=0,0,VLOOKUP($A45,JRCode,COLUMN(JReview!$D$4),0)*$C45/$D45))</f>
        <v>0</v>
      </c>
      <c r="AD45" s="4" cm="1">
        <f t="array" ref="AD45">IF($D45=0,0,SUMIFS(JLevel1,BOMComp,$A45,BOMLevel,"&lt;&gt;First")*$C45/$D45)</f>
        <v>0</v>
      </c>
      <c r="AE45" s="4" cm="1">
        <f t="array" ref="AE45">IF($D45=0,0,SUMIFS(JLevel2,BOMComp,$A45,BOMLevel,"&lt;&gt;First")*$C45/$D45)</f>
        <v>0</v>
      </c>
      <c r="AF45" s="4" cm="1">
        <f t="array" ref="AF45">IF($D45=0,0,SUMIFS(JLevel3,BOMComp,$A45,BOMLevel,"&lt;&gt;First")*$C45/$D45)</f>
        <v>0</v>
      </c>
      <c r="AG45" s="4" cm="1">
        <f t="array" ref="AG45">IF($D45=0,0,SUMIFS(JLevel4,BOMComp,$A45,BOMLevel,"&lt;&gt;First")*$C45/$D45)</f>
        <v>0</v>
      </c>
      <c r="AH45" s="4" cm="1">
        <f t="array" ref="AH45">IF($D45=0,0,SUMIFS(JLevel5,BOMComp,$A45,BOMLevel,"&lt;&gt;First")*$C45/$D45)</f>
        <v>0</v>
      </c>
      <c r="AI45" s="4">
        <f>IF(ISNA(VLOOKUP($A45,JRCode,COLUMN(JReview!$E$4),0))=TRUE,0,IF($D45=0,0,VLOOKUP($A45,JRCode,COLUMN(JReview!$E$4),0)*$C45/$D45))</f>
        <v>0</v>
      </c>
      <c r="AJ45" s="4" cm="1">
        <f t="array" ref="AJ45">IF($D45=0,0,SUMIFS(JRLevel1,BOMComp,$A45,BOMLevel,"&lt;&gt;First")*$C45/$D45)</f>
        <v>0</v>
      </c>
      <c r="AK45" s="4" cm="1">
        <f t="array" ref="AK45">IF($D45=0,0,SUMIFS(JRLevel2,BOMComp,$A45,BOMLevel,"&lt;&gt;First")*$C45/$D45)</f>
        <v>0</v>
      </c>
      <c r="AL45" s="4" cm="1">
        <f t="array" ref="AL45">IF($D45=0,0,SUMIFS(JRLevel3,BOMComp,$A45,BOMLevel,"&lt;&gt;First")*$C45/$D45)</f>
        <v>0</v>
      </c>
      <c r="AM45" s="4" cm="1">
        <f t="array" ref="AM45">IF($D45=0,0,SUMIFS(JRLevel4,BOMComp,$A45,BOMLevel,"&lt;&gt;First")*$C45/$D45)</f>
        <v>0</v>
      </c>
      <c r="AN45" s="4" cm="1">
        <f t="array" ref="AN45">IF($D45=0,0,SUMIFS(JRLevel5,BOMComp,$A45,BOMLevel,"&lt;&gt;First")*$C45/$D45)</f>
        <v>0</v>
      </c>
      <c r="AO45" s="5">
        <f>IF(ISNA(VLOOKUP($A45,Require,COLUMN(ReqPlan!$E$6),0))=TRUE,0,IF($D45=0,0,VLOOKUP($A45,Require,COLUMN(ReqPlan!$E$6),0)*$C45/$D45))</f>
        <v>117.64705882352942</v>
      </c>
      <c r="AP45" s="5" cm="1">
        <f t="array" ref="AP45">IF($D45=0,0,SUMIFS(RLevel1,BOMComp,$A45,BOMLevel,"&lt;&gt;First")*$C45/$D45)</f>
        <v>0</v>
      </c>
      <c r="AQ45" s="5" cm="1">
        <f t="array" ref="AQ45">IF($D45=0,0,SUMIFS(RLevel2,BOMComp,$A45,BOMLevel,"&lt;&gt;First")*$C45/$D45)</f>
        <v>0</v>
      </c>
      <c r="AR45" s="5" cm="1">
        <f t="array" ref="AR45">IF($D45=0,0,SUMIFS(RLevel3,BOMComp,$A45,BOMLevel,"&lt;&gt;First")*$C45/$D45)</f>
        <v>0</v>
      </c>
      <c r="AS45" s="5" cm="1">
        <f t="array" ref="AS45">IF($D45=0,0,SUMIFS(RLevel4,BOMComp,$A45,BOMLevel,"&lt;&gt;First")*$C45/$D45)</f>
        <v>0</v>
      </c>
      <c r="AT45" s="5" cm="1">
        <f t="array" ref="AT45">IF($D45=0,0,SUMIFS(RLevel5,BOMComp,$A45,BOMLevel,"&lt;&gt;First")*$C45/$D45)</f>
        <v>0</v>
      </c>
    </row>
    <row r="46" spans="1:46" ht="16.149999999999999" customHeight="1" x14ac:dyDescent="0.25">
      <c r="A46" s="2" t="s">
        <v>67</v>
      </c>
      <c r="B46" s="2" t="s">
        <v>82</v>
      </c>
      <c r="C46" s="33">
        <v>3</v>
      </c>
      <c r="D46" s="34">
        <v>1</v>
      </c>
      <c r="E46" s="35" t="str">
        <f t="shared" si="0"/>
        <v>-</v>
      </c>
      <c r="F46" s="2" t="str">
        <f>IF(ISNA(VLOOKUP($A46,StockMaster,COLUMN(StockCode!$B$4),0))=TRUE,"does not exist",VLOOKUP($A46,StockMaster,COLUMN(StockCode!$B$4),0))</f>
        <v>Tools Shed</v>
      </c>
      <c r="G46" s="3" t="str">
        <f>IF(ISNA(VLOOKUP($A46,StockMaster,COLUMN(StockCode!$C$4),0))=TRUE,"error",VLOOKUP($A46,StockMaster,COLUMN(StockCode!$C$4),0))</f>
        <v>Units</v>
      </c>
      <c r="H46" s="3" t="str">
        <f>IF(ISNA(VLOOKUP($A46,StockMaster,COLUMN(StockCode!$E$4),0))=TRUE,"All",VLOOKUP($A46,StockMaster,COLUMN(StockCode!$E$4),0))</f>
        <v>All</v>
      </c>
      <c r="I46" s="2" t="str">
        <f>IF(ISNA(VLOOKUP($B46,StockMaster,COLUMN(StockCode!$B$4),0))=TRUE,"does not exist",VLOOKUP($B46,StockMaster,COLUMN(StockCode!$B$4),0))</f>
        <v>Labour - Grade 1</v>
      </c>
      <c r="J46" s="3" t="str">
        <f>IF(ISNA(VLOOKUP($B46,StockMaster,COLUMN(StockCode!$C$4),0))=TRUE,"error",VLOOKUP($B46,StockMaster,COLUMN(StockCode!$C$4),0))</f>
        <v>Hours</v>
      </c>
      <c r="K46" s="40" t="str">
        <f>IF(ISNA(VLOOKUP($B46,StockMaster,COLUMN(StockCode!$G$4),0))=TRUE,0,VLOOKUP($B46,StockMaster,COLUMN(StockCode!$G$4),0))</f>
        <v>Bought-In</v>
      </c>
      <c r="L46" s="40" t="str">
        <f t="shared" si="1"/>
        <v>Y</v>
      </c>
      <c r="M46" s="5">
        <f>IF($K46="Manufactured",0,IF(ISNA(VLOOKUP($B46,StockMaster,COLUMN(StockCode!$D$4),0))=TRUE,0,VLOOKUP($B46,StockMaster,COLUMN(StockCode!$D$4),0)))</f>
        <v>20</v>
      </c>
      <c r="N46" s="32">
        <f t="shared" si="10"/>
        <v>60</v>
      </c>
      <c r="O46" s="32">
        <f t="shared" si="3"/>
        <v>0</v>
      </c>
      <c r="P46" s="32">
        <f t="shared" si="11"/>
        <v>0</v>
      </c>
      <c r="Q46" s="31">
        <f t="shared" si="12"/>
        <v>60</v>
      </c>
      <c r="R46" s="31">
        <f ca="1">IF($K46="Manufactured",0,IF(ISNA(VLOOKUP($B46,StockMaster,COLUMN(StockCode!$AA$4),0))=TRUE,0,VLOOKUP($B46,StockMaster,COLUMN(StockCode!$AA$4),0)))</f>
        <v>20.330774751337231</v>
      </c>
      <c r="S46" s="31">
        <f t="shared" ca="1" si="6"/>
        <v>60.992324254011692</v>
      </c>
      <c r="T46" s="31">
        <f t="shared" si="7"/>
        <v>0</v>
      </c>
      <c r="U46" s="31">
        <f t="shared" si="8"/>
        <v>0</v>
      </c>
      <c r="V46" s="31">
        <f t="shared" ca="1" si="9"/>
        <v>60.992324254011692</v>
      </c>
      <c r="W46" s="31">
        <f ca="1">IF(ISNA(VLOOKUP($A46,StockMaster,COLUMN(StockCode!$P$4),0))=TRUE,0,IF($D46=0,0,(VLOOKUP($A46,StockMaster,COLUMN(StockCode!$P$4),0)*$C46/$D46)))</f>
        <v>375</v>
      </c>
      <c r="X46" s="4" cm="1">
        <f t="array" ref="X46">IF($D46=0,0,SUMIFS(TLevel1,BOMComp,$A46,BOMLevel,"&lt;&gt;First")*$C46/$D46)</f>
        <v>0</v>
      </c>
      <c r="Y46" s="4" cm="1">
        <f t="array" ref="Y46">IF($D46=0,0,SUMIFS(TLevel2,BOMComp,$A46,BOMLevel,"&lt;&gt;First")*$C46/$D46)</f>
        <v>0</v>
      </c>
      <c r="Z46" s="4" cm="1">
        <f t="array" ref="Z46">IF($D46=0,0,SUMIFS(TLevel3,BOMComp,$A46,BOMLevel,"&lt;&gt;First")*$C46/$D46)</f>
        <v>0</v>
      </c>
      <c r="AA46" s="4" cm="1">
        <f t="array" ref="AA46">IF($D46=0,0,SUMIFS(TLevel4,BOMComp,$A46,BOMLevel,"&lt;&gt;First")*$C46/$D46)</f>
        <v>0</v>
      </c>
      <c r="AB46" s="4" cm="1">
        <f t="array" ref="AB46">IF($D46=0,0,SUMIFS(TLevel5,BOMComp,$A46,BOMLevel,"&lt;&gt;First")*$C46/$D46)</f>
        <v>0</v>
      </c>
      <c r="AC46" s="4">
        <f>IF(ISNA(VLOOKUP($A46,JRCode,COLUMN(JReview!$D$4),0))=TRUE,0,IF($D46=0,0,VLOOKUP($A46,JRCode,COLUMN(JReview!$D$4),0)*$C46/$D46))</f>
        <v>0</v>
      </c>
      <c r="AD46" s="4" cm="1">
        <f t="array" ref="AD46">IF($D46=0,0,SUMIFS(JLevel1,BOMComp,$A46,BOMLevel,"&lt;&gt;First")*$C46/$D46)</f>
        <v>0</v>
      </c>
      <c r="AE46" s="4" cm="1">
        <f t="array" ref="AE46">IF($D46=0,0,SUMIFS(JLevel2,BOMComp,$A46,BOMLevel,"&lt;&gt;First")*$C46/$D46)</f>
        <v>0</v>
      </c>
      <c r="AF46" s="4" cm="1">
        <f t="array" ref="AF46">IF($D46=0,0,SUMIFS(JLevel3,BOMComp,$A46,BOMLevel,"&lt;&gt;First")*$C46/$D46)</f>
        <v>0</v>
      </c>
      <c r="AG46" s="4" cm="1">
        <f t="array" ref="AG46">IF($D46=0,0,SUMIFS(JLevel4,BOMComp,$A46,BOMLevel,"&lt;&gt;First")*$C46/$D46)</f>
        <v>0</v>
      </c>
      <c r="AH46" s="4" cm="1">
        <f t="array" ref="AH46">IF($D46=0,0,SUMIFS(JLevel5,BOMComp,$A46,BOMLevel,"&lt;&gt;First")*$C46/$D46)</f>
        <v>0</v>
      </c>
      <c r="AI46" s="4">
        <f>IF(ISNA(VLOOKUP($A46,JRCode,COLUMN(JReview!$E$4),0))=TRUE,0,IF($D46=0,0,VLOOKUP($A46,JRCode,COLUMN(JReview!$E$4),0)*$C46/$D46))</f>
        <v>0</v>
      </c>
      <c r="AJ46" s="4" cm="1">
        <f t="array" ref="AJ46">IF($D46=0,0,SUMIFS(JRLevel1,BOMComp,$A46,BOMLevel,"&lt;&gt;First")*$C46/$D46)</f>
        <v>0</v>
      </c>
      <c r="AK46" s="4" cm="1">
        <f t="array" ref="AK46">IF($D46=0,0,SUMIFS(JRLevel2,BOMComp,$A46,BOMLevel,"&lt;&gt;First")*$C46/$D46)</f>
        <v>0</v>
      </c>
      <c r="AL46" s="4" cm="1">
        <f t="array" ref="AL46">IF($D46=0,0,SUMIFS(JRLevel3,BOMComp,$A46,BOMLevel,"&lt;&gt;First")*$C46/$D46)</f>
        <v>0</v>
      </c>
      <c r="AM46" s="4" cm="1">
        <f t="array" ref="AM46">IF($D46=0,0,SUMIFS(JRLevel4,BOMComp,$A46,BOMLevel,"&lt;&gt;First")*$C46/$D46)</f>
        <v>0</v>
      </c>
      <c r="AN46" s="4" cm="1">
        <f t="array" ref="AN46">IF($D46=0,0,SUMIFS(JRLevel5,BOMComp,$A46,BOMLevel,"&lt;&gt;First")*$C46/$D46)</f>
        <v>0</v>
      </c>
      <c r="AO46" s="5">
        <f>IF(ISNA(VLOOKUP($A46,Require,COLUMN(ReqPlan!$E$6),0))=TRUE,0,IF($D46=0,0,VLOOKUP($A46,Require,COLUMN(ReqPlan!$E$6),0)*$C46/$D46))</f>
        <v>150</v>
      </c>
      <c r="AP46" s="5" cm="1">
        <f t="array" ref="AP46">IF($D46=0,0,SUMIFS(RLevel1,BOMComp,$A46,BOMLevel,"&lt;&gt;First")*$C46/$D46)</f>
        <v>0</v>
      </c>
      <c r="AQ46" s="5" cm="1">
        <f t="array" ref="AQ46">IF($D46=0,0,SUMIFS(RLevel2,BOMComp,$A46,BOMLevel,"&lt;&gt;First")*$C46/$D46)</f>
        <v>0</v>
      </c>
      <c r="AR46" s="5" cm="1">
        <f t="array" ref="AR46">IF($D46=0,0,SUMIFS(RLevel3,BOMComp,$A46,BOMLevel,"&lt;&gt;First")*$C46/$D46)</f>
        <v>0</v>
      </c>
      <c r="AS46" s="5" cm="1">
        <f t="array" ref="AS46">IF($D46=0,0,SUMIFS(RLevel4,BOMComp,$A46,BOMLevel,"&lt;&gt;First")*$C46/$D46)</f>
        <v>0</v>
      </c>
      <c r="AT46" s="5" cm="1">
        <f t="array" ref="AT46">IF($D46=0,0,SUMIFS(RLevel5,BOMComp,$A46,BOMLevel,"&lt;&gt;First")*$C46/$D46)</f>
        <v>0</v>
      </c>
    </row>
    <row r="47" spans="1:46" ht="16.149999999999999" customHeight="1" x14ac:dyDescent="0.25">
      <c r="A47" s="2" t="s">
        <v>67</v>
      </c>
      <c r="B47" s="2" t="s">
        <v>84</v>
      </c>
      <c r="C47" s="33">
        <v>1</v>
      </c>
      <c r="D47" s="34">
        <v>1</v>
      </c>
      <c r="E47" s="35" t="str">
        <f t="shared" si="0"/>
        <v>-</v>
      </c>
      <c r="F47" s="2" t="str">
        <f>IF(ISNA(VLOOKUP($A47,StockMaster,COLUMN(StockCode!$B$4),0))=TRUE,"does not exist",VLOOKUP($A47,StockMaster,COLUMN(StockCode!$B$4),0))</f>
        <v>Tools Shed</v>
      </c>
      <c r="G47" s="3" t="str">
        <f>IF(ISNA(VLOOKUP($A47,StockMaster,COLUMN(StockCode!$C$4),0))=TRUE,"error",VLOOKUP($A47,StockMaster,COLUMN(StockCode!$C$4),0))</f>
        <v>Units</v>
      </c>
      <c r="H47" s="3" t="str">
        <f>IF(ISNA(VLOOKUP($A47,StockMaster,COLUMN(StockCode!$E$4),0))=TRUE,"All",VLOOKUP($A47,StockMaster,COLUMN(StockCode!$E$4),0))</f>
        <v>All</v>
      </c>
      <c r="I47" s="2" t="str">
        <f>IF(ISNA(VLOOKUP($B47,StockMaster,COLUMN(StockCode!$B$4),0))=TRUE,"does not exist",VLOOKUP($B47,StockMaster,COLUMN(StockCode!$B$4),0))</f>
        <v>Labour - Grade 2</v>
      </c>
      <c r="J47" s="3" t="str">
        <f>IF(ISNA(VLOOKUP($B47,StockMaster,COLUMN(StockCode!$C$4),0))=TRUE,"error",VLOOKUP($B47,StockMaster,COLUMN(StockCode!$C$4),0))</f>
        <v>Hours</v>
      </c>
      <c r="K47" s="40" t="str">
        <f>IF(ISNA(VLOOKUP($B47,StockMaster,COLUMN(StockCode!$G$4),0))=TRUE,0,VLOOKUP($B47,StockMaster,COLUMN(StockCode!$G$4),0))</f>
        <v>Bought-In</v>
      </c>
      <c r="L47" s="40" t="str">
        <f t="shared" si="1"/>
        <v>Y</v>
      </c>
      <c r="M47" s="5">
        <f>IF($K47="Manufactured",0,IF(ISNA(VLOOKUP($B47,StockMaster,COLUMN(StockCode!$D$4),0))=TRUE,0,VLOOKUP($B47,StockMaster,COLUMN(StockCode!$D$4),0)))</f>
        <v>30</v>
      </c>
      <c r="N47" s="32">
        <f t="shared" si="10"/>
        <v>30</v>
      </c>
      <c r="O47" s="32">
        <f t="shared" si="3"/>
        <v>0</v>
      </c>
      <c r="P47" s="32">
        <f t="shared" si="11"/>
        <v>0</v>
      </c>
      <c r="Q47" s="31">
        <f t="shared" si="12"/>
        <v>30</v>
      </c>
      <c r="R47" s="31">
        <f ca="1">IF($K47="Manufactured",0,IF(ISNA(VLOOKUP($B47,StockMaster,COLUMN(StockCode!$AA$4),0))=TRUE,0,VLOOKUP($B47,StockMaster,COLUMN(StockCode!$AA$4),0)))</f>
        <v>30</v>
      </c>
      <c r="S47" s="31">
        <f t="shared" ca="1" si="6"/>
        <v>30</v>
      </c>
      <c r="T47" s="31">
        <f t="shared" si="7"/>
        <v>0</v>
      </c>
      <c r="U47" s="31">
        <f t="shared" si="8"/>
        <v>0</v>
      </c>
      <c r="V47" s="31">
        <f t="shared" ca="1" si="9"/>
        <v>30</v>
      </c>
      <c r="W47" s="31">
        <f ca="1">IF(ISNA(VLOOKUP($A47,StockMaster,COLUMN(StockCode!$P$4),0))=TRUE,0,IF($D47=0,0,(VLOOKUP($A47,StockMaster,COLUMN(StockCode!$P$4),0)*$C47/$D47)))</f>
        <v>125</v>
      </c>
      <c r="X47" s="4" cm="1">
        <f t="array" ref="X47">IF($D47=0,0,SUMIFS(TLevel1,BOMComp,$A47,BOMLevel,"&lt;&gt;First")*$C47/$D47)</f>
        <v>0</v>
      </c>
      <c r="Y47" s="4" cm="1">
        <f t="array" ref="Y47">IF($D47=0,0,SUMIFS(TLevel2,BOMComp,$A47,BOMLevel,"&lt;&gt;First")*$C47/$D47)</f>
        <v>0</v>
      </c>
      <c r="Z47" s="4" cm="1">
        <f t="array" ref="Z47">IF($D47=0,0,SUMIFS(TLevel3,BOMComp,$A47,BOMLevel,"&lt;&gt;First")*$C47/$D47)</f>
        <v>0</v>
      </c>
      <c r="AA47" s="4" cm="1">
        <f t="array" ref="AA47">IF($D47=0,0,SUMIFS(TLevel4,BOMComp,$A47,BOMLevel,"&lt;&gt;First")*$C47/$D47)</f>
        <v>0</v>
      </c>
      <c r="AB47" s="4" cm="1">
        <f t="array" ref="AB47">IF($D47=0,0,SUMIFS(TLevel5,BOMComp,$A47,BOMLevel,"&lt;&gt;First")*$C47/$D47)</f>
        <v>0</v>
      </c>
      <c r="AC47" s="4">
        <f>IF(ISNA(VLOOKUP($A47,JRCode,COLUMN(JReview!$D$4),0))=TRUE,0,IF($D47=0,0,VLOOKUP($A47,JRCode,COLUMN(JReview!$D$4),0)*$C47/$D47))</f>
        <v>0</v>
      </c>
      <c r="AD47" s="4" cm="1">
        <f t="array" ref="AD47">IF($D47=0,0,SUMIFS(JLevel1,BOMComp,$A47,BOMLevel,"&lt;&gt;First")*$C47/$D47)</f>
        <v>0</v>
      </c>
      <c r="AE47" s="4" cm="1">
        <f t="array" ref="AE47">IF($D47=0,0,SUMIFS(JLevel2,BOMComp,$A47,BOMLevel,"&lt;&gt;First")*$C47/$D47)</f>
        <v>0</v>
      </c>
      <c r="AF47" s="4" cm="1">
        <f t="array" ref="AF47">IF($D47=0,0,SUMIFS(JLevel3,BOMComp,$A47,BOMLevel,"&lt;&gt;First")*$C47/$D47)</f>
        <v>0</v>
      </c>
      <c r="AG47" s="4" cm="1">
        <f t="array" ref="AG47">IF($D47=0,0,SUMIFS(JLevel4,BOMComp,$A47,BOMLevel,"&lt;&gt;First")*$C47/$D47)</f>
        <v>0</v>
      </c>
      <c r="AH47" s="4" cm="1">
        <f t="array" ref="AH47">IF($D47=0,0,SUMIFS(JLevel5,BOMComp,$A47,BOMLevel,"&lt;&gt;First")*$C47/$D47)</f>
        <v>0</v>
      </c>
      <c r="AI47" s="4">
        <f>IF(ISNA(VLOOKUP($A47,JRCode,COLUMN(JReview!$E$4),0))=TRUE,0,IF($D47=0,0,VLOOKUP($A47,JRCode,COLUMN(JReview!$E$4),0)*$C47/$D47))</f>
        <v>0</v>
      </c>
      <c r="AJ47" s="4" cm="1">
        <f t="array" ref="AJ47">IF($D47=0,0,SUMIFS(JRLevel1,BOMComp,$A47,BOMLevel,"&lt;&gt;First")*$C47/$D47)</f>
        <v>0</v>
      </c>
      <c r="AK47" s="4" cm="1">
        <f t="array" ref="AK47">IF($D47=0,0,SUMIFS(JRLevel2,BOMComp,$A47,BOMLevel,"&lt;&gt;First")*$C47/$D47)</f>
        <v>0</v>
      </c>
      <c r="AL47" s="4" cm="1">
        <f t="array" ref="AL47">IF($D47=0,0,SUMIFS(JRLevel3,BOMComp,$A47,BOMLevel,"&lt;&gt;First")*$C47/$D47)</f>
        <v>0</v>
      </c>
      <c r="AM47" s="4" cm="1">
        <f t="array" ref="AM47">IF($D47=0,0,SUMIFS(JRLevel4,BOMComp,$A47,BOMLevel,"&lt;&gt;First")*$C47/$D47)</f>
        <v>0</v>
      </c>
      <c r="AN47" s="4" cm="1">
        <f t="array" ref="AN47">IF($D47=0,0,SUMIFS(JRLevel5,BOMComp,$A47,BOMLevel,"&lt;&gt;First")*$C47/$D47)</f>
        <v>0</v>
      </c>
      <c r="AO47" s="5">
        <f>IF(ISNA(VLOOKUP($A47,Require,COLUMN(ReqPlan!$E$6),0))=TRUE,0,IF($D47=0,0,VLOOKUP($A47,Require,COLUMN(ReqPlan!$E$6),0)*$C47/$D47))</f>
        <v>50</v>
      </c>
      <c r="AP47" s="5" cm="1">
        <f t="array" ref="AP47">IF($D47=0,0,SUMIFS(RLevel1,BOMComp,$A47,BOMLevel,"&lt;&gt;First")*$C47/$D47)</f>
        <v>0</v>
      </c>
      <c r="AQ47" s="5" cm="1">
        <f t="array" ref="AQ47">IF($D47=0,0,SUMIFS(RLevel2,BOMComp,$A47,BOMLevel,"&lt;&gt;First")*$C47/$D47)</f>
        <v>0</v>
      </c>
      <c r="AR47" s="5" cm="1">
        <f t="array" ref="AR47">IF($D47=0,0,SUMIFS(RLevel3,BOMComp,$A47,BOMLevel,"&lt;&gt;First")*$C47/$D47)</f>
        <v>0</v>
      </c>
      <c r="AS47" s="5" cm="1">
        <f t="array" ref="AS47">IF($D47=0,0,SUMIFS(RLevel4,BOMComp,$A47,BOMLevel,"&lt;&gt;First")*$C47/$D47)</f>
        <v>0</v>
      </c>
      <c r="AT47" s="5" cm="1">
        <f t="array" ref="AT47">IF($D47=0,0,SUMIFS(RLevel5,BOMComp,$A47,BOMLevel,"&lt;&gt;First")*$C47/$D47)</f>
        <v>0</v>
      </c>
    </row>
  </sheetData>
  <phoneticPr fontId="2" type="noConversion"/>
  <conditionalFormatting sqref="A4">
    <cfRule type="expression" dxfId="123" priority="3">
      <formula>COUNTIF(BOMError,"E3")&gt;0</formula>
    </cfRule>
  </conditionalFormatting>
  <conditionalFormatting sqref="B4">
    <cfRule type="expression" dxfId="122" priority="1">
      <formula>COUNTIF(BOMError,"E5")&gt;0</formula>
    </cfRule>
    <cfRule type="expression" dxfId="121" priority="2">
      <formula>COUNTIF(BOMError,"E4")&gt;0</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5:B1000" xr:uid="{00000000-0002-0000-0500-000000000000}">
      <formula1>StockCodes</formula1>
    </dataValidation>
  </dataValidations>
  <pageMargins left="0.55118110236220474" right="0.55118110236220474" top="0.59055118110236227" bottom="0.59055118110236227" header="0.39370078740157483" footer="0.39370078740157483"/>
  <pageSetup paperSize="9" scale="84" fitToWidth="4" fitToHeight="0"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U18"/>
  <sheetViews>
    <sheetView zoomScale="95" zoomScaleNormal="95" workbookViewId="0">
      <pane xSplit="4" ySplit="4" topLeftCell="E5" activePane="bottomRight" state="frozen"/>
      <selection pane="topRight" activeCell="E1" sqref="E1"/>
      <selection pane="bottomLeft" activeCell="A5" sqref="A5"/>
      <selection pane="bottomRight" activeCell="A4" sqref="A4"/>
    </sheetView>
  </sheetViews>
  <sheetFormatPr defaultColWidth="9.140625" defaultRowHeight="16.149999999999999" customHeight="1" x14ac:dyDescent="0.25"/>
  <cols>
    <col min="1" max="1" width="10.7109375" style="2" customWidth="1"/>
    <col min="2" max="2" width="10.7109375" style="61" customWidth="1"/>
    <col min="3" max="3" width="12.7109375" style="62" customWidth="1"/>
    <col min="4" max="4" width="12.7109375" style="4" customWidth="1"/>
    <col min="5" max="5" width="12.7109375" style="3" customWidth="1"/>
    <col min="6" max="6" width="25.7109375" style="2" customWidth="1"/>
    <col min="7" max="7" width="15.140625" style="2" customWidth="1"/>
    <col min="8" max="8" width="10.7109375" style="3" customWidth="1"/>
    <col min="9" max="11" width="13.7109375" style="4" customWidth="1"/>
    <col min="12" max="12" width="13.7109375" style="5" customWidth="1"/>
    <col min="13" max="13" width="13.7109375" style="35" customWidth="1"/>
    <col min="14" max="19" width="15.7109375" style="4" customWidth="1"/>
    <col min="20" max="20" width="12.7109375" style="8" customWidth="1"/>
    <col min="21" max="21" width="12.7109375" style="6" customWidth="1"/>
    <col min="22" max="30" width="12.7109375" style="2" customWidth="1"/>
    <col min="31" max="16384" width="9.140625" style="2"/>
  </cols>
  <sheetData>
    <row r="1" spans="1:21" s="44" customFormat="1" ht="16.149999999999999" customHeight="1" x14ac:dyDescent="0.25">
      <c r="A1" s="130" t="s">
        <v>108</v>
      </c>
      <c r="B1" s="40"/>
      <c r="C1" s="41"/>
      <c r="D1" s="42"/>
      <c r="E1" s="43"/>
      <c r="F1" s="43"/>
      <c r="G1" s="43"/>
      <c r="H1" s="43"/>
      <c r="I1" s="5"/>
      <c r="J1" s="5"/>
      <c r="K1" s="5"/>
      <c r="L1" s="5"/>
      <c r="M1" s="35"/>
      <c r="N1" s="5"/>
      <c r="O1" s="5"/>
      <c r="P1" s="5"/>
      <c r="Q1" s="5"/>
      <c r="R1" s="5"/>
      <c r="T1" s="45" t="s">
        <v>200</v>
      </c>
      <c r="U1" s="46" t="str" cm="1">
        <f t="array" aca="1" ref="U1" ca="1">IF(COUNTIF(JSUnique,0)&gt;0,"Multiple","Single")</f>
        <v>Single</v>
      </c>
    </row>
    <row r="2" spans="1:21" s="44" customFormat="1" ht="16.149999999999999" customHeight="1" x14ac:dyDescent="0.25">
      <c r="A2" s="47" t="s">
        <v>3</v>
      </c>
      <c r="B2" s="40"/>
      <c r="C2" s="41"/>
      <c r="D2" s="42"/>
      <c r="E2" s="43"/>
      <c r="F2" s="43"/>
      <c r="G2" s="43"/>
      <c r="H2" s="43"/>
      <c r="I2" s="5"/>
      <c r="J2" s="5"/>
      <c r="K2" s="5"/>
      <c r="L2" s="5"/>
      <c r="M2" s="35"/>
      <c r="N2" s="5"/>
      <c r="O2" s="5"/>
      <c r="P2" s="5"/>
      <c r="Q2" s="5"/>
      <c r="R2" s="5"/>
      <c r="S2" s="5"/>
      <c r="T2" s="8"/>
      <c r="U2" s="6"/>
    </row>
    <row r="3" spans="1:21" s="18" customFormat="1" ht="16.149999999999999" customHeight="1" x14ac:dyDescent="0.2">
      <c r="A3" s="48" t="s">
        <v>30</v>
      </c>
      <c r="B3" s="19"/>
      <c r="C3" s="49"/>
      <c r="E3" s="19"/>
      <c r="F3" s="19"/>
      <c r="G3" s="19"/>
      <c r="H3" s="19"/>
      <c r="I3" s="19"/>
      <c r="J3" s="19"/>
      <c r="K3" s="19"/>
      <c r="L3" s="19"/>
      <c r="M3" s="50"/>
      <c r="N3" s="19">
        <f>SUBTOTAL(109,JSStd)</f>
        <v>4916763.1527347779</v>
      </c>
      <c r="O3" s="19">
        <f ca="1">SUBTOTAL(109,JSJStd)</f>
        <v>4916763.1527347779</v>
      </c>
      <c r="P3" s="19">
        <f ca="1">SUBTOTAL(109,JSJActual)</f>
        <v>4921339.9415204674</v>
      </c>
      <c r="Q3" s="19">
        <f ca="1">SUBTOTAL(109,JSJVar)</f>
        <v>-4576.7887856897141</v>
      </c>
      <c r="R3" s="19">
        <f ca="1">SUBTOTAL(109,JSJUsage)</f>
        <v>75634.907120742981</v>
      </c>
      <c r="S3" s="19">
        <f ca="1">SUBTOTAL(109,JSJPrice)</f>
        <v>-80211.695906432695</v>
      </c>
      <c r="T3" s="51"/>
      <c r="U3" s="19"/>
    </row>
    <row r="4" spans="1:21" s="60" customFormat="1" ht="25.5" x14ac:dyDescent="0.25">
      <c r="A4" s="22" t="s">
        <v>128</v>
      </c>
      <c r="B4" s="144" t="s">
        <v>100</v>
      </c>
      <c r="C4" s="25" t="s">
        <v>4</v>
      </c>
      <c r="D4" s="25" t="s">
        <v>105</v>
      </c>
      <c r="E4" s="38" t="s">
        <v>35</v>
      </c>
      <c r="F4" s="52" t="s">
        <v>109</v>
      </c>
      <c r="G4" s="53" t="s">
        <v>15</v>
      </c>
      <c r="H4" s="54" t="s">
        <v>216</v>
      </c>
      <c r="I4" s="55" t="s">
        <v>104</v>
      </c>
      <c r="J4" s="56" t="s">
        <v>136</v>
      </c>
      <c r="K4" s="56" t="s">
        <v>202</v>
      </c>
      <c r="L4" s="56" t="s">
        <v>203</v>
      </c>
      <c r="M4" s="57" t="s">
        <v>204</v>
      </c>
      <c r="N4" s="56" t="s">
        <v>133</v>
      </c>
      <c r="O4" s="56" t="s">
        <v>147</v>
      </c>
      <c r="P4" s="56" t="s">
        <v>148</v>
      </c>
      <c r="Q4" s="56" t="s">
        <v>149</v>
      </c>
      <c r="R4" s="56" t="s">
        <v>150</v>
      </c>
      <c r="S4" s="56" t="s">
        <v>151</v>
      </c>
      <c r="T4" s="58" t="s">
        <v>153</v>
      </c>
      <c r="U4" s="59" t="s">
        <v>152</v>
      </c>
    </row>
    <row r="5" spans="1:21" ht="16.149999999999999" customHeight="1" x14ac:dyDescent="0.25">
      <c r="A5" s="2" t="s">
        <v>106</v>
      </c>
      <c r="B5" s="61">
        <v>44015</v>
      </c>
      <c r="C5" s="62" t="s">
        <v>41</v>
      </c>
      <c r="D5" s="4">
        <v>100</v>
      </c>
      <c r="E5" s="3" t="str">
        <f>IF(AND(ISBLANK(C5)=FALSE,ISNA(MATCH(C5,StockCodes,0))=TRUE)=TRUE,"E3",IF(AND(G5&lt;&gt;"-",G5&lt;&gt;"Manufactured"),"E6","-"))</f>
        <v>-</v>
      </c>
      <c r="F5" s="2" t="str">
        <f>IF(ISNA(VLOOKUP($C5,StockMaster,COLUMN(StockCode!$B$4),0))=TRUE,"-",VLOOKUP($C5,StockMaster,COLUMN(StockCode!$B$4),0))</f>
        <v>Garden Shed</v>
      </c>
      <c r="G5" s="2" t="str">
        <f>IF(ISNA(VLOOKUP($C5,StockMaster,COLUMN(StockCode!$G$4),0))=TRUE,"-",VLOOKUP($C5,StockMaster,COLUMN(StockCode!$G$4),0))</f>
        <v>Manufactured</v>
      </c>
      <c r="H5" s="3" t="str">
        <f>IF(ISNA(VLOOKUP(C5,BOMParents,1,0))=TRUE,"None",IF(ISNA(VLOOKUP(C5,BOMComp,1,0))=TRUE,"FG","IM"))</f>
        <v>FG</v>
      </c>
      <c r="I5" s="4">
        <f>SUMIFS(JTQty,JTJob,$A5,JTStockCode,C5,JTType,"Receipt")</f>
        <v>105</v>
      </c>
      <c r="J5" s="4">
        <f>I5-D5</f>
        <v>5</v>
      </c>
      <c r="K5" s="4">
        <f>IF(ISNA(VLOOKUP($C5,StockMaster,COLUMN(StockCode!$I$4),0))=TRUE,0,VLOOKUP($C5,StockMaster,COLUMN(StockCode!$I$4),0))</f>
        <v>4164.7192982456136</v>
      </c>
      <c r="L5" s="5" cm="1">
        <f t="array" aca="1" ref="L5" ca="1">IF(JSetup!$U$1="Single",IF(F5="Bought-In",0,IF(I5=0,0,-SUMIFS(JTValue,JTJob,$A5,JTFGCode,$C5,JTType,"Issue")/I5)),"n/a")</f>
        <v>3747.7142857142858</v>
      </c>
      <c r="M5" s="35">
        <f ca="1">IF($U$1="Multiple","n/a",IF(AND(JSetup!$U$1="Single",I5=0,G5="Manufactured"),0,IF(K5=0,0,(K5-L5)/K5)))</f>
        <v>0.10012799967262884</v>
      </c>
      <c r="N5" s="4">
        <f>I5*K5</f>
        <v>437295.52631578944</v>
      </c>
      <c r="O5" s="4" cm="1">
        <f t="array" aca="1" ref="O5" ca="1">IF($U5=1,SUMIFS(JSStd,JSJob,$A5),0)</f>
        <v>437295.52631578944</v>
      </c>
      <c r="P5" s="4" cm="1">
        <f t="array" aca="1" ref="P5" ca="1">IF($U5=1,-SUMIFS(JTValue,JTJob,$A5,JTType,"Issue"),0)</f>
        <v>393510</v>
      </c>
      <c r="Q5" s="4">
        <f ca="1">IF($U5=1,O5-P5,0)</f>
        <v>43785.526315789437</v>
      </c>
      <c r="R5" s="4">
        <f ca="1">IF($U5=1,Q5-S5,0)</f>
        <v>18785.526315789437</v>
      </c>
      <c r="S5" s="4" cm="1">
        <f t="array" aca="1" ref="S5" ca="1">IF($U5=1,SUMIFS(JTPrice,JTJob,$A5,JTType,"Issue"),0)</f>
        <v>25000</v>
      </c>
      <c r="T5" s="8">
        <f ca="1">IF(ISBLANK($B5)=TRUE,TODAY(),$B5)</f>
        <v>44015</v>
      </c>
      <c r="U5" s="6" cm="1">
        <f t="array" aca="1" ref="U5" ca="1">IF(ISBLANK(A5)=TRUE,"-",IF(COUNTIF(JSJob,$A5)&gt;1,IF(COUNTIF(OFFSET($A5,ROW($A$4)-ROW($A5),0,ROW($A5)-ROW($A$4),1),$A5)&gt;0,0,1),COUNTIF(JSJob,$A5)))</f>
        <v>1</v>
      </c>
    </row>
    <row r="6" spans="1:21" ht="16.149999999999999" customHeight="1" x14ac:dyDescent="0.25">
      <c r="A6" s="2" t="s">
        <v>107</v>
      </c>
      <c r="B6" s="61">
        <v>44016</v>
      </c>
      <c r="C6" s="62" t="s">
        <v>65</v>
      </c>
      <c r="D6" s="4">
        <v>50</v>
      </c>
      <c r="E6" s="3" t="str">
        <f>IF(AND(ISBLANK(C6)=FALSE,ISNA(MATCH(C6,StockCodes,0))=TRUE)=TRUE,"E3",IF(AND(G6&lt;&gt;"-",G6&lt;&gt;"Manufactured"),"E6","-"))</f>
        <v>-</v>
      </c>
      <c r="F6" s="2" t="str">
        <f>IF(ISNA(VLOOKUP($C6,StockMaster,COLUMN(StockCode!$B$4),0))=TRUE,"-",VLOOKUP($C6,StockMaster,COLUMN(StockCode!$B$4),0))</f>
        <v>Painted Garden Shed</v>
      </c>
      <c r="G6" s="2" t="str">
        <f>IF(ISNA(VLOOKUP($C6,StockMaster,COLUMN(StockCode!$G$4),0))=TRUE,"-",VLOOKUP($C6,StockMaster,COLUMN(StockCode!$G$4),0))</f>
        <v>Manufactured</v>
      </c>
      <c r="H6" s="3" t="str">
        <f>IF(ISNA(VLOOKUP(C6,BOMParents,1,0))=TRUE,"None",IF(ISNA(VLOOKUP(C6,BOMComp,1,0))=TRUE,"FG","IM"))</f>
        <v>FG</v>
      </c>
      <c r="I6" s="4">
        <f>SUMIFS(JTQty,JTJob,$A6,JTStockCode,C6,JTType,"Receipt")</f>
        <v>52</v>
      </c>
      <c r="J6" s="4">
        <f>I6-D6</f>
        <v>2</v>
      </c>
      <c r="K6" s="4">
        <f>IF(ISNA(VLOOKUP($C6,StockMaster,COLUMN(StockCode!$I$4),0))=TRUE,0,VLOOKUP($C6,StockMaster,COLUMN(StockCode!$I$4),0))</f>
        <v>4956.3931888544885</v>
      </c>
      <c r="L6" s="5" cm="1">
        <f t="array" aca="1" ref="L6" ca="1">IF(JSetup!$U$1="Single",IF(F6="Bought-In",0,IF(I6=0,0,-SUMIFS(JTValue,JTJob,$A6,JTFGCode,$C6,JTType,"Issue")/I6)),"n/a")</f>
        <v>4903.4615384615381</v>
      </c>
      <c r="M6" s="35">
        <f ca="1">IF($U$1="Multiple","n/a",IF(AND(JSetup!$U$1="Single",I6=0,G6="Manufactured"),0,IF(K6=0,0,(K6-L6)/K6)))</f>
        <v>1.0679469601398556E-2</v>
      </c>
      <c r="N6" s="4">
        <f>I6*K6</f>
        <v>257732.44582043341</v>
      </c>
      <c r="O6" s="4" cm="1">
        <f t="array" aca="1" ref="O6" ca="1">IF($U6=1,SUMIFS(JSStd,JSJob,$A6),0)</f>
        <v>257732.44582043341</v>
      </c>
      <c r="P6" s="4" cm="1">
        <f t="array" aca="1" ref="P6" ca="1">IF($U6=1,-SUMIFS(JTValue,JTJob,$A6,JTType,"Issue"),0)</f>
        <v>254980</v>
      </c>
      <c r="Q6" s="4">
        <f t="shared" ref="Q6:Q11" ca="1" si="0">IF($U6=1,O6-P6,0)</f>
        <v>2752.4458204334078</v>
      </c>
      <c r="R6" s="4">
        <f t="shared" ref="R6:R11" ca="1" si="1">IF($U6=1,Q6-S6,0)</f>
        <v>3202.4458204334078</v>
      </c>
      <c r="S6" s="4" cm="1">
        <f t="array" aca="1" ref="S6" ca="1">IF($U6=1,SUMIFS(JTPrice,JTJob,$A6,JTType,"Issue"),0)</f>
        <v>-450</v>
      </c>
      <c r="T6" s="8">
        <f t="shared" ref="T6:T11" ca="1" si="2">IF(ISBLANK($B6)=TRUE,TODAY(),$B6)</f>
        <v>44016</v>
      </c>
      <c r="U6" s="6" cm="1">
        <f t="array" aca="1" ref="U6" ca="1">IF(ISBLANK(A6)=TRUE,"-",IF(COUNTIF(JSJob,$A6)&gt;1,IF(COUNTIF(OFFSET($A6,ROW($A$4)-ROW($A6),0,ROW($A6)-ROW($A$4),1),$A6)&gt;0,0,1),COUNTIF(JSJob,$A6)))</f>
        <v>1</v>
      </c>
    </row>
    <row r="7" spans="1:21" ht="16.149999999999999" customHeight="1" x14ac:dyDescent="0.25">
      <c r="A7" s="2" t="s">
        <v>141</v>
      </c>
      <c r="B7" s="61">
        <v>44017</v>
      </c>
      <c r="C7" s="62" t="s">
        <v>67</v>
      </c>
      <c r="D7" s="4">
        <v>75</v>
      </c>
      <c r="E7" s="3" t="str">
        <f>IF(AND(ISBLANK(C7)=FALSE,ISNA(MATCH(C7,StockCodes,0))=TRUE)=TRUE,"E3",IF(AND(G7&lt;&gt;"-",G7&lt;&gt;"Manufactured"),"E6","-"))</f>
        <v>-</v>
      </c>
      <c r="F7" s="2" t="str">
        <f>IF(ISNA(VLOOKUP($C7,StockMaster,COLUMN(StockCode!$B$4),0))=TRUE,"-",VLOOKUP($C7,StockMaster,COLUMN(StockCode!$B$4),0))</f>
        <v>Tools Shed</v>
      </c>
      <c r="G7" s="2" t="str">
        <f>IF(ISNA(VLOOKUP($C7,StockMaster,COLUMN(StockCode!$G$4),0))=TRUE,"-",VLOOKUP($C7,StockMaster,COLUMN(StockCode!$G$4),0))</f>
        <v>Manufactured</v>
      </c>
      <c r="H7" s="3" t="str">
        <f>IF(ISNA(VLOOKUP(C7,BOMParents,1,0))=TRUE,"None",IF(ISNA(VLOOKUP(C7,BOMComp,1,0))=TRUE,"FG","IM"))</f>
        <v>FG</v>
      </c>
      <c r="I7" s="4">
        <f>SUMIFS(JTQty,JTJob,$A7,JTStockCode,C7,JTType,"Receipt")</f>
        <v>75</v>
      </c>
      <c r="J7" s="4">
        <f>I7-D7</f>
        <v>0</v>
      </c>
      <c r="K7" s="4">
        <f>IF(ISNA(VLOOKUP($C7,StockMaster,COLUMN(StockCode!$I$4),0))=TRUE,0,VLOOKUP($C7,StockMaster,COLUMN(StockCode!$I$4),0))</f>
        <v>3621.3137254901953</v>
      </c>
      <c r="L7" s="5" cm="1">
        <f t="array" aca="1" ref="L7" ca="1">IF(JSetup!$U$1="Single",IF(F7="Bought-In",0,IF(I7=0,0,-SUMIFS(JTValue,JTJob,$A7,JTFGCode,$C7,JTType,"Issue")/I7)),"n/a")</f>
        <v>3191.9333333333334</v>
      </c>
      <c r="M7" s="35">
        <f ca="1">IF($U$1="Multiple","n/a",IF(AND(JSetup!$U$1="Single",I7=0,G7="Manufactured"),0,IF(K7=0,0,(K7-L7)/K7)))</f>
        <v>0.11857033792308047</v>
      </c>
      <c r="N7" s="4">
        <f>I7*K7</f>
        <v>271598.52941176464</v>
      </c>
      <c r="O7" s="4" cm="1">
        <f t="array" aca="1" ref="O7" ca="1">IF($U7=1,SUMIFS(JSStd,JSJob,$A7),0)</f>
        <v>271598.52941176464</v>
      </c>
      <c r="P7" s="4" cm="1">
        <f t="array" aca="1" ref="P7" ca="1">IF($U7=1,-SUMIFS(JTValue,JTJob,$A7,JTType,"Issue"),0)</f>
        <v>239395</v>
      </c>
      <c r="Q7" s="4">
        <f t="shared" ca="1" si="0"/>
        <v>32203.529411764641</v>
      </c>
      <c r="R7" s="4">
        <f t="shared" ca="1" si="1"/>
        <v>23703.529411764641</v>
      </c>
      <c r="S7" s="4" cm="1">
        <f t="array" aca="1" ref="S7" ca="1">IF($U7=1,SUMIFS(JTPrice,JTJob,$A7,JTType,"Issue"),0)</f>
        <v>8500</v>
      </c>
      <c r="T7" s="8">
        <f t="shared" ca="1" si="2"/>
        <v>44017</v>
      </c>
      <c r="U7" s="6" cm="1">
        <f t="array" aca="1" ref="U7" ca="1">IF(ISBLANK(A7)=TRUE,"-",IF(COUNTIF(JSJob,$A7)&gt;1,IF(COUNTIF(OFFSET($A7,ROW($A$4)-ROW($A7),0,ROW($A7)-ROW($A$4),1),$A7)&gt;0,0,1),COUNTIF(JSJob,$A7)))</f>
        <v>1</v>
      </c>
    </row>
    <row r="8" spans="1:21" ht="16.149999999999999" customHeight="1" x14ac:dyDescent="0.25">
      <c r="A8" s="2" t="s">
        <v>142</v>
      </c>
      <c r="B8" s="61">
        <v>44018</v>
      </c>
      <c r="C8" s="62" t="s">
        <v>41</v>
      </c>
      <c r="D8" s="4">
        <v>100</v>
      </c>
      <c r="E8" s="3" t="str">
        <f>IF(AND(ISBLANK(C8)=FALSE,ISNA(MATCH(C8,StockCodes,0))=TRUE)=TRUE,"E3",IF(AND(G8&lt;&gt;"-",G8&lt;&gt;"Manufactured"),"E6","-"))</f>
        <v>-</v>
      </c>
      <c r="F8" s="2" t="str">
        <f>IF(ISNA(VLOOKUP($C8,StockMaster,COLUMN(StockCode!$B$4),0))=TRUE,"-",VLOOKUP($C8,StockMaster,COLUMN(StockCode!$B$4),0))</f>
        <v>Garden Shed</v>
      </c>
      <c r="G8" s="2" t="str">
        <f>IF(ISNA(VLOOKUP($C8,StockMaster,COLUMN(StockCode!$G$4),0))=TRUE,"-",VLOOKUP($C8,StockMaster,COLUMN(StockCode!$G$4),0))</f>
        <v>Manufactured</v>
      </c>
      <c r="H8" s="3" t="str">
        <f>IF(ISNA(VLOOKUP(C8,BOMParents,1,0))=TRUE,"None",IF(ISNA(VLOOKUP(C8,BOMComp,1,0))=TRUE,"FG","IM"))</f>
        <v>FG</v>
      </c>
      <c r="I8" s="4">
        <f>SUMIFS(JTQty,JTJob,$A8,JTStockCode,C8,JTType,"Receipt")</f>
        <v>100</v>
      </c>
      <c r="J8" s="4">
        <f>I8-D8</f>
        <v>0</v>
      </c>
      <c r="K8" s="4">
        <f>IF(ISNA(VLOOKUP($C8,StockMaster,COLUMN(StockCode!$I$4),0))=TRUE,0,VLOOKUP($C8,StockMaster,COLUMN(StockCode!$I$4),0))</f>
        <v>4164.7192982456136</v>
      </c>
      <c r="L8" s="5" cm="1">
        <f t="array" aca="1" ref="L8" ca="1">IF(JSetup!$U$1="Single",IF(F8="Bought-In",0,IF(I8=0,0,-SUMIFS(JTValue,JTJob,$A8,JTFGCode,$C8,JTType,"Issue")/I8)),"n/a")</f>
        <v>4163.7</v>
      </c>
      <c r="M8" s="35">
        <f ca="1">IF($U$1="Multiple","n/a",IF(AND(JSetup!$U$1="Single",I8=0,G8="Manufactured"),0,IF(K8=0,0,(K8-L8)/K8)))</f>
        <v>2.4474596548274772E-4</v>
      </c>
      <c r="N8" s="4">
        <f>I8*K8</f>
        <v>416471.92982456135</v>
      </c>
      <c r="O8" s="4" cm="1">
        <f t="array" aca="1" ref="O8" ca="1">IF($U8=1,SUMIFS(JSStd,JSJob,$A8),0)</f>
        <v>416471.92982456135</v>
      </c>
      <c r="P8" s="4" cm="1">
        <f t="array" aca="1" ref="P8" ca="1">IF($U8=1,-SUMIFS(JTValue,JTJob,$A8,JTType,"Issue"),0)</f>
        <v>416370</v>
      </c>
      <c r="Q8" s="4">
        <f t="shared" ca="1" si="0"/>
        <v>101.92982456134632</v>
      </c>
      <c r="R8" s="4">
        <f t="shared" ca="1" si="1"/>
        <v>28101.929824561346</v>
      </c>
      <c r="S8" s="4" cm="1">
        <f t="array" aca="1" ref="S8" ca="1">IF($U8=1,SUMIFS(JTPrice,JTJob,$A8,JTType,"Issue"),0)</f>
        <v>-28000</v>
      </c>
      <c r="T8" s="8">
        <f t="shared" ca="1" si="2"/>
        <v>44018</v>
      </c>
      <c r="U8" s="6" cm="1">
        <f t="array" aca="1" ref="U8" ca="1">IF(ISBLANK(A8)=TRUE,"-",IF(COUNTIF(JSJob,$A8)&gt;1,IF(COUNTIF(OFFSET($A8,ROW($A$4)-ROW($A8),0,ROW($A8)-ROW($A$4),1),$A8)&gt;0,0,1),COUNTIF(JSJob,$A8)))</f>
        <v>1</v>
      </c>
    </row>
    <row r="9" spans="1:21" ht="16.149999999999999" customHeight="1" x14ac:dyDescent="0.25">
      <c r="A9" s="2" t="s">
        <v>143</v>
      </c>
      <c r="B9" s="61">
        <v>44019</v>
      </c>
      <c r="C9" s="62" t="s">
        <v>41</v>
      </c>
      <c r="D9" s="4">
        <v>300</v>
      </c>
      <c r="E9" s="3" t="str">
        <f t="shared" ref="E9:E11" si="3">IF(AND(ISBLANK(C9)=FALSE,ISNA(MATCH(C9,StockCodes,0))=TRUE)=TRUE,"E3",IF(AND(G9&lt;&gt;"-",G9&lt;&gt;"Manufactured"),"E6","-"))</f>
        <v>-</v>
      </c>
      <c r="F9" s="2" t="str">
        <f>IF(ISNA(VLOOKUP($C9,StockMaster,COLUMN(StockCode!$B$4),0))=TRUE,"-",VLOOKUP($C9,StockMaster,COLUMN(StockCode!$B$4),0))</f>
        <v>Garden Shed</v>
      </c>
      <c r="G9" s="2" t="str">
        <f>IF(ISNA(VLOOKUP($C9,StockMaster,COLUMN(StockCode!$G$4),0))=TRUE,"-",VLOOKUP($C9,StockMaster,COLUMN(StockCode!$G$4),0))</f>
        <v>Manufactured</v>
      </c>
      <c r="H9" s="3" t="str">
        <f t="shared" ref="H9:H11" si="4">IF(ISNA(VLOOKUP(C9,BOMParents,1,0))=TRUE,"None",IF(ISNA(VLOOKUP(C9,BOMComp,1,0))=TRUE,"FG","IM"))</f>
        <v>FG</v>
      </c>
      <c r="I9" s="4">
        <f t="shared" ref="I9:I11" si="5">SUMIFS(JTQty,JTJob,$A9,JTStockCode,C9,JTType,"Receipt")</f>
        <v>300</v>
      </c>
      <c r="J9" s="4">
        <f t="shared" ref="J9:J11" si="6">I9-D9</f>
        <v>0</v>
      </c>
      <c r="K9" s="4">
        <f>IF(ISNA(VLOOKUP($C9,StockMaster,COLUMN(StockCode!$I$4),0))=TRUE,0,VLOOKUP($C9,StockMaster,COLUMN(StockCode!$I$4),0))</f>
        <v>4164.7192982456136</v>
      </c>
      <c r="L9" s="5" cm="1">
        <f t="array" aca="1" ref="L9" ca="1">IF(JSetup!$U$1="Single",IF(F9="Bought-In",0,IF(I9=0,0,-SUMIFS(JTValue,JTJob,$A9,JTFGCode,$C9,JTType,"Issue")/I9)),"n/a")</f>
        <v>4203.75</v>
      </c>
      <c r="M9" s="35">
        <f ca="1">IF($U$1="Multiple","n/a",IF(AND(JSetup!$U$1="Single",I9=0,G9="Manufactured"),0,IF(K9=0,0,(K9-L9)/K9)))</f>
        <v>-9.3717484803425045E-3</v>
      </c>
      <c r="N9" s="4">
        <f t="shared" ref="N9:N11" si="7">I9*K9</f>
        <v>1249415.789473684</v>
      </c>
      <c r="O9" s="4" cm="1">
        <f t="array" aca="1" ref="O9" ca="1">IF($U9=1,SUMIFS(JSStd,JSJob,$A9),0)</f>
        <v>1249415.789473684</v>
      </c>
      <c r="P9" s="4" cm="1">
        <f t="array" aca="1" ref="P9" ca="1">IF($U9=1,-SUMIFS(JTValue,JTJob,$A9,JTType,"Issue"),0)</f>
        <v>1261125</v>
      </c>
      <c r="Q9" s="4">
        <f t="shared" ca="1" si="0"/>
        <v>-11709.210526315961</v>
      </c>
      <c r="R9" s="4">
        <f t="shared" ca="1" si="1"/>
        <v>5540.789473684039</v>
      </c>
      <c r="S9" s="4" cm="1">
        <f t="array" aca="1" ref="S9" ca="1">IF($U9=1,SUMIFS(JTPrice,JTJob,$A9,JTType,"Issue"),0)</f>
        <v>-17250</v>
      </c>
      <c r="T9" s="8">
        <f t="shared" ca="1" si="2"/>
        <v>44019</v>
      </c>
      <c r="U9" s="6" cm="1">
        <f t="array" aca="1" ref="U9" ca="1">IF(ISBLANK(A9)=TRUE,"-",IF(COUNTIF(JSJob,$A9)&gt;1,IF(COUNTIF(OFFSET($A9,ROW($A$4)-ROW($A9),0,ROW($A9)-ROW($A$4),1),$A9)&gt;0,0,1),COUNTIF(JSJob,$A9)))</f>
        <v>1</v>
      </c>
    </row>
    <row r="10" spans="1:21" ht="16.149999999999999" customHeight="1" x14ac:dyDescent="0.25">
      <c r="A10" s="2" t="s">
        <v>144</v>
      </c>
      <c r="B10" s="61">
        <v>44022</v>
      </c>
      <c r="C10" s="62" t="s">
        <v>67</v>
      </c>
      <c r="D10" s="4">
        <v>50</v>
      </c>
      <c r="E10" s="3" t="str">
        <f t="shared" si="3"/>
        <v>-</v>
      </c>
      <c r="F10" s="2" t="str">
        <f>IF(ISNA(VLOOKUP($C10,StockMaster,COLUMN(StockCode!$B$4),0))=TRUE,"-",VLOOKUP($C10,StockMaster,COLUMN(StockCode!$B$4),0))</f>
        <v>Tools Shed</v>
      </c>
      <c r="G10" s="2" t="str">
        <f>IF(ISNA(VLOOKUP($C10,StockMaster,COLUMN(StockCode!$G$4),0))=TRUE,"-",VLOOKUP($C10,StockMaster,COLUMN(StockCode!$G$4),0))</f>
        <v>Manufactured</v>
      </c>
      <c r="H10" s="3" t="str">
        <f t="shared" si="4"/>
        <v>FG</v>
      </c>
      <c r="I10" s="4">
        <f t="shared" si="5"/>
        <v>50</v>
      </c>
      <c r="J10" s="4">
        <f t="shared" si="6"/>
        <v>0</v>
      </c>
      <c r="K10" s="4">
        <f>IF(ISNA(VLOOKUP($C10,StockMaster,COLUMN(StockCode!$I$4),0))=TRUE,0,VLOOKUP($C10,StockMaster,COLUMN(StockCode!$I$4),0))</f>
        <v>3621.3137254901953</v>
      </c>
      <c r="L10" s="5" cm="1">
        <f t="array" aca="1" ref="L10" ca="1">IF(JSetup!$U$1="Single",IF(F10="Bought-In",0,IF(I10=0,0,-SUMIFS(JTValue,JTJob,$A10,JTFGCode,$C10,JTType,"Issue")/I10)),"n/a")</f>
        <v>3555.3</v>
      </c>
      <c r="M10" s="35">
        <f ca="1">IF($U$1="Multiple","n/a",IF(AND(JSetup!$U$1="Single",I10=0,G10="Manufactured"),0,IF(K10=0,0,(K10-L10)/K10)))</f>
        <v>1.8229220248311757E-2</v>
      </c>
      <c r="N10" s="4">
        <f t="shared" si="7"/>
        <v>181065.68627450976</v>
      </c>
      <c r="O10" s="4" cm="1">
        <f t="array" aca="1" ref="O10" ca="1">IF($U10=1,SUMIFS(JSStd,JSJob,$A10),0)</f>
        <v>181065.68627450976</v>
      </c>
      <c r="P10" s="4" cm="1">
        <f t="array" aca="1" ref="P10" ca="1">IF($U10=1,-SUMIFS(JTValue,JTJob,$A10,JTType,"Issue"),0)</f>
        <v>177765</v>
      </c>
      <c r="Q10" s="4">
        <f t="shared" ca="1" si="0"/>
        <v>3300.6862745097606</v>
      </c>
      <c r="R10" s="4">
        <f t="shared" ca="1" si="1"/>
        <v>-3699.3137254902394</v>
      </c>
      <c r="S10" s="4" cm="1">
        <f t="array" aca="1" ref="S10" ca="1">IF($U10=1,SUMIFS(JTPrice,JTJob,$A10,JTType,"Issue"),0)</f>
        <v>7000</v>
      </c>
      <c r="T10" s="8">
        <f t="shared" ca="1" si="2"/>
        <v>44022</v>
      </c>
      <c r="U10" s="6" cm="1">
        <f t="array" aca="1" ref="U10" ca="1">IF(ISBLANK(A10)=TRUE,"-",IF(COUNTIF(JSJob,$A10)&gt;1,IF(COUNTIF(OFFSET($A10,ROW($A$4)-ROW($A10),0,ROW($A10)-ROW($A$4),1),$A10)&gt;0,0,1),COUNTIF(JSJob,$A10)))</f>
        <v>1</v>
      </c>
    </row>
    <row r="11" spans="1:21" ht="16.149999999999999" customHeight="1" x14ac:dyDescent="0.25">
      <c r="A11" s="2" t="s">
        <v>208</v>
      </c>
      <c r="B11" s="61">
        <v>44027</v>
      </c>
      <c r="C11" s="62" t="s">
        <v>41</v>
      </c>
      <c r="D11" s="4">
        <v>500</v>
      </c>
      <c r="E11" s="3" t="str">
        <f t="shared" si="3"/>
        <v>-</v>
      </c>
      <c r="F11" s="2" t="str">
        <f>IF(ISNA(VLOOKUP($C11,StockMaster,COLUMN(StockCode!$B$4),0))=TRUE,"-",VLOOKUP($C11,StockMaster,COLUMN(StockCode!$B$4),0))</f>
        <v>Garden Shed</v>
      </c>
      <c r="G11" s="2" t="str">
        <f>IF(ISNA(VLOOKUP($C11,StockMaster,COLUMN(StockCode!$G$4),0))=TRUE,"-",VLOOKUP($C11,StockMaster,COLUMN(StockCode!$G$4),0))</f>
        <v>Manufactured</v>
      </c>
      <c r="H11" s="3" t="str">
        <f t="shared" si="4"/>
        <v>FG</v>
      </c>
      <c r="I11" s="4">
        <f t="shared" si="5"/>
        <v>505</v>
      </c>
      <c r="J11" s="4">
        <f t="shared" si="6"/>
        <v>5</v>
      </c>
      <c r="K11" s="4">
        <f>IF(ISNA(VLOOKUP($C11,StockMaster,COLUMN(StockCode!$I$4),0))=TRUE,0,VLOOKUP($C11,StockMaster,COLUMN(StockCode!$I$4),0))</f>
        <v>4164.7192982456136</v>
      </c>
      <c r="L11" s="5" cm="1">
        <f t="array" aca="1" ref="L11" ca="1">IF(JSetup!$U$1="Single",IF(F11="Bought-In",0,IF(I11=0,0,-SUMIFS(JTValue,JTJob,$A11,JTFGCode,$C11,JTType,"Issue")/I11)),"n/a")</f>
        <v>4313.2573099415195</v>
      </c>
      <c r="M11" s="35">
        <f ca="1">IF($U$1="Multiple","n/a",IF(AND(JSetup!$U$1="Single",I11=0,G11="Manufactured"),0,IF(K11=0,0,(K11-L11)/K11)))</f>
        <v>-3.5665791871850157E-2</v>
      </c>
      <c r="N11" s="4">
        <f t="shared" si="7"/>
        <v>2103183.2456140351</v>
      </c>
      <c r="O11" s="4" cm="1">
        <f t="array" aca="1" ref="O11" ca="1">IF($U11=1,SUMIFS(JSStd,JSJob,$A11),0)</f>
        <v>2103183.2456140351</v>
      </c>
      <c r="P11" s="4" cm="1">
        <f t="array" aca="1" ref="P11" ca="1">IF($U11=1,-SUMIFS(JTValue,JTJob,$A11,JTType,"Issue"),0)</f>
        <v>2178194.9415204674</v>
      </c>
      <c r="Q11" s="4">
        <f t="shared" ca="1" si="0"/>
        <v>-75011.695906432346</v>
      </c>
      <c r="R11" s="4">
        <f t="shared" ca="1" si="1"/>
        <v>3.4924596548080444E-10</v>
      </c>
      <c r="S11" s="4" cm="1">
        <f t="array" aca="1" ref="S11" ca="1">IF($U11=1,SUMIFS(JTPrice,JTJob,$A11,JTType,"Issue"),0)</f>
        <v>-75011.695906432695</v>
      </c>
      <c r="T11" s="8">
        <f t="shared" ca="1" si="2"/>
        <v>44027</v>
      </c>
      <c r="U11" s="6" cm="1">
        <f t="array" aca="1" ref="U11" ca="1">IF(ISBLANK(A11)=TRUE,"-",IF(COUNTIF(JSJob,$A11)&gt;1,IF(COUNTIF(OFFSET($A11,ROW($A$4)-ROW($A11),0,ROW($A11)-ROW($A$4),1),$A11)&gt;0,0,1),COUNTIF(JSJob,$A11)))</f>
        <v>1</v>
      </c>
    </row>
    <row r="18" spans="1:1" ht="16.149999999999999" customHeight="1" x14ac:dyDescent="0.25">
      <c r="A18" s="63"/>
    </row>
  </sheetData>
  <conditionalFormatting sqref="C4">
    <cfRule type="expression" dxfId="70" priority="1">
      <formula>COUNTIF(BOMError,"E6")&gt;0</formula>
    </cfRule>
    <cfRule type="expression" dxfId="69" priority="2">
      <formula>COUNTIF(JSError,"E3")&gt;0</formula>
    </cfRule>
  </conditionalFormatting>
  <dataValidations count="2">
    <dataValidation type="list" allowBlank="1" showInputMessage="1" showErrorMessage="1" errorTitle="Invalid Data" error="Select a valid entry from the list box." sqref="C5:C11" xr:uid="{00000000-0002-0000-0600-000000000000}">
      <formula1>StockCodes</formula1>
    </dataValidation>
    <dataValidation type="date" operator="greaterThan" allowBlank="1" showInputMessage="1" showErrorMessage="1" errorTitle="Invalid Data" error="Enter a valid date in accordance with the regional date settings that are specified in the System Control Panel." sqref="B5:B11" xr:uid="{00000000-0002-0000-0600-000001000000}">
      <formula1>40179</formula1>
    </dataValidation>
  </dataValidations>
  <pageMargins left="0.51181102362204722" right="0.51181102362204722" top="0.55118110236220474" bottom="0.55118110236220474" header="0.39370078740157483" footer="0.39370078740157483"/>
  <pageSetup paperSize="9" scale="50" fitToHeight="0" orientation="landscape" r:id="rId1"/>
  <headerFooter>
    <oddFooter>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S79"/>
  <sheetViews>
    <sheetView zoomScale="95" zoomScaleNormal="95" workbookViewId="0">
      <pane xSplit="7" ySplit="4" topLeftCell="H5" activePane="bottomRight" state="frozen"/>
      <selection pane="topRight" activeCell="H1" sqref="H1"/>
      <selection pane="bottomLeft" activeCell="A5" sqref="A5"/>
      <selection pane="bottomRight" activeCell="A4" sqref="A4"/>
    </sheetView>
  </sheetViews>
  <sheetFormatPr defaultColWidth="9.140625" defaultRowHeight="16.149999999999999" customHeight="1" x14ac:dyDescent="0.25"/>
  <cols>
    <col min="1" max="1" width="10.7109375" style="2" customWidth="1"/>
    <col min="2" max="3" width="12.7109375" style="3" customWidth="1"/>
    <col min="4" max="5" width="12.7109375" style="4" customWidth="1"/>
    <col min="6" max="7" width="12.7109375" style="3" customWidth="1"/>
    <col min="8" max="8" width="11.7109375" style="3" customWidth="1"/>
    <col min="9" max="9" width="25.7109375" style="2" customWidth="1"/>
    <col min="10" max="10" width="17.42578125" style="3" customWidth="1"/>
    <col min="11" max="11" width="12.7109375" style="3" customWidth="1"/>
    <col min="12" max="14" width="15.7109375" style="4" customWidth="1"/>
    <col min="15" max="15" width="15.7109375" style="8" customWidth="1"/>
    <col min="16" max="16" width="12.7109375" style="8" customWidth="1"/>
    <col min="17" max="18" width="12.7109375" style="5" customWidth="1"/>
    <col min="19" max="19" width="11.7109375" style="2" customWidth="1"/>
    <col min="20" max="16384" width="9.140625" style="2"/>
  </cols>
  <sheetData>
    <row r="1" spans="1:19" s="44" customFormat="1" ht="16.149999999999999" customHeight="1" x14ac:dyDescent="0.25">
      <c r="A1" s="130" t="s">
        <v>108</v>
      </c>
      <c r="B1" s="40"/>
      <c r="C1" s="6"/>
      <c r="D1" s="42"/>
      <c r="E1" s="42"/>
      <c r="F1" s="43"/>
      <c r="G1" s="43"/>
      <c r="H1" s="43"/>
      <c r="I1" s="64"/>
      <c r="J1" s="43"/>
      <c r="K1" s="43"/>
      <c r="L1" s="42"/>
      <c r="M1" s="42"/>
      <c r="N1" s="42"/>
      <c r="O1" s="8"/>
      <c r="P1" s="8"/>
      <c r="Q1" s="5"/>
      <c r="R1" s="5"/>
      <c r="S1" s="43"/>
    </row>
    <row r="2" spans="1:19" s="44" customFormat="1" ht="16.149999999999999" customHeight="1" x14ac:dyDescent="0.25">
      <c r="A2" s="47" t="s">
        <v>101</v>
      </c>
      <c r="B2" s="40"/>
      <c r="C2" s="6"/>
      <c r="D2" s="42"/>
      <c r="E2" s="42"/>
      <c r="F2" s="43"/>
      <c r="G2" s="43"/>
      <c r="H2" s="43"/>
      <c r="I2" s="64"/>
      <c r="J2" s="43"/>
      <c r="K2" s="43"/>
      <c r="L2" s="42"/>
      <c r="M2" s="42"/>
      <c r="N2" s="42"/>
      <c r="O2" s="8"/>
      <c r="P2" s="8"/>
      <c r="Q2" s="5"/>
      <c r="R2" s="5"/>
      <c r="S2" s="43"/>
    </row>
    <row r="3" spans="1:19" s="18" customFormat="1" ht="16.149999999999999" customHeight="1" x14ac:dyDescent="0.2">
      <c r="A3" s="48" t="s">
        <v>30</v>
      </c>
      <c r="B3" s="19"/>
      <c r="C3" s="19"/>
      <c r="F3" s="19"/>
      <c r="G3" s="19"/>
      <c r="H3" s="19"/>
      <c r="J3" s="19"/>
      <c r="K3" s="19"/>
      <c r="N3" s="18">
        <f>SUBTOTAL(109,JTValue)</f>
        <v>-4576.7887856892194</v>
      </c>
      <c r="O3" s="18">
        <f>SUBTOTAL(109,JTPrice)</f>
        <v>-80211.695906432695</v>
      </c>
      <c r="P3" s="19"/>
      <c r="Q3" s="19"/>
      <c r="R3" s="19"/>
      <c r="S3" s="19"/>
    </row>
    <row r="4" spans="1:19" s="60" customFormat="1" ht="25.5" x14ac:dyDescent="0.25">
      <c r="A4" s="22" t="s">
        <v>128</v>
      </c>
      <c r="B4" s="24" t="s">
        <v>16</v>
      </c>
      <c r="C4" s="25" t="s">
        <v>4</v>
      </c>
      <c r="D4" s="25" t="s">
        <v>29</v>
      </c>
      <c r="E4" s="25" t="s">
        <v>126</v>
      </c>
      <c r="F4" s="37" t="s">
        <v>130</v>
      </c>
      <c r="G4" s="37" t="s">
        <v>213</v>
      </c>
      <c r="H4" s="38" t="s">
        <v>35</v>
      </c>
      <c r="I4" s="65" t="s">
        <v>5</v>
      </c>
      <c r="J4" s="38" t="s">
        <v>15</v>
      </c>
      <c r="K4" s="38" t="s">
        <v>6</v>
      </c>
      <c r="L4" s="38" t="s">
        <v>177</v>
      </c>
      <c r="M4" s="26" t="s">
        <v>191</v>
      </c>
      <c r="N4" s="26" t="s">
        <v>127</v>
      </c>
      <c r="O4" s="26" t="s">
        <v>132</v>
      </c>
      <c r="P4" s="66" t="s">
        <v>153</v>
      </c>
      <c r="Q4" s="67" t="s">
        <v>214</v>
      </c>
      <c r="R4" s="67" t="s">
        <v>215</v>
      </c>
      <c r="S4" s="66" t="s">
        <v>201</v>
      </c>
    </row>
    <row r="5" spans="1:19" ht="16.149999999999999" customHeight="1" x14ac:dyDescent="0.25">
      <c r="A5" s="2" t="s">
        <v>106</v>
      </c>
      <c r="B5" s="3" t="s">
        <v>110</v>
      </c>
      <c r="C5" s="3" t="s">
        <v>41</v>
      </c>
      <c r="D5" s="4">
        <v>105</v>
      </c>
      <c r="H5" s="3" t="str">
        <f t="shared" ref="H5:H36" si="0">IF(AND(ISBLANK(C5)=FALSE,ISNA(MATCH(C5,StockCodes,0))=TRUE)=TRUE,"E3",IF(AND(J5&lt;&gt;"-",J5&lt;&gt;"Manufactured",B5="Receipt"),"E7",IF(AND(ISBLANK(A5)=FALSE,ISNA(MATCH(A5,JSJob,0))=TRUE),"E8",IF(AND(ISBLANK(A5)=FALSE,B5&lt;&gt;"Receipt",B5&lt;&gt;"Issue"),"E9",IF(AND(ISBLANK(G5)=FALSE,ISNA(MATCH(G5,JSJob,0))=TRUE),"E10",IF(AND(ISBLANK(C5)=FALSE,SUMPRODUCT((JSJob=A5)*(JSCode=C5)*(1))&lt;&gt;1,B5="Receipt"),"E11","-"))))))</f>
        <v>-</v>
      </c>
      <c r="I5" s="2" t="str">
        <f>IF(ISNA(VLOOKUP($C5,StockMaster,COLUMN(StockCode!$B$4),0))=TRUE,"-",VLOOKUP($C5,StockMaster,COLUMN(StockCode!$B$4),0))</f>
        <v>Garden Shed</v>
      </c>
      <c r="J5" s="3" t="str">
        <f>IF(ISNA(VLOOKUP($C5,StockMaster,COLUMN(StockCode!$G$4),0))=TRUE,"-",VLOOKUP($C5,StockMaster,COLUMN(StockCode!$G$4),0))</f>
        <v>Manufactured</v>
      </c>
      <c r="K5" s="3" t="str">
        <f>IF(ISNA(VLOOKUP($C5,StockMaster,COLUMN(StockCode!$C$4),0))=TRUE,"-",VLOOKUP($C5,StockMaster,COLUMN(StockCode!$C$4),0))</f>
        <v>Units</v>
      </c>
      <c r="L5" s="4">
        <f>IF(ISNA(VLOOKUP($C5,StockMaster,COLUMN(StockCode!$I$4),0))=TRUE,0,VLOOKUP($C5,StockMaster,COLUMN(StockCode!$I$4),0))</f>
        <v>4164.7192982456136</v>
      </c>
      <c r="M5" s="4">
        <f>IF(B5="Receipt",L5,IF(J5="Manufactured",IF(Q5&lt;&gt;0,Q5,IF(R5&lt;&gt;0,R5,L5)),IF(F5="Yes",E5,L5)))</f>
        <v>4164.7192982456136</v>
      </c>
      <c r="N5" s="4">
        <f>D5*M5</f>
        <v>437295.52631578944</v>
      </c>
      <c r="O5" s="4">
        <f>-(L5-M5)*D5</f>
        <v>0</v>
      </c>
      <c r="P5" s="8">
        <f ca="1">IF(ISNA(VLOOKUP($A5,JSetup[],COLUMN(JSetup!$T$4),0))=TRUE,"-",VLOOKUP($A5,JSetup[],COLUMN(JSetup!$T$4),0))</f>
        <v>44015</v>
      </c>
      <c r="Q5" s="5">
        <f>IF(ISNA(VLOOKUP(G5,JSetup[],COLUMN(JSetup!$L$4),0))=TRUE,0,IF(ISNUMBER(VLOOKUP(G5,JSetup[],COLUMN(JSetup!$L$4),0))=FALSE,0,IF(VLOOKUP(G5,JSetup[],COLUMN(JSetup!$C$4),0)&lt;&gt;C5,0,VLOOKUP(G5,JSetup[],COLUMN(JSetup!$L$4),0))))</f>
        <v>0</v>
      </c>
      <c r="R5" s="5">
        <f>IF(J5="Bought-In",0,IF(B5="Receipt",0,IF(ISNA(VLOOKUP(C5,StockMaster,COLUMN(StockCode!$AA$4),0))=TRUE,0,VLOOKUP(C5,StockMaster,COLUMN(StockCode!$AA$4),0))))</f>
        <v>0</v>
      </c>
      <c r="S5" s="8" t="str">
        <f ca="1">IF(JSetup!$U$1="Single",IF(ISNA(VLOOKUP($A5,JSetup[],COLUMN(JSetup!$C$4),0))=TRUE,"-",VLOOKUP($A5,JSetup[],COLUMN(JSetup!$C$4),0)),"-")</f>
        <v>1212GHG</v>
      </c>
    </row>
    <row r="6" spans="1:19" ht="16.149999999999999" customHeight="1" x14ac:dyDescent="0.25">
      <c r="A6" s="2" t="s">
        <v>106</v>
      </c>
      <c r="B6" s="3" t="s">
        <v>112</v>
      </c>
      <c r="C6" s="3" t="s">
        <v>48</v>
      </c>
      <c r="D6" s="4">
        <v>-1500</v>
      </c>
      <c r="E6" s="4">
        <v>100</v>
      </c>
      <c r="F6" s="3" t="s">
        <v>125</v>
      </c>
      <c r="H6" s="3" t="str">
        <f t="shared" si="0"/>
        <v>-</v>
      </c>
      <c r="I6" s="2" t="str">
        <f>IF(ISNA(VLOOKUP($C6,StockMaster,COLUMN(StockCode!$B$4),0))=TRUE,"-",VLOOKUP($C6,StockMaster,COLUMN(StockCode!$B$4),0))</f>
        <v>Wood</v>
      </c>
      <c r="J6" s="3" t="str">
        <f>IF(ISNA(VLOOKUP($C6,StockMaster,COLUMN(StockCode!$G$4),0))=TRUE,"-",VLOOKUP($C6,StockMaster,COLUMN(StockCode!$G$4),0))</f>
        <v>Bought-In</v>
      </c>
      <c r="K6" s="3" t="str">
        <f>IF(ISNA(VLOOKUP($C6,StockMaster,COLUMN(StockCode!$C$4),0))=TRUE,"-",VLOOKUP($C6,StockMaster,COLUMN(StockCode!$C$4),0))</f>
        <v>M2</v>
      </c>
      <c r="L6" s="4">
        <f>IF(ISNA(VLOOKUP($C6,StockMaster,COLUMN(StockCode!$I$4),0))=TRUE,0,VLOOKUP($C6,StockMaster,COLUMN(StockCode!$I$4),0))</f>
        <v>120</v>
      </c>
      <c r="M6" s="4">
        <f t="shared" ref="M6:M23" si="1">IF(B6="Receipt",L6,IF(J6="Manufactured",IF(Q6&lt;&gt;0,Q6,IF(R6&lt;&gt;0,R6,L6)),IF(F6="Yes",E6,L6)))</f>
        <v>100</v>
      </c>
      <c r="N6" s="4">
        <f t="shared" ref="N6:N23" si="2">D6*M6</f>
        <v>-150000</v>
      </c>
      <c r="O6" s="4">
        <f t="shared" ref="O6:O23" si="3">-(L6-M6)*D6</f>
        <v>30000</v>
      </c>
      <c r="P6" s="8">
        <f ca="1">IF(ISNA(VLOOKUP($A6,JSetup[],COLUMN(JSetup!$T$4),0))=TRUE,"-",VLOOKUP($A6,JSetup[],COLUMN(JSetup!$T$4),0))</f>
        <v>44015</v>
      </c>
      <c r="Q6" s="5">
        <f>IF(ISNA(VLOOKUP(G6,JSetup[],COLUMN(JSetup!$L$4),0))=TRUE,0,IF(ISNUMBER(VLOOKUP(G6,JSetup[],COLUMN(JSetup!$L$4),0))=FALSE,0,IF(VLOOKUP(G6,JSetup[],COLUMN(JSetup!$C$4),0)&lt;&gt;C6,0,VLOOKUP(G6,JSetup[],COLUMN(JSetup!$L$4),0))))</f>
        <v>0</v>
      </c>
      <c r="R6" s="5">
        <f>IF(J6="Bought-In",0,IF(B6="Receipt",0,IF(ISNA(VLOOKUP(C6,StockMaster,COLUMN(StockCode!$AA$4),0))=TRUE,0,VLOOKUP(C6,StockMaster,COLUMN(StockCode!$AA$4),0))))</f>
        <v>0</v>
      </c>
      <c r="S6" s="8" t="str">
        <f ca="1">IF(JSetup!$U$1="Single",IF(ISNA(VLOOKUP($A6,JSetup[],COLUMN(JSetup!$C$4),0))=TRUE,"-",VLOOKUP($A6,JSetup[],COLUMN(JSetup!$C$4),0)),"-")</f>
        <v>1212GHG</v>
      </c>
    </row>
    <row r="7" spans="1:19" ht="16.149999999999999" customHeight="1" x14ac:dyDescent="0.25">
      <c r="A7" s="2" t="s">
        <v>106</v>
      </c>
      <c r="B7" s="3" t="s">
        <v>112</v>
      </c>
      <c r="C7" s="3" t="s">
        <v>70</v>
      </c>
      <c r="D7" s="4">
        <v>-350</v>
      </c>
      <c r="H7" s="3" t="str">
        <f t="shared" si="0"/>
        <v>-</v>
      </c>
      <c r="I7" s="2" t="str">
        <f>IF(ISNA(VLOOKUP($C7,StockMaster,COLUMN(StockCode!$B$4),0))=TRUE,"-",VLOOKUP($C7,StockMaster,COLUMN(StockCode!$B$4),0))</f>
        <v>2 Inch Screws</v>
      </c>
      <c r="J7" s="3" t="str">
        <f>IF(ISNA(VLOOKUP($C7,StockMaster,COLUMN(StockCode!$G$4),0))=TRUE,"-",VLOOKUP($C7,StockMaster,COLUMN(StockCode!$G$4),0))</f>
        <v>Bought-In</v>
      </c>
      <c r="K7" s="3" t="str">
        <f>IF(ISNA(VLOOKUP($C7,StockMaster,COLUMN(StockCode!$C$4),0))=TRUE,"-",VLOOKUP($C7,StockMaster,COLUMN(StockCode!$C$4),0))</f>
        <v>Bag</v>
      </c>
      <c r="L7" s="4">
        <f>IF(ISNA(VLOOKUP($C7,StockMaster,COLUMN(StockCode!$I$4),0))=TRUE,0,VLOOKUP($C7,StockMaster,COLUMN(StockCode!$I$4),0))</f>
        <v>50</v>
      </c>
      <c r="M7" s="4">
        <f t="shared" si="1"/>
        <v>50</v>
      </c>
      <c r="N7" s="4">
        <f t="shared" si="2"/>
        <v>-17500</v>
      </c>
      <c r="O7" s="4">
        <f t="shared" si="3"/>
        <v>0</v>
      </c>
      <c r="P7" s="8">
        <f ca="1">IF(ISNA(VLOOKUP($A7,JSetup[],COLUMN(JSetup!$T$4),0))=TRUE,"-",VLOOKUP($A7,JSetup[],COLUMN(JSetup!$T$4),0))</f>
        <v>44015</v>
      </c>
      <c r="Q7" s="5">
        <f>IF(ISNA(VLOOKUP(G7,JSetup[],COLUMN(JSetup!$L$4),0))=TRUE,0,IF(ISNUMBER(VLOOKUP(G7,JSetup[],COLUMN(JSetup!$L$4),0))=FALSE,0,IF(VLOOKUP(G7,JSetup[],COLUMN(JSetup!$C$4),0)&lt;&gt;C7,0,VLOOKUP(G7,JSetup[],COLUMN(JSetup!$L$4),0))))</f>
        <v>0</v>
      </c>
      <c r="R7" s="5">
        <f>IF(J7="Bought-In",0,IF(B7="Receipt",0,IF(ISNA(VLOOKUP(C7,StockMaster,COLUMN(StockCode!$AA$4),0))=TRUE,0,VLOOKUP(C7,StockMaster,COLUMN(StockCode!$AA$4),0))))</f>
        <v>0</v>
      </c>
      <c r="S7" s="8" t="str">
        <f ca="1">IF(JSetup!$U$1="Single",IF(ISNA(VLOOKUP($A7,JSetup[],COLUMN(JSetup!$C$4),0))=TRUE,"-",VLOOKUP($A7,JSetup[],COLUMN(JSetup!$C$4),0)),"-")</f>
        <v>1212GHG</v>
      </c>
    </row>
    <row r="8" spans="1:19" ht="16.149999999999999" customHeight="1" x14ac:dyDescent="0.25">
      <c r="A8" s="2" t="s">
        <v>106</v>
      </c>
      <c r="B8" s="3" t="s">
        <v>112</v>
      </c>
      <c r="C8" s="3" t="s">
        <v>43</v>
      </c>
      <c r="D8" s="4">
        <v>-1200</v>
      </c>
      <c r="H8" s="3" t="str">
        <f t="shared" si="0"/>
        <v>-</v>
      </c>
      <c r="I8" s="2" t="str">
        <f>IF(ISNA(VLOOKUP($C8,StockMaster,COLUMN(StockCode!$B$4),0))=TRUE,"-",VLOOKUP($C8,StockMaster,COLUMN(StockCode!$B$4),0))</f>
        <v>Steel Plates</v>
      </c>
      <c r="J8" s="3" t="str">
        <f>IF(ISNA(VLOOKUP($C8,StockMaster,COLUMN(StockCode!$G$4),0))=TRUE,"-",VLOOKUP($C8,StockMaster,COLUMN(StockCode!$G$4),0))</f>
        <v>Bought-In</v>
      </c>
      <c r="K8" s="3" t="str">
        <f>IF(ISNA(VLOOKUP($C8,StockMaster,COLUMN(StockCode!$C$4),0))=TRUE,"-",VLOOKUP($C8,StockMaster,COLUMN(StockCode!$C$4),0))</f>
        <v>M2</v>
      </c>
      <c r="L8" s="4">
        <f>IF(ISNA(VLOOKUP($C8,StockMaster,COLUMN(StockCode!$I$4),0))=TRUE,0,VLOOKUP($C8,StockMaster,COLUMN(StockCode!$I$4),0))</f>
        <v>140</v>
      </c>
      <c r="M8" s="4">
        <f t="shared" si="1"/>
        <v>140</v>
      </c>
      <c r="N8" s="4">
        <f t="shared" si="2"/>
        <v>-168000</v>
      </c>
      <c r="O8" s="4">
        <f t="shared" si="3"/>
        <v>0</v>
      </c>
      <c r="P8" s="8">
        <f ca="1">IF(ISNA(VLOOKUP($A8,JSetup[],COLUMN(JSetup!$T$4),0))=TRUE,"-",VLOOKUP($A8,JSetup[],COLUMN(JSetup!$T$4),0))</f>
        <v>44015</v>
      </c>
      <c r="Q8" s="5">
        <f>IF(ISNA(VLOOKUP(G8,JSetup[],COLUMN(JSetup!$L$4),0))=TRUE,0,IF(ISNUMBER(VLOOKUP(G8,JSetup[],COLUMN(JSetup!$L$4),0))=FALSE,0,IF(VLOOKUP(G8,JSetup[],COLUMN(JSetup!$C$4),0)&lt;&gt;C8,0,VLOOKUP(G8,JSetup[],COLUMN(JSetup!$L$4),0))))</f>
        <v>0</v>
      </c>
      <c r="R8" s="5">
        <f>IF(J8="Bought-In",0,IF(B8="Receipt",0,IF(ISNA(VLOOKUP(C8,StockMaster,COLUMN(StockCode!$AA$4),0))=TRUE,0,VLOOKUP(C8,StockMaster,COLUMN(StockCode!$AA$4),0))))</f>
        <v>0</v>
      </c>
      <c r="S8" s="8" t="str">
        <f ca="1">IF(JSetup!$U$1="Single",IF(ISNA(VLOOKUP($A8,JSetup[],COLUMN(JSetup!$C$4),0))=TRUE,"-",VLOOKUP($A8,JSetup[],COLUMN(JSetup!$C$4),0)),"-")</f>
        <v>1212GHG</v>
      </c>
    </row>
    <row r="9" spans="1:19" ht="16.149999999999999" customHeight="1" x14ac:dyDescent="0.25">
      <c r="A9" s="2" t="s">
        <v>106</v>
      </c>
      <c r="B9" s="3" t="s">
        <v>112</v>
      </c>
      <c r="C9" s="3" t="s">
        <v>46</v>
      </c>
      <c r="D9" s="4">
        <v>-107</v>
      </c>
      <c r="H9" s="3" t="str">
        <f t="shared" si="0"/>
        <v>-</v>
      </c>
      <c r="I9" s="2" t="str">
        <f>IF(ISNA(VLOOKUP($C9,StockMaster,COLUMN(StockCode!$B$4),0))=TRUE,"-",VLOOKUP($C9,StockMaster,COLUMN(StockCode!$B$4),0))</f>
        <v>Door Handle</v>
      </c>
      <c r="J9" s="3" t="str">
        <f>IF(ISNA(VLOOKUP($C9,StockMaster,COLUMN(StockCode!$G$4),0))=TRUE,"-",VLOOKUP($C9,StockMaster,COLUMN(StockCode!$G$4),0))</f>
        <v>Bought-In</v>
      </c>
      <c r="K9" s="3" t="str">
        <f>IF(ISNA(VLOOKUP($C9,StockMaster,COLUMN(StockCode!$C$4),0))=TRUE,"-",VLOOKUP($C9,StockMaster,COLUMN(StockCode!$C$4),0))</f>
        <v>Units</v>
      </c>
      <c r="L9" s="4">
        <f>IF(ISNA(VLOOKUP($C9,StockMaster,COLUMN(StockCode!$I$4),0))=TRUE,0,VLOOKUP($C9,StockMaster,COLUMN(StockCode!$I$4),0))</f>
        <v>150</v>
      </c>
      <c r="M9" s="4">
        <f t="shared" si="1"/>
        <v>150</v>
      </c>
      <c r="N9" s="4">
        <f t="shared" si="2"/>
        <v>-16050</v>
      </c>
      <c r="O9" s="4">
        <f t="shared" si="3"/>
        <v>0</v>
      </c>
      <c r="P9" s="8">
        <f ca="1">IF(ISNA(VLOOKUP($A9,JSetup[],COLUMN(JSetup!$T$4),0))=TRUE,"-",VLOOKUP($A9,JSetup[],COLUMN(JSetup!$T$4),0))</f>
        <v>44015</v>
      </c>
      <c r="Q9" s="5">
        <f>IF(ISNA(VLOOKUP(G9,JSetup[],COLUMN(JSetup!$L$4),0))=TRUE,0,IF(ISNUMBER(VLOOKUP(G9,JSetup[],COLUMN(JSetup!$L$4),0))=FALSE,0,IF(VLOOKUP(G9,JSetup[],COLUMN(JSetup!$C$4),0)&lt;&gt;C9,0,VLOOKUP(G9,JSetup[],COLUMN(JSetup!$L$4),0))))</f>
        <v>0</v>
      </c>
      <c r="R9" s="5">
        <f>IF(J9="Bought-In",0,IF(B9="Receipt",0,IF(ISNA(VLOOKUP(C9,StockMaster,COLUMN(StockCode!$AA$4),0))=TRUE,0,VLOOKUP(C9,StockMaster,COLUMN(StockCode!$AA$4),0))))</f>
        <v>0</v>
      </c>
      <c r="S9" s="8" t="str">
        <f ca="1">IF(JSetup!$U$1="Single",IF(ISNA(VLOOKUP($A9,JSetup[],COLUMN(JSetup!$C$4),0))=TRUE,"-",VLOOKUP($A9,JSetup[],COLUMN(JSetup!$C$4),0)),"-")</f>
        <v>1212GHG</v>
      </c>
    </row>
    <row r="10" spans="1:19" ht="16.149999999999999" customHeight="1" x14ac:dyDescent="0.25">
      <c r="A10" s="2" t="s">
        <v>106</v>
      </c>
      <c r="B10" s="3" t="s">
        <v>112</v>
      </c>
      <c r="C10" s="3" t="s">
        <v>50</v>
      </c>
      <c r="D10" s="4">
        <v>-12</v>
      </c>
      <c r="H10" s="3" t="str">
        <f t="shared" si="0"/>
        <v>-</v>
      </c>
      <c r="I10" s="2" t="str">
        <f>IF(ISNA(VLOOKUP($C10,StockMaster,COLUMN(StockCode!$B$4),0))=TRUE,"-",VLOOKUP($C10,StockMaster,COLUMN(StockCode!$B$4),0))</f>
        <v>1 Inch Screws</v>
      </c>
      <c r="J10" s="3" t="str">
        <f>IF(ISNA(VLOOKUP($C10,StockMaster,COLUMN(StockCode!$G$4),0))=TRUE,"-",VLOOKUP($C10,StockMaster,COLUMN(StockCode!$G$4),0))</f>
        <v>Bought-In</v>
      </c>
      <c r="K10" s="3" t="str">
        <f>IF(ISNA(VLOOKUP($C10,StockMaster,COLUMN(StockCode!$C$4),0))=TRUE,"-",VLOOKUP($C10,StockMaster,COLUMN(StockCode!$C$4),0))</f>
        <v>Bag</v>
      </c>
      <c r="L10" s="4">
        <f>IF(ISNA(VLOOKUP($C10,StockMaster,COLUMN(StockCode!$I$4),0))=TRUE,0,VLOOKUP($C10,StockMaster,COLUMN(StockCode!$I$4),0))</f>
        <v>30</v>
      </c>
      <c r="M10" s="4">
        <f>IF(B10="Receipt",L10,IF(J10="Manufactured",IF(Q10&lt;&gt;0,Q10,IF(R10&lt;&gt;0,R10,L10)),IF(F10="Yes",E10,L10)))</f>
        <v>30</v>
      </c>
      <c r="N10" s="4">
        <f>D10*M10</f>
        <v>-360</v>
      </c>
      <c r="O10" s="4">
        <f>-(L10-M10)*D10</f>
        <v>0</v>
      </c>
      <c r="P10" s="8">
        <f ca="1">IF(ISNA(VLOOKUP($A10,JSetup[],COLUMN(JSetup!$T$4),0))=TRUE,"-",VLOOKUP($A10,JSetup[],COLUMN(JSetup!$T$4),0))</f>
        <v>44015</v>
      </c>
      <c r="Q10" s="5">
        <f>IF(ISNA(VLOOKUP(G10,JSetup[],COLUMN(JSetup!$L$4),0))=TRUE,0,IF(ISNUMBER(VLOOKUP(G10,JSetup[],COLUMN(JSetup!$L$4),0))=FALSE,0,IF(VLOOKUP(G10,JSetup[],COLUMN(JSetup!$C$4),0)&lt;&gt;C10,0,VLOOKUP(G10,JSetup[],COLUMN(JSetup!$L$4),0))))</f>
        <v>0</v>
      </c>
      <c r="R10" s="5">
        <f>IF(J10="Bought-In",0,IF(B10="Receipt",0,IF(ISNA(VLOOKUP(C10,StockMaster,COLUMN(StockCode!$AA$4),0))=TRUE,0,VLOOKUP(C10,StockMaster,COLUMN(StockCode!$AA$4),0))))</f>
        <v>0</v>
      </c>
      <c r="S10" s="8" t="str">
        <f ca="1">IF(JSetup!$U$1="Single",IF(ISNA(VLOOKUP($A10,JSetup[],COLUMN(JSetup!$C$4),0))=TRUE,"-",VLOOKUP($A10,JSetup[],COLUMN(JSetup!$C$4),0)),"-")</f>
        <v>1212GHG</v>
      </c>
    </row>
    <row r="11" spans="1:19" ht="16.149999999999999" customHeight="1" x14ac:dyDescent="0.25">
      <c r="A11" s="2" t="s">
        <v>106</v>
      </c>
      <c r="B11" s="3" t="s">
        <v>112</v>
      </c>
      <c r="C11" s="3" t="s">
        <v>52</v>
      </c>
      <c r="D11" s="4">
        <v>-250</v>
      </c>
      <c r="E11" s="4">
        <v>100</v>
      </c>
      <c r="F11" s="3" t="s">
        <v>125</v>
      </c>
      <c r="H11" s="3" t="str">
        <f t="shared" si="0"/>
        <v>-</v>
      </c>
      <c r="I11" s="2" t="str">
        <f>IF(ISNA(VLOOKUP($C11,StockMaster,COLUMN(StockCode!$B$4),0))=TRUE,"-",VLOOKUP($C11,StockMaster,COLUMN(StockCode!$B$4),0))</f>
        <v>Glass</v>
      </c>
      <c r="J11" s="3" t="str">
        <f>IF(ISNA(VLOOKUP($C11,StockMaster,COLUMN(StockCode!$G$4),0))=TRUE,"-",VLOOKUP($C11,StockMaster,COLUMN(StockCode!$G$4),0))</f>
        <v>Bought-In</v>
      </c>
      <c r="K11" s="3" t="str">
        <f>IF(ISNA(VLOOKUP($C11,StockMaster,COLUMN(StockCode!$C$4),0))=TRUE,"-",VLOOKUP($C11,StockMaster,COLUMN(StockCode!$C$4),0))</f>
        <v>M2</v>
      </c>
      <c r="L11" s="4">
        <f>IF(ISNA(VLOOKUP($C11,StockMaster,COLUMN(StockCode!$I$4),0))=TRUE,0,VLOOKUP($C11,StockMaster,COLUMN(StockCode!$I$4),0))</f>
        <v>80</v>
      </c>
      <c r="M11" s="4">
        <f>IF(B11="Receipt",L11,IF(J11="Manufactured",IF(Q11&lt;&gt;0,Q11,IF(R11&lt;&gt;0,R11,L11)),IF(F11="Yes",E11,L11)))</f>
        <v>100</v>
      </c>
      <c r="N11" s="4">
        <f>D11*M11</f>
        <v>-25000</v>
      </c>
      <c r="O11" s="4">
        <f>-(L11-M11)*D11</f>
        <v>-5000</v>
      </c>
      <c r="P11" s="8">
        <f ca="1">IF(ISNA(VLOOKUP($A11,JSetup[],COLUMN(JSetup!$T$4),0))=TRUE,"-",VLOOKUP($A11,JSetup[],COLUMN(JSetup!$T$4),0))</f>
        <v>44015</v>
      </c>
      <c r="Q11" s="5">
        <f>IF(ISNA(VLOOKUP(G11,JSetup[],COLUMN(JSetup!$L$4),0))=TRUE,0,IF(ISNUMBER(VLOOKUP(G11,JSetup[],COLUMN(JSetup!$L$4),0))=FALSE,0,IF(VLOOKUP(G11,JSetup[],COLUMN(JSetup!$C$4),0)&lt;&gt;C11,0,VLOOKUP(G11,JSetup[],COLUMN(JSetup!$L$4),0))))</f>
        <v>0</v>
      </c>
      <c r="R11" s="5">
        <f>IF(J11="Bought-In",0,IF(B11="Receipt",0,IF(ISNA(VLOOKUP(C11,StockMaster,COLUMN(StockCode!$AA$4),0))=TRUE,0,VLOOKUP(C11,StockMaster,COLUMN(StockCode!$AA$4),0))))</f>
        <v>0</v>
      </c>
      <c r="S11" s="8" t="str">
        <f ca="1">IF(JSetup!$U$1="Single",IF(ISNA(VLOOKUP($A11,JSetup[],COLUMN(JSetup!$C$4),0))=TRUE,"-",VLOOKUP($A11,JSetup[],COLUMN(JSetup!$C$4),0)),"-")</f>
        <v>1212GHG</v>
      </c>
    </row>
    <row r="12" spans="1:19" ht="16.149999999999999" customHeight="1" x14ac:dyDescent="0.25">
      <c r="A12" s="2" t="s">
        <v>106</v>
      </c>
      <c r="B12" s="3" t="s">
        <v>112</v>
      </c>
      <c r="C12" s="3" t="s">
        <v>54</v>
      </c>
      <c r="D12" s="4">
        <v>-120</v>
      </c>
      <c r="H12" s="3" t="str">
        <f t="shared" si="0"/>
        <v>-</v>
      </c>
      <c r="I12" s="2" t="str">
        <f>IF(ISNA(VLOOKUP($C12,StockMaster,COLUMN(StockCode!$B$4),0))=TRUE,"-",VLOOKUP($C12,StockMaster,COLUMN(StockCode!$B$4),0))</f>
        <v>Filler</v>
      </c>
      <c r="J12" s="3" t="str">
        <f>IF(ISNA(VLOOKUP($C12,StockMaster,COLUMN(StockCode!$G$4),0))=TRUE,"-",VLOOKUP($C12,StockMaster,COLUMN(StockCode!$G$4),0))</f>
        <v>Bought-In</v>
      </c>
      <c r="K12" s="3" t="str">
        <f>IF(ISNA(VLOOKUP($C12,StockMaster,COLUMN(StockCode!$C$4),0))=TRUE,"-",VLOOKUP($C12,StockMaster,COLUMN(StockCode!$C$4),0))</f>
        <v>Bag</v>
      </c>
      <c r="L12" s="4">
        <f>IF(ISNA(VLOOKUP($C12,StockMaster,COLUMN(StockCode!$I$4),0))=TRUE,0,VLOOKUP($C12,StockMaster,COLUMN(StockCode!$I$4),0))</f>
        <v>60</v>
      </c>
      <c r="M12" s="4">
        <f>IF(B12="Receipt",L12,IF(J12="Manufactured",IF(Q12&lt;&gt;0,Q12,IF(R12&lt;&gt;0,R12,L12)),IF(F12="Yes",E12,L12)))</f>
        <v>60</v>
      </c>
      <c r="N12" s="4">
        <f>D12*M12</f>
        <v>-7200</v>
      </c>
      <c r="O12" s="4">
        <f>-(L12-M12)*D12</f>
        <v>0</v>
      </c>
      <c r="P12" s="8">
        <f ca="1">IF(ISNA(VLOOKUP($A12,JSetup[],COLUMN(JSetup!$T$4),0))=TRUE,"-",VLOOKUP($A12,JSetup[],COLUMN(JSetup!$T$4),0))</f>
        <v>44015</v>
      </c>
      <c r="Q12" s="5">
        <f>IF(ISNA(VLOOKUP(G12,JSetup[],COLUMN(JSetup!$L$4),0))=TRUE,0,IF(ISNUMBER(VLOOKUP(G12,JSetup[],COLUMN(JSetup!$L$4),0))=FALSE,0,IF(VLOOKUP(G12,JSetup[],COLUMN(JSetup!$C$4),0)&lt;&gt;C12,0,VLOOKUP(G12,JSetup[],COLUMN(JSetup!$L$4),0))))</f>
        <v>0</v>
      </c>
      <c r="R12" s="5">
        <f>IF(J12="Bought-In",0,IF(B12="Receipt",0,IF(ISNA(VLOOKUP(C12,StockMaster,COLUMN(StockCode!$AA$4),0))=TRUE,0,VLOOKUP(C12,StockMaster,COLUMN(StockCode!$AA$4),0))))</f>
        <v>0</v>
      </c>
      <c r="S12" s="8" t="str">
        <f ca="1">IF(JSetup!$U$1="Single",IF(ISNA(VLOOKUP($A12,JSetup[],COLUMN(JSetup!$C$4),0))=TRUE,"-",VLOOKUP($A12,JSetup[],COLUMN(JSetup!$C$4),0)),"-")</f>
        <v>1212GHG</v>
      </c>
    </row>
    <row r="13" spans="1:19" ht="16.149999999999999" customHeight="1" x14ac:dyDescent="0.25">
      <c r="A13" s="2" t="s">
        <v>106</v>
      </c>
      <c r="B13" s="3" t="s">
        <v>112</v>
      </c>
      <c r="C13" s="3" t="s">
        <v>72</v>
      </c>
      <c r="D13" s="4">
        <v>-200</v>
      </c>
      <c r="H13" s="3" t="str">
        <f t="shared" si="0"/>
        <v>-</v>
      </c>
      <c r="I13" s="2" t="str">
        <f>IF(ISNA(VLOOKUP($C13,StockMaster,COLUMN(StockCode!$B$4),0))=TRUE,"-",VLOOKUP($C13,StockMaster,COLUMN(StockCode!$B$4),0))</f>
        <v>Swivel</v>
      </c>
      <c r="J13" s="3" t="str">
        <f>IF(ISNA(VLOOKUP($C13,StockMaster,COLUMN(StockCode!$G$4),0))=TRUE,"-",VLOOKUP($C13,StockMaster,COLUMN(StockCode!$G$4),0))</f>
        <v>Bought-In</v>
      </c>
      <c r="K13" s="3" t="str">
        <f>IF(ISNA(VLOOKUP($C13,StockMaster,COLUMN(StockCode!$C$4),0))=TRUE,"-",VLOOKUP($C13,StockMaster,COLUMN(StockCode!$C$4),0))</f>
        <v>Units</v>
      </c>
      <c r="L13" s="4">
        <f>IF(ISNA(VLOOKUP($C13,StockMaster,COLUMN(StockCode!$I$4),0))=TRUE,0,VLOOKUP($C13,StockMaster,COLUMN(StockCode!$I$4),0))</f>
        <v>3.5</v>
      </c>
      <c r="M13" s="4">
        <f t="shared" si="1"/>
        <v>3.5</v>
      </c>
      <c r="N13" s="4">
        <f t="shared" si="2"/>
        <v>-700</v>
      </c>
      <c r="O13" s="4">
        <f t="shared" si="3"/>
        <v>0</v>
      </c>
      <c r="P13" s="8">
        <f ca="1">IF(ISNA(VLOOKUP($A13,JSetup[],COLUMN(JSetup!$T$4),0))=TRUE,"-",VLOOKUP($A13,JSetup[],COLUMN(JSetup!$T$4),0))</f>
        <v>44015</v>
      </c>
      <c r="Q13" s="5">
        <f>IF(ISNA(VLOOKUP(G13,JSetup[],COLUMN(JSetup!$L$4),0))=TRUE,0,IF(ISNUMBER(VLOOKUP(G13,JSetup[],COLUMN(JSetup!$L$4),0))=FALSE,0,IF(VLOOKUP(G13,JSetup[],COLUMN(JSetup!$C$4),0)&lt;&gt;C13,0,VLOOKUP(G13,JSetup[],COLUMN(JSetup!$L$4),0))))</f>
        <v>0</v>
      </c>
      <c r="R13" s="5">
        <f>IF(J13="Bought-In",0,IF(B13="Receipt",0,IF(ISNA(VLOOKUP(C13,StockMaster,COLUMN(StockCode!$AA$4),0))=TRUE,0,VLOOKUP(C13,StockMaster,COLUMN(StockCode!$AA$4),0))))</f>
        <v>0</v>
      </c>
      <c r="S13" s="8" t="str">
        <f ca="1">IF(JSetup!$U$1="Single",IF(ISNA(VLOOKUP($A13,JSetup[],COLUMN(JSetup!$C$4),0))=TRUE,"-",VLOOKUP($A13,JSetup[],COLUMN(JSetup!$C$4),0)),"-")</f>
        <v>1212GHG</v>
      </c>
    </row>
    <row r="14" spans="1:19" ht="16.149999999999999" customHeight="1" x14ac:dyDescent="0.25">
      <c r="A14" s="2" t="s">
        <v>106</v>
      </c>
      <c r="B14" s="3" t="s">
        <v>112</v>
      </c>
      <c r="C14" s="3" t="s">
        <v>82</v>
      </c>
      <c r="D14" s="4">
        <v>-300</v>
      </c>
      <c r="H14" s="3" t="str">
        <f t="shared" si="0"/>
        <v>-</v>
      </c>
      <c r="I14" s="2" t="str">
        <f>IF(ISNA(VLOOKUP($C14,StockMaster,COLUMN(StockCode!$B$4),0))=TRUE,"-",VLOOKUP($C14,StockMaster,COLUMN(StockCode!$B$4),0))</f>
        <v>Labour - Grade 1</v>
      </c>
      <c r="J14" s="3" t="str">
        <f>IF(ISNA(VLOOKUP($C14,StockMaster,COLUMN(StockCode!$G$4),0))=TRUE,"-",VLOOKUP($C14,StockMaster,COLUMN(StockCode!$G$4),0))</f>
        <v>Bought-In</v>
      </c>
      <c r="K14" s="3" t="str">
        <f>IF(ISNA(VLOOKUP($C14,StockMaster,COLUMN(StockCode!$C$4),0))=TRUE,"-",VLOOKUP($C14,StockMaster,COLUMN(StockCode!$C$4),0))</f>
        <v>Hours</v>
      </c>
      <c r="L14" s="4">
        <f>IF(ISNA(VLOOKUP($C14,StockMaster,COLUMN(StockCode!$I$4),0))=TRUE,0,VLOOKUP($C14,StockMaster,COLUMN(StockCode!$I$4),0))</f>
        <v>20</v>
      </c>
      <c r="M14" s="4">
        <f t="shared" si="1"/>
        <v>20</v>
      </c>
      <c r="N14" s="4">
        <f t="shared" si="2"/>
        <v>-6000</v>
      </c>
      <c r="O14" s="4">
        <f t="shared" si="3"/>
        <v>0</v>
      </c>
      <c r="P14" s="8">
        <f ca="1">IF(ISNA(VLOOKUP($A14,JSetup[],COLUMN(JSetup!$T$4),0))=TRUE,"-",VLOOKUP($A14,JSetup[],COLUMN(JSetup!$T$4),0))</f>
        <v>44015</v>
      </c>
      <c r="Q14" s="5">
        <f>IF(ISNA(VLOOKUP(G14,JSetup[],COLUMN(JSetup!$L$4),0))=TRUE,0,IF(ISNUMBER(VLOOKUP(G14,JSetup[],COLUMN(JSetup!$L$4),0))=FALSE,0,IF(VLOOKUP(G14,JSetup[],COLUMN(JSetup!$C$4),0)&lt;&gt;C14,0,VLOOKUP(G14,JSetup[],COLUMN(JSetup!$L$4),0))))</f>
        <v>0</v>
      </c>
      <c r="R14" s="5">
        <f>IF(J14="Bought-In",0,IF(B14="Receipt",0,IF(ISNA(VLOOKUP(C14,StockMaster,COLUMN(StockCode!$AA$4),0))=TRUE,0,VLOOKUP(C14,StockMaster,COLUMN(StockCode!$AA$4),0))))</f>
        <v>0</v>
      </c>
      <c r="S14" s="8" t="str">
        <f ca="1">IF(JSetup!$U$1="Single",IF(ISNA(VLOOKUP($A14,JSetup[],COLUMN(JSetup!$C$4),0))=TRUE,"-",VLOOKUP($A14,JSetup[],COLUMN(JSetup!$C$4),0)),"-")</f>
        <v>1212GHG</v>
      </c>
    </row>
    <row r="15" spans="1:19" ht="16.149999999999999" customHeight="1" x14ac:dyDescent="0.25">
      <c r="A15" s="2" t="s">
        <v>106</v>
      </c>
      <c r="B15" s="3" t="s">
        <v>112</v>
      </c>
      <c r="C15" s="3" t="s">
        <v>84</v>
      </c>
      <c r="D15" s="4">
        <v>-90</v>
      </c>
      <c r="H15" s="3" t="str">
        <f t="shared" si="0"/>
        <v>-</v>
      </c>
      <c r="I15" s="2" t="str">
        <f>IF(ISNA(VLOOKUP($C15,StockMaster,COLUMN(StockCode!$B$4),0))=TRUE,"-",VLOOKUP($C15,StockMaster,COLUMN(StockCode!$B$4),0))</f>
        <v>Labour - Grade 2</v>
      </c>
      <c r="J15" s="3" t="str">
        <f>IF(ISNA(VLOOKUP($C15,StockMaster,COLUMN(StockCode!$G$4),0))=TRUE,"-",VLOOKUP($C15,StockMaster,COLUMN(StockCode!$G$4),0))</f>
        <v>Bought-In</v>
      </c>
      <c r="K15" s="3" t="str">
        <f>IF(ISNA(VLOOKUP($C15,StockMaster,COLUMN(StockCode!$C$4),0))=TRUE,"-",VLOOKUP($C15,StockMaster,COLUMN(StockCode!$C$4),0))</f>
        <v>Hours</v>
      </c>
      <c r="L15" s="4">
        <f>IF(ISNA(VLOOKUP($C15,StockMaster,COLUMN(StockCode!$I$4),0))=TRUE,0,VLOOKUP($C15,StockMaster,COLUMN(StockCode!$I$4),0))</f>
        <v>30</v>
      </c>
      <c r="M15" s="4">
        <f t="shared" si="1"/>
        <v>30</v>
      </c>
      <c r="N15" s="4">
        <f t="shared" si="2"/>
        <v>-2700</v>
      </c>
      <c r="O15" s="4">
        <f t="shared" si="3"/>
        <v>0</v>
      </c>
      <c r="P15" s="8">
        <f ca="1">IF(ISNA(VLOOKUP($A15,JSetup[],COLUMN(JSetup!$T$4),0))=TRUE,"-",VLOOKUP($A15,JSetup[],COLUMN(JSetup!$T$4),0))</f>
        <v>44015</v>
      </c>
      <c r="Q15" s="5">
        <f>IF(ISNA(VLOOKUP(G15,JSetup[],COLUMN(JSetup!$L$4),0))=TRUE,0,IF(ISNUMBER(VLOOKUP(G15,JSetup[],COLUMN(JSetup!$L$4),0))=FALSE,0,IF(VLOOKUP(G15,JSetup[],COLUMN(JSetup!$C$4),0)&lt;&gt;C15,0,VLOOKUP(G15,JSetup[],COLUMN(JSetup!$L$4),0))))</f>
        <v>0</v>
      </c>
      <c r="R15" s="5">
        <f>IF(J15="Bought-In",0,IF(B15="Receipt",0,IF(ISNA(VLOOKUP(C15,StockMaster,COLUMN(StockCode!$AA$4),0))=TRUE,0,VLOOKUP(C15,StockMaster,COLUMN(StockCode!$AA$4),0))))</f>
        <v>0</v>
      </c>
      <c r="S15" s="8" t="str">
        <f ca="1">IF(JSetup!$U$1="Single",IF(ISNA(VLOOKUP($A15,JSetup[],COLUMN(JSetup!$C$4),0))=TRUE,"-",VLOOKUP($A15,JSetup[],COLUMN(JSetup!$C$4),0)),"-")</f>
        <v>1212GHG</v>
      </c>
    </row>
    <row r="16" spans="1:19" ht="16.149999999999999" customHeight="1" x14ac:dyDescent="0.25">
      <c r="A16" s="2" t="s">
        <v>107</v>
      </c>
      <c r="B16" s="3" t="s">
        <v>110</v>
      </c>
      <c r="C16" s="3" t="s">
        <v>65</v>
      </c>
      <c r="D16" s="4">
        <v>52</v>
      </c>
      <c r="H16" s="3" t="str">
        <f t="shared" si="0"/>
        <v>-</v>
      </c>
      <c r="I16" s="2" t="str">
        <f>IF(ISNA(VLOOKUP($C16,StockMaster,COLUMN(StockCode!$B$4),0))=TRUE,"-",VLOOKUP($C16,StockMaster,COLUMN(StockCode!$B$4),0))</f>
        <v>Painted Garden Shed</v>
      </c>
      <c r="J16" s="3" t="str">
        <f>IF(ISNA(VLOOKUP($C16,StockMaster,COLUMN(StockCode!$G$4),0))=TRUE,"-",VLOOKUP($C16,StockMaster,COLUMN(StockCode!$G$4),0))</f>
        <v>Manufactured</v>
      </c>
      <c r="K16" s="3" t="str">
        <f>IF(ISNA(VLOOKUP($C16,StockMaster,COLUMN(StockCode!$C$4),0))=TRUE,"-",VLOOKUP($C16,StockMaster,COLUMN(StockCode!$C$4),0))</f>
        <v>Units</v>
      </c>
      <c r="L16" s="4">
        <f>IF(ISNA(VLOOKUP($C16,StockMaster,COLUMN(StockCode!$I$4),0))=TRUE,0,VLOOKUP($C16,StockMaster,COLUMN(StockCode!$I$4),0))</f>
        <v>4956.3931888544885</v>
      </c>
      <c r="M16" s="4">
        <f t="shared" si="1"/>
        <v>4956.3931888544885</v>
      </c>
      <c r="N16" s="4">
        <f t="shared" si="2"/>
        <v>257732.44582043341</v>
      </c>
      <c r="O16" s="4">
        <f t="shared" si="3"/>
        <v>0</v>
      </c>
      <c r="P16" s="8">
        <f ca="1">IF(ISNA(VLOOKUP($A16,JSetup[],COLUMN(JSetup!$T$4),0))=TRUE,"-",VLOOKUP($A16,JSetup[],COLUMN(JSetup!$T$4),0))</f>
        <v>44016</v>
      </c>
      <c r="Q16" s="5">
        <f>IF(ISNA(VLOOKUP(G16,JSetup[],COLUMN(JSetup!$L$4),0))=TRUE,0,IF(ISNUMBER(VLOOKUP(G16,JSetup[],COLUMN(JSetup!$L$4),0))=FALSE,0,IF(VLOOKUP(G16,JSetup[],COLUMN(JSetup!$C$4),0)&lt;&gt;C16,0,VLOOKUP(G16,JSetup[],COLUMN(JSetup!$L$4),0))))</f>
        <v>0</v>
      </c>
      <c r="R16" s="5">
        <f>IF(J16="Bought-In",0,IF(B16="Receipt",0,IF(ISNA(VLOOKUP(C16,StockMaster,COLUMN(StockCode!$AA$4),0))=TRUE,0,VLOOKUP(C16,StockMaster,COLUMN(StockCode!$AA$4),0))))</f>
        <v>0</v>
      </c>
      <c r="S16" s="8" t="str">
        <f ca="1">IF(JSetup!$U$1="Single",IF(ISNA(VLOOKUP($A16,JSetup[],COLUMN(JSetup!$C$4),0))=TRUE,"-",VLOOKUP($A16,JSetup[],COLUMN(JSetup!$C$4),0)),"-")</f>
        <v>1212PHP</v>
      </c>
    </row>
    <row r="17" spans="1:19" ht="16.149999999999999" customHeight="1" x14ac:dyDescent="0.25">
      <c r="A17" s="2" t="s">
        <v>107</v>
      </c>
      <c r="B17" s="3" t="s">
        <v>112</v>
      </c>
      <c r="C17" s="3" t="s">
        <v>48</v>
      </c>
      <c r="D17" s="4">
        <v>-750</v>
      </c>
      <c r="E17" s="4">
        <v>110</v>
      </c>
      <c r="F17" s="3" t="s">
        <v>125</v>
      </c>
      <c r="H17" s="3" t="str">
        <f t="shared" si="0"/>
        <v>-</v>
      </c>
      <c r="I17" s="2" t="str">
        <f>IF(ISNA(VLOOKUP($C17,StockMaster,COLUMN(StockCode!$B$4),0))=TRUE,"-",VLOOKUP($C17,StockMaster,COLUMN(StockCode!$B$4),0))</f>
        <v>Wood</v>
      </c>
      <c r="J17" s="3" t="str">
        <f>IF(ISNA(VLOOKUP($C17,StockMaster,COLUMN(StockCode!$G$4),0))=TRUE,"-",VLOOKUP($C17,StockMaster,COLUMN(StockCode!$G$4),0))</f>
        <v>Bought-In</v>
      </c>
      <c r="K17" s="3" t="str">
        <f>IF(ISNA(VLOOKUP($C17,StockMaster,COLUMN(StockCode!$C$4),0))=TRUE,"-",VLOOKUP($C17,StockMaster,COLUMN(StockCode!$C$4),0))</f>
        <v>M2</v>
      </c>
      <c r="L17" s="4">
        <f>IF(ISNA(VLOOKUP($C17,StockMaster,COLUMN(StockCode!$I$4),0))=TRUE,0,VLOOKUP($C17,StockMaster,COLUMN(StockCode!$I$4),0))</f>
        <v>120</v>
      </c>
      <c r="M17" s="4">
        <f t="shared" si="1"/>
        <v>110</v>
      </c>
      <c r="N17" s="4">
        <f t="shared" si="2"/>
        <v>-82500</v>
      </c>
      <c r="O17" s="4">
        <f t="shared" si="3"/>
        <v>7500</v>
      </c>
      <c r="P17" s="8">
        <f ca="1">IF(ISNA(VLOOKUP($A17,JSetup[],COLUMN(JSetup!$T$4),0))=TRUE,"-",VLOOKUP($A17,JSetup[],COLUMN(JSetup!$T$4),0))</f>
        <v>44016</v>
      </c>
      <c r="Q17" s="5">
        <f>IF(ISNA(VLOOKUP(G17,JSetup[],COLUMN(JSetup!$L$4),0))=TRUE,0,IF(ISNUMBER(VLOOKUP(G17,JSetup[],COLUMN(JSetup!$L$4),0))=FALSE,0,IF(VLOOKUP(G17,JSetup[],COLUMN(JSetup!$C$4),0)&lt;&gt;C17,0,VLOOKUP(G17,JSetup[],COLUMN(JSetup!$L$4),0))))</f>
        <v>0</v>
      </c>
      <c r="R17" s="5">
        <f>IF(J17="Bought-In",0,IF(B17="Receipt",0,IF(ISNA(VLOOKUP(C17,StockMaster,COLUMN(StockCode!$AA$4),0))=TRUE,0,VLOOKUP(C17,StockMaster,COLUMN(StockCode!$AA$4),0))))</f>
        <v>0</v>
      </c>
      <c r="S17" s="8" t="str">
        <f ca="1">IF(JSetup!$U$1="Single",IF(ISNA(VLOOKUP($A17,JSetup[],COLUMN(JSetup!$C$4),0))=TRUE,"-",VLOOKUP($A17,JSetup[],COLUMN(JSetup!$C$4),0)),"-")</f>
        <v>1212PHP</v>
      </c>
    </row>
    <row r="18" spans="1:19" ht="16.149999999999999" customHeight="1" x14ac:dyDescent="0.25">
      <c r="A18" s="2" t="s">
        <v>107</v>
      </c>
      <c r="B18" s="3" t="s">
        <v>112</v>
      </c>
      <c r="C18" s="3" t="s">
        <v>70</v>
      </c>
      <c r="D18" s="4">
        <v>-170</v>
      </c>
      <c r="H18" s="3" t="str">
        <f t="shared" si="0"/>
        <v>-</v>
      </c>
      <c r="I18" s="2" t="str">
        <f>IF(ISNA(VLOOKUP($C18,StockMaster,COLUMN(StockCode!$B$4),0))=TRUE,"-",VLOOKUP($C18,StockMaster,COLUMN(StockCode!$B$4),0))</f>
        <v>2 Inch Screws</v>
      </c>
      <c r="J18" s="3" t="str">
        <f>IF(ISNA(VLOOKUP($C18,StockMaster,COLUMN(StockCode!$G$4),0))=TRUE,"-",VLOOKUP($C18,StockMaster,COLUMN(StockCode!$G$4),0))</f>
        <v>Bought-In</v>
      </c>
      <c r="K18" s="3" t="str">
        <f>IF(ISNA(VLOOKUP($C18,StockMaster,COLUMN(StockCode!$C$4),0))=TRUE,"-",VLOOKUP($C18,StockMaster,COLUMN(StockCode!$C$4),0))</f>
        <v>Bag</v>
      </c>
      <c r="L18" s="4">
        <f>IF(ISNA(VLOOKUP($C18,StockMaster,COLUMN(StockCode!$I$4),0))=TRUE,0,VLOOKUP($C18,StockMaster,COLUMN(StockCode!$I$4),0))</f>
        <v>50</v>
      </c>
      <c r="M18" s="4">
        <f t="shared" si="1"/>
        <v>50</v>
      </c>
      <c r="N18" s="4">
        <f t="shared" si="2"/>
        <v>-8500</v>
      </c>
      <c r="O18" s="4">
        <f t="shared" si="3"/>
        <v>0</v>
      </c>
      <c r="P18" s="8">
        <f ca="1">IF(ISNA(VLOOKUP($A18,JSetup[],COLUMN(JSetup!$T$4),0))=TRUE,"-",VLOOKUP($A18,JSetup[],COLUMN(JSetup!$T$4),0))</f>
        <v>44016</v>
      </c>
      <c r="Q18" s="5">
        <f>IF(ISNA(VLOOKUP(G18,JSetup[],COLUMN(JSetup!$L$4),0))=TRUE,0,IF(ISNUMBER(VLOOKUP(G18,JSetup[],COLUMN(JSetup!$L$4),0))=FALSE,0,IF(VLOOKUP(G18,JSetup[],COLUMN(JSetup!$C$4),0)&lt;&gt;C18,0,VLOOKUP(G18,JSetup[],COLUMN(JSetup!$L$4),0))))</f>
        <v>0</v>
      </c>
      <c r="R18" s="5">
        <f>IF(J18="Bought-In",0,IF(B18="Receipt",0,IF(ISNA(VLOOKUP(C18,StockMaster,COLUMN(StockCode!$AA$4),0))=TRUE,0,VLOOKUP(C18,StockMaster,COLUMN(StockCode!$AA$4),0))))</f>
        <v>0</v>
      </c>
      <c r="S18" s="8" t="str">
        <f ca="1">IF(JSetup!$U$1="Single",IF(ISNA(VLOOKUP($A18,JSetup[],COLUMN(JSetup!$C$4),0))=TRUE,"-",VLOOKUP($A18,JSetup[],COLUMN(JSetup!$C$4),0)),"-")</f>
        <v>1212PHP</v>
      </c>
    </row>
    <row r="19" spans="1:19" ht="16.149999999999999" customHeight="1" x14ac:dyDescent="0.25">
      <c r="A19" s="2" t="s">
        <v>107</v>
      </c>
      <c r="B19" s="3" t="s">
        <v>112</v>
      </c>
      <c r="C19" s="3" t="s">
        <v>74</v>
      </c>
      <c r="D19" s="4">
        <v>-110</v>
      </c>
      <c r="E19" s="4">
        <v>250</v>
      </c>
      <c r="F19" s="3" t="s">
        <v>125</v>
      </c>
      <c r="H19" s="3" t="str">
        <f t="shared" si="0"/>
        <v>-</v>
      </c>
      <c r="I19" s="2" t="str">
        <f>IF(ISNA(VLOOKUP($C19,StockMaster,COLUMN(StockCode!$B$4),0))=TRUE,"-",VLOOKUP($C19,StockMaster,COLUMN(StockCode!$B$4),0))</f>
        <v>Paint - White</v>
      </c>
      <c r="J19" s="3" t="str">
        <f>IF(ISNA(VLOOKUP($C19,StockMaster,COLUMN(StockCode!$G$4),0))=TRUE,"-",VLOOKUP($C19,StockMaster,COLUMN(StockCode!$G$4),0))</f>
        <v>Bought-In</v>
      </c>
      <c r="K19" s="3" t="str">
        <f>IF(ISNA(VLOOKUP($C19,StockMaster,COLUMN(StockCode!$C$4),0))=TRUE,"-",VLOOKUP($C19,StockMaster,COLUMN(StockCode!$C$4),0))</f>
        <v>Drum</v>
      </c>
      <c r="L19" s="4">
        <f>IF(ISNA(VLOOKUP($C19,StockMaster,COLUMN(StockCode!$I$4),0))=TRUE,0,VLOOKUP($C19,StockMaster,COLUMN(StockCode!$I$4),0))</f>
        <v>220</v>
      </c>
      <c r="M19" s="4">
        <f t="shared" si="1"/>
        <v>250</v>
      </c>
      <c r="N19" s="4">
        <f t="shared" si="2"/>
        <v>-27500</v>
      </c>
      <c r="O19" s="4">
        <f t="shared" si="3"/>
        <v>-3300</v>
      </c>
      <c r="P19" s="8">
        <f ca="1">IF(ISNA(VLOOKUP($A19,JSetup[],COLUMN(JSetup!$T$4),0))=TRUE,"-",VLOOKUP($A19,JSetup[],COLUMN(JSetup!$T$4),0))</f>
        <v>44016</v>
      </c>
      <c r="Q19" s="5">
        <f>IF(ISNA(VLOOKUP(G19,JSetup[],COLUMN(JSetup!$L$4),0))=TRUE,0,IF(ISNUMBER(VLOOKUP(G19,JSetup[],COLUMN(JSetup!$L$4),0))=FALSE,0,IF(VLOOKUP(G19,JSetup[],COLUMN(JSetup!$C$4),0)&lt;&gt;C19,0,VLOOKUP(G19,JSetup[],COLUMN(JSetup!$L$4),0))))</f>
        <v>0</v>
      </c>
      <c r="R19" s="5">
        <f>IF(J19="Bought-In",0,IF(B19="Receipt",0,IF(ISNA(VLOOKUP(C19,StockMaster,COLUMN(StockCode!$AA$4),0))=TRUE,0,VLOOKUP(C19,StockMaster,COLUMN(StockCode!$AA$4),0))))</f>
        <v>0</v>
      </c>
      <c r="S19" s="8" t="str">
        <f ca="1">IF(JSetup!$U$1="Single",IF(ISNA(VLOOKUP($A19,JSetup[],COLUMN(JSetup!$C$4),0))=TRUE,"-",VLOOKUP($A19,JSetup[],COLUMN(JSetup!$C$4),0)),"-")</f>
        <v>1212PHP</v>
      </c>
    </row>
    <row r="20" spans="1:19" ht="16.149999999999999" customHeight="1" x14ac:dyDescent="0.25">
      <c r="A20" s="2" t="s">
        <v>107</v>
      </c>
      <c r="B20" s="3" t="s">
        <v>112</v>
      </c>
      <c r="C20" s="3" t="s">
        <v>77</v>
      </c>
      <c r="D20" s="4">
        <v>-60</v>
      </c>
      <c r="E20" s="4">
        <v>260</v>
      </c>
      <c r="F20" s="3" t="s">
        <v>125</v>
      </c>
      <c r="H20" s="3" t="str">
        <f t="shared" si="0"/>
        <v>-</v>
      </c>
      <c r="I20" s="2" t="str">
        <f>IF(ISNA(VLOOKUP($C20,StockMaster,COLUMN(StockCode!$B$4),0))=TRUE,"-",VLOOKUP($C20,StockMaster,COLUMN(StockCode!$B$4),0))</f>
        <v>Paint - Green</v>
      </c>
      <c r="J20" s="3" t="str">
        <f>IF(ISNA(VLOOKUP($C20,StockMaster,COLUMN(StockCode!$G$4),0))=TRUE,"-",VLOOKUP($C20,StockMaster,COLUMN(StockCode!$G$4),0))</f>
        <v>Bought-In</v>
      </c>
      <c r="K20" s="3" t="str">
        <f>IF(ISNA(VLOOKUP($C20,StockMaster,COLUMN(StockCode!$C$4),0))=TRUE,"-",VLOOKUP($C20,StockMaster,COLUMN(StockCode!$C$4),0))</f>
        <v>Drum</v>
      </c>
      <c r="L20" s="4">
        <f>IF(ISNA(VLOOKUP($C20,StockMaster,COLUMN(StockCode!$I$4),0))=TRUE,0,VLOOKUP($C20,StockMaster,COLUMN(StockCode!$I$4),0))</f>
        <v>240</v>
      </c>
      <c r="M20" s="4">
        <f t="shared" si="1"/>
        <v>260</v>
      </c>
      <c r="N20" s="4">
        <f t="shared" si="2"/>
        <v>-15600</v>
      </c>
      <c r="O20" s="4">
        <f t="shared" si="3"/>
        <v>-1200</v>
      </c>
      <c r="P20" s="8">
        <f ca="1">IF(ISNA(VLOOKUP($A20,JSetup[],COLUMN(JSetup!$T$4),0))=TRUE,"-",VLOOKUP($A20,JSetup[],COLUMN(JSetup!$T$4),0))</f>
        <v>44016</v>
      </c>
      <c r="Q20" s="5">
        <f>IF(ISNA(VLOOKUP(G20,JSetup[],COLUMN(JSetup!$L$4),0))=TRUE,0,IF(ISNUMBER(VLOOKUP(G20,JSetup[],COLUMN(JSetup!$L$4),0))=FALSE,0,IF(VLOOKUP(G20,JSetup[],COLUMN(JSetup!$C$4),0)&lt;&gt;C20,0,VLOOKUP(G20,JSetup[],COLUMN(JSetup!$L$4),0))))</f>
        <v>0</v>
      </c>
      <c r="R20" s="5">
        <f>IF(J20="Bought-In",0,IF(B20="Receipt",0,IF(ISNA(VLOOKUP(C20,StockMaster,COLUMN(StockCode!$AA$4),0))=TRUE,0,VLOOKUP(C20,StockMaster,COLUMN(StockCode!$AA$4),0))))</f>
        <v>0</v>
      </c>
      <c r="S20" s="8" t="str">
        <f ca="1">IF(JSetup!$U$1="Single",IF(ISNA(VLOOKUP($A20,JSetup[],COLUMN(JSetup!$C$4),0))=TRUE,"-",VLOOKUP($A20,JSetup[],COLUMN(JSetup!$C$4),0)),"-")</f>
        <v>1212PHP</v>
      </c>
    </row>
    <row r="21" spans="1:19" ht="16.149999999999999" customHeight="1" x14ac:dyDescent="0.25">
      <c r="A21" s="2" t="s">
        <v>107</v>
      </c>
      <c r="B21" s="3" t="s">
        <v>112</v>
      </c>
      <c r="C21" s="3" t="s">
        <v>43</v>
      </c>
      <c r="D21" s="4">
        <v>-580</v>
      </c>
      <c r="H21" s="3" t="str">
        <f t="shared" si="0"/>
        <v>-</v>
      </c>
      <c r="I21" s="2" t="str">
        <f>IF(ISNA(VLOOKUP($C21,StockMaster,COLUMN(StockCode!$B$4),0))=TRUE,"-",VLOOKUP($C21,StockMaster,COLUMN(StockCode!$B$4),0))</f>
        <v>Steel Plates</v>
      </c>
      <c r="J21" s="3" t="str">
        <f>IF(ISNA(VLOOKUP($C21,StockMaster,COLUMN(StockCode!$G$4),0))=TRUE,"-",VLOOKUP($C21,StockMaster,COLUMN(StockCode!$G$4),0))</f>
        <v>Bought-In</v>
      </c>
      <c r="K21" s="3" t="str">
        <f>IF(ISNA(VLOOKUP($C21,StockMaster,COLUMN(StockCode!$C$4),0))=TRUE,"-",VLOOKUP($C21,StockMaster,COLUMN(StockCode!$C$4),0))</f>
        <v>M2</v>
      </c>
      <c r="L21" s="4">
        <f>IF(ISNA(VLOOKUP($C21,StockMaster,COLUMN(StockCode!$I$4),0))=TRUE,0,VLOOKUP($C21,StockMaster,COLUMN(StockCode!$I$4),0))</f>
        <v>140</v>
      </c>
      <c r="M21" s="4">
        <f t="shared" si="1"/>
        <v>140</v>
      </c>
      <c r="N21" s="4">
        <f t="shared" si="2"/>
        <v>-81200</v>
      </c>
      <c r="O21" s="4">
        <f t="shared" si="3"/>
        <v>0</v>
      </c>
      <c r="P21" s="8">
        <f ca="1">IF(ISNA(VLOOKUP($A21,JSetup[],COLUMN(JSetup!$T$4),0))=TRUE,"-",VLOOKUP($A21,JSetup[],COLUMN(JSetup!$T$4),0))</f>
        <v>44016</v>
      </c>
      <c r="Q21" s="5">
        <f>IF(ISNA(VLOOKUP(G21,JSetup[],COLUMN(JSetup!$L$4),0))=TRUE,0,IF(ISNUMBER(VLOOKUP(G21,JSetup[],COLUMN(JSetup!$L$4),0))=FALSE,0,IF(VLOOKUP(G21,JSetup[],COLUMN(JSetup!$C$4),0)&lt;&gt;C21,0,VLOOKUP(G21,JSetup[],COLUMN(JSetup!$L$4),0))))</f>
        <v>0</v>
      </c>
      <c r="R21" s="5">
        <f>IF(J21="Bought-In",0,IF(B21="Receipt",0,IF(ISNA(VLOOKUP(C21,StockMaster,COLUMN(StockCode!$AA$4),0))=TRUE,0,VLOOKUP(C21,StockMaster,COLUMN(StockCode!$AA$4),0))))</f>
        <v>0</v>
      </c>
      <c r="S21" s="8" t="str">
        <f ca="1">IF(JSetup!$U$1="Single",IF(ISNA(VLOOKUP($A21,JSetup[],COLUMN(JSetup!$C$4),0))=TRUE,"-",VLOOKUP($A21,JSetup[],COLUMN(JSetup!$C$4),0)),"-")</f>
        <v>1212PHP</v>
      </c>
    </row>
    <row r="22" spans="1:19" ht="16.149999999999999" customHeight="1" x14ac:dyDescent="0.25">
      <c r="A22" s="2" t="s">
        <v>107</v>
      </c>
      <c r="B22" s="3" t="s">
        <v>112</v>
      </c>
      <c r="C22" s="3" t="s">
        <v>46</v>
      </c>
      <c r="D22" s="4">
        <v>-48</v>
      </c>
      <c r="H22" s="3" t="str">
        <f t="shared" si="0"/>
        <v>-</v>
      </c>
      <c r="I22" s="2" t="str">
        <f>IF(ISNA(VLOOKUP($C22,StockMaster,COLUMN(StockCode!$B$4),0))=TRUE,"-",VLOOKUP($C22,StockMaster,COLUMN(StockCode!$B$4),0))</f>
        <v>Door Handle</v>
      </c>
      <c r="J22" s="3" t="str">
        <f>IF(ISNA(VLOOKUP($C22,StockMaster,COLUMN(StockCode!$G$4),0))=TRUE,"-",VLOOKUP($C22,StockMaster,COLUMN(StockCode!$G$4),0))</f>
        <v>Bought-In</v>
      </c>
      <c r="K22" s="3" t="str">
        <f>IF(ISNA(VLOOKUP($C22,StockMaster,COLUMN(StockCode!$C$4),0))=TRUE,"-",VLOOKUP($C22,StockMaster,COLUMN(StockCode!$C$4),0))</f>
        <v>Units</v>
      </c>
      <c r="L22" s="4">
        <f>IF(ISNA(VLOOKUP($C22,StockMaster,COLUMN(StockCode!$I$4),0))=TRUE,0,VLOOKUP($C22,StockMaster,COLUMN(StockCode!$I$4),0))</f>
        <v>150</v>
      </c>
      <c r="M22" s="4">
        <f t="shared" si="1"/>
        <v>150</v>
      </c>
      <c r="N22" s="4">
        <f t="shared" si="2"/>
        <v>-7200</v>
      </c>
      <c r="O22" s="4">
        <f t="shared" si="3"/>
        <v>0</v>
      </c>
      <c r="P22" s="8">
        <f ca="1">IF(ISNA(VLOOKUP($A22,JSetup[],COLUMN(JSetup!$T$4),0))=TRUE,"-",VLOOKUP($A22,JSetup[],COLUMN(JSetup!$T$4),0))</f>
        <v>44016</v>
      </c>
      <c r="Q22" s="5">
        <f>IF(ISNA(VLOOKUP(G22,JSetup[],COLUMN(JSetup!$L$4),0))=TRUE,0,IF(ISNUMBER(VLOOKUP(G22,JSetup[],COLUMN(JSetup!$L$4),0))=FALSE,0,IF(VLOOKUP(G22,JSetup[],COLUMN(JSetup!$C$4),0)&lt;&gt;C22,0,VLOOKUP(G22,JSetup[],COLUMN(JSetup!$L$4),0))))</f>
        <v>0</v>
      </c>
      <c r="R22" s="5">
        <f>IF(J22="Bought-In",0,IF(B22="Receipt",0,IF(ISNA(VLOOKUP(C22,StockMaster,COLUMN(StockCode!$AA$4),0))=TRUE,0,VLOOKUP(C22,StockMaster,COLUMN(StockCode!$AA$4),0))))</f>
        <v>0</v>
      </c>
      <c r="S22" s="8" t="str">
        <f ca="1">IF(JSetup!$U$1="Single",IF(ISNA(VLOOKUP($A22,JSetup[],COLUMN(JSetup!$C$4),0))=TRUE,"-",VLOOKUP($A22,JSetup[],COLUMN(JSetup!$C$4),0)),"-")</f>
        <v>1212PHP</v>
      </c>
    </row>
    <row r="23" spans="1:19" ht="16.149999999999999" customHeight="1" x14ac:dyDescent="0.25">
      <c r="A23" s="2" t="s">
        <v>107</v>
      </c>
      <c r="B23" s="3" t="s">
        <v>112</v>
      </c>
      <c r="C23" s="3" t="s">
        <v>50</v>
      </c>
      <c r="D23" s="4">
        <v>-6</v>
      </c>
      <c r="H23" s="3" t="str">
        <f t="shared" si="0"/>
        <v>-</v>
      </c>
      <c r="I23" s="2" t="str">
        <f>IF(ISNA(VLOOKUP($C23,StockMaster,COLUMN(StockCode!$B$4),0))=TRUE,"-",VLOOKUP($C23,StockMaster,COLUMN(StockCode!$B$4),0))</f>
        <v>1 Inch Screws</v>
      </c>
      <c r="J23" s="3" t="str">
        <f>IF(ISNA(VLOOKUP($C23,StockMaster,COLUMN(StockCode!$G$4),0))=TRUE,"-",VLOOKUP($C23,StockMaster,COLUMN(StockCode!$G$4),0))</f>
        <v>Bought-In</v>
      </c>
      <c r="K23" s="3" t="str">
        <f>IF(ISNA(VLOOKUP($C23,StockMaster,COLUMN(StockCode!$C$4),0))=TRUE,"-",VLOOKUP($C23,StockMaster,COLUMN(StockCode!$C$4),0))</f>
        <v>Bag</v>
      </c>
      <c r="L23" s="4">
        <f>IF(ISNA(VLOOKUP($C23,StockMaster,COLUMN(StockCode!$I$4),0))=TRUE,0,VLOOKUP($C23,StockMaster,COLUMN(StockCode!$I$4),0))</f>
        <v>30</v>
      </c>
      <c r="M23" s="4">
        <f t="shared" si="1"/>
        <v>30</v>
      </c>
      <c r="N23" s="4">
        <f t="shared" si="2"/>
        <v>-180</v>
      </c>
      <c r="O23" s="4">
        <f t="shared" si="3"/>
        <v>0</v>
      </c>
      <c r="P23" s="8">
        <f ca="1">IF(ISNA(VLOOKUP($A23,JSetup[],COLUMN(JSetup!$T$4),0))=TRUE,"-",VLOOKUP($A23,JSetup[],COLUMN(JSetup!$T$4),0))</f>
        <v>44016</v>
      </c>
      <c r="Q23" s="5">
        <f>IF(ISNA(VLOOKUP(G23,JSetup[],COLUMN(JSetup!$L$4),0))=TRUE,0,IF(ISNUMBER(VLOOKUP(G23,JSetup[],COLUMN(JSetup!$L$4),0))=FALSE,0,IF(VLOOKUP(G23,JSetup[],COLUMN(JSetup!$C$4),0)&lt;&gt;C23,0,VLOOKUP(G23,JSetup[],COLUMN(JSetup!$L$4),0))))</f>
        <v>0</v>
      </c>
      <c r="R23" s="5">
        <f>IF(J23="Bought-In",0,IF(B23="Receipt",0,IF(ISNA(VLOOKUP(C23,StockMaster,COLUMN(StockCode!$AA$4),0))=TRUE,0,VLOOKUP(C23,StockMaster,COLUMN(StockCode!$AA$4),0))))</f>
        <v>0</v>
      </c>
      <c r="S23" s="8" t="str">
        <f ca="1">IF(JSetup!$U$1="Single",IF(ISNA(VLOOKUP($A23,JSetup[],COLUMN(JSetup!$C$4),0))=TRUE,"-",VLOOKUP($A23,JSetup[],COLUMN(JSetup!$C$4),0)),"-")</f>
        <v>1212PHP</v>
      </c>
    </row>
    <row r="24" spans="1:19" ht="16.149999999999999" customHeight="1" x14ac:dyDescent="0.25">
      <c r="A24" s="2" t="s">
        <v>107</v>
      </c>
      <c r="B24" s="3" t="s">
        <v>112</v>
      </c>
      <c r="C24" s="3" t="s">
        <v>52</v>
      </c>
      <c r="D24" s="4">
        <v>-120</v>
      </c>
      <c r="H24" s="3" t="str">
        <f t="shared" si="0"/>
        <v>-</v>
      </c>
      <c r="I24" s="2" t="str">
        <f>IF(ISNA(VLOOKUP($C24,StockMaster,COLUMN(StockCode!$B$4),0))=TRUE,"-",VLOOKUP($C24,StockMaster,COLUMN(StockCode!$B$4),0))</f>
        <v>Glass</v>
      </c>
      <c r="J24" s="3" t="str">
        <f>IF(ISNA(VLOOKUP($C24,StockMaster,COLUMN(StockCode!$G$4),0))=TRUE,"-",VLOOKUP($C24,StockMaster,COLUMN(StockCode!$G$4),0))</f>
        <v>Bought-In</v>
      </c>
      <c r="K24" s="3" t="str">
        <f>IF(ISNA(VLOOKUP($C24,StockMaster,COLUMN(StockCode!$C$4),0))=TRUE,"-",VLOOKUP($C24,StockMaster,COLUMN(StockCode!$C$4),0))</f>
        <v>M2</v>
      </c>
      <c r="L24" s="4">
        <f>IF(ISNA(VLOOKUP($C24,StockMaster,COLUMN(StockCode!$I$4),0))=TRUE,0,VLOOKUP($C24,StockMaster,COLUMN(StockCode!$I$4),0))</f>
        <v>80</v>
      </c>
      <c r="M24" s="4">
        <f t="shared" ref="M24:M49" si="4">IF(B24="Receipt",L24,IF(J24="Manufactured",IF(Q24&lt;&gt;0,Q24,IF(R24&lt;&gt;0,R24,L24)),IF(F24="Yes",E24,L24)))</f>
        <v>80</v>
      </c>
      <c r="N24" s="4">
        <f t="shared" ref="N24:N48" si="5">D24*M24</f>
        <v>-9600</v>
      </c>
      <c r="O24" s="4">
        <f t="shared" ref="O24:O50" si="6">-(L24-M24)*D24</f>
        <v>0</v>
      </c>
      <c r="P24" s="8">
        <f ca="1">IF(ISNA(VLOOKUP($A24,JSetup[],COLUMN(JSetup!$T$4),0))=TRUE,"-",VLOOKUP($A24,JSetup[],COLUMN(JSetup!$T$4),0))</f>
        <v>44016</v>
      </c>
      <c r="Q24" s="5">
        <f>IF(ISNA(VLOOKUP(G24,JSetup[],COLUMN(JSetup!$L$4),0))=TRUE,0,IF(ISNUMBER(VLOOKUP(G24,JSetup[],COLUMN(JSetup!$L$4),0))=FALSE,0,IF(VLOOKUP(G24,JSetup[],COLUMN(JSetup!$C$4),0)&lt;&gt;C24,0,VLOOKUP(G24,JSetup[],COLUMN(JSetup!$L$4),0))))</f>
        <v>0</v>
      </c>
      <c r="R24" s="5">
        <f>IF(J24="Bought-In",0,IF(B24="Receipt",0,IF(ISNA(VLOOKUP(C24,StockMaster,COLUMN(StockCode!$AA$4),0))=TRUE,0,VLOOKUP(C24,StockMaster,COLUMN(StockCode!$AA$4),0))))</f>
        <v>0</v>
      </c>
      <c r="S24" s="8" t="str">
        <f ca="1">IF(JSetup!$U$1="Single",IF(ISNA(VLOOKUP($A24,JSetup[],COLUMN(JSetup!$C$4),0))=TRUE,"-",VLOOKUP($A24,JSetup[],COLUMN(JSetup!$C$4),0)),"-")</f>
        <v>1212PHP</v>
      </c>
    </row>
    <row r="25" spans="1:19" ht="16.149999999999999" customHeight="1" x14ac:dyDescent="0.25">
      <c r="A25" s="2" t="s">
        <v>107</v>
      </c>
      <c r="B25" s="3" t="s">
        <v>112</v>
      </c>
      <c r="C25" s="3" t="s">
        <v>54</v>
      </c>
      <c r="D25" s="4">
        <v>-60</v>
      </c>
      <c r="H25" s="3" t="str">
        <f t="shared" si="0"/>
        <v>-</v>
      </c>
      <c r="I25" s="2" t="str">
        <f>IF(ISNA(VLOOKUP($C25,StockMaster,COLUMN(StockCode!$B$4),0))=TRUE,"-",VLOOKUP($C25,StockMaster,COLUMN(StockCode!$B$4),0))</f>
        <v>Filler</v>
      </c>
      <c r="J25" s="3" t="str">
        <f>IF(ISNA(VLOOKUP($C25,StockMaster,COLUMN(StockCode!$G$4),0))=TRUE,"-",VLOOKUP($C25,StockMaster,COLUMN(StockCode!$G$4),0))</f>
        <v>Bought-In</v>
      </c>
      <c r="K25" s="3" t="str">
        <f>IF(ISNA(VLOOKUP($C25,StockMaster,COLUMN(StockCode!$C$4),0))=TRUE,"-",VLOOKUP($C25,StockMaster,COLUMN(StockCode!$C$4),0))</f>
        <v>Bag</v>
      </c>
      <c r="L25" s="68">
        <f>IF(ISNA(VLOOKUP($C25,StockMaster,COLUMN(StockCode!$I$4),0))=TRUE,0,VLOOKUP($C25,StockMaster,COLUMN(StockCode!$I$4),0))</f>
        <v>60</v>
      </c>
      <c r="M25" s="4">
        <f t="shared" si="4"/>
        <v>60</v>
      </c>
      <c r="N25" s="4">
        <f t="shared" si="5"/>
        <v>-3600</v>
      </c>
      <c r="O25" s="4">
        <f t="shared" si="6"/>
        <v>0</v>
      </c>
      <c r="P25" s="8">
        <f ca="1">IF(ISNA(VLOOKUP($A25,JSetup[],COLUMN(JSetup!$T$4),0))=TRUE,"-",VLOOKUP($A25,JSetup[],COLUMN(JSetup!$T$4),0))</f>
        <v>44016</v>
      </c>
      <c r="Q25" s="5">
        <f>IF(ISNA(VLOOKUP(G25,JSetup[],COLUMN(JSetup!$L$4),0))=TRUE,0,IF(ISNUMBER(VLOOKUP(G25,JSetup[],COLUMN(JSetup!$L$4),0))=FALSE,0,IF(VLOOKUP(G25,JSetup[],COLUMN(JSetup!$C$4),0)&lt;&gt;C25,0,VLOOKUP(G25,JSetup[],COLUMN(JSetup!$L$4),0))))</f>
        <v>0</v>
      </c>
      <c r="R25" s="5">
        <f>IF(J25="Bought-In",0,IF(B25="Receipt",0,IF(ISNA(VLOOKUP(C25,StockMaster,COLUMN(StockCode!$AA$4),0))=TRUE,0,VLOOKUP(C25,StockMaster,COLUMN(StockCode!$AA$4),0))))</f>
        <v>0</v>
      </c>
      <c r="S25" s="8" t="str">
        <f ca="1">IF(JSetup!$U$1="Single",IF(ISNA(VLOOKUP($A25,JSetup[],COLUMN(JSetup!$C$4),0))=TRUE,"-",VLOOKUP($A25,JSetup[],COLUMN(JSetup!$C$4),0)),"-")</f>
        <v>1212PHP</v>
      </c>
    </row>
    <row r="26" spans="1:19" ht="16.149999999999999" customHeight="1" x14ac:dyDescent="0.25">
      <c r="A26" s="2" t="s">
        <v>107</v>
      </c>
      <c r="B26" s="3" t="s">
        <v>112</v>
      </c>
      <c r="C26" s="3" t="s">
        <v>72</v>
      </c>
      <c r="D26" s="4">
        <v>-100</v>
      </c>
      <c r="H26" s="3" t="str">
        <f t="shared" si="0"/>
        <v>-</v>
      </c>
      <c r="I26" s="2" t="str">
        <f>IF(ISNA(VLOOKUP($C26,StockMaster,COLUMN(StockCode!$B$4),0))=TRUE,"-",VLOOKUP($C26,StockMaster,COLUMN(StockCode!$B$4),0))</f>
        <v>Swivel</v>
      </c>
      <c r="J26" s="3" t="str">
        <f>IF(ISNA(VLOOKUP($C26,StockMaster,COLUMN(StockCode!$G$4),0))=TRUE,"-",VLOOKUP($C26,StockMaster,COLUMN(StockCode!$G$4),0))</f>
        <v>Bought-In</v>
      </c>
      <c r="K26" s="3" t="str">
        <f>IF(ISNA(VLOOKUP($C26,StockMaster,COLUMN(StockCode!$C$4),0))=TRUE,"-",VLOOKUP($C26,StockMaster,COLUMN(StockCode!$C$4),0))</f>
        <v>Units</v>
      </c>
      <c r="L26" s="68">
        <f>IF(ISNA(VLOOKUP($C26,StockMaster,COLUMN(StockCode!$I$4),0))=TRUE,0,VLOOKUP($C26,StockMaster,COLUMN(StockCode!$I$4),0))</f>
        <v>3.5</v>
      </c>
      <c r="M26" s="4">
        <f t="shared" si="4"/>
        <v>3.5</v>
      </c>
      <c r="N26" s="4">
        <f t="shared" si="5"/>
        <v>-350</v>
      </c>
      <c r="O26" s="4">
        <f t="shared" si="6"/>
        <v>0</v>
      </c>
      <c r="P26" s="8">
        <f ca="1">IF(ISNA(VLOOKUP($A26,JSetup[],COLUMN(JSetup!$T$4),0))=TRUE,"-",VLOOKUP($A26,JSetup[],COLUMN(JSetup!$T$4),0))</f>
        <v>44016</v>
      </c>
      <c r="Q26" s="5">
        <f>IF(ISNA(VLOOKUP(G26,JSetup[],COLUMN(JSetup!$L$4),0))=TRUE,0,IF(ISNUMBER(VLOOKUP(G26,JSetup[],COLUMN(JSetup!$L$4),0))=FALSE,0,IF(VLOOKUP(G26,JSetup[],COLUMN(JSetup!$C$4),0)&lt;&gt;C26,0,VLOOKUP(G26,JSetup[],COLUMN(JSetup!$L$4),0))))</f>
        <v>0</v>
      </c>
      <c r="R26" s="5">
        <f>IF(J26="Bought-In",0,IF(B26="Receipt",0,IF(ISNA(VLOOKUP(C26,StockMaster,COLUMN(StockCode!$AA$4),0))=TRUE,0,VLOOKUP(C26,StockMaster,COLUMN(StockCode!$AA$4),0))))</f>
        <v>0</v>
      </c>
      <c r="S26" s="8" t="str">
        <f ca="1">IF(JSetup!$U$1="Single",IF(ISNA(VLOOKUP($A26,JSetup[],COLUMN(JSetup!$C$4),0))=TRUE,"-",VLOOKUP($A26,JSetup[],COLUMN(JSetup!$C$4),0)),"-")</f>
        <v>1212PHP</v>
      </c>
    </row>
    <row r="27" spans="1:19" ht="16.149999999999999" customHeight="1" x14ac:dyDescent="0.25">
      <c r="A27" s="2" t="s">
        <v>107</v>
      </c>
      <c r="B27" s="3" t="s">
        <v>112</v>
      </c>
      <c r="C27" s="3" t="s">
        <v>82</v>
      </c>
      <c r="D27" s="4">
        <v>-690</v>
      </c>
      <c r="E27" s="4">
        <v>25</v>
      </c>
      <c r="F27" s="3" t="s">
        <v>125</v>
      </c>
      <c r="H27" s="3" t="str">
        <f t="shared" si="0"/>
        <v>-</v>
      </c>
      <c r="I27" s="2" t="str">
        <f>IF(ISNA(VLOOKUP($C27,StockMaster,COLUMN(StockCode!$B$4),0))=TRUE,"-",VLOOKUP($C27,StockMaster,COLUMN(StockCode!$B$4),0))</f>
        <v>Labour - Grade 1</v>
      </c>
      <c r="J27" s="3" t="str">
        <f>IF(ISNA(VLOOKUP($C27,StockMaster,COLUMN(StockCode!$G$4),0))=TRUE,"-",VLOOKUP($C27,StockMaster,COLUMN(StockCode!$G$4),0))</f>
        <v>Bought-In</v>
      </c>
      <c r="K27" s="3" t="str">
        <f>IF(ISNA(VLOOKUP($C27,StockMaster,COLUMN(StockCode!$C$4),0))=TRUE,"-",VLOOKUP($C27,StockMaster,COLUMN(StockCode!$C$4),0))</f>
        <v>Hours</v>
      </c>
      <c r="L27" s="68">
        <f>IF(ISNA(VLOOKUP($C27,StockMaster,COLUMN(StockCode!$I$4),0))=TRUE,0,VLOOKUP($C27,StockMaster,COLUMN(StockCode!$I$4),0))</f>
        <v>20</v>
      </c>
      <c r="M27" s="4">
        <f t="shared" si="4"/>
        <v>25</v>
      </c>
      <c r="N27" s="4">
        <f t="shared" si="5"/>
        <v>-17250</v>
      </c>
      <c r="O27" s="4">
        <f t="shared" si="6"/>
        <v>-3450</v>
      </c>
      <c r="P27" s="8">
        <f ca="1">IF(ISNA(VLOOKUP($A27,JSetup[],COLUMN(JSetup!$T$4),0))=TRUE,"-",VLOOKUP($A27,JSetup[],COLUMN(JSetup!$T$4),0))</f>
        <v>44016</v>
      </c>
      <c r="Q27" s="5">
        <f>IF(ISNA(VLOOKUP(G27,JSetup[],COLUMN(JSetup!$L$4),0))=TRUE,0,IF(ISNUMBER(VLOOKUP(G27,JSetup[],COLUMN(JSetup!$L$4),0))=FALSE,0,IF(VLOOKUP(G27,JSetup[],COLUMN(JSetup!$C$4),0)&lt;&gt;C27,0,VLOOKUP(G27,JSetup[],COLUMN(JSetup!$L$4),0))))</f>
        <v>0</v>
      </c>
      <c r="R27" s="5">
        <f>IF(J27="Bought-In",0,IF(B27="Receipt",0,IF(ISNA(VLOOKUP(C27,StockMaster,COLUMN(StockCode!$AA$4),0))=TRUE,0,VLOOKUP(C27,StockMaster,COLUMN(StockCode!$AA$4),0))))</f>
        <v>0</v>
      </c>
      <c r="S27" s="8" t="str">
        <f ca="1">IF(JSetup!$U$1="Single",IF(ISNA(VLOOKUP($A27,JSetup[],COLUMN(JSetup!$C$4),0))=TRUE,"-",VLOOKUP($A27,JSetup[],COLUMN(JSetup!$C$4),0)),"-")</f>
        <v>1212PHP</v>
      </c>
    </row>
    <row r="28" spans="1:19" ht="16.149999999999999" customHeight="1" x14ac:dyDescent="0.25">
      <c r="A28" s="2" t="s">
        <v>107</v>
      </c>
      <c r="B28" s="3" t="s">
        <v>112</v>
      </c>
      <c r="C28" s="3" t="s">
        <v>84</v>
      </c>
      <c r="D28" s="69">
        <v>-50</v>
      </c>
      <c r="H28" s="3" t="str">
        <f t="shared" si="0"/>
        <v>-</v>
      </c>
      <c r="I28" s="2" t="str">
        <f>IF(ISNA(VLOOKUP($C28,StockMaster,COLUMN(StockCode!$B$4),0))=TRUE,"-",VLOOKUP($C28,StockMaster,COLUMN(StockCode!$B$4),0))</f>
        <v>Labour - Grade 2</v>
      </c>
      <c r="J28" s="3" t="str">
        <f>IF(ISNA(VLOOKUP($C28,StockMaster,COLUMN(StockCode!$G$4),0))=TRUE,"-",VLOOKUP($C28,StockMaster,COLUMN(StockCode!$G$4),0))</f>
        <v>Bought-In</v>
      </c>
      <c r="K28" s="3" t="str">
        <f>IF(ISNA(VLOOKUP($C28,StockMaster,COLUMN(StockCode!$C$4),0))=TRUE,"-",VLOOKUP($C28,StockMaster,COLUMN(StockCode!$C$4),0))</f>
        <v>Hours</v>
      </c>
      <c r="L28" s="68">
        <f>IF(ISNA(VLOOKUP($C28,StockMaster,COLUMN(StockCode!$I$4),0))=TRUE,0,VLOOKUP($C28,StockMaster,COLUMN(StockCode!$I$4),0))</f>
        <v>30</v>
      </c>
      <c r="M28" s="4">
        <f t="shared" si="4"/>
        <v>30</v>
      </c>
      <c r="N28" s="4">
        <f t="shared" si="5"/>
        <v>-1500</v>
      </c>
      <c r="O28" s="4">
        <f t="shared" si="6"/>
        <v>0</v>
      </c>
      <c r="P28" s="8">
        <f ca="1">IF(ISNA(VLOOKUP($A28,JSetup[],COLUMN(JSetup!$T$4),0))=TRUE,"-",VLOOKUP($A28,JSetup[],COLUMN(JSetup!$T$4),0))</f>
        <v>44016</v>
      </c>
      <c r="Q28" s="5">
        <f>IF(ISNA(VLOOKUP(G28,JSetup[],COLUMN(JSetup!$L$4),0))=TRUE,0,IF(ISNUMBER(VLOOKUP(G28,JSetup[],COLUMN(JSetup!$L$4),0))=FALSE,0,IF(VLOOKUP(G28,JSetup[],COLUMN(JSetup!$C$4),0)&lt;&gt;C28,0,VLOOKUP(G28,JSetup[],COLUMN(JSetup!$L$4),0))))</f>
        <v>0</v>
      </c>
      <c r="R28" s="5">
        <f>IF(J28="Bought-In",0,IF(B28="Receipt",0,IF(ISNA(VLOOKUP(C28,StockMaster,COLUMN(StockCode!$AA$4),0))=TRUE,0,VLOOKUP(C28,StockMaster,COLUMN(StockCode!$AA$4),0))))</f>
        <v>0</v>
      </c>
      <c r="S28" s="8" t="str">
        <f ca="1">IF(JSetup!$U$1="Single",IF(ISNA(VLOOKUP($A28,JSetup[],COLUMN(JSetup!$C$4),0))=TRUE,"-",VLOOKUP($A28,JSetup[],COLUMN(JSetup!$C$4),0)),"-")</f>
        <v>1212PHP</v>
      </c>
    </row>
    <row r="29" spans="1:19" ht="16.149999999999999" customHeight="1" x14ac:dyDescent="0.25">
      <c r="A29" s="2" t="s">
        <v>141</v>
      </c>
      <c r="B29" s="3" t="s">
        <v>110</v>
      </c>
      <c r="C29" s="3" t="s">
        <v>67</v>
      </c>
      <c r="D29" s="69">
        <v>75</v>
      </c>
      <c r="H29" s="3" t="str">
        <f t="shared" si="0"/>
        <v>-</v>
      </c>
      <c r="I29" s="2" t="str">
        <f>IF(ISNA(VLOOKUP($C29,StockMaster,COLUMN(StockCode!$B$4),0))=TRUE,"-",VLOOKUP($C29,StockMaster,COLUMN(StockCode!$B$4),0))</f>
        <v>Tools Shed</v>
      </c>
      <c r="J29" s="3" t="str">
        <f>IF(ISNA(VLOOKUP($C29,StockMaster,COLUMN(StockCode!$G$4),0))=TRUE,"-",VLOOKUP($C29,StockMaster,COLUMN(StockCode!$G$4),0))</f>
        <v>Manufactured</v>
      </c>
      <c r="K29" s="3" t="str">
        <f>IF(ISNA(VLOOKUP($C29,StockMaster,COLUMN(StockCode!$C$4),0))=TRUE,"-",VLOOKUP($C29,StockMaster,COLUMN(StockCode!$C$4),0))</f>
        <v>Units</v>
      </c>
      <c r="L29" s="68">
        <f>IF(ISNA(VLOOKUP($C29,StockMaster,COLUMN(StockCode!$I$4),0))=TRUE,0,VLOOKUP($C29,StockMaster,COLUMN(StockCode!$I$4),0))</f>
        <v>3621.3137254901953</v>
      </c>
      <c r="M29" s="4">
        <f t="shared" si="4"/>
        <v>3621.3137254901953</v>
      </c>
      <c r="N29" s="4">
        <f t="shared" si="5"/>
        <v>271598.52941176464</v>
      </c>
      <c r="O29" s="4">
        <f t="shared" si="6"/>
        <v>0</v>
      </c>
      <c r="P29" s="8">
        <f ca="1">IF(ISNA(VLOOKUP($A29,JSetup[],COLUMN(JSetup!$T$4),0))=TRUE,"-",VLOOKUP($A29,JSetup[],COLUMN(JSetup!$T$4),0))</f>
        <v>44017</v>
      </c>
      <c r="Q29" s="5">
        <f>IF(ISNA(VLOOKUP(G29,JSetup[],COLUMN(JSetup!$L$4),0))=TRUE,0,IF(ISNUMBER(VLOOKUP(G29,JSetup[],COLUMN(JSetup!$L$4),0))=FALSE,0,IF(VLOOKUP(G29,JSetup[],COLUMN(JSetup!$C$4),0)&lt;&gt;C29,0,VLOOKUP(G29,JSetup[],COLUMN(JSetup!$L$4),0))))</f>
        <v>0</v>
      </c>
      <c r="R29" s="5">
        <f>IF(J29="Bought-In",0,IF(B29="Receipt",0,IF(ISNA(VLOOKUP(C29,StockMaster,COLUMN(StockCode!$AA$4),0))=TRUE,0,VLOOKUP(C29,StockMaster,COLUMN(StockCode!$AA$4),0))))</f>
        <v>0</v>
      </c>
      <c r="S29" s="8" t="str">
        <f ca="1">IF(JSetup!$U$1="Single",IF(ISNA(VLOOKUP($A29,JSetup[],COLUMN(JSetup!$C$4),0))=TRUE,"-",VLOOKUP($A29,JSetup[],COLUMN(JSetup!$C$4),0)),"-")</f>
        <v>1212THT</v>
      </c>
    </row>
    <row r="30" spans="1:19" ht="16.149999999999999" customHeight="1" x14ac:dyDescent="0.25">
      <c r="A30" s="2" t="s">
        <v>141</v>
      </c>
      <c r="B30" s="3" t="s">
        <v>112</v>
      </c>
      <c r="C30" s="3" t="s">
        <v>48</v>
      </c>
      <c r="D30" s="69">
        <v>-850</v>
      </c>
      <c r="E30" s="4">
        <v>110</v>
      </c>
      <c r="F30" s="3" t="s">
        <v>125</v>
      </c>
      <c r="H30" s="3" t="str">
        <f t="shared" si="0"/>
        <v>-</v>
      </c>
      <c r="I30" s="2" t="str">
        <f>IF(ISNA(VLOOKUP($C30,StockMaster,COLUMN(StockCode!$B$4),0))=TRUE,"-",VLOOKUP($C30,StockMaster,COLUMN(StockCode!$B$4),0))</f>
        <v>Wood</v>
      </c>
      <c r="J30" s="3" t="str">
        <f>IF(ISNA(VLOOKUP($C30,StockMaster,COLUMN(StockCode!$G$4),0))=TRUE,"-",VLOOKUP($C30,StockMaster,COLUMN(StockCode!$G$4),0))</f>
        <v>Bought-In</v>
      </c>
      <c r="K30" s="3" t="str">
        <f>IF(ISNA(VLOOKUP($C30,StockMaster,COLUMN(StockCode!$C$4),0))=TRUE,"-",VLOOKUP($C30,StockMaster,COLUMN(StockCode!$C$4),0))</f>
        <v>M2</v>
      </c>
      <c r="L30" s="68">
        <f>IF(ISNA(VLOOKUP($C30,StockMaster,COLUMN(StockCode!$I$4),0))=TRUE,0,VLOOKUP($C30,StockMaster,COLUMN(StockCode!$I$4),0))</f>
        <v>120</v>
      </c>
      <c r="M30" s="4">
        <f t="shared" si="4"/>
        <v>110</v>
      </c>
      <c r="N30" s="4">
        <f t="shared" si="5"/>
        <v>-93500</v>
      </c>
      <c r="O30" s="4">
        <f t="shared" si="6"/>
        <v>8500</v>
      </c>
      <c r="P30" s="8">
        <f ca="1">IF(ISNA(VLOOKUP($A30,JSetup[],COLUMN(JSetup!$T$4),0))=TRUE,"-",VLOOKUP($A30,JSetup[],COLUMN(JSetup!$T$4),0))</f>
        <v>44017</v>
      </c>
      <c r="Q30" s="5">
        <f>IF(ISNA(VLOOKUP(G30,JSetup[],COLUMN(JSetup!$L$4),0))=TRUE,0,IF(ISNUMBER(VLOOKUP(G30,JSetup[],COLUMN(JSetup!$L$4),0))=FALSE,0,IF(VLOOKUP(G30,JSetup[],COLUMN(JSetup!$C$4),0)&lt;&gt;C30,0,VLOOKUP(G30,JSetup[],COLUMN(JSetup!$L$4),0))))</f>
        <v>0</v>
      </c>
      <c r="R30" s="5">
        <f>IF(J30="Bought-In",0,IF(B30="Receipt",0,IF(ISNA(VLOOKUP(C30,StockMaster,COLUMN(StockCode!$AA$4),0))=TRUE,0,VLOOKUP(C30,StockMaster,COLUMN(StockCode!$AA$4),0))))</f>
        <v>0</v>
      </c>
      <c r="S30" s="8" t="str">
        <f ca="1">IF(JSetup!$U$1="Single",IF(ISNA(VLOOKUP($A30,JSetup[],COLUMN(JSetup!$C$4),0))=TRUE,"-",VLOOKUP($A30,JSetup[],COLUMN(JSetup!$C$4),0)),"-")</f>
        <v>1212THT</v>
      </c>
    </row>
    <row r="31" spans="1:19" ht="16.149999999999999" customHeight="1" x14ac:dyDescent="0.25">
      <c r="A31" s="2" t="s">
        <v>141</v>
      </c>
      <c r="B31" s="3" t="s">
        <v>112</v>
      </c>
      <c r="C31" s="3" t="s">
        <v>70</v>
      </c>
      <c r="D31" s="69">
        <v>-240</v>
      </c>
      <c r="H31" s="3" t="str">
        <f t="shared" si="0"/>
        <v>-</v>
      </c>
      <c r="I31" s="2" t="str">
        <f>IF(ISNA(VLOOKUP($C31,StockMaster,COLUMN(StockCode!$B$4),0))=TRUE,"-",VLOOKUP($C31,StockMaster,COLUMN(StockCode!$B$4),0))</f>
        <v>2 Inch Screws</v>
      </c>
      <c r="J31" s="3" t="str">
        <f>IF(ISNA(VLOOKUP($C31,StockMaster,COLUMN(StockCode!$G$4),0))=TRUE,"-",VLOOKUP($C31,StockMaster,COLUMN(StockCode!$G$4),0))</f>
        <v>Bought-In</v>
      </c>
      <c r="K31" s="3" t="str">
        <f>IF(ISNA(VLOOKUP($C31,StockMaster,COLUMN(StockCode!$C$4),0))=TRUE,"-",VLOOKUP($C31,StockMaster,COLUMN(StockCode!$C$4),0))</f>
        <v>Bag</v>
      </c>
      <c r="L31" s="68">
        <f>IF(ISNA(VLOOKUP($C31,StockMaster,COLUMN(StockCode!$I$4),0))=TRUE,0,VLOOKUP($C31,StockMaster,COLUMN(StockCode!$I$4),0))</f>
        <v>50</v>
      </c>
      <c r="M31" s="4">
        <f t="shared" si="4"/>
        <v>50</v>
      </c>
      <c r="N31" s="4">
        <f t="shared" si="5"/>
        <v>-12000</v>
      </c>
      <c r="O31" s="4">
        <f t="shared" si="6"/>
        <v>0</v>
      </c>
      <c r="P31" s="8">
        <f ca="1">IF(ISNA(VLOOKUP($A31,JSetup[],COLUMN(JSetup!$T$4),0))=TRUE,"-",VLOOKUP($A31,JSetup[],COLUMN(JSetup!$T$4),0))</f>
        <v>44017</v>
      </c>
      <c r="Q31" s="5">
        <f>IF(ISNA(VLOOKUP(G31,JSetup[],COLUMN(JSetup!$L$4),0))=TRUE,0,IF(ISNUMBER(VLOOKUP(G31,JSetup[],COLUMN(JSetup!$L$4),0))=FALSE,0,IF(VLOOKUP(G31,JSetup[],COLUMN(JSetup!$C$4),0)&lt;&gt;C31,0,VLOOKUP(G31,JSetup[],COLUMN(JSetup!$L$4),0))))</f>
        <v>0</v>
      </c>
      <c r="R31" s="5">
        <f>IF(J31="Bought-In",0,IF(B31="Receipt",0,IF(ISNA(VLOOKUP(C31,StockMaster,COLUMN(StockCode!$AA$4),0))=TRUE,0,VLOOKUP(C31,StockMaster,COLUMN(StockCode!$AA$4),0))))</f>
        <v>0</v>
      </c>
      <c r="S31" s="8" t="str">
        <f ca="1">IF(JSetup!$U$1="Single",IF(ISNA(VLOOKUP($A31,JSetup[],COLUMN(JSetup!$C$4),0))=TRUE,"-",VLOOKUP($A31,JSetup[],COLUMN(JSetup!$C$4),0)),"-")</f>
        <v>1212THT</v>
      </c>
    </row>
    <row r="32" spans="1:19" ht="16.149999999999999" customHeight="1" x14ac:dyDescent="0.25">
      <c r="A32" s="2" t="s">
        <v>141</v>
      </c>
      <c r="B32" s="3" t="s">
        <v>112</v>
      </c>
      <c r="C32" s="3" t="s">
        <v>43</v>
      </c>
      <c r="D32" s="69">
        <v>-800</v>
      </c>
      <c r="H32" s="3" t="str">
        <f t="shared" si="0"/>
        <v>-</v>
      </c>
      <c r="I32" s="2" t="str">
        <f>IF(ISNA(VLOOKUP($C32,StockMaster,COLUMN(StockCode!$B$4),0))=TRUE,"-",VLOOKUP($C32,StockMaster,COLUMN(StockCode!$B$4),0))</f>
        <v>Steel Plates</v>
      </c>
      <c r="J32" s="3" t="str">
        <f>IF(ISNA(VLOOKUP($C32,StockMaster,COLUMN(StockCode!$G$4),0))=TRUE,"-",VLOOKUP($C32,StockMaster,COLUMN(StockCode!$G$4),0))</f>
        <v>Bought-In</v>
      </c>
      <c r="K32" s="3" t="str">
        <f>IF(ISNA(VLOOKUP($C32,StockMaster,COLUMN(StockCode!$C$4),0))=TRUE,"-",VLOOKUP($C32,StockMaster,COLUMN(StockCode!$C$4),0))</f>
        <v>M2</v>
      </c>
      <c r="L32" s="68">
        <f>IF(ISNA(VLOOKUP($C32,StockMaster,COLUMN(StockCode!$I$4),0))=TRUE,0,VLOOKUP($C32,StockMaster,COLUMN(StockCode!$I$4),0))</f>
        <v>140</v>
      </c>
      <c r="M32" s="4">
        <f t="shared" si="4"/>
        <v>140</v>
      </c>
      <c r="N32" s="4">
        <f t="shared" si="5"/>
        <v>-112000</v>
      </c>
      <c r="O32" s="4">
        <f t="shared" si="6"/>
        <v>0</v>
      </c>
      <c r="P32" s="8">
        <f ca="1">IF(ISNA(VLOOKUP($A32,JSetup[],COLUMN(JSetup!$T$4),0))=TRUE,"-",VLOOKUP($A32,JSetup[],COLUMN(JSetup!$T$4),0))</f>
        <v>44017</v>
      </c>
      <c r="Q32" s="5">
        <f>IF(ISNA(VLOOKUP(G32,JSetup[],COLUMN(JSetup!$L$4),0))=TRUE,0,IF(ISNUMBER(VLOOKUP(G32,JSetup[],COLUMN(JSetup!$L$4),0))=FALSE,0,IF(VLOOKUP(G32,JSetup[],COLUMN(JSetup!$C$4),0)&lt;&gt;C32,0,VLOOKUP(G32,JSetup[],COLUMN(JSetup!$L$4),0))))</f>
        <v>0</v>
      </c>
      <c r="R32" s="5">
        <f>IF(J32="Bought-In",0,IF(B32="Receipt",0,IF(ISNA(VLOOKUP(C32,StockMaster,COLUMN(StockCode!$AA$4),0))=TRUE,0,VLOOKUP(C32,StockMaster,COLUMN(StockCode!$AA$4),0))))</f>
        <v>0</v>
      </c>
      <c r="S32" s="8" t="str">
        <f ca="1">IF(JSetup!$U$1="Single",IF(ISNA(VLOOKUP($A32,JSetup[],COLUMN(JSetup!$C$4),0))=TRUE,"-",VLOOKUP($A32,JSetup[],COLUMN(JSetup!$C$4),0)),"-")</f>
        <v>1212THT</v>
      </c>
    </row>
    <row r="33" spans="1:19" ht="16.149999999999999" customHeight="1" x14ac:dyDescent="0.25">
      <c r="A33" s="2" t="s">
        <v>141</v>
      </c>
      <c r="B33" s="3" t="s">
        <v>112</v>
      </c>
      <c r="C33" s="3" t="s">
        <v>46</v>
      </c>
      <c r="D33" s="4">
        <v>-74</v>
      </c>
      <c r="H33" s="3" t="str">
        <f t="shared" si="0"/>
        <v>-</v>
      </c>
      <c r="I33" s="2" t="str">
        <f>IF(ISNA(VLOOKUP($C33,StockMaster,COLUMN(StockCode!$B$4),0))=TRUE,"-",VLOOKUP($C33,StockMaster,COLUMN(StockCode!$B$4),0))</f>
        <v>Door Handle</v>
      </c>
      <c r="J33" s="3" t="str">
        <f>IF(ISNA(VLOOKUP($C33,StockMaster,COLUMN(StockCode!$G$4),0))=TRUE,"-",VLOOKUP($C33,StockMaster,COLUMN(StockCode!$G$4),0))</f>
        <v>Bought-In</v>
      </c>
      <c r="K33" s="3" t="str">
        <f>IF(ISNA(VLOOKUP($C33,StockMaster,COLUMN(StockCode!$C$4),0))=TRUE,"-",VLOOKUP($C33,StockMaster,COLUMN(StockCode!$C$4),0))</f>
        <v>Units</v>
      </c>
      <c r="L33" s="68">
        <f>IF(ISNA(VLOOKUP($C33,StockMaster,COLUMN(StockCode!$I$4),0))=TRUE,0,VLOOKUP($C33,StockMaster,COLUMN(StockCode!$I$4),0))</f>
        <v>150</v>
      </c>
      <c r="M33" s="4">
        <f t="shared" si="4"/>
        <v>150</v>
      </c>
      <c r="N33" s="4">
        <f t="shared" si="5"/>
        <v>-11100</v>
      </c>
      <c r="O33" s="4">
        <f t="shared" si="6"/>
        <v>0</v>
      </c>
      <c r="P33" s="8">
        <f ca="1">IF(ISNA(VLOOKUP($A33,JSetup[],COLUMN(JSetup!$T$4),0))=TRUE,"-",VLOOKUP($A33,JSetup[],COLUMN(JSetup!$T$4),0))</f>
        <v>44017</v>
      </c>
      <c r="Q33" s="5">
        <f>IF(ISNA(VLOOKUP(G33,JSetup[],COLUMN(JSetup!$L$4),0))=TRUE,0,IF(ISNUMBER(VLOOKUP(G33,JSetup[],COLUMN(JSetup!$L$4),0))=FALSE,0,IF(VLOOKUP(G33,JSetup[],COLUMN(JSetup!$C$4),0)&lt;&gt;C33,0,VLOOKUP(G33,JSetup[],COLUMN(JSetup!$L$4),0))))</f>
        <v>0</v>
      </c>
      <c r="R33" s="5">
        <f>IF(J33="Bought-In",0,IF(B33="Receipt",0,IF(ISNA(VLOOKUP(C33,StockMaster,COLUMN(StockCode!$AA$4),0))=TRUE,0,VLOOKUP(C33,StockMaster,COLUMN(StockCode!$AA$4),0))))</f>
        <v>0</v>
      </c>
      <c r="S33" s="8" t="str">
        <f ca="1">IF(JSetup!$U$1="Single",IF(ISNA(VLOOKUP($A33,JSetup[],COLUMN(JSetup!$C$4),0))=TRUE,"-",VLOOKUP($A33,JSetup[],COLUMN(JSetup!$C$4),0)),"-")</f>
        <v>1212THT</v>
      </c>
    </row>
    <row r="34" spans="1:19" ht="16.149999999999999" customHeight="1" x14ac:dyDescent="0.25">
      <c r="A34" s="2" t="s">
        <v>141</v>
      </c>
      <c r="B34" s="3" t="s">
        <v>112</v>
      </c>
      <c r="C34" s="3" t="s">
        <v>50</v>
      </c>
      <c r="D34" s="4">
        <v>-9</v>
      </c>
      <c r="H34" s="3" t="str">
        <f t="shared" si="0"/>
        <v>-</v>
      </c>
      <c r="I34" s="2" t="str">
        <f>IF(ISNA(VLOOKUP($C34,StockMaster,COLUMN(StockCode!$B$4),0))=TRUE,"-",VLOOKUP($C34,StockMaster,COLUMN(StockCode!$B$4),0))</f>
        <v>1 Inch Screws</v>
      </c>
      <c r="J34" s="3" t="str">
        <f>IF(ISNA(VLOOKUP($C34,StockMaster,COLUMN(StockCode!$G$4),0))=TRUE,"-",VLOOKUP($C34,StockMaster,COLUMN(StockCode!$G$4),0))</f>
        <v>Bought-In</v>
      </c>
      <c r="K34" s="3" t="str">
        <f>IF(ISNA(VLOOKUP($C34,StockMaster,COLUMN(StockCode!$C$4),0))=TRUE,"-",VLOOKUP($C34,StockMaster,COLUMN(StockCode!$C$4),0))</f>
        <v>Bag</v>
      </c>
      <c r="L34" s="68">
        <f>IF(ISNA(VLOOKUP($C34,StockMaster,COLUMN(StockCode!$I$4),0))=TRUE,0,VLOOKUP($C34,StockMaster,COLUMN(StockCode!$I$4),0))</f>
        <v>30</v>
      </c>
      <c r="M34" s="4">
        <f t="shared" si="4"/>
        <v>30</v>
      </c>
      <c r="N34" s="4">
        <f t="shared" si="5"/>
        <v>-270</v>
      </c>
      <c r="O34" s="4">
        <f t="shared" si="6"/>
        <v>0</v>
      </c>
      <c r="P34" s="8">
        <f ca="1">IF(ISNA(VLOOKUP($A34,JSetup[],COLUMN(JSetup!$T$4),0))=TRUE,"-",VLOOKUP($A34,JSetup[],COLUMN(JSetup!$T$4),0))</f>
        <v>44017</v>
      </c>
      <c r="Q34" s="5">
        <f>IF(ISNA(VLOOKUP(G34,JSetup[],COLUMN(JSetup!$L$4),0))=TRUE,0,IF(ISNUMBER(VLOOKUP(G34,JSetup[],COLUMN(JSetup!$L$4),0))=FALSE,0,IF(VLOOKUP(G34,JSetup[],COLUMN(JSetup!$C$4),0)&lt;&gt;C34,0,VLOOKUP(G34,JSetup[],COLUMN(JSetup!$L$4),0))))</f>
        <v>0</v>
      </c>
      <c r="R34" s="5">
        <f>IF(J34="Bought-In",0,IF(B34="Receipt",0,IF(ISNA(VLOOKUP(C34,StockMaster,COLUMN(StockCode!$AA$4),0))=TRUE,0,VLOOKUP(C34,StockMaster,COLUMN(StockCode!$AA$4),0))))</f>
        <v>0</v>
      </c>
      <c r="S34" s="8" t="str">
        <f ca="1">IF(JSetup!$U$1="Single",IF(ISNA(VLOOKUP($A34,JSetup[],COLUMN(JSetup!$C$4),0))=TRUE,"-",VLOOKUP($A34,JSetup[],COLUMN(JSetup!$C$4),0)),"-")</f>
        <v>1212THT</v>
      </c>
    </row>
    <row r="35" spans="1:19" ht="16.149999999999999" customHeight="1" x14ac:dyDescent="0.25">
      <c r="A35" s="2" t="s">
        <v>141</v>
      </c>
      <c r="B35" s="3" t="s">
        <v>112</v>
      </c>
      <c r="C35" s="3" t="s">
        <v>72</v>
      </c>
      <c r="D35" s="4">
        <v>-150</v>
      </c>
      <c r="H35" s="3" t="str">
        <f t="shared" si="0"/>
        <v>-</v>
      </c>
      <c r="I35" s="2" t="str">
        <f>IF(ISNA(VLOOKUP($C35,StockMaster,COLUMN(StockCode!$B$4),0))=TRUE,"-",VLOOKUP($C35,StockMaster,COLUMN(StockCode!$B$4),0))</f>
        <v>Swivel</v>
      </c>
      <c r="J35" s="3" t="str">
        <f>IF(ISNA(VLOOKUP($C35,StockMaster,COLUMN(StockCode!$G$4),0))=TRUE,"-",VLOOKUP($C35,StockMaster,COLUMN(StockCode!$G$4),0))</f>
        <v>Bought-In</v>
      </c>
      <c r="K35" s="3" t="str">
        <f>IF(ISNA(VLOOKUP($C35,StockMaster,COLUMN(StockCode!$C$4),0))=TRUE,"-",VLOOKUP($C35,StockMaster,COLUMN(StockCode!$C$4),0))</f>
        <v>Units</v>
      </c>
      <c r="L35" s="68">
        <f>IF(ISNA(VLOOKUP($C35,StockMaster,COLUMN(StockCode!$I$4),0))=TRUE,0,VLOOKUP($C35,StockMaster,COLUMN(StockCode!$I$4),0))</f>
        <v>3.5</v>
      </c>
      <c r="M35" s="4">
        <f t="shared" si="4"/>
        <v>3.5</v>
      </c>
      <c r="N35" s="4">
        <f t="shared" si="5"/>
        <v>-525</v>
      </c>
      <c r="O35" s="4">
        <f t="shared" si="6"/>
        <v>0</v>
      </c>
      <c r="P35" s="8">
        <f ca="1">IF(ISNA(VLOOKUP($A35,JSetup[],COLUMN(JSetup!$T$4),0))=TRUE,"-",VLOOKUP($A35,JSetup[],COLUMN(JSetup!$T$4),0))</f>
        <v>44017</v>
      </c>
      <c r="Q35" s="5">
        <f>IF(ISNA(VLOOKUP(G35,JSetup[],COLUMN(JSetup!$L$4),0))=TRUE,0,IF(ISNUMBER(VLOOKUP(G35,JSetup[],COLUMN(JSetup!$L$4),0))=FALSE,0,IF(VLOOKUP(G35,JSetup[],COLUMN(JSetup!$C$4),0)&lt;&gt;C35,0,VLOOKUP(G35,JSetup[],COLUMN(JSetup!$L$4),0))))</f>
        <v>0</v>
      </c>
      <c r="R35" s="5">
        <f>IF(J35="Bought-In",0,IF(B35="Receipt",0,IF(ISNA(VLOOKUP(C35,StockMaster,COLUMN(StockCode!$AA$4),0))=TRUE,0,VLOOKUP(C35,StockMaster,COLUMN(StockCode!$AA$4),0))))</f>
        <v>0</v>
      </c>
      <c r="S35" s="8" t="str">
        <f ca="1">IF(JSetup!$U$1="Single",IF(ISNA(VLOOKUP($A35,JSetup[],COLUMN(JSetup!$C$4),0))=TRUE,"-",VLOOKUP($A35,JSetup[],COLUMN(JSetup!$C$4),0)),"-")</f>
        <v>1212THT</v>
      </c>
    </row>
    <row r="36" spans="1:19" ht="16.149999999999999" customHeight="1" x14ac:dyDescent="0.25">
      <c r="A36" s="2" t="s">
        <v>141</v>
      </c>
      <c r="B36" s="3" t="s">
        <v>112</v>
      </c>
      <c r="C36" s="3" t="s">
        <v>82</v>
      </c>
      <c r="D36" s="4">
        <v>-380</v>
      </c>
      <c r="H36" s="3" t="str">
        <f t="shared" si="0"/>
        <v>-</v>
      </c>
      <c r="I36" s="2" t="str">
        <f>IF(ISNA(VLOOKUP($C36,StockMaster,COLUMN(StockCode!$B$4),0))=TRUE,"-",VLOOKUP($C36,StockMaster,COLUMN(StockCode!$B$4),0))</f>
        <v>Labour - Grade 1</v>
      </c>
      <c r="J36" s="3" t="str">
        <f>IF(ISNA(VLOOKUP($C36,StockMaster,COLUMN(StockCode!$G$4),0))=TRUE,"-",VLOOKUP($C36,StockMaster,COLUMN(StockCode!$G$4),0))</f>
        <v>Bought-In</v>
      </c>
      <c r="K36" s="3" t="str">
        <f>IF(ISNA(VLOOKUP($C36,StockMaster,COLUMN(StockCode!$C$4),0))=TRUE,"-",VLOOKUP($C36,StockMaster,COLUMN(StockCode!$C$4),0))</f>
        <v>Hours</v>
      </c>
      <c r="L36" s="68">
        <f>IF(ISNA(VLOOKUP($C36,StockMaster,COLUMN(StockCode!$I$4),0))=TRUE,0,VLOOKUP($C36,StockMaster,COLUMN(StockCode!$I$4),0))</f>
        <v>20</v>
      </c>
      <c r="M36" s="4">
        <f t="shared" si="4"/>
        <v>20</v>
      </c>
      <c r="N36" s="4">
        <f t="shared" si="5"/>
        <v>-7600</v>
      </c>
      <c r="O36" s="4">
        <f t="shared" si="6"/>
        <v>0</v>
      </c>
      <c r="P36" s="8">
        <f ca="1">IF(ISNA(VLOOKUP($A36,JSetup[],COLUMN(JSetup!$T$4),0))=TRUE,"-",VLOOKUP($A36,JSetup[],COLUMN(JSetup!$T$4),0))</f>
        <v>44017</v>
      </c>
      <c r="Q36" s="5">
        <f>IF(ISNA(VLOOKUP(G36,JSetup[],COLUMN(JSetup!$L$4),0))=TRUE,0,IF(ISNUMBER(VLOOKUP(G36,JSetup[],COLUMN(JSetup!$L$4),0))=FALSE,0,IF(VLOOKUP(G36,JSetup[],COLUMN(JSetup!$C$4),0)&lt;&gt;C36,0,VLOOKUP(G36,JSetup[],COLUMN(JSetup!$L$4),0))))</f>
        <v>0</v>
      </c>
      <c r="R36" s="5">
        <f>IF(J36="Bought-In",0,IF(B36="Receipt",0,IF(ISNA(VLOOKUP(C36,StockMaster,COLUMN(StockCode!$AA$4),0))=TRUE,0,VLOOKUP(C36,StockMaster,COLUMN(StockCode!$AA$4),0))))</f>
        <v>0</v>
      </c>
      <c r="S36" s="8" t="str">
        <f ca="1">IF(JSetup!$U$1="Single",IF(ISNA(VLOOKUP($A36,JSetup[],COLUMN(JSetup!$C$4),0))=TRUE,"-",VLOOKUP($A36,JSetup[],COLUMN(JSetup!$C$4),0)),"-")</f>
        <v>1212THT</v>
      </c>
    </row>
    <row r="37" spans="1:19" ht="16.149999999999999" customHeight="1" x14ac:dyDescent="0.25">
      <c r="A37" s="2" t="s">
        <v>141</v>
      </c>
      <c r="B37" s="3" t="s">
        <v>112</v>
      </c>
      <c r="C37" s="3" t="s">
        <v>84</v>
      </c>
      <c r="D37" s="4">
        <v>-80</v>
      </c>
      <c r="H37" s="3" t="str">
        <f t="shared" ref="H37:H66" si="7">IF(AND(ISBLANK(C37)=FALSE,ISNA(MATCH(C37,StockCodes,0))=TRUE)=TRUE,"E3",IF(AND(J37&lt;&gt;"-",J37&lt;&gt;"Manufactured",B37="Receipt"),"E7",IF(AND(ISBLANK(A37)=FALSE,ISNA(MATCH(A37,JSJob,0))=TRUE),"E8",IF(AND(ISBLANK(A37)=FALSE,B37&lt;&gt;"Receipt",B37&lt;&gt;"Issue"),"E9",IF(AND(ISBLANK(G37)=FALSE,ISNA(MATCH(G37,JSJob,0))=TRUE),"E10",IF(AND(ISBLANK(C37)=FALSE,SUMPRODUCT((JSJob=A37)*(JSCode=C37)*(1))&lt;&gt;1,B37="Receipt"),"E11","-"))))))</f>
        <v>-</v>
      </c>
      <c r="I37" s="2" t="str">
        <f>IF(ISNA(VLOOKUP($C37,StockMaster,COLUMN(StockCode!$B$4),0))=TRUE,"-",VLOOKUP($C37,StockMaster,COLUMN(StockCode!$B$4),0))</f>
        <v>Labour - Grade 2</v>
      </c>
      <c r="J37" s="3" t="str">
        <f>IF(ISNA(VLOOKUP($C37,StockMaster,COLUMN(StockCode!$G$4),0))=TRUE,"-",VLOOKUP($C37,StockMaster,COLUMN(StockCode!$G$4),0))</f>
        <v>Bought-In</v>
      </c>
      <c r="K37" s="3" t="str">
        <f>IF(ISNA(VLOOKUP($C37,StockMaster,COLUMN(StockCode!$C$4),0))=TRUE,"-",VLOOKUP($C37,StockMaster,COLUMN(StockCode!$C$4),0))</f>
        <v>Hours</v>
      </c>
      <c r="L37" s="68">
        <f>IF(ISNA(VLOOKUP($C37,StockMaster,COLUMN(StockCode!$I$4),0))=TRUE,0,VLOOKUP($C37,StockMaster,COLUMN(StockCode!$I$4),0))</f>
        <v>30</v>
      </c>
      <c r="M37" s="4">
        <f t="shared" si="4"/>
        <v>30</v>
      </c>
      <c r="N37" s="4">
        <f t="shared" si="5"/>
        <v>-2400</v>
      </c>
      <c r="O37" s="4">
        <f t="shared" si="6"/>
        <v>0</v>
      </c>
      <c r="P37" s="8">
        <f ca="1">IF(ISNA(VLOOKUP($A37,JSetup[],COLUMN(JSetup!$T$4),0))=TRUE,"-",VLOOKUP($A37,JSetup[],COLUMN(JSetup!$T$4),0))</f>
        <v>44017</v>
      </c>
      <c r="Q37" s="5">
        <f>IF(ISNA(VLOOKUP(G37,JSetup[],COLUMN(JSetup!$L$4),0))=TRUE,0,IF(ISNUMBER(VLOOKUP(G37,JSetup[],COLUMN(JSetup!$L$4),0))=FALSE,0,IF(VLOOKUP(G37,JSetup[],COLUMN(JSetup!$C$4),0)&lt;&gt;C37,0,VLOOKUP(G37,JSetup[],COLUMN(JSetup!$L$4),0))))</f>
        <v>0</v>
      </c>
      <c r="R37" s="5">
        <f>IF(J37="Bought-In",0,IF(B37="Receipt",0,IF(ISNA(VLOOKUP(C37,StockMaster,COLUMN(StockCode!$AA$4),0))=TRUE,0,VLOOKUP(C37,StockMaster,COLUMN(StockCode!$AA$4),0))))</f>
        <v>0</v>
      </c>
      <c r="S37" s="8" t="str">
        <f ca="1">IF(JSetup!$U$1="Single",IF(ISNA(VLOOKUP($A37,JSetup[],COLUMN(JSetup!$C$4),0))=TRUE,"-",VLOOKUP($A37,JSetup[],COLUMN(JSetup!$C$4),0)),"-")</f>
        <v>1212THT</v>
      </c>
    </row>
    <row r="38" spans="1:19" ht="16.149999999999999" customHeight="1" x14ac:dyDescent="0.25">
      <c r="A38" s="2" t="s">
        <v>142</v>
      </c>
      <c r="B38" s="3" t="s">
        <v>110</v>
      </c>
      <c r="C38" s="3" t="s">
        <v>41</v>
      </c>
      <c r="D38" s="4">
        <v>100</v>
      </c>
      <c r="H38" s="3" t="str">
        <f t="shared" si="7"/>
        <v>-</v>
      </c>
      <c r="I38" s="2" t="str">
        <f>IF(ISNA(VLOOKUP($C38,StockMaster,COLUMN(StockCode!$B$4),0))=TRUE,"-",VLOOKUP($C38,StockMaster,COLUMN(StockCode!$B$4),0))</f>
        <v>Garden Shed</v>
      </c>
      <c r="J38" s="3" t="str">
        <f>IF(ISNA(VLOOKUP($C38,StockMaster,COLUMN(StockCode!$G$4),0))=TRUE,"-",VLOOKUP($C38,StockMaster,COLUMN(StockCode!$G$4),0))</f>
        <v>Manufactured</v>
      </c>
      <c r="K38" s="3" t="str">
        <f>IF(ISNA(VLOOKUP($C38,StockMaster,COLUMN(StockCode!$C$4),0))=TRUE,"-",VLOOKUP($C38,StockMaster,COLUMN(StockCode!$C$4),0))</f>
        <v>Units</v>
      </c>
      <c r="L38" s="68">
        <f>IF(ISNA(VLOOKUP($C38,StockMaster,COLUMN(StockCode!$I$4),0))=TRUE,0,VLOOKUP($C38,StockMaster,COLUMN(StockCode!$I$4),0))</f>
        <v>4164.7192982456136</v>
      </c>
      <c r="M38" s="4">
        <f t="shared" si="4"/>
        <v>4164.7192982456136</v>
      </c>
      <c r="N38" s="4">
        <f t="shared" si="5"/>
        <v>416471.92982456135</v>
      </c>
      <c r="O38" s="4">
        <f t="shared" si="6"/>
        <v>0</v>
      </c>
      <c r="P38" s="8">
        <f ca="1">IF(ISNA(VLOOKUP($A38,JSetup[],COLUMN(JSetup!$T$4),0))=TRUE,"-",VLOOKUP($A38,JSetup[],COLUMN(JSetup!$T$4),0))</f>
        <v>44018</v>
      </c>
      <c r="Q38" s="5">
        <f>IF(ISNA(VLOOKUP(G38,JSetup[],COLUMN(JSetup!$L$4),0))=TRUE,0,IF(ISNUMBER(VLOOKUP(G38,JSetup[],COLUMN(JSetup!$L$4),0))=FALSE,0,IF(VLOOKUP(G38,JSetup[],COLUMN(JSetup!$C$4),0)&lt;&gt;C38,0,VLOOKUP(G38,JSetup[],COLUMN(JSetup!$L$4),0))))</f>
        <v>0</v>
      </c>
      <c r="R38" s="5">
        <f>IF(J38="Bought-In",0,IF(B38="Receipt",0,IF(ISNA(VLOOKUP(C38,StockMaster,COLUMN(StockCode!$AA$4),0))=TRUE,0,VLOOKUP(C38,StockMaster,COLUMN(StockCode!$AA$4),0))))</f>
        <v>0</v>
      </c>
      <c r="S38" s="8" t="str">
        <f ca="1">IF(JSetup!$U$1="Single",IF(ISNA(VLOOKUP($A38,JSetup[],COLUMN(JSetup!$C$4),0))=TRUE,"-",VLOOKUP($A38,JSetup[],COLUMN(JSetup!$C$4),0)),"-")</f>
        <v>1212GHG</v>
      </c>
    </row>
    <row r="39" spans="1:19" ht="16.149999999999999" customHeight="1" x14ac:dyDescent="0.25">
      <c r="A39" s="2" t="s">
        <v>142</v>
      </c>
      <c r="B39" s="3" t="s">
        <v>112</v>
      </c>
      <c r="C39" s="3" t="s">
        <v>48</v>
      </c>
      <c r="D39" s="4">
        <v>-1400</v>
      </c>
      <c r="E39" s="4">
        <v>140</v>
      </c>
      <c r="F39" s="3" t="s">
        <v>125</v>
      </c>
      <c r="H39" s="3" t="str">
        <f t="shared" si="7"/>
        <v>-</v>
      </c>
      <c r="I39" s="2" t="str">
        <f>IF(ISNA(VLOOKUP($C39,StockMaster,COLUMN(StockCode!$B$4),0))=TRUE,"-",VLOOKUP($C39,StockMaster,COLUMN(StockCode!$B$4),0))</f>
        <v>Wood</v>
      </c>
      <c r="J39" s="3" t="str">
        <f>IF(ISNA(VLOOKUP($C39,StockMaster,COLUMN(StockCode!$G$4),0))=TRUE,"-",VLOOKUP($C39,StockMaster,COLUMN(StockCode!$G$4),0))</f>
        <v>Bought-In</v>
      </c>
      <c r="K39" s="3" t="str">
        <f>IF(ISNA(VLOOKUP($C39,StockMaster,COLUMN(StockCode!$C$4),0))=TRUE,"-",VLOOKUP($C39,StockMaster,COLUMN(StockCode!$C$4),0))</f>
        <v>M2</v>
      </c>
      <c r="L39" s="68">
        <f>IF(ISNA(VLOOKUP($C39,StockMaster,COLUMN(StockCode!$I$4),0))=TRUE,0,VLOOKUP($C39,StockMaster,COLUMN(StockCode!$I$4),0))</f>
        <v>120</v>
      </c>
      <c r="M39" s="4">
        <f t="shared" si="4"/>
        <v>140</v>
      </c>
      <c r="N39" s="4">
        <f t="shared" si="5"/>
        <v>-196000</v>
      </c>
      <c r="O39" s="4">
        <f t="shared" si="6"/>
        <v>-28000</v>
      </c>
      <c r="P39" s="8">
        <f ca="1">IF(ISNA(VLOOKUP($A39,JSetup[],COLUMN(JSetup!$T$4),0))=TRUE,"-",VLOOKUP($A39,JSetup[],COLUMN(JSetup!$T$4),0))</f>
        <v>44018</v>
      </c>
      <c r="Q39" s="5">
        <f>IF(ISNA(VLOOKUP(G39,JSetup[],COLUMN(JSetup!$L$4),0))=TRUE,0,IF(ISNUMBER(VLOOKUP(G39,JSetup[],COLUMN(JSetup!$L$4),0))=FALSE,0,IF(VLOOKUP(G39,JSetup[],COLUMN(JSetup!$C$4),0)&lt;&gt;C39,0,VLOOKUP(G39,JSetup[],COLUMN(JSetup!$L$4),0))))</f>
        <v>0</v>
      </c>
      <c r="R39" s="5">
        <f>IF(J39="Bought-In",0,IF(B39="Receipt",0,IF(ISNA(VLOOKUP(C39,StockMaster,COLUMN(StockCode!$AA$4),0))=TRUE,0,VLOOKUP(C39,StockMaster,COLUMN(StockCode!$AA$4),0))))</f>
        <v>0</v>
      </c>
      <c r="S39" s="8" t="str">
        <f ca="1">IF(JSetup!$U$1="Single",IF(ISNA(VLOOKUP($A39,JSetup[],COLUMN(JSetup!$C$4),0))=TRUE,"-",VLOOKUP($A39,JSetup[],COLUMN(JSetup!$C$4),0)),"-")</f>
        <v>1212GHG</v>
      </c>
    </row>
    <row r="40" spans="1:19" ht="16.149999999999999" customHeight="1" x14ac:dyDescent="0.25">
      <c r="A40" s="2" t="s">
        <v>142</v>
      </c>
      <c r="B40" s="3" t="s">
        <v>112</v>
      </c>
      <c r="C40" s="3" t="s">
        <v>70</v>
      </c>
      <c r="D40" s="4">
        <v>-320</v>
      </c>
      <c r="H40" s="3" t="str">
        <f t="shared" si="7"/>
        <v>-</v>
      </c>
      <c r="I40" s="2" t="str">
        <f>IF(ISNA(VLOOKUP($C40,StockMaster,COLUMN(StockCode!$B$4),0))=TRUE,"-",VLOOKUP($C40,StockMaster,COLUMN(StockCode!$B$4),0))</f>
        <v>2 Inch Screws</v>
      </c>
      <c r="J40" s="3" t="str">
        <f>IF(ISNA(VLOOKUP($C40,StockMaster,COLUMN(StockCode!$G$4),0))=TRUE,"-",VLOOKUP($C40,StockMaster,COLUMN(StockCode!$G$4),0))</f>
        <v>Bought-In</v>
      </c>
      <c r="K40" s="3" t="str">
        <f>IF(ISNA(VLOOKUP($C40,StockMaster,COLUMN(StockCode!$C$4),0))=TRUE,"-",VLOOKUP($C40,StockMaster,COLUMN(StockCode!$C$4),0))</f>
        <v>Bag</v>
      </c>
      <c r="L40" s="68">
        <f>IF(ISNA(VLOOKUP($C40,StockMaster,COLUMN(StockCode!$I$4),0))=TRUE,0,VLOOKUP($C40,StockMaster,COLUMN(StockCode!$I$4),0))</f>
        <v>50</v>
      </c>
      <c r="M40" s="4">
        <f t="shared" si="4"/>
        <v>50</v>
      </c>
      <c r="N40" s="4">
        <f t="shared" si="5"/>
        <v>-16000</v>
      </c>
      <c r="O40" s="4">
        <f t="shared" si="6"/>
        <v>0</v>
      </c>
      <c r="P40" s="8">
        <f ca="1">IF(ISNA(VLOOKUP($A40,JSetup[],COLUMN(JSetup!$T$4),0))=TRUE,"-",VLOOKUP($A40,JSetup[],COLUMN(JSetup!$T$4),0))</f>
        <v>44018</v>
      </c>
      <c r="Q40" s="5">
        <f>IF(ISNA(VLOOKUP(G40,JSetup[],COLUMN(JSetup!$L$4),0))=TRUE,0,IF(ISNUMBER(VLOOKUP(G40,JSetup[],COLUMN(JSetup!$L$4),0))=FALSE,0,IF(VLOOKUP(G40,JSetup[],COLUMN(JSetup!$C$4),0)&lt;&gt;C40,0,VLOOKUP(G40,JSetup[],COLUMN(JSetup!$L$4),0))))</f>
        <v>0</v>
      </c>
      <c r="R40" s="5">
        <f>IF(J40="Bought-In",0,IF(B40="Receipt",0,IF(ISNA(VLOOKUP(C40,StockMaster,COLUMN(StockCode!$AA$4),0))=TRUE,0,VLOOKUP(C40,StockMaster,COLUMN(StockCode!$AA$4),0))))</f>
        <v>0</v>
      </c>
      <c r="S40" s="8" t="str">
        <f ca="1">IF(JSetup!$U$1="Single",IF(ISNA(VLOOKUP($A40,JSetup[],COLUMN(JSetup!$C$4),0))=TRUE,"-",VLOOKUP($A40,JSetup[],COLUMN(JSetup!$C$4),0)),"-")</f>
        <v>1212GHG</v>
      </c>
    </row>
    <row r="41" spans="1:19" ht="16.149999999999999" customHeight="1" x14ac:dyDescent="0.25">
      <c r="A41" s="2" t="s">
        <v>142</v>
      </c>
      <c r="B41" s="3" t="s">
        <v>112</v>
      </c>
      <c r="C41" s="3" t="s">
        <v>43</v>
      </c>
      <c r="D41" s="4">
        <v>-1000</v>
      </c>
      <c r="H41" s="3" t="str">
        <f t="shared" si="7"/>
        <v>-</v>
      </c>
      <c r="I41" s="2" t="str">
        <f>IF(ISNA(VLOOKUP($C41,StockMaster,COLUMN(StockCode!$B$4),0))=TRUE,"-",VLOOKUP($C41,StockMaster,COLUMN(StockCode!$B$4),0))</f>
        <v>Steel Plates</v>
      </c>
      <c r="J41" s="3" t="str">
        <f>IF(ISNA(VLOOKUP($C41,StockMaster,COLUMN(StockCode!$G$4),0))=TRUE,"-",VLOOKUP($C41,StockMaster,COLUMN(StockCode!$G$4),0))</f>
        <v>Bought-In</v>
      </c>
      <c r="K41" s="3" t="str">
        <f>IF(ISNA(VLOOKUP($C41,StockMaster,COLUMN(StockCode!$C$4),0))=TRUE,"-",VLOOKUP($C41,StockMaster,COLUMN(StockCode!$C$4),0))</f>
        <v>M2</v>
      </c>
      <c r="L41" s="68">
        <f>IF(ISNA(VLOOKUP($C41,StockMaster,COLUMN(StockCode!$I$4),0))=TRUE,0,VLOOKUP($C41,StockMaster,COLUMN(StockCode!$I$4),0))</f>
        <v>140</v>
      </c>
      <c r="M41" s="4">
        <f t="shared" si="4"/>
        <v>140</v>
      </c>
      <c r="N41" s="4">
        <f t="shared" si="5"/>
        <v>-140000</v>
      </c>
      <c r="O41" s="4">
        <f t="shared" si="6"/>
        <v>0</v>
      </c>
      <c r="P41" s="8">
        <f ca="1">IF(ISNA(VLOOKUP($A41,JSetup[],COLUMN(JSetup!$T$4),0))=TRUE,"-",VLOOKUP($A41,JSetup[],COLUMN(JSetup!$T$4),0))</f>
        <v>44018</v>
      </c>
      <c r="Q41" s="5">
        <f>IF(ISNA(VLOOKUP(G41,JSetup[],COLUMN(JSetup!$L$4),0))=TRUE,0,IF(ISNUMBER(VLOOKUP(G41,JSetup[],COLUMN(JSetup!$L$4),0))=FALSE,0,IF(VLOOKUP(G41,JSetup[],COLUMN(JSetup!$C$4),0)&lt;&gt;C41,0,VLOOKUP(G41,JSetup[],COLUMN(JSetup!$L$4),0))))</f>
        <v>0</v>
      </c>
      <c r="R41" s="5">
        <f>IF(J41="Bought-In",0,IF(B41="Receipt",0,IF(ISNA(VLOOKUP(C41,StockMaster,COLUMN(StockCode!$AA$4),0))=TRUE,0,VLOOKUP(C41,StockMaster,COLUMN(StockCode!$AA$4),0))))</f>
        <v>0</v>
      </c>
      <c r="S41" s="8" t="str">
        <f ca="1">IF(JSetup!$U$1="Single",IF(ISNA(VLOOKUP($A41,JSetup[],COLUMN(JSetup!$C$4),0))=TRUE,"-",VLOOKUP($A41,JSetup[],COLUMN(JSetup!$C$4),0)),"-")</f>
        <v>1212GHG</v>
      </c>
    </row>
    <row r="42" spans="1:19" ht="16.149999999999999" customHeight="1" x14ac:dyDescent="0.25">
      <c r="A42" s="2" t="s">
        <v>142</v>
      </c>
      <c r="B42" s="3" t="s">
        <v>112</v>
      </c>
      <c r="C42" s="3" t="s">
        <v>46</v>
      </c>
      <c r="D42" s="4">
        <v>-102</v>
      </c>
      <c r="H42" s="3" t="str">
        <f t="shared" si="7"/>
        <v>-</v>
      </c>
      <c r="I42" s="44" t="str">
        <f>IF(ISNA(VLOOKUP($C42,StockMaster,COLUMN(StockCode!$B$4),0))=TRUE,"-",VLOOKUP($C42,StockMaster,COLUMN(StockCode!$B$4),0))</f>
        <v>Door Handle</v>
      </c>
      <c r="J42" s="40" t="str">
        <f>IF(ISNA(VLOOKUP($C42,StockMaster,COLUMN(StockCode!$G$4),0))=TRUE,"-",VLOOKUP($C42,StockMaster,COLUMN(StockCode!$G$4),0))</f>
        <v>Bought-In</v>
      </c>
      <c r="K42" s="40" t="str">
        <f>IF(ISNA(VLOOKUP($C42,StockMaster,COLUMN(StockCode!$C$4),0))=TRUE,"-",VLOOKUP($C42,StockMaster,COLUMN(StockCode!$C$4),0))</f>
        <v>Units</v>
      </c>
      <c r="L42" s="68">
        <f>IF(ISNA(VLOOKUP($C42,StockMaster,COLUMN(StockCode!$I$4),0))=TRUE,0,VLOOKUP($C42,StockMaster,COLUMN(StockCode!$I$4),0))</f>
        <v>150</v>
      </c>
      <c r="M42" s="31">
        <f t="shared" si="4"/>
        <v>150</v>
      </c>
      <c r="N42" s="31">
        <f t="shared" si="5"/>
        <v>-15300</v>
      </c>
      <c r="O42" s="31">
        <f t="shared" si="6"/>
        <v>0</v>
      </c>
      <c r="P42" s="8">
        <f ca="1">IF(ISNA(VLOOKUP($A42,JSetup[],COLUMN(JSetup!$T$4),0))=TRUE,"-",VLOOKUP($A42,JSetup[],COLUMN(JSetup!$T$4),0))</f>
        <v>44018</v>
      </c>
      <c r="Q42" s="5">
        <f>IF(ISNA(VLOOKUP(G42,JSetup[],COLUMN(JSetup!$L$4),0))=TRUE,0,IF(ISNUMBER(VLOOKUP(G42,JSetup[],COLUMN(JSetup!$L$4),0))=FALSE,0,IF(VLOOKUP(G42,JSetup[],COLUMN(JSetup!$C$4),0)&lt;&gt;C42,0,VLOOKUP(G42,JSetup[],COLUMN(JSetup!$L$4),0))))</f>
        <v>0</v>
      </c>
      <c r="R42" s="5">
        <f>IF(J42="Bought-In",0,IF(B42="Receipt",0,IF(ISNA(VLOOKUP(C42,StockMaster,COLUMN(StockCode!$AA$4),0))=TRUE,0,VLOOKUP(C42,StockMaster,COLUMN(StockCode!$AA$4),0))))</f>
        <v>0</v>
      </c>
      <c r="S42" s="8" t="str">
        <f ca="1">IF(JSetup!$U$1="Single",IF(ISNA(VLOOKUP($A42,JSetup[],COLUMN(JSetup!$C$4),0))=TRUE,"-",VLOOKUP($A42,JSetup[],COLUMN(JSetup!$C$4),0)),"-")</f>
        <v>1212GHG</v>
      </c>
    </row>
    <row r="43" spans="1:19" ht="16.149999999999999" customHeight="1" x14ac:dyDescent="0.25">
      <c r="A43" s="2" t="s">
        <v>142</v>
      </c>
      <c r="B43" s="3" t="s">
        <v>112</v>
      </c>
      <c r="C43" s="3" t="s">
        <v>50</v>
      </c>
      <c r="D43" s="4">
        <v>-9</v>
      </c>
      <c r="H43" s="3" t="str">
        <f t="shared" si="7"/>
        <v>-</v>
      </c>
      <c r="I43" s="44" t="str">
        <f>IF(ISNA(VLOOKUP($C43,StockMaster,COLUMN(StockCode!$B$4),0))=TRUE,"-",VLOOKUP($C43,StockMaster,COLUMN(StockCode!$B$4),0))</f>
        <v>1 Inch Screws</v>
      </c>
      <c r="J43" s="40" t="str">
        <f>IF(ISNA(VLOOKUP($C43,StockMaster,COLUMN(StockCode!$G$4),0))=TRUE,"-",VLOOKUP($C43,StockMaster,COLUMN(StockCode!$G$4),0))</f>
        <v>Bought-In</v>
      </c>
      <c r="K43" s="40" t="str">
        <f>IF(ISNA(VLOOKUP($C43,StockMaster,COLUMN(StockCode!$C$4),0))=TRUE,"-",VLOOKUP($C43,StockMaster,COLUMN(StockCode!$C$4),0))</f>
        <v>Bag</v>
      </c>
      <c r="L43" s="68">
        <f>IF(ISNA(VLOOKUP($C43,StockMaster,COLUMN(StockCode!$I$4),0))=TRUE,0,VLOOKUP($C43,StockMaster,COLUMN(StockCode!$I$4),0))</f>
        <v>30</v>
      </c>
      <c r="M43" s="31">
        <f t="shared" si="4"/>
        <v>30</v>
      </c>
      <c r="N43" s="31">
        <f t="shared" si="5"/>
        <v>-270</v>
      </c>
      <c r="O43" s="31">
        <f t="shared" si="6"/>
        <v>0</v>
      </c>
      <c r="P43" s="8">
        <f ca="1">IF(ISNA(VLOOKUP($A43,JSetup[],COLUMN(JSetup!$T$4),0))=TRUE,"-",VLOOKUP($A43,JSetup[],COLUMN(JSetup!$T$4),0))</f>
        <v>44018</v>
      </c>
      <c r="Q43" s="5">
        <f>IF(ISNA(VLOOKUP(G43,JSetup[],COLUMN(JSetup!$L$4),0))=TRUE,0,IF(ISNUMBER(VLOOKUP(G43,JSetup[],COLUMN(JSetup!$L$4),0))=FALSE,0,IF(VLOOKUP(G43,JSetup[],COLUMN(JSetup!$C$4),0)&lt;&gt;C43,0,VLOOKUP(G43,JSetup[],COLUMN(JSetup!$L$4),0))))</f>
        <v>0</v>
      </c>
      <c r="R43" s="5">
        <f>IF(J43="Bought-In",0,IF(B43="Receipt",0,IF(ISNA(VLOOKUP(C43,StockMaster,COLUMN(StockCode!$AA$4),0))=TRUE,0,VLOOKUP(C43,StockMaster,COLUMN(StockCode!$AA$4),0))))</f>
        <v>0</v>
      </c>
      <c r="S43" s="8" t="str">
        <f ca="1">IF(JSetup!$U$1="Single",IF(ISNA(VLOOKUP($A43,JSetup[],COLUMN(JSetup!$C$4),0))=TRUE,"-",VLOOKUP($A43,JSetup[],COLUMN(JSetup!$C$4),0)),"-")</f>
        <v>1212GHG</v>
      </c>
    </row>
    <row r="44" spans="1:19" ht="16.149999999999999" customHeight="1" x14ac:dyDescent="0.25">
      <c r="A44" s="2" t="s">
        <v>142</v>
      </c>
      <c r="B44" s="3" t="s">
        <v>112</v>
      </c>
      <c r="C44" s="3" t="s">
        <v>52</v>
      </c>
      <c r="D44" s="4">
        <v>-250</v>
      </c>
      <c r="H44" s="3" t="str">
        <f t="shared" si="7"/>
        <v>-</v>
      </c>
      <c r="I44" s="44" t="str">
        <f>IF(ISNA(VLOOKUP($C44,StockMaster,COLUMN(StockCode!$B$4),0))=TRUE,"-",VLOOKUP($C44,StockMaster,COLUMN(StockCode!$B$4),0))</f>
        <v>Glass</v>
      </c>
      <c r="J44" s="40" t="str">
        <f>IF(ISNA(VLOOKUP($C44,StockMaster,COLUMN(StockCode!$G$4),0))=TRUE,"-",VLOOKUP($C44,StockMaster,COLUMN(StockCode!$G$4),0))</f>
        <v>Bought-In</v>
      </c>
      <c r="K44" s="40" t="str">
        <f>IF(ISNA(VLOOKUP($C44,StockMaster,COLUMN(StockCode!$C$4),0))=TRUE,"-",VLOOKUP($C44,StockMaster,COLUMN(StockCode!$C$4),0))</f>
        <v>M2</v>
      </c>
      <c r="L44" s="68">
        <f>IF(ISNA(VLOOKUP($C44,StockMaster,COLUMN(StockCode!$I$4),0))=TRUE,0,VLOOKUP($C44,StockMaster,COLUMN(StockCode!$I$4),0))</f>
        <v>80</v>
      </c>
      <c r="M44" s="31">
        <f t="shared" si="4"/>
        <v>80</v>
      </c>
      <c r="N44" s="31">
        <f t="shared" si="5"/>
        <v>-20000</v>
      </c>
      <c r="O44" s="31">
        <f t="shared" si="6"/>
        <v>0</v>
      </c>
      <c r="P44" s="8">
        <f ca="1">IF(ISNA(VLOOKUP($A44,JSetup[],COLUMN(JSetup!$T$4),0))=TRUE,"-",VLOOKUP($A44,JSetup[],COLUMN(JSetup!$T$4),0))</f>
        <v>44018</v>
      </c>
      <c r="Q44" s="5">
        <f>IF(ISNA(VLOOKUP(G44,JSetup[],COLUMN(JSetup!$L$4),0))=TRUE,0,IF(ISNUMBER(VLOOKUP(G44,JSetup[],COLUMN(JSetup!$L$4),0))=FALSE,0,IF(VLOOKUP(G44,JSetup[],COLUMN(JSetup!$C$4),0)&lt;&gt;C44,0,VLOOKUP(G44,JSetup[],COLUMN(JSetup!$L$4),0))))</f>
        <v>0</v>
      </c>
      <c r="R44" s="5">
        <f>IF(J44="Bought-In",0,IF(B44="Receipt",0,IF(ISNA(VLOOKUP(C44,StockMaster,COLUMN(StockCode!$AA$4),0))=TRUE,0,VLOOKUP(C44,StockMaster,COLUMN(StockCode!$AA$4),0))))</f>
        <v>0</v>
      </c>
      <c r="S44" s="8" t="str">
        <f ca="1">IF(JSetup!$U$1="Single",IF(ISNA(VLOOKUP($A44,JSetup[],COLUMN(JSetup!$C$4),0))=TRUE,"-",VLOOKUP($A44,JSetup[],COLUMN(JSetup!$C$4),0)),"-")</f>
        <v>1212GHG</v>
      </c>
    </row>
    <row r="45" spans="1:19" ht="16.149999999999999" customHeight="1" x14ac:dyDescent="0.25">
      <c r="A45" s="2" t="s">
        <v>142</v>
      </c>
      <c r="B45" s="3" t="s">
        <v>112</v>
      </c>
      <c r="C45" s="3" t="s">
        <v>54</v>
      </c>
      <c r="D45" s="4">
        <v>-100</v>
      </c>
      <c r="H45" s="3" t="str">
        <f t="shared" si="7"/>
        <v>-</v>
      </c>
      <c r="I45" s="44" t="str">
        <f>IF(ISNA(VLOOKUP($C45,StockMaster,COLUMN(StockCode!$B$4),0))=TRUE,"-",VLOOKUP($C45,StockMaster,COLUMN(StockCode!$B$4),0))</f>
        <v>Filler</v>
      </c>
      <c r="J45" s="40" t="str">
        <f>IF(ISNA(VLOOKUP($C45,StockMaster,COLUMN(StockCode!$G$4),0))=TRUE,"-",VLOOKUP($C45,StockMaster,COLUMN(StockCode!$G$4),0))</f>
        <v>Bought-In</v>
      </c>
      <c r="K45" s="40" t="str">
        <f>IF(ISNA(VLOOKUP($C45,StockMaster,COLUMN(StockCode!$C$4),0))=TRUE,"-",VLOOKUP($C45,StockMaster,COLUMN(StockCode!$C$4),0))</f>
        <v>Bag</v>
      </c>
      <c r="L45" s="68">
        <f>IF(ISNA(VLOOKUP($C45,StockMaster,COLUMN(StockCode!$I$4),0))=TRUE,0,VLOOKUP($C45,StockMaster,COLUMN(StockCode!$I$4),0))</f>
        <v>60</v>
      </c>
      <c r="M45" s="31">
        <f t="shared" si="4"/>
        <v>60</v>
      </c>
      <c r="N45" s="31">
        <f t="shared" si="5"/>
        <v>-6000</v>
      </c>
      <c r="O45" s="31">
        <f t="shared" si="6"/>
        <v>0</v>
      </c>
      <c r="P45" s="8">
        <f ca="1">IF(ISNA(VLOOKUP($A45,JSetup[],COLUMN(JSetup!$T$4),0))=TRUE,"-",VLOOKUP($A45,JSetup[],COLUMN(JSetup!$T$4),0))</f>
        <v>44018</v>
      </c>
      <c r="Q45" s="5">
        <f>IF(ISNA(VLOOKUP(G45,JSetup[],COLUMN(JSetup!$L$4),0))=TRUE,0,IF(ISNUMBER(VLOOKUP(G45,JSetup[],COLUMN(JSetup!$L$4),0))=FALSE,0,IF(VLOOKUP(G45,JSetup[],COLUMN(JSetup!$C$4),0)&lt;&gt;C45,0,VLOOKUP(G45,JSetup[],COLUMN(JSetup!$L$4),0))))</f>
        <v>0</v>
      </c>
      <c r="R45" s="5">
        <f>IF(J45="Bought-In",0,IF(B45="Receipt",0,IF(ISNA(VLOOKUP(C45,StockMaster,COLUMN(StockCode!$AA$4),0))=TRUE,0,VLOOKUP(C45,StockMaster,COLUMN(StockCode!$AA$4),0))))</f>
        <v>0</v>
      </c>
      <c r="S45" s="8" t="str">
        <f ca="1">IF(JSetup!$U$1="Single",IF(ISNA(VLOOKUP($A45,JSetup[],COLUMN(JSetup!$C$4),0))=TRUE,"-",VLOOKUP($A45,JSetup[],COLUMN(JSetup!$C$4),0)),"-")</f>
        <v>1212GHG</v>
      </c>
    </row>
    <row r="46" spans="1:19" ht="16.149999999999999" customHeight="1" x14ac:dyDescent="0.25">
      <c r="A46" s="2" t="s">
        <v>142</v>
      </c>
      <c r="B46" s="3" t="s">
        <v>112</v>
      </c>
      <c r="C46" s="3" t="s">
        <v>72</v>
      </c>
      <c r="D46" s="4">
        <v>-220</v>
      </c>
      <c r="H46" s="3" t="str">
        <f t="shared" si="7"/>
        <v>-</v>
      </c>
      <c r="I46" s="44" t="str">
        <f>IF(ISNA(VLOOKUP($C46,StockMaster,COLUMN(StockCode!$B$4),0))=TRUE,"-",VLOOKUP($C46,StockMaster,COLUMN(StockCode!$B$4),0))</f>
        <v>Swivel</v>
      </c>
      <c r="J46" s="40" t="str">
        <f>IF(ISNA(VLOOKUP($C46,StockMaster,COLUMN(StockCode!$G$4),0))=TRUE,"-",VLOOKUP($C46,StockMaster,COLUMN(StockCode!$G$4),0))</f>
        <v>Bought-In</v>
      </c>
      <c r="K46" s="40" t="str">
        <f>IF(ISNA(VLOOKUP($C46,StockMaster,COLUMN(StockCode!$C$4),0))=TRUE,"-",VLOOKUP($C46,StockMaster,COLUMN(StockCode!$C$4),0))</f>
        <v>Units</v>
      </c>
      <c r="L46" s="68">
        <f>IF(ISNA(VLOOKUP($C46,StockMaster,COLUMN(StockCode!$I$4),0))=TRUE,0,VLOOKUP($C46,StockMaster,COLUMN(StockCode!$I$4),0))</f>
        <v>3.5</v>
      </c>
      <c r="M46" s="31">
        <f t="shared" si="4"/>
        <v>3.5</v>
      </c>
      <c r="N46" s="31">
        <f t="shared" si="5"/>
        <v>-770</v>
      </c>
      <c r="O46" s="31">
        <f t="shared" si="6"/>
        <v>0</v>
      </c>
      <c r="P46" s="8">
        <f ca="1">IF(ISNA(VLOOKUP($A46,JSetup[],COLUMN(JSetup!$T$4),0))=TRUE,"-",VLOOKUP($A46,JSetup[],COLUMN(JSetup!$T$4),0))</f>
        <v>44018</v>
      </c>
      <c r="Q46" s="5">
        <f>IF(ISNA(VLOOKUP(G46,JSetup[],COLUMN(JSetup!$L$4),0))=TRUE,0,IF(ISNUMBER(VLOOKUP(G46,JSetup[],COLUMN(JSetup!$L$4),0))=FALSE,0,IF(VLOOKUP(G46,JSetup[],COLUMN(JSetup!$C$4),0)&lt;&gt;C46,0,VLOOKUP(G46,JSetup[],COLUMN(JSetup!$L$4),0))))</f>
        <v>0</v>
      </c>
      <c r="R46" s="5">
        <f>IF(J46="Bought-In",0,IF(B46="Receipt",0,IF(ISNA(VLOOKUP(C46,StockMaster,COLUMN(StockCode!$AA$4),0))=TRUE,0,VLOOKUP(C46,StockMaster,COLUMN(StockCode!$AA$4),0))))</f>
        <v>0</v>
      </c>
      <c r="S46" s="8" t="str">
        <f ca="1">IF(JSetup!$U$1="Single",IF(ISNA(VLOOKUP($A46,JSetup[],COLUMN(JSetup!$C$4),0))=TRUE,"-",VLOOKUP($A46,JSetup[],COLUMN(JSetup!$C$4),0)),"-")</f>
        <v>1212GHG</v>
      </c>
    </row>
    <row r="47" spans="1:19" ht="16.149999999999999" customHeight="1" x14ac:dyDescent="0.25">
      <c r="A47" s="2" t="s">
        <v>142</v>
      </c>
      <c r="B47" s="3" t="s">
        <v>112</v>
      </c>
      <c r="C47" s="3" t="s">
        <v>82</v>
      </c>
      <c r="D47" s="4">
        <v>-950</v>
      </c>
      <c r="H47" s="3" t="str">
        <f t="shared" si="7"/>
        <v>-</v>
      </c>
      <c r="I47" s="44" t="str">
        <f>IF(ISNA(VLOOKUP($C47,StockMaster,COLUMN(StockCode!$B$4),0))=TRUE,"-",VLOOKUP($C47,StockMaster,COLUMN(StockCode!$B$4),0))</f>
        <v>Labour - Grade 1</v>
      </c>
      <c r="J47" s="40" t="str">
        <f>IF(ISNA(VLOOKUP($C47,StockMaster,COLUMN(StockCode!$G$4),0))=TRUE,"-",VLOOKUP($C47,StockMaster,COLUMN(StockCode!$G$4),0))</f>
        <v>Bought-In</v>
      </c>
      <c r="K47" s="40" t="str">
        <f>IF(ISNA(VLOOKUP($C47,StockMaster,COLUMN(StockCode!$C$4),0))=TRUE,"-",VLOOKUP($C47,StockMaster,COLUMN(StockCode!$C$4),0))</f>
        <v>Hours</v>
      </c>
      <c r="L47" s="68">
        <f>IF(ISNA(VLOOKUP($C47,StockMaster,COLUMN(StockCode!$I$4),0))=TRUE,0,VLOOKUP($C47,StockMaster,COLUMN(StockCode!$I$4),0))</f>
        <v>20</v>
      </c>
      <c r="M47" s="31">
        <f t="shared" si="4"/>
        <v>20</v>
      </c>
      <c r="N47" s="31">
        <f t="shared" si="5"/>
        <v>-19000</v>
      </c>
      <c r="O47" s="31">
        <f t="shared" si="6"/>
        <v>0</v>
      </c>
      <c r="P47" s="8">
        <f ca="1">IF(ISNA(VLOOKUP($A47,JSetup[],COLUMN(JSetup!$T$4),0))=TRUE,"-",VLOOKUP($A47,JSetup[],COLUMN(JSetup!$T$4),0))</f>
        <v>44018</v>
      </c>
      <c r="Q47" s="5">
        <f>IF(ISNA(VLOOKUP(G47,JSetup[],COLUMN(JSetup!$L$4),0))=TRUE,0,IF(ISNUMBER(VLOOKUP(G47,JSetup[],COLUMN(JSetup!$L$4),0))=FALSE,0,IF(VLOOKUP(G47,JSetup[],COLUMN(JSetup!$C$4),0)&lt;&gt;C47,0,VLOOKUP(G47,JSetup[],COLUMN(JSetup!$L$4),0))))</f>
        <v>0</v>
      </c>
      <c r="R47" s="5">
        <f>IF(J47="Bought-In",0,IF(B47="Receipt",0,IF(ISNA(VLOOKUP(C47,StockMaster,COLUMN(StockCode!$AA$4),0))=TRUE,0,VLOOKUP(C47,StockMaster,COLUMN(StockCode!$AA$4),0))))</f>
        <v>0</v>
      </c>
      <c r="S47" s="8" t="str">
        <f ca="1">IF(JSetup!$U$1="Single",IF(ISNA(VLOOKUP($A47,JSetup[],COLUMN(JSetup!$C$4),0))=TRUE,"-",VLOOKUP($A47,JSetup[],COLUMN(JSetup!$C$4),0)),"-")</f>
        <v>1212GHG</v>
      </c>
    </row>
    <row r="48" spans="1:19" ht="16.149999999999999" customHeight="1" x14ac:dyDescent="0.25">
      <c r="A48" s="2" t="s">
        <v>142</v>
      </c>
      <c r="B48" s="3" t="s">
        <v>112</v>
      </c>
      <c r="C48" s="3" t="s">
        <v>84</v>
      </c>
      <c r="D48" s="4">
        <v>-101</v>
      </c>
      <c r="H48" s="3" t="str">
        <f t="shared" si="7"/>
        <v>-</v>
      </c>
      <c r="I48" s="44" t="str">
        <f>IF(ISNA(VLOOKUP($C48,StockMaster,COLUMN(StockCode!$B$4),0))=TRUE,"-",VLOOKUP($C48,StockMaster,COLUMN(StockCode!$B$4),0))</f>
        <v>Labour - Grade 2</v>
      </c>
      <c r="J48" s="40" t="str">
        <f>IF(ISNA(VLOOKUP($C48,StockMaster,COLUMN(StockCode!$G$4),0))=TRUE,"-",VLOOKUP($C48,StockMaster,COLUMN(StockCode!$G$4),0))</f>
        <v>Bought-In</v>
      </c>
      <c r="K48" s="40" t="str">
        <f>IF(ISNA(VLOOKUP($C48,StockMaster,COLUMN(StockCode!$C$4),0))=TRUE,"-",VLOOKUP($C48,StockMaster,COLUMN(StockCode!$C$4),0))</f>
        <v>Hours</v>
      </c>
      <c r="L48" s="68">
        <f>IF(ISNA(VLOOKUP($C48,StockMaster,COLUMN(StockCode!$I$4),0))=TRUE,0,VLOOKUP($C48,StockMaster,COLUMN(StockCode!$I$4),0))</f>
        <v>30</v>
      </c>
      <c r="M48" s="31">
        <f t="shared" si="4"/>
        <v>30</v>
      </c>
      <c r="N48" s="31">
        <f t="shared" si="5"/>
        <v>-3030</v>
      </c>
      <c r="O48" s="31">
        <f t="shared" si="6"/>
        <v>0</v>
      </c>
      <c r="P48" s="8">
        <f ca="1">IF(ISNA(VLOOKUP($A48,JSetup[],COLUMN(JSetup!$T$4),0))=TRUE,"-",VLOOKUP($A48,JSetup[],COLUMN(JSetup!$T$4),0))</f>
        <v>44018</v>
      </c>
      <c r="Q48" s="5">
        <f>IF(ISNA(VLOOKUP(G48,JSetup[],COLUMN(JSetup!$L$4),0))=TRUE,0,IF(ISNUMBER(VLOOKUP(G48,JSetup[],COLUMN(JSetup!$L$4),0))=FALSE,0,IF(VLOOKUP(G48,JSetup[],COLUMN(JSetup!$C$4),0)&lt;&gt;C48,0,VLOOKUP(G48,JSetup[],COLUMN(JSetup!$L$4),0))))</f>
        <v>0</v>
      </c>
      <c r="R48" s="5">
        <f>IF(J48="Bought-In",0,IF(B48="Receipt",0,IF(ISNA(VLOOKUP(C48,StockMaster,COLUMN(StockCode!$AA$4),0))=TRUE,0,VLOOKUP(C48,StockMaster,COLUMN(StockCode!$AA$4),0))))</f>
        <v>0</v>
      </c>
      <c r="S48" s="8" t="str">
        <f ca="1">IF(JSetup!$U$1="Single",IF(ISNA(VLOOKUP($A48,JSetup[],COLUMN(JSetup!$C$4),0))=TRUE,"-",VLOOKUP($A48,JSetup[],COLUMN(JSetup!$C$4),0)),"-")</f>
        <v>1212GHG</v>
      </c>
    </row>
    <row r="49" spans="1:19" ht="16.149999999999999" customHeight="1" x14ac:dyDescent="0.25">
      <c r="A49" s="2" t="s">
        <v>143</v>
      </c>
      <c r="B49" s="3" t="s">
        <v>110</v>
      </c>
      <c r="C49" s="3" t="s">
        <v>41</v>
      </c>
      <c r="D49" s="4">
        <v>300</v>
      </c>
      <c r="H49" s="3" t="str">
        <f t="shared" si="7"/>
        <v>-</v>
      </c>
      <c r="I49" s="44" t="str">
        <f>IF(ISNA(VLOOKUP($C49,StockMaster,COLUMN(StockCode!$B$4),0))=TRUE,"-",VLOOKUP($C49,StockMaster,COLUMN(StockCode!$B$4),0))</f>
        <v>Garden Shed</v>
      </c>
      <c r="J49" s="40" t="str">
        <f>IF(ISNA(VLOOKUP($C49,StockMaster,COLUMN(StockCode!$G$4),0))=TRUE,"-",VLOOKUP($C49,StockMaster,COLUMN(StockCode!$G$4),0))</f>
        <v>Manufactured</v>
      </c>
      <c r="K49" s="40" t="str">
        <f>IF(ISNA(VLOOKUP($C49,StockMaster,COLUMN(StockCode!$C$4),0))=TRUE,"-",VLOOKUP($C49,StockMaster,COLUMN(StockCode!$C$4),0))</f>
        <v>Units</v>
      </c>
      <c r="L49" s="68">
        <f>IF(ISNA(VLOOKUP($C49,StockMaster,COLUMN(StockCode!$I$4),0))=TRUE,0,VLOOKUP($C49,StockMaster,COLUMN(StockCode!$I$4),0))</f>
        <v>4164.7192982456136</v>
      </c>
      <c r="M49" s="31">
        <f t="shared" si="4"/>
        <v>4164.7192982456136</v>
      </c>
      <c r="N49" s="31">
        <f t="shared" ref="N49:N69" si="8">D49*M49</f>
        <v>1249415.789473684</v>
      </c>
      <c r="O49" s="31">
        <f t="shared" si="6"/>
        <v>0</v>
      </c>
      <c r="P49" s="8">
        <f ca="1">IF(ISNA(VLOOKUP($A49,JSetup[],COLUMN(JSetup!$T$4),0))=TRUE,"-",VLOOKUP($A49,JSetup[],COLUMN(JSetup!$T$4),0))</f>
        <v>44019</v>
      </c>
      <c r="Q49" s="5">
        <f>IF(ISNA(VLOOKUP(G49,JSetup[],COLUMN(JSetup!$L$4),0))=TRUE,0,IF(ISNUMBER(VLOOKUP(G49,JSetup[],COLUMN(JSetup!$L$4),0))=FALSE,0,IF(VLOOKUP(G49,JSetup[],COLUMN(JSetup!$C$4),0)&lt;&gt;C49,0,VLOOKUP(G49,JSetup[],COLUMN(JSetup!$L$4),0))))</f>
        <v>0</v>
      </c>
      <c r="R49" s="5">
        <f>IF(J49="Bought-In",0,IF(B49="Receipt",0,IF(ISNA(VLOOKUP(C49,StockMaster,COLUMN(StockCode!$AA$4),0))=TRUE,0,VLOOKUP(C49,StockMaster,COLUMN(StockCode!$AA$4),0))))</f>
        <v>0</v>
      </c>
      <c r="S49" s="8" t="str">
        <f ca="1">IF(JSetup!$U$1="Single",IF(ISNA(VLOOKUP($A49,JSetup[],COLUMN(JSetup!$C$4),0))=TRUE,"-",VLOOKUP($A49,JSetup[],COLUMN(JSetup!$C$4),0)),"-")</f>
        <v>1212GHG</v>
      </c>
    </row>
    <row r="50" spans="1:19" ht="16.149999999999999" customHeight="1" x14ac:dyDescent="0.25">
      <c r="A50" s="2" t="s">
        <v>143</v>
      </c>
      <c r="B50" s="3" t="s">
        <v>112</v>
      </c>
      <c r="C50" s="3" t="s">
        <v>48</v>
      </c>
      <c r="D50" s="4">
        <v>-4450</v>
      </c>
      <c r="E50" s="4">
        <v>125</v>
      </c>
      <c r="F50" s="3" t="s">
        <v>125</v>
      </c>
      <c r="H50" s="3" t="str">
        <f t="shared" si="7"/>
        <v>-</v>
      </c>
      <c r="I50" s="44" t="str">
        <f>IF(ISNA(VLOOKUP($C50,StockMaster,COLUMN(StockCode!$B$4),0))=TRUE,"-",VLOOKUP($C50,StockMaster,COLUMN(StockCode!$B$4),0))</f>
        <v>Wood</v>
      </c>
      <c r="J50" s="40" t="str">
        <f>IF(ISNA(VLOOKUP($C50,StockMaster,COLUMN(StockCode!$G$4),0))=TRUE,"-",VLOOKUP($C50,StockMaster,COLUMN(StockCode!$G$4),0))</f>
        <v>Bought-In</v>
      </c>
      <c r="K50" s="40" t="str">
        <f>IF(ISNA(VLOOKUP($C50,StockMaster,COLUMN(StockCode!$C$4),0))=TRUE,"-",VLOOKUP($C50,StockMaster,COLUMN(StockCode!$C$4),0))</f>
        <v>M2</v>
      </c>
      <c r="L50" s="68">
        <f>IF(ISNA(VLOOKUP($C50,StockMaster,COLUMN(StockCode!$I$4),0))=TRUE,0,VLOOKUP($C50,StockMaster,COLUMN(StockCode!$I$4),0))</f>
        <v>120</v>
      </c>
      <c r="M50" s="31">
        <f t="shared" ref="M50:M73" si="9">IF(B50="Receipt",L50,IF(J50="Manufactured",IF(Q50&lt;&gt;0,Q50,IF(R50&lt;&gt;0,R50,L50)),IF(F50="Yes",E50,L50)))</f>
        <v>125</v>
      </c>
      <c r="N50" s="31">
        <f t="shared" si="8"/>
        <v>-556250</v>
      </c>
      <c r="O50" s="31">
        <f t="shared" si="6"/>
        <v>-22250</v>
      </c>
      <c r="P50" s="8">
        <f ca="1">IF(ISNA(VLOOKUP($A50,JSetup[],COLUMN(JSetup!$T$4),0))=TRUE,"-",VLOOKUP($A50,JSetup[],COLUMN(JSetup!$T$4),0))</f>
        <v>44019</v>
      </c>
      <c r="Q50" s="5">
        <f>IF(ISNA(VLOOKUP(G50,JSetup[],COLUMN(JSetup!$L$4),0))=TRUE,0,IF(ISNUMBER(VLOOKUP(G50,JSetup[],COLUMN(JSetup!$L$4),0))=FALSE,0,IF(VLOOKUP(G50,JSetup[],COLUMN(JSetup!$C$4),0)&lt;&gt;C50,0,VLOOKUP(G50,JSetup[],COLUMN(JSetup!$L$4),0))))</f>
        <v>0</v>
      </c>
      <c r="R50" s="5">
        <f>IF(J50="Bought-In",0,IF(B50="Receipt",0,IF(ISNA(VLOOKUP(C50,StockMaster,COLUMN(StockCode!$AA$4),0))=TRUE,0,VLOOKUP(C50,StockMaster,COLUMN(StockCode!$AA$4),0))))</f>
        <v>0</v>
      </c>
      <c r="S50" s="8" t="str">
        <f ca="1">IF(JSetup!$U$1="Single",IF(ISNA(VLOOKUP($A50,JSetup[],COLUMN(JSetup!$C$4),0))=TRUE,"-",VLOOKUP($A50,JSetup[],COLUMN(JSetup!$C$4),0)),"-")</f>
        <v>1212GHG</v>
      </c>
    </row>
    <row r="51" spans="1:19" ht="16.149999999999999" customHeight="1" x14ac:dyDescent="0.25">
      <c r="A51" s="2" t="s">
        <v>143</v>
      </c>
      <c r="B51" s="3" t="s">
        <v>112</v>
      </c>
      <c r="C51" s="3" t="s">
        <v>70</v>
      </c>
      <c r="D51" s="4">
        <v>-1000</v>
      </c>
      <c r="E51" s="4">
        <v>45</v>
      </c>
      <c r="F51" s="3" t="s">
        <v>125</v>
      </c>
      <c r="H51" s="3" t="str">
        <f t="shared" si="7"/>
        <v>-</v>
      </c>
      <c r="I51" s="44" t="str">
        <f>IF(ISNA(VLOOKUP($C51,StockMaster,COLUMN(StockCode!$B$4),0))=TRUE,"-",VLOOKUP($C51,StockMaster,COLUMN(StockCode!$B$4),0))</f>
        <v>2 Inch Screws</v>
      </c>
      <c r="J51" s="40" t="str">
        <f>IF(ISNA(VLOOKUP($C51,StockMaster,COLUMN(StockCode!$G$4),0))=TRUE,"-",VLOOKUP($C51,StockMaster,COLUMN(StockCode!$G$4),0))</f>
        <v>Bought-In</v>
      </c>
      <c r="K51" s="40" t="str">
        <f>IF(ISNA(VLOOKUP($C51,StockMaster,COLUMN(StockCode!$C$4),0))=TRUE,"-",VLOOKUP($C51,StockMaster,COLUMN(StockCode!$C$4),0))</f>
        <v>Bag</v>
      </c>
      <c r="L51" s="68">
        <f>IF(ISNA(VLOOKUP($C51,StockMaster,COLUMN(StockCode!$I$4),0))=TRUE,0,VLOOKUP($C51,StockMaster,COLUMN(StockCode!$I$4),0))</f>
        <v>50</v>
      </c>
      <c r="M51" s="31">
        <f t="shared" si="9"/>
        <v>45</v>
      </c>
      <c r="N51" s="31">
        <f t="shared" si="8"/>
        <v>-45000</v>
      </c>
      <c r="O51" s="31">
        <f t="shared" ref="O51:O74" si="10">-(L51-M51)*D51</f>
        <v>5000</v>
      </c>
      <c r="P51" s="8">
        <f ca="1">IF(ISNA(VLOOKUP($A51,JSetup[],COLUMN(JSetup!$T$4),0))=TRUE,"-",VLOOKUP($A51,JSetup[],COLUMN(JSetup!$T$4),0))</f>
        <v>44019</v>
      </c>
      <c r="Q51" s="5">
        <f>IF(ISNA(VLOOKUP(G51,JSetup[],COLUMN(JSetup!$L$4),0))=TRUE,0,IF(ISNUMBER(VLOOKUP(G51,JSetup[],COLUMN(JSetup!$L$4),0))=FALSE,0,IF(VLOOKUP(G51,JSetup[],COLUMN(JSetup!$C$4),0)&lt;&gt;C51,0,VLOOKUP(G51,JSetup[],COLUMN(JSetup!$L$4),0))))</f>
        <v>0</v>
      </c>
      <c r="R51" s="5">
        <f>IF(J51="Bought-In",0,IF(B51="Receipt",0,IF(ISNA(VLOOKUP(C51,StockMaster,COLUMN(StockCode!$AA$4),0))=TRUE,0,VLOOKUP(C51,StockMaster,COLUMN(StockCode!$AA$4),0))))</f>
        <v>0</v>
      </c>
      <c r="S51" s="8" t="str">
        <f ca="1">IF(JSetup!$U$1="Single",IF(ISNA(VLOOKUP($A51,JSetup[],COLUMN(JSetup!$C$4),0))=TRUE,"-",VLOOKUP($A51,JSetup[],COLUMN(JSetup!$C$4),0)),"-")</f>
        <v>1212GHG</v>
      </c>
    </row>
    <row r="52" spans="1:19" ht="16.149999999999999" customHeight="1" x14ac:dyDescent="0.25">
      <c r="A52" s="2" t="s">
        <v>143</v>
      </c>
      <c r="B52" s="3" t="s">
        <v>112</v>
      </c>
      <c r="C52" s="3" t="s">
        <v>43</v>
      </c>
      <c r="D52" s="4">
        <v>-3310</v>
      </c>
      <c r="H52" s="3" t="str">
        <f t="shared" si="7"/>
        <v>-</v>
      </c>
      <c r="I52" s="44" t="str">
        <f>IF(ISNA(VLOOKUP($C52,StockMaster,COLUMN(StockCode!$B$4),0))=TRUE,"-",VLOOKUP($C52,StockMaster,COLUMN(StockCode!$B$4),0))</f>
        <v>Steel Plates</v>
      </c>
      <c r="J52" s="40" t="str">
        <f>IF(ISNA(VLOOKUP($C52,StockMaster,COLUMN(StockCode!$G$4),0))=TRUE,"-",VLOOKUP($C52,StockMaster,COLUMN(StockCode!$G$4),0))</f>
        <v>Bought-In</v>
      </c>
      <c r="K52" s="40" t="str">
        <f>IF(ISNA(VLOOKUP($C52,StockMaster,COLUMN(StockCode!$C$4),0))=TRUE,"-",VLOOKUP($C52,StockMaster,COLUMN(StockCode!$C$4),0))</f>
        <v>M2</v>
      </c>
      <c r="L52" s="68">
        <f>IF(ISNA(VLOOKUP($C52,StockMaster,COLUMN(StockCode!$I$4),0))=TRUE,0,VLOOKUP($C52,StockMaster,COLUMN(StockCode!$I$4),0))</f>
        <v>140</v>
      </c>
      <c r="M52" s="31">
        <f t="shared" si="9"/>
        <v>140</v>
      </c>
      <c r="N52" s="31">
        <f t="shared" si="8"/>
        <v>-463400</v>
      </c>
      <c r="O52" s="31">
        <f t="shared" si="10"/>
        <v>0</v>
      </c>
      <c r="P52" s="8">
        <f ca="1">IF(ISNA(VLOOKUP($A52,JSetup[],COLUMN(JSetup!$T$4),0))=TRUE,"-",VLOOKUP($A52,JSetup[],COLUMN(JSetup!$T$4),0))</f>
        <v>44019</v>
      </c>
      <c r="Q52" s="5">
        <f>IF(ISNA(VLOOKUP(G52,JSetup[],COLUMN(JSetup!$L$4),0))=TRUE,0,IF(ISNUMBER(VLOOKUP(G52,JSetup[],COLUMN(JSetup!$L$4),0))=FALSE,0,IF(VLOOKUP(G52,JSetup[],COLUMN(JSetup!$C$4),0)&lt;&gt;C52,0,VLOOKUP(G52,JSetup[],COLUMN(JSetup!$L$4),0))))</f>
        <v>0</v>
      </c>
      <c r="R52" s="5">
        <f>IF(J52="Bought-In",0,IF(B52="Receipt",0,IF(ISNA(VLOOKUP(C52,StockMaster,COLUMN(StockCode!$AA$4),0))=TRUE,0,VLOOKUP(C52,StockMaster,COLUMN(StockCode!$AA$4),0))))</f>
        <v>0</v>
      </c>
      <c r="S52" s="8" t="str">
        <f ca="1">IF(JSetup!$U$1="Single",IF(ISNA(VLOOKUP($A52,JSetup[],COLUMN(JSetup!$C$4),0))=TRUE,"-",VLOOKUP($A52,JSetup[],COLUMN(JSetup!$C$4),0)),"-")</f>
        <v>1212GHG</v>
      </c>
    </row>
    <row r="53" spans="1:19" ht="16.149999999999999" customHeight="1" x14ac:dyDescent="0.25">
      <c r="A53" s="2" t="s">
        <v>143</v>
      </c>
      <c r="B53" s="3" t="s">
        <v>112</v>
      </c>
      <c r="C53" s="3" t="s">
        <v>46</v>
      </c>
      <c r="D53" s="4">
        <v>-273</v>
      </c>
      <c r="H53" s="3" t="str">
        <f t="shared" si="7"/>
        <v>-</v>
      </c>
      <c r="I53" s="44" t="str">
        <f>IF(ISNA(VLOOKUP($C53,StockMaster,COLUMN(StockCode!$B$4),0))=TRUE,"-",VLOOKUP($C53,StockMaster,COLUMN(StockCode!$B$4),0))</f>
        <v>Door Handle</v>
      </c>
      <c r="J53" s="40" t="str">
        <f>IF(ISNA(VLOOKUP($C53,StockMaster,COLUMN(StockCode!$G$4),0))=TRUE,"-",VLOOKUP($C53,StockMaster,COLUMN(StockCode!$G$4),0))</f>
        <v>Bought-In</v>
      </c>
      <c r="K53" s="40" t="str">
        <f>IF(ISNA(VLOOKUP($C53,StockMaster,COLUMN(StockCode!$C$4),0))=TRUE,"-",VLOOKUP($C53,StockMaster,COLUMN(StockCode!$C$4),0))</f>
        <v>Units</v>
      </c>
      <c r="L53" s="68">
        <f>IF(ISNA(VLOOKUP($C53,StockMaster,COLUMN(StockCode!$I$4),0))=TRUE,0,VLOOKUP($C53,StockMaster,COLUMN(StockCode!$I$4),0))</f>
        <v>150</v>
      </c>
      <c r="M53" s="31">
        <f t="shared" si="9"/>
        <v>150</v>
      </c>
      <c r="N53" s="31">
        <f t="shared" si="8"/>
        <v>-40950</v>
      </c>
      <c r="O53" s="31">
        <f t="shared" si="10"/>
        <v>0</v>
      </c>
      <c r="P53" s="8">
        <f ca="1">IF(ISNA(VLOOKUP($A53,JSetup[],COLUMN(JSetup!$T$4),0))=TRUE,"-",VLOOKUP($A53,JSetup[],COLUMN(JSetup!$T$4),0))</f>
        <v>44019</v>
      </c>
      <c r="Q53" s="5">
        <f>IF(ISNA(VLOOKUP(G53,JSetup[],COLUMN(JSetup!$L$4),0))=TRUE,0,IF(ISNUMBER(VLOOKUP(G53,JSetup[],COLUMN(JSetup!$L$4),0))=FALSE,0,IF(VLOOKUP(G53,JSetup[],COLUMN(JSetup!$C$4),0)&lt;&gt;C53,0,VLOOKUP(G53,JSetup[],COLUMN(JSetup!$L$4),0))))</f>
        <v>0</v>
      </c>
      <c r="R53" s="5">
        <f>IF(J53="Bought-In",0,IF(B53="Receipt",0,IF(ISNA(VLOOKUP(C53,StockMaster,COLUMN(StockCode!$AA$4),0))=TRUE,0,VLOOKUP(C53,StockMaster,COLUMN(StockCode!$AA$4),0))))</f>
        <v>0</v>
      </c>
      <c r="S53" s="8" t="str">
        <f ca="1">IF(JSetup!$U$1="Single",IF(ISNA(VLOOKUP($A53,JSetup[],COLUMN(JSetup!$C$4),0))=TRUE,"-",VLOOKUP($A53,JSetup[],COLUMN(JSetup!$C$4),0)),"-")</f>
        <v>1212GHG</v>
      </c>
    </row>
    <row r="54" spans="1:19" ht="16.149999999999999" customHeight="1" x14ac:dyDescent="0.25">
      <c r="A54" s="2" t="s">
        <v>143</v>
      </c>
      <c r="B54" s="3" t="s">
        <v>112</v>
      </c>
      <c r="C54" s="3" t="s">
        <v>50</v>
      </c>
      <c r="D54" s="4">
        <v>-40</v>
      </c>
      <c r="H54" s="3" t="str">
        <f t="shared" si="7"/>
        <v>-</v>
      </c>
      <c r="I54" s="44" t="str">
        <f>IF(ISNA(VLOOKUP($C54,StockMaster,COLUMN(StockCode!$B$4),0))=TRUE,"-",VLOOKUP($C54,StockMaster,COLUMN(StockCode!$B$4),0))</f>
        <v>1 Inch Screws</v>
      </c>
      <c r="J54" s="40" t="str">
        <f>IF(ISNA(VLOOKUP($C54,StockMaster,COLUMN(StockCode!$G$4),0))=TRUE,"-",VLOOKUP($C54,StockMaster,COLUMN(StockCode!$G$4),0))</f>
        <v>Bought-In</v>
      </c>
      <c r="K54" s="40" t="str">
        <f>IF(ISNA(VLOOKUP($C54,StockMaster,COLUMN(StockCode!$C$4),0))=TRUE,"-",VLOOKUP($C54,StockMaster,COLUMN(StockCode!$C$4),0))</f>
        <v>Bag</v>
      </c>
      <c r="L54" s="68">
        <f>IF(ISNA(VLOOKUP($C54,StockMaster,COLUMN(StockCode!$I$4),0))=TRUE,0,VLOOKUP($C54,StockMaster,COLUMN(StockCode!$I$4),0))</f>
        <v>30</v>
      </c>
      <c r="M54" s="31">
        <f t="shared" si="9"/>
        <v>30</v>
      </c>
      <c r="N54" s="31">
        <f t="shared" si="8"/>
        <v>-1200</v>
      </c>
      <c r="O54" s="31">
        <f t="shared" si="10"/>
        <v>0</v>
      </c>
      <c r="P54" s="8">
        <f ca="1">IF(ISNA(VLOOKUP($A54,JSetup[],COLUMN(JSetup!$T$4),0))=TRUE,"-",VLOOKUP($A54,JSetup[],COLUMN(JSetup!$T$4),0))</f>
        <v>44019</v>
      </c>
      <c r="Q54" s="5">
        <f>IF(ISNA(VLOOKUP(G54,JSetup[],COLUMN(JSetup!$L$4),0))=TRUE,0,IF(ISNUMBER(VLOOKUP(G54,JSetup[],COLUMN(JSetup!$L$4),0))=FALSE,0,IF(VLOOKUP(G54,JSetup[],COLUMN(JSetup!$C$4),0)&lt;&gt;C54,0,VLOOKUP(G54,JSetup[],COLUMN(JSetup!$L$4),0))))</f>
        <v>0</v>
      </c>
      <c r="R54" s="5">
        <f>IF(J54="Bought-In",0,IF(B54="Receipt",0,IF(ISNA(VLOOKUP(C54,StockMaster,COLUMN(StockCode!$AA$4),0))=TRUE,0,VLOOKUP(C54,StockMaster,COLUMN(StockCode!$AA$4),0))))</f>
        <v>0</v>
      </c>
      <c r="S54" s="8" t="str">
        <f ca="1">IF(JSetup!$U$1="Single",IF(ISNA(VLOOKUP($A54,JSetup[],COLUMN(JSetup!$C$4),0))=TRUE,"-",VLOOKUP($A54,JSetup[],COLUMN(JSetup!$C$4),0)),"-")</f>
        <v>1212GHG</v>
      </c>
    </row>
    <row r="55" spans="1:19" ht="16.149999999999999" customHeight="1" x14ac:dyDescent="0.25">
      <c r="A55" s="2" t="s">
        <v>143</v>
      </c>
      <c r="B55" s="3" t="s">
        <v>112</v>
      </c>
      <c r="C55" s="3" t="s">
        <v>52</v>
      </c>
      <c r="D55" s="4">
        <v>-800</v>
      </c>
      <c r="H55" s="3" t="str">
        <f t="shared" si="7"/>
        <v>-</v>
      </c>
      <c r="I55" s="44" t="str">
        <f>IF(ISNA(VLOOKUP($C55,StockMaster,COLUMN(StockCode!$B$4),0))=TRUE,"-",VLOOKUP($C55,StockMaster,COLUMN(StockCode!$B$4),0))</f>
        <v>Glass</v>
      </c>
      <c r="J55" s="40" t="str">
        <f>IF(ISNA(VLOOKUP($C55,StockMaster,COLUMN(StockCode!$G$4),0))=TRUE,"-",VLOOKUP($C55,StockMaster,COLUMN(StockCode!$G$4),0))</f>
        <v>Bought-In</v>
      </c>
      <c r="K55" s="40" t="str">
        <f>IF(ISNA(VLOOKUP($C55,StockMaster,COLUMN(StockCode!$C$4),0))=TRUE,"-",VLOOKUP($C55,StockMaster,COLUMN(StockCode!$C$4),0))</f>
        <v>M2</v>
      </c>
      <c r="L55" s="68">
        <f>IF(ISNA(VLOOKUP($C55,StockMaster,COLUMN(StockCode!$I$4),0))=TRUE,0,VLOOKUP($C55,StockMaster,COLUMN(StockCode!$I$4),0))</f>
        <v>80</v>
      </c>
      <c r="M55" s="31">
        <f t="shared" si="9"/>
        <v>80</v>
      </c>
      <c r="N55" s="31">
        <f t="shared" si="8"/>
        <v>-64000</v>
      </c>
      <c r="O55" s="31">
        <f t="shared" si="10"/>
        <v>0</v>
      </c>
      <c r="P55" s="8">
        <f ca="1">IF(ISNA(VLOOKUP($A55,JSetup[],COLUMN(JSetup!$T$4),0))=TRUE,"-",VLOOKUP($A55,JSetup[],COLUMN(JSetup!$T$4),0))</f>
        <v>44019</v>
      </c>
      <c r="Q55" s="5">
        <f>IF(ISNA(VLOOKUP(G55,JSetup[],COLUMN(JSetup!$L$4),0))=TRUE,0,IF(ISNUMBER(VLOOKUP(G55,JSetup[],COLUMN(JSetup!$L$4),0))=FALSE,0,IF(VLOOKUP(G55,JSetup[],COLUMN(JSetup!$C$4),0)&lt;&gt;C55,0,VLOOKUP(G55,JSetup[],COLUMN(JSetup!$L$4),0))))</f>
        <v>0</v>
      </c>
      <c r="R55" s="5">
        <f>IF(J55="Bought-In",0,IF(B55="Receipt",0,IF(ISNA(VLOOKUP(C55,StockMaster,COLUMN(StockCode!$AA$4),0))=TRUE,0,VLOOKUP(C55,StockMaster,COLUMN(StockCode!$AA$4),0))))</f>
        <v>0</v>
      </c>
      <c r="S55" s="8" t="str">
        <f ca="1">IF(JSetup!$U$1="Single",IF(ISNA(VLOOKUP($A55,JSetup[],COLUMN(JSetup!$C$4),0))=TRUE,"-",VLOOKUP($A55,JSetup[],COLUMN(JSetup!$C$4),0)),"-")</f>
        <v>1212GHG</v>
      </c>
    </row>
    <row r="56" spans="1:19" ht="16.149999999999999" customHeight="1" x14ac:dyDescent="0.25">
      <c r="A56" s="2" t="s">
        <v>143</v>
      </c>
      <c r="B56" s="3" t="s">
        <v>112</v>
      </c>
      <c r="C56" s="3" t="s">
        <v>54</v>
      </c>
      <c r="D56" s="4">
        <v>-340</v>
      </c>
      <c r="H56" s="3" t="str">
        <f t="shared" si="7"/>
        <v>-</v>
      </c>
      <c r="I56" s="44" t="str">
        <f>IF(ISNA(VLOOKUP($C56,StockMaster,COLUMN(StockCode!$B$4),0))=TRUE,"-",VLOOKUP($C56,StockMaster,COLUMN(StockCode!$B$4),0))</f>
        <v>Filler</v>
      </c>
      <c r="J56" s="40" t="str">
        <f>IF(ISNA(VLOOKUP($C56,StockMaster,COLUMN(StockCode!$G$4),0))=TRUE,"-",VLOOKUP($C56,StockMaster,COLUMN(StockCode!$G$4),0))</f>
        <v>Bought-In</v>
      </c>
      <c r="K56" s="40" t="str">
        <f>IF(ISNA(VLOOKUP($C56,StockMaster,COLUMN(StockCode!$C$4),0))=TRUE,"-",VLOOKUP($C56,StockMaster,COLUMN(StockCode!$C$4),0))</f>
        <v>Bag</v>
      </c>
      <c r="L56" s="68">
        <f>IF(ISNA(VLOOKUP($C56,StockMaster,COLUMN(StockCode!$I$4),0))=TRUE,0,VLOOKUP($C56,StockMaster,COLUMN(StockCode!$I$4),0))</f>
        <v>60</v>
      </c>
      <c r="M56" s="31">
        <f t="shared" si="9"/>
        <v>60</v>
      </c>
      <c r="N56" s="31">
        <f t="shared" si="8"/>
        <v>-20400</v>
      </c>
      <c r="O56" s="31">
        <f t="shared" si="10"/>
        <v>0</v>
      </c>
      <c r="P56" s="8">
        <f ca="1">IF(ISNA(VLOOKUP($A56,JSetup[],COLUMN(JSetup!$T$4),0))=TRUE,"-",VLOOKUP($A56,JSetup[],COLUMN(JSetup!$T$4),0))</f>
        <v>44019</v>
      </c>
      <c r="Q56" s="5">
        <f>IF(ISNA(VLOOKUP(G56,JSetup[],COLUMN(JSetup!$L$4),0))=TRUE,0,IF(ISNUMBER(VLOOKUP(G56,JSetup[],COLUMN(JSetup!$L$4),0))=FALSE,0,IF(VLOOKUP(G56,JSetup[],COLUMN(JSetup!$C$4),0)&lt;&gt;C56,0,VLOOKUP(G56,JSetup[],COLUMN(JSetup!$L$4),0))))</f>
        <v>0</v>
      </c>
      <c r="R56" s="5">
        <f>IF(J56="Bought-In",0,IF(B56="Receipt",0,IF(ISNA(VLOOKUP(C56,StockMaster,COLUMN(StockCode!$AA$4),0))=TRUE,0,VLOOKUP(C56,StockMaster,COLUMN(StockCode!$AA$4),0))))</f>
        <v>0</v>
      </c>
      <c r="S56" s="8" t="str">
        <f ca="1">IF(JSetup!$U$1="Single",IF(ISNA(VLOOKUP($A56,JSetup[],COLUMN(JSetup!$C$4),0))=TRUE,"-",VLOOKUP($A56,JSetup[],COLUMN(JSetup!$C$4),0)),"-")</f>
        <v>1212GHG</v>
      </c>
    </row>
    <row r="57" spans="1:19" ht="16.149999999999999" customHeight="1" x14ac:dyDescent="0.25">
      <c r="A57" s="2" t="s">
        <v>143</v>
      </c>
      <c r="B57" s="3" t="s">
        <v>112</v>
      </c>
      <c r="C57" s="3" t="s">
        <v>72</v>
      </c>
      <c r="D57" s="4">
        <v>-610</v>
      </c>
      <c r="H57" s="3" t="str">
        <f t="shared" si="7"/>
        <v>-</v>
      </c>
      <c r="I57" s="44" t="str">
        <f>IF(ISNA(VLOOKUP($C57,StockMaster,COLUMN(StockCode!$B$4),0))=TRUE,"-",VLOOKUP($C57,StockMaster,COLUMN(StockCode!$B$4),0))</f>
        <v>Swivel</v>
      </c>
      <c r="J57" s="40" t="str">
        <f>IF(ISNA(VLOOKUP($C57,StockMaster,COLUMN(StockCode!$G$4),0))=TRUE,"-",VLOOKUP($C57,StockMaster,COLUMN(StockCode!$G$4),0))</f>
        <v>Bought-In</v>
      </c>
      <c r="K57" s="40" t="str">
        <f>IF(ISNA(VLOOKUP($C57,StockMaster,COLUMN(StockCode!$C$4),0))=TRUE,"-",VLOOKUP($C57,StockMaster,COLUMN(StockCode!$C$4),0))</f>
        <v>Units</v>
      </c>
      <c r="L57" s="68">
        <f>IF(ISNA(VLOOKUP($C57,StockMaster,COLUMN(StockCode!$I$4),0))=TRUE,0,VLOOKUP($C57,StockMaster,COLUMN(StockCode!$I$4),0))</f>
        <v>3.5</v>
      </c>
      <c r="M57" s="31">
        <f t="shared" si="9"/>
        <v>3.5</v>
      </c>
      <c r="N57" s="31">
        <f t="shared" si="8"/>
        <v>-2135</v>
      </c>
      <c r="O57" s="31">
        <f t="shared" si="10"/>
        <v>0</v>
      </c>
      <c r="P57" s="8">
        <f ca="1">IF(ISNA(VLOOKUP($A57,JSetup[],COLUMN(JSetup!$T$4),0))=TRUE,"-",VLOOKUP($A57,JSetup[],COLUMN(JSetup!$T$4),0))</f>
        <v>44019</v>
      </c>
      <c r="Q57" s="5">
        <f>IF(ISNA(VLOOKUP(G57,JSetup[],COLUMN(JSetup!$L$4),0))=TRUE,0,IF(ISNUMBER(VLOOKUP(G57,JSetup[],COLUMN(JSetup!$L$4),0))=FALSE,0,IF(VLOOKUP(G57,JSetup[],COLUMN(JSetup!$C$4),0)&lt;&gt;C57,0,VLOOKUP(G57,JSetup[],COLUMN(JSetup!$L$4),0))))</f>
        <v>0</v>
      </c>
      <c r="R57" s="5">
        <f>IF(J57="Bought-In",0,IF(B57="Receipt",0,IF(ISNA(VLOOKUP(C57,StockMaster,COLUMN(StockCode!$AA$4),0))=TRUE,0,VLOOKUP(C57,StockMaster,COLUMN(StockCode!$AA$4),0))))</f>
        <v>0</v>
      </c>
      <c r="S57" s="8" t="str">
        <f ca="1">IF(JSetup!$U$1="Single",IF(ISNA(VLOOKUP($A57,JSetup[],COLUMN(JSetup!$C$4),0))=TRUE,"-",VLOOKUP($A57,JSetup[],COLUMN(JSetup!$C$4),0)),"-")</f>
        <v>1212GHG</v>
      </c>
    </row>
    <row r="58" spans="1:19" ht="16.149999999999999" customHeight="1" x14ac:dyDescent="0.25">
      <c r="A58" s="2" t="s">
        <v>143</v>
      </c>
      <c r="B58" s="3" t="s">
        <v>112</v>
      </c>
      <c r="C58" s="3" t="s">
        <v>82</v>
      </c>
      <c r="D58" s="4">
        <v>-2950</v>
      </c>
      <c r="H58" s="3" t="str">
        <f t="shared" si="7"/>
        <v>-</v>
      </c>
      <c r="I58" s="44" t="str">
        <f>IF(ISNA(VLOOKUP($C58,StockMaster,COLUMN(StockCode!$B$4),0))=TRUE,"-",VLOOKUP($C58,StockMaster,COLUMN(StockCode!$B$4),0))</f>
        <v>Labour - Grade 1</v>
      </c>
      <c r="J58" s="40" t="str">
        <f>IF(ISNA(VLOOKUP($C58,StockMaster,COLUMN(StockCode!$G$4),0))=TRUE,"-",VLOOKUP($C58,StockMaster,COLUMN(StockCode!$G$4),0))</f>
        <v>Bought-In</v>
      </c>
      <c r="K58" s="40" t="str">
        <f>IF(ISNA(VLOOKUP($C58,StockMaster,COLUMN(StockCode!$C$4),0))=TRUE,"-",VLOOKUP($C58,StockMaster,COLUMN(StockCode!$C$4),0))</f>
        <v>Hours</v>
      </c>
      <c r="L58" s="68">
        <f>IF(ISNA(VLOOKUP($C58,StockMaster,COLUMN(StockCode!$I$4),0))=TRUE,0,VLOOKUP($C58,StockMaster,COLUMN(StockCode!$I$4),0))</f>
        <v>20</v>
      </c>
      <c r="M58" s="31">
        <f t="shared" si="9"/>
        <v>20</v>
      </c>
      <c r="N58" s="31">
        <f t="shared" si="8"/>
        <v>-59000</v>
      </c>
      <c r="O58" s="31">
        <f t="shared" si="10"/>
        <v>0</v>
      </c>
      <c r="P58" s="8">
        <f ca="1">IF(ISNA(VLOOKUP($A58,JSetup[],COLUMN(JSetup!$T$4),0))=TRUE,"-",VLOOKUP($A58,JSetup[],COLUMN(JSetup!$T$4),0))</f>
        <v>44019</v>
      </c>
      <c r="Q58" s="5">
        <f>IF(ISNA(VLOOKUP(G58,JSetup[],COLUMN(JSetup!$L$4),0))=TRUE,0,IF(ISNUMBER(VLOOKUP(G58,JSetup[],COLUMN(JSetup!$L$4),0))=FALSE,0,IF(VLOOKUP(G58,JSetup[],COLUMN(JSetup!$C$4),0)&lt;&gt;C58,0,VLOOKUP(G58,JSetup[],COLUMN(JSetup!$L$4),0))))</f>
        <v>0</v>
      </c>
      <c r="R58" s="5">
        <f>IF(J58="Bought-In",0,IF(B58="Receipt",0,IF(ISNA(VLOOKUP(C58,StockMaster,COLUMN(StockCode!$AA$4),0))=TRUE,0,VLOOKUP(C58,StockMaster,COLUMN(StockCode!$AA$4),0))))</f>
        <v>0</v>
      </c>
      <c r="S58" s="8" t="str">
        <f ca="1">IF(JSetup!$U$1="Single",IF(ISNA(VLOOKUP($A58,JSetup[],COLUMN(JSetup!$C$4),0))=TRUE,"-",VLOOKUP($A58,JSetup[],COLUMN(JSetup!$C$4),0)),"-")</f>
        <v>1212GHG</v>
      </c>
    </row>
    <row r="59" spans="1:19" ht="16.149999999999999" customHeight="1" x14ac:dyDescent="0.25">
      <c r="A59" s="2" t="s">
        <v>143</v>
      </c>
      <c r="B59" s="3" t="s">
        <v>112</v>
      </c>
      <c r="C59" s="3" t="s">
        <v>84</v>
      </c>
      <c r="D59" s="4">
        <v>-293</v>
      </c>
      <c r="H59" s="3" t="str">
        <f t="shared" si="7"/>
        <v>-</v>
      </c>
      <c r="I59" s="44" t="str">
        <f>IF(ISNA(VLOOKUP($C59,StockMaster,COLUMN(StockCode!$B$4),0))=TRUE,"-",VLOOKUP($C59,StockMaster,COLUMN(StockCode!$B$4),0))</f>
        <v>Labour - Grade 2</v>
      </c>
      <c r="J59" s="40" t="str">
        <f>IF(ISNA(VLOOKUP($C59,StockMaster,COLUMN(StockCode!$G$4),0))=TRUE,"-",VLOOKUP($C59,StockMaster,COLUMN(StockCode!$G$4),0))</f>
        <v>Bought-In</v>
      </c>
      <c r="K59" s="40" t="str">
        <f>IF(ISNA(VLOOKUP($C59,StockMaster,COLUMN(StockCode!$C$4),0))=TRUE,"-",VLOOKUP($C59,StockMaster,COLUMN(StockCode!$C$4),0))</f>
        <v>Hours</v>
      </c>
      <c r="L59" s="68">
        <f>IF(ISNA(VLOOKUP($C59,StockMaster,COLUMN(StockCode!$I$4),0))=TRUE,0,VLOOKUP($C59,StockMaster,COLUMN(StockCode!$I$4),0))</f>
        <v>30</v>
      </c>
      <c r="M59" s="31">
        <f t="shared" si="9"/>
        <v>30</v>
      </c>
      <c r="N59" s="31">
        <f t="shared" si="8"/>
        <v>-8790</v>
      </c>
      <c r="O59" s="31">
        <f t="shared" si="10"/>
        <v>0</v>
      </c>
      <c r="P59" s="8">
        <f ca="1">IF(ISNA(VLOOKUP($A59,JSetup[],COLUMN(JSetup!$T$4),0))=TRUE,"-",VLOOKUP($A59,JSetup[],COLUMN(JSetup!$T$4),0))</f>
        <v>44019</v>
      </c>
      <c r="Q59" s="5">
        <f>IF(ISNA(VLOOKUP(G59,JSetup[],COLUMN(JSetup!$L$4),0))=TRUE,0,IF(ISNUMBER(VLOOKUP(G59,JSetup[],COLUMN(JSetup!$L$4),0))=FALSE,0,IF(VLOOKUP(G59,JSetup[],COLUMN(JSetup!$C$4),0)&lt;&gt;C59,0,VLOOKUP(G59,JSetup[],COLUMN(JSetup!$L$4),0))))</f>
        <v>0</v>
      </c>
      <c r="R59" s="5">
        <f>IF(J59="Bought-In",0,IF(B59="Receipt",0,IF(ISNA(VLOOKUP(C59,StockMaster,COLUMN(StockCode!$AA$4),0))=TRUE,0,VLOOKUP(C59,StockMaster,COLUMN(StockCode!$AA$4),0))))</f>
        <v>0</v>
      </c>
      <c r="S59" s="8" t="str">
        <f ca="1">IF(JSetup!$U$1="Single",IF(ISNA(VLOOKUP($A59,JSetup[],COLUMN(JSetup!$C$4),0))=TRUE,"-",VLOOKUP($A59,JSetup[],COLUMN(JSetup!$C$4),0)),"-")</f>
        <v>1212GHG</v>
      </c>
    </row>
    <row r="60" spans="1:19" ht="16.149999999999999" customHeight="1" x14ac:dyDescent="0.25">
      <c r="A60" s="2" t="s">
        <v>144</v>
      </c>
      <c r="B60" s="3" t="s">
        <v>110</v>
      </c>
      <c r="C60" s="3" t="s">
        <v>67</v>
      </c>
      <c r="D60" s="4">
        <v>50</v>
      </c>
      <c r="H60" s="3" t="str">
        <f t="shared" si="7"/>
        <v>-</v>
      </c>
      <c r="I60" s="44" t="str">
        <f>IF(ISNA(VLOOKUP($C60,StockMaster,COLUMN(StockCode!$B$4),0))=TRUE,"-",VLOOKUP($C60,StockMaster,COLUMN(StockCode!$B$4),0))</f>
        <v>Tools Shed</v>
      </c>
      <c r="J60" s="40" t="str">
        <f>IF(ISNA(VLOOKUP($C60,StockMaster,COLUMN(StockCode!$G$4),0))=TRUE,"-",VLOOKUP($C60,StockMaster,COLUMN(StockCode!$G$4),0))</f>
        <v>Manufactured</v>
      </c>
      <c r="K60" s="40" t="str">
        <f>IF(ISNA(VLOOKUP($C60,StockMaster,COLUMN(StockCode!$C$4),0))=TRUE,"-",VLOOKUP($C60,StockMaster,COLUMN(StockCode!$C$4),0))</f>
        <v>Units</v>
      </c>
      <c r="L60" s="68">
        <f>IF(ISNA(VLOOKUP($C60,StockMaster,COLUMN(StockCode!$I$4),0))=TRUE,0,VLOOKUP($C60,StockMaster,COLUMN(StockCode!$I$4),0))</f>
        <v>3621.3137254901953</v>
      </c>
      <c r="M60" s="31">
        <f t="shared" si="9"/>
        <v>3621.3137254901953</v>
      </c>
      <c r="N60" s="31">
        <f t="shared" si="8"/>
        <v>181065.68627450976</v>
      </c>
      <c r="O60" s="31">
        <f t="shared" si="10"/>
        <v>0</v>
      </c>
      <c r="P60" s="8">
        <f ca="1">IF(ISNA(VLOOKUP($A60,JSetup[],COLUMN(JSetup!$T$4),0))=TRUE,"-",VLOOKUP($A60,JSetup[],COLUMN(JSetup!$T$4),0))</f>
        <v>44022</v>
      </c>
      <c r="Q60" s="5">
        <f>IF(ISNA(VLOOKUP(G60,JSetup[],COLUMN(JSetup!$L$4),0))=TRUE,0,IF(ISNUMBER(VLOOKUP(G60,JSetup[],COLUMN(JSetup!$L$4),0))=FALSE,0,IF(VLOOKUP(G60,JSetup[],COLUMN(JSetup!$C$4),0)&lt;&gt;C60,0,VLOOKUP(G60,JSetup[],COLUMN(JSetup!$L$4),0))))</f>
        <v>0</v>
      </c>
      <c r="R60" s="5">
        <f>IF(J60="Bought-In",0,IF(B60="Receipt",0,IF(ISNA(VLOOKUP(C60,StockMaster,COLUMN(StockCode!$AA$4),0))=TRUE,0,VLOOKUP(C60,StockMaster,COLUMN(StockCode!$AA$4),0))))</f>
        <v>0</v>
      </c>
      <c r="S60" s="8" t="str">
        <f ca="1">IF(JSetup!$U$1="Single",IF(ISNA(VLOOKUP($A60,JSetup[],COLUMN(JSetup!$C$4),0))=TRUE,"-",VLOOKUP($A60,JSetup[],COLUMN(JSetup!$C$4),0)),"-")</f>
        <v>1212THT</v>
      </c>
    </row>
    <row r="61" spans="1:19" ht="16.149999999999999" customHeight="1" x14ac:dyDescent="0.25">
      <c r="A61" s="2" t="s">
        <v>144</v>
      </c>
      <c r="B61" s="3" t="s">
        <v>112</v>
      </c>
      <c r="C61" s="3" t="s">
        <v>48</v>
      </c>
      <c r="D61" s="4">
        <v>-700</v>
      </c>
      <c r="E61" s="4">
        <v>110</v>
      </c>
      <c r="F61" s="3" t="s">
        <v>125</v>
      </c>
      <c r="H61" s="3" t="str">
        <f t="shared" si="7"/>
        <v>-</v>
      </c>
      <c r="I61" s="44" t="str">
        <f>IF(ISNA(VLOOKUP($C61,StockMaster,COLUMN(StockCode!$B$4),0))=TRUE,"-",VLOOKUP($C61,StockMaster,COLUMN(StockCode!$B$4),0))</f>
        <v>Wood</v>
      </c>
      <c r="J61" s="40" t="str">
        <f>IF(ISNA(VLOOKUP($C61,StockMaster,COLUMN(StockCode!$G$4),0))=TRUE,"-",VLOOKUP($C61,StockMaster,COLUMN(StockCode!$G$4),0))</f>
        <v>Bought-In</v>
      </c>
      <c r="K61" s="40" t="str">
        <f>IF(ISNA(VLOOKUP($C61,StockMaster,COLUMN(StockCode!$C$4),0))=TRUE,"-",VLOOKUP($C61,StockMaster,COLUMN(StockCode!$C$4),0))</f>
        <v>M2</v>
      </c>
      <c r="L61" s="68">
        <f>IF(ISNA(VLOOKUP($C61,StockMaster,COLUMN(StockCode!$I$4),0))=TRUE,0,VLOOKUP($C61,StockMaster,COLUMN(StockCode!$I$4),0))</f>
        <v>120</v>
      </c>
      <c r="M61" s="31">
        <f t="shared" si="9"/>
        <v>110</v>
      </c>
      <c r="N61" s="31">
        <f t="shared" si="8"/>
        <v>-77000</v>
      </c>
      <c r="O61" s="31">
        <f t="shared" si="10"/>
        <v>7000</v>
      </c>
      <c r="P61" s="8">
        <f ca="1">IF(ISNA(VLOOKUP($A61,JSetup[],COLUMN(JSetup!$T$4),0))=TRUE,"-",VLOOKUP($A61,JSetup[],COLUMN(JSetup!$T$4),0))</f>
        <v>44022</v>
      </c>
      <c r="Q61" s="5">
        <f>IF(ISNA(VLOOKUP(G61,JSetup[],COLUMN(JSetup!$L$4),0))=TRUE,0,IF(ISNUMBER(VLOOKUP(G61,JSetup[],COLUMN(JSetup!$L$4),0))=FALSE,0,IF(VLOOKUP(G61,JSetup[],COLUMN(JSetup!$C$4),0)&lt;&gt;C61,0,VLOOKUP(G61,JSetup[],COLUMN(JSetup!$L$4),0))))</f>
        <v>0</v>
      </c>
      <c r="R61" s="5">
        <f>IF(J61="Bought-In",0,IF(B61="Receipt",0,IF(ISNA(VLOOKUP(C61,StockMaster,COLUMN(StockCode!$AA$4),0))=TRUE,0,VLOOKUP(C61,StockMaster,COLUMN(StockCode!$AA$4),0))))</f>
        <v>0</v>
      </c>
      <c r="S61" s="8" t="str">
        <f ca="1">IF(JSetup!$U$1="Single",IF(ISNA(VLOOKUP($A61,JSetup[],COLUMN(JSetup!$C$4),0))=TRUE,"-",VLOOKUP($A61,JSetup[],COLUMN(JSetup!$C$4),0)),"-")</f>
        <v>1212THT</v>
      </c>
    </row>
    <row r="62" spans="1:19" ht="16.149999999999999" customHeight="1" x14ac:dyDescent="0.25">
      <c r="A62" s="2" t="s">
        <v>144</v>
      </c>
      <c r="B62" s="3" t="s">
        <v>112</v>
      </c>
      <c r="C62" s="3" t="s">
        <v>70</v>
      </c>
      <c r="D62" s="4">
        <v>-150</v>
      </c>
      <c r="H62" s="3" t="str">
        <f t="shared" si="7"/>
        <v>-</v>
      </c>
      <c r="I62" s="44" t="str">
        <f>IF(ISNA(VLOOKUP($C62,StockMaster,COLUMN(StockCode!$B$4),0))=TRUE,"-",VLOOKUP($C62,StockMaster,COLUMN(StockCode!$B$4),0))</f>
        <v>2 Inch Screws</v>
      </c>
      <c r="J62" s="40" t="str">
        <f>IF(ISNA(VLOOKUP($C62,StockMaster,COLUMN(StockCode!$G$4),0))=TRUE,"-",VLOOKUP($C62,StockMaster,COLUMN(StockCode!$G$4),0))</f>
        <v>Bought-In</v>
      </c>
      <c r="K62" s="40" t="str">
        <f>IF(ISNA(VLOOKUP($C62,StockMaster,COLUMN(StockCode!$C$4),0))=TRUE,"-",VLOOKUP($C62,StockMaster,COLUMN(StockCode!$C$4),0))</f>
        <v>Bag</v>
      </c>
      <c r="L62" s="68">
        <f>IF(ISNA(VLOOKUP($C62,StockMaster,COLUMN(StockCode!$I$4),0))=TRUE,0,VLOOKUP($C62,StockMaster,COLUMN(StockCode!$I$4),0))</f>
        <v>50</v>
      </c>
      <c r="M62" s="31">
        <f t="shared" si="9"/>
        <v>50</v>
      </c>
      <c r="N62" s="31">
        <f t="shared" si="8"/>
        <v>-7500</v>
      </c>
      <c r="O62" s="31">
        <f t="shared" si="10"/>
        <v>0</v>
      </c>
      <c r="P62" s="8">
        <f ca="1">IF(ISNA(VLOOKUP($A62,JSetup[],COLUMN(JSetup!$T$4),0))=TRUE,"-",VLOOKUP($A62,JSetup[],COLUMN(JSetup!$T$4),0))</f>
        <v>44022</v>
      </c>
      <c r="Q62" s="5">
        <f>IF(ISNA(VLOOKUP(G62,JSetup[],COLUMN(JSetup!$L$4),0))=TRUE,0,IF(ISNUMBER(VLOOKUP(G62,JSetup[],COLUMN(JSetup!$L$4),0))=FALSE,0,IF(VLOOKUP(G62,JSetup[],COLUMN(JSetup!$C$4),0)&lt;&gt;C62,0,VLOOKUP(G62,JSetup[],COLUMN(JSetup!$L$4),0))))</f>
        <v>0</v>
      </c>
      <c r="R62" s="5">
        <f>IF(J62="Bought-In",0,IF(B62="Receipt",0,IF(ISNA(VLOOKUP(C62,StockMaster,COLUMN(StockCode!$AA$4),0))=TRUE,0,VLOOKUP(C62,StockMaster,COLUMN(StockCode!$AA$4),0))))</f>
        <v>0</v>
      </c>
      <c r="S62" s="8" t="str">
        <f ca="1">IF(JSetup!$U$1="Single",IF(ISNA(VLOOKUP($A62,JSetup[],COLUMN(JSetup!$C$4),0))=TRUE,"-",VLOOKUP($A62,JSetup[],COLUMN(JSetup!$C$4),0)),"-")</f>
        <v>1212THT</v>
      </c>
    </row>
    <row r="63" spans="1:19" ht="16.149999999999999" customHeight="1" x14ac:dyDescent="0.25">
      <c r="A63" s="2" t="s">
        <v>144</v>
      </c>
      <c r="B63" s="3" t="s">
        <v>112</v>
      </c>
      <c r="C63" s="3" t="s">
        <v>43</v>
      </c>
      <c r="D63" s="4">
        <v>-560</v>
      </c>
      <c r="H63" s="3" t="str">
        <f t="shared" si="7"/>
        <v>-</v>
      </c>
      <c r="I63" s="44" t="str">
        <f>IF(ISNA(VLOOKUP($C63,StockMaster,COLUMN(StockCode!$B$4),0))=TRUE,"-",VLOOKUP($C63,StockMaster,COLUMN(StockCode!$B$4),0))</f>
        <v>Steel Plates</v>
      </c>
      <c r="J63" s="40" t="str">
        <f>IF(ISNA(VLOOKUP($C63,StockMaster,COLUMN(StockCode!$G$4),0))=TRUE,"-",VLOOKUP($C63,StockMaster,COLUMN(StockCode!$G$4),0))</f>
        <v>Bought-In</v>
      </c>
      <c r="K63" s="40" t="str">
        <f>IF(ISNA(VLOOKUP($C63,StockMaster,COLUMN(StockCode!$C$4),0))=TRUE,"-",VLOOKUP($C63,StockMaster,COLUMN(StockCode!$C$4),0))</f>
        <v>M2</v>
      </c>
      <c r="L63" s="68">
        <f>IF(ISNA(VLOOKUP($C63,StockMaster,COLUMN(StockCode!$I$4),0))=TRUE,0,VLOOKUP($C63,StockMaster,COLUMN(StockCode!$I$4),0))</f>
        <v>140</v>
      </c>
      <c r="M63" s="31">
        <f t="shared" si="9"/>
        <v>140</v>
      </c>
      <c r="N63" s="31">
        <f t="shared" si="8"/>
        <v>-78400</v>
      </c>
      <c r="O63" s="31">
        <f t="shared" si="10"/>
        <v>0</v>
      </c>
      <c r="P63" s="8">
        <f ca="1">IF(ISNA(VLOOKUP($A63,JSetup[],COLUMN(JSetup!$T$4),0))=TRUE,"-",VLOOKUP($A63,JSetup[],COLUMN(JSetup!$T$4),0))</f>
        <v>44022</v>
      </c>
      <c r="Q63" s="5">
        <f>IF(ISNA(VLOOKUP(G63,JSetup[],COLUMN(JSetup!$L$4),0))=TRUE,0,IF(ISNUMBER(VLOOKUP(G63,JSetup[],COLUMN(JSetup!$L$4),0))=FALSE,0,IF(VLOOKUP(G63,JSetup[],COLUMN(JSetup!$C$4),0)&lt;&gt;C63,0,VLOOKUP(G63,JSetup[],COLUMN(JSetup!$L$4),0))))</f>
        <v>0</v>
      </c>
      <c r="R63" s="5">
        <f>IF(J63="Bought-In",0,IF(B63="Receipt",0,IF(ISNA(VLOOKUP(C63,StockMaster,COLUMN(StockCode!$AA$4),0))=TRUE,0,VLOOKUP(C63,StockMaster,COLUMN(StockCode!$AA$4),0))))</f>
        <v>0</v>
      </c>
      <c r="S63" s="8" t="str">
        <f ca="1">IF(JSetup!$U$1="Single",IF(ISNA(VLOOKUP($A63,JSetup[],COLUMN(JSetup!$C$4),0))=TRUE,"-",VLOOKUP($A63,JSetup[],COLUMN(JSetup!$C$4),0)),"-")</f>
        <v>1212THT</v>
      </c>
    </row>
    <row r="64" spans="1:19" ht="16.149999999999999" customHeight="1" x14ac:dyDescent="0.25">
      <c r="A64" s="2" t="s">
        <v>144</v>
      </c>
      <c r="B64" s="3" t="s">
        <v>112</v>
      </c>
      <c r="C64" s="3" t="s">
        <v>46</v>
      </c>
      <c r="D64" s="4">
        <v>-53</v>
      </c>
      <c r="H64" s="3" t="str">
        <f t="shared" si="7"/>
        <v>-</v>
      </c>
      <c r="I64" s="44" t="str">
        <f>IF(ISNA(VLOOKUP($C64,StockMaster,COLUMN(StockCode!$B$4),0))=TRUE,"-",VLOOKUP($C64,StockMaster,COLUMN(StockCode!$B$4),0))</f>
        <v>Door Handle</v>
      </c>
      <c r="J64" s="40" t="str">
        <f>IF(ISNA(VLOOKUP($C64,StockMaster,COLUMN(StockCode!$G$4),0))=TRUE,"-",VLOOKUP($C64,StockMaster,COLUMN(StockCode!$G$4),0))</f>
        <v>Bought-In</v>
      </c>
      <c r="K64" s="40" t="str">
        <f>IF(ISNA(VLOOKUP($C64,StockMaster,COLUMN(StockCode!$C$4),0))=TRUE,"-",VLOOKUP($C64,StockMaster,COLUMN(StockCode!$C$4),0))</f>
        <v>Units</v>
      </c>
      <c r="L64" s="68">
        <f>IF(ISNA(VLOOKUP($C64,StockMaster,COLUMN(StockCode!$I$4),0))=TRUE,0,VLOOKUP($C64,StockMaster,COLUMN(StockCode!$I$4),0))</f>
        <v>150</v>
      </c>
      <c r="M64" s="31">
        <f t="shared" si="9"/>
        <v>150</v>
      </c>
      <c r="N64" s="31">
        <f t="shared" si="8"/>
        <v>-7950</v>
      </c>
      <c r="O64" s="31">
        <f t="shared" si="10"/>
        <v>0</v>
      </c>
      <c r="P64" s="8">
        <f ca="1">IF(ISNA(VLOOKUP($A64,JSetup[],COLUMN(JSetup!$T$4),0))=TRUE,"-",VLOOKUP($A64,JSetup[],COLUMN(JSetup!$T$4),0))</f>
        <v>44022</v>
      </c>
      <c r="Q64" s="5">
        <f>IF(ISNA(VLOOKUP(G64,JSetup[],COLUMN(JSetup!$L$4),0))=TRUE,0,IF(ISNUMBER(VLOOKUP(G64,JSetup[],COLUMN(JSetup!$L$4),0))=FALSE,0,IF(VLOOKUP(G64,JSetup[],COLUMN(JSetup!$C$4),0)&lt;&gt;C64,0,VLOOKUP(G64,JSetup[],COLUMN(JSetup!$L$4),0))))</f>
        <v>0</v>
      </c>
      <c r="R64" s="5">
        <f>IF(J64="Bought-In",0,IF(B64="Receipt",0,IF(ISNA(VLOOKUP(C64,StockMaster,COLUMN(StockCode!$AA$4),0))=TRUE,0,VLOOKUP(C64,StockMaster,COLUMN(StockCode!$AA$4),0))))</f>
        <v>0</v>
      </c>
      <c r="S64" s="8" t="str">
        <f ca="1">IF(JSetup!$U$1="Single",IF(ISNA(VLOOKUP($A64,JSetup[],COLUMN(JSetup!$C$4),0))=TRUE,"-",VLOOKUP($A64,JSetup[],COLUMN(JSetup!$C$4),0)),"-")</f>
        <v>1212THT</v>
      </c>
    </row>
    <row r="65" spans="1:19" ht="16.149999999999999" customHeight="1" x14ac:dyDescent="0.25">
      <c r="A65" s="2" t="s">
        <v>144</v>
      </c>
      <c r="B65" s="3" t="s">
        <v>112</v>
      </c>
      <c r="C65" s="3" t="s">
        <v>50</v>
      </c>
      <c r="D65" s="4">
        <v>-6</v>
      </c>
      <c r="H65" s="3" t="str">
        <f t="shared" si="7"/>
        <v>-</v>
      </c>
      <c r="I65" s="44" t="str">
        <f>IF(ISNA(VLOOKUP($C65,StockMaster,COLUMN(StockCode!$B$4),0))=TRUE,"-",VLOOKUP($C65,StockMaster,COLUMN(StockCode!$B$4),0))</f>
        <v>1 Inch Screws</v>
      </c>
      <c r="J65" s="40" t="str">
        <f>IF(ISNA(VLOOKUP($C65,StockMaster,COLUMN(StockCode!$G$4),0))=TRUE,"-",VLOOKUP($C65,StockMaster,COLUMN(StockCode!$G$4),0))</f>
        <v>Bought-In</v>
      </c>
      <c r="K65" s="40" t="str">
        <f>IF(ISNA(VLOOKUP($C65,StockMaster,COLUMN(StockCode!$C$4),0))=TRUE,"-",VLOOKUP($C65,StockMaster,COLUMN(StockCode!$C$4),0))</f>
        <v>Bag</v>
      </c>
      <c r="L65" s="68">
        <f>IF(ISNA(VLOOKUP($C65,StockMaster,COLUMN(StockCode!$I$4),0))=TRUE,0,VLOOKUP($C65,StockMaster,COLUMN(StockCode!$I$4),0))</f>
        <v>30</v>
      </c>
      <c r="M65" s="31">
        <f t="shared" si="9"/>
        <v>30</v>
      </c>
      <c r="N65" s="31">
        <f t="shared" si="8"/>
        <v>-180</v>
      </c>
      <c r="O65" s="31">
        <f t="shared" si="10"/>
        <v>0</v>
      </c>
      <c r="P65" s="8">
        <f ca="1">IF(ISNA(VLOOKUP($A65,JSetup[],COLUMN(JSetup!$T$4),0))=TRUE,"-",VLOOKUP($A65,JSetup[],COLUMN(JSetup!$T$4),0))</f>
        <v>44022</v>
      </c>
      <c r="Q65" s="5">
        <f>IF(ISNA(VLOOKUP(G65,JSetup[],COLUMN(JSetup!$L$4),0))=TRUE,0,IF(ISNUMBER(VLOOKUP(G65,JSetup[],COLUMN(JSetup!$L$4),0))=FALSE,0,IF(VLOOKUP(G65,JSetup[],COLUMN(JSetup!$C$4),0)&lt;&gt;C65,0,VLOOKUP(G65,JSetup[],COLUMN(JSetup!$L$4),0))))</f>
        <v>0</v>
      </c>
      <c r="R65" s="5">
        <f>IF(J65="Bought-In",0,IF(B65="Receipt",0,IF(ISNA(VLOOKUP(C65,StockMaster,COLUMN(StockCode!$AA$4),0))=TRUE,0,VLOOKUP(C65,StockMaster,COLUMN(StockCode!$AA$4),0))))</f>
        <v>0</v>
      </c>
      <c r="S65" s="8" t="str">
        <f ca="1">IF(JSetup!$U$1="Single",IF(ISNA(VLOOKUP($A65,JSetup[],COLUMN(JSetup!$C$4),0))=TRUE,"-",VLOOKUP($A65,JSetup[],COLUMN(JSetup!$C$4),0)),"-")</f>
        <v>1212THT</v>
      </c>
    </row>
    <row r="66" spans="1:19" ht="16.149999999999999" customHeight="1" x14ac:dyDescent="0.25">
      <c r="A66" s="2" t="s">
        <v>144</v>
      </c>
      <c r="B66" s="3" t="s">
        <v>112</v>
      </c>
      <c r="C66" s="3" t="s">
        <v>72</v>
      </c>
      <c r="D66" s="4">
        <v>-90</v>
      </c>
      <c r="H66" s="3" t="str">
        <f t="shared" si="7"/>
        <v>-</v>
      </c>
      <c r="I66" s="44" t="str">
        <f>IF(ISNA(VLOOKUP($C66,StockMaster,COLUMN(StockCode!$B$4),0))=TRUE,"-",VLOOKUP($C66,StockMaster,COLUMN(StockCode!$B$4),0))</f>
        <v>Swivel</v>
      </c>
      <c r="J66" s="40" t="str">
        <f>IF(ISNA(VLOOKUP($C66,StockMaster,COLUMN(StockCode!$G$4),0))=TRUE,"-",VLOOKUP($C66,StockMaster,COLUMN(StockCode!$G$4),0))</f>
        <v>Bought-In</v>
      </c>
      <c r="K66" s="40" t="str">
        <f>IF(ISNA(VLOOKUP($C66,StockMaster,COLUMN(StockCode!$C$4),0))=TRUE,"-",VLOOKUP($C66,StockMaster,COLUMN(StockCode!$C$4),0))</f>
        <v>Units</v>
      </c>
      <c r="L66" s="68">
        <f>IF(ISNA(VLOOKUP($C66,StockMaster,COLUMN(StockCode!$I$4),0))=TRUE,0,VLOOKUP($C66,StockMaster,COLUMN(StockCode!$I$4),0))</f>
        <v>3.5</v>
      </c>
      <c r="M66" s="31">
        <f t="shared" si="9"/>
        <v>3.5</v>
      </c>
      <c r="N66" s="31">
        <f t="shared" si="8"/>
        <v>-315</v>
      </c>
      <c r="O66" s="31">
        <f t="shared" si="10"/>
        <v>0</v>
      </c>
      <c r="P66" s="8">
        <f ca="1">IF(ISNA(VLOOKUP($A66,JSetup[],COLUMN(JSetup!$T$4),0))=TRUE,"-",VLOOKUP($A66,JSetup[],COLUMN(JSetup!$T$4),0))</f>
        <v>44022</v>
      </c>
      <c r="Q66" s="5">
        <f>IF(ISNA(VLOOKUP(G66,JSetup[],COLUMN(JSetup!$L$4),0))=TRUE,0,IF(ISNUMBER(VLOOKUP(G66,JSetup[],COLUMN(JSetup!$L$4),0))=FALSE,0,IF(VLOOKUP(G66,JSetup[],COLUMN(JSetup!$C$4),0)&lt;&gt;C66,0,VLOOKUP(G66,JSetup[],COLUMN(JSetup!$L$4),0))))</f>
        <v>0</v>
      </c>
      <c r="R66" s="5">
        <f>IF(J66="Bought-In",0,IF(B66="Receipt",0,IF(ISNA(VLOOKUP(C66,StockMaster,COLUMN(StockCode!$AA$4),0))=TRUE,0,VLOOKUP(C66,StockMaster,COLUMN(StockCode!$AA$4),0))))</f>
        <v>0</v>
      </c>
      <c r="S66" s="8" t="str">
        <f ca="1">IF(JSetup!$U$1="Single",IF(ISNA(VLOOKUP($A66,JSetup[],COLUMN(JSetup!$C$4),0))=TRUE,"-",VLOOKUP($A66,JSetup[],COLUMN(JSetup!$C$4),0)),"-")</f>
        <v>1212THT</v>
      </c>
    </row>
    <row r="67" spans="1:19" ht="16.149999999999999" customHeight="1" x14ac:dyDescent="0.25">
      <c r="A67" s="2" t="s">
        <v>144</v>
      </c>
      <c r="B67" s="3" t="s">
        <v>112</v>
      </c>
      <c r="C67" s="3" t="s">
        <v>82</v>
      </c>
      <c r="D67" s="4">
        <v>-240</v>
      </c>
      <c r="H67" s="3" t="str">
        <f t="shared" ref="H67:H79" si="11">IF(AND(ISBLANK(C67)=FALSE,ISNA(MATCH(C67,StockCodes,0))=TRUE)=TRUE,"E3",IF(AND(J67&lt;&gt;"-",J67&lt;&gt;"Manufactured",B67="Receipt"),"E7",IF(AND(ISBLANK(A67)=FALSE,ISNA(MATCH(A67,JSJob,0))=TRUE),"E8",IF(AND(ISBLANK(A67)=FALSE,B67&lt;&gt;"Receipt",B67&lt;&gt;"Issue"),"E9",IF(AND(ISBLANK(G67)=FALSE,ISNA(MATCH(G67,JSJob,0))=TRUE),"E10",IF(AND(ISBLANK(C67)=FALSE,SUMPRODUCT((JSJob=A67)*(JSCode=C67)*(1))&lt;&gt;1,B67="Receipt"),"E11","-"))))))</f>
        <v>-</v>
      </c>
      <c r="I67" s="44" t="str">
        <f>IF(ISNA(VLOOKUP($C67,StockMaster,COLUMN(StockCode!$B$4),0))=TRUE,"-",VLOOKUP($C67,StockMaster,COLUMN(StockCode!$B$4),0))</f>
        <v>Labour - Grade 1</v>
      </c>
      <c r="J67" s="40" t="str">
        <f>IF(ISNA(VLOOKUP($C67,StockMaster,COLUMN(StockCode!$G$4),0))=TRUE,"-",VLOOKUP($C67,StockMaster,COLUMN(StockCode!$G$4),0))</f>
        <v>Bought-In</v>
      </c>
      <c r="K67" s="40" t="str">
        <f>IF(ISNA(VLOOKUP($C67,StockMaster,COLUMN(StockCode!$C$4),0))=TRUE,"-",VLOOKUP($C67,StockMaster,COLUMN(StockCode!$C$4),0))</f>
        <v>Hours</v>
      </c>
      <c r="L67" s="68">
        <f>IF(ISNA(VLOOKUP($C67,StockMaster,COLUMN(StockCode!$I$4),0))=TRUE,0,VLOOKUP($C67,StockMaster,COLUMN(StockCode!$I$4),0))</f>
        <v>20</v>
      </c>
      <c r="M67" s="31">
        <f t="shared" si="9"/>
        <v>20</v>
      </c>
      <c r="N67" s="31">
        <f t="shared" si="8"/>
        <v>-4800</v>
      </c>
      <c r="O67" s="31">
        <f t="shared" si="10"/>
        <v>0</v>
      </c>
      <c r="P67" s="8">
        <f ca="1">IF(ISNA(VLOOKUP($A67,JSetup[],COLUMN(JSetup!$T$4),0))=TRUE,"-",VLOOKUP($A67,JSetup[],COLUMN(JSetup!$T$4),0))</f>
        <v>44022</v>
      </c>
      <c r="Q67" s="5">
        <f>IF(ISNA(VLOOKUP(G67,JSetup[],COLUMN(JSetup!$L$4),0))=TRUE,0,IF(ISNUMBER(VLOOKUP(G67,JSetup[],COLUMN(JSetup!$L$4),0))=FALSE,0,IF(VLOOKUP(G67,JSetup[],COLUMN(JSetup!$C$4),0)&lt;&gt;C67,0,VLOOKUP(G67,JSetup[],COLUMN(JSetup!$L$4),0))))</f>
        <v>0</v>
      </c>
      <c r="R67" s="5">
        <f>IF(J67="Bought-In",0,IF(B67="Receipt",0,IF(ISNA(VLOOKUP(C67,StockMaster,COLUMN(StockCode!$AA$4),0))=TRUE,0,VLOOKUP(C67,StockMaster,COLUMN(StockCode!$AA$4),0))))</f>
        <v>0</v>
      </c>
      <c r="S67" s="8" t="str">
        <f ca="1">IF(JSetup!$U$1="Single",IF(ISNA(VLOOKUP($A67,JSetup[],COLUMN(JSetup!$C$4),0))=TRUE,"-",VLOOKUP($A67,JSetup[],COLUMN(JSetup!$C$4),0)),"-")</f>
        <v>1212THT</v>
      </c>
    </row>
    <row r="68" spans="1:19" ht="16.149999999999999" customHeight="1" x14ac:dyDescent="0.25">
      <c r="A68" s="2" t="s">
        <v>144</v>
      </c>
      <c r="B68" s="3" t="s">
        <v>112</v>
      </c>
      <c r="C68" s="3" t="s">
        <v>84</v>
      </c>
      <c r="D68" s="4">
        <v>-54</v>
      </c>
      <c r="H68" s="3" t="str">
        <f t="shared" si="11"/>
        <v>-</v>
      </c>
      <c r="I68" s="44" t="str">
        <f>IF(ISNA(VLOOKUP($C68,StockMaster,COLUMN(StockCode!$B$4),0))=TRUE,"-",VLOOKUP($C68,StockMaster,COLUMN(StockCode!$B$4),0))</f>
        <v>Labour - Grade 2</v>
      </c>
      <c r="J68" s="40" t="str">
        <f>IF(ISNA(VLOOKUP($C68,StockMaster,COLUMN(StockCode!$G$4),0))=TRUE,"-",VLOOKUP($C68,StockMaster,COLUMN(StockCode!$G$4),0))</f>
        <v>Bought-In</v>
      </c>
      <c r="K68" s="40" t="str">
        <f>IF(ISNA(VLOOKUP($C68,StockMaster,COLUMN(StockCode!$C$4),0))=TRUE,"-",VLOOKUP($C68,StockMaster,COLUMN(StockCode!$C$4),0))</f>
        <v>Hours</v>
      </c>
      <c r="L68" s="68">
        <f>IF(ISNA(VLOOKUP($C68,StockMaster,COLUMN(StockCode!$I$4),0))=TRUE,0,VLOOKUP($C68,StockMaster,COLUMN(StockCode!$I$4),0))</f>
        <v>30</v>
      </c>
      <c r="M68" s="31">
        <f t="shared" si="9"/>
        <v>30</v>
      </c>
      <c r="N68" s="31">
        <f t="shared" si="8"/>
        <v>-1620</v>
      </c>
      <c r="O68" s="31">
        <f t="shared" si="10"/>
        <v>0</v>
      </c>
      <c r="P68" s="8">
        <f ca="1">IF(ISNA(VLOOKUP($A68,JSetup[],COLUMN(JSetup!$T$4),0))=TRUE,"-",VLOOKUP($A68,JSetup[],COLUMN(JSetup!$T$4),0))</f>
        <v>44022</v>
      </c>
      <c r="Q68" s="5">
        <f>IF(ISNA(VLOOKUP(G68,JSetup[],COLUMN(JSetup!$L$4),0))=TRUE,0,IF(ISNUMBER(VLOOKUP(G68,JSetup[],COLUMN(JSetup!$L$4),0))=FALSE,0,IF(VLOOKUP(G68,JSetup[],COLUMN(JSetup!$C$4),0)&lt;&gt;C68,0,VLOOKUP(G68,JSetup[],COLUMN(JSetup!$L$4),0))))</f>
        <v>0</v>
      </c>
      <c r="R68" s="5">
        <f>IF(J68="Bought-In",0,IF(B68="Receipt",0,IF(ISNA(VLOOKUP(C68,StockMaster,COLUMN(StockCode!$AA$4),0))=TRUE,0,VLOOKUP(C68,StockMaster,COLUMN(StockCode!$AA$4),0))))</f>
        <v>0</v>
      </c>
      <c r="S68" s="8" t="str">
        <f ca="1">IF(JSetup!$U$1="Single",IF(ISNA(VLOOKUP($A68,JSetup[],COLUMN(JSetup!$C$4),0))=TRUE,"-",VLOOKUP($A68,JSetup[],COLUMN(JSetup!$C$4),0)),"-")</f>
        <v>1212THT</v>
      </c>
    </row>
    <row r="69" spans="1:19" ht="16.149999999999999" customHeight="1" x14ac:dyDescent="0.25">
      <c r="A69" s="2" t="s">
        <v>208</v>
      </c>
      <c r="B69" s="3" t="s">
        <v>110</v>
      </c>
      <c r="C69" s="3" t="s">
        <v>41</v>
      </c>
      <c r="D69" s="4">
        <v>505</v>
      </c>
      <c r="H69" s="3" t="str">
        <f t="shared" si="11"/>
        <v>-</v>
      </c>
      <c r="I69" s="44" t="str">
        <f>IF(ISNA(VLOOKUP($C69,StockMaster,COLUMN(StockCode!$B$4),0))=TRUE,"-",VLOOKUP($C69,StockMaster,COLUMN(StockCode!$B$4),0))</f>
        <v>Garden Shed</v>
      </c>
      <c r="J69" s="40" t="str">
        <f>IF(ISNA(VLOOKUP($C69,StockMaster,COLUMN(StockCode!$G$4),0))=TRUE,"-",VLOOKUP($C69,StockMaster,COLUMN(StockCode!$G$4),0))</f>
        <v>Manufactured</v>
      </c>
      <c r="K69" s="40" t="str">
        <f>IF(ISNA(VLOOKUP($C69,StockMaster,COLUMN(StockCode!$C$4),0))=TRUE,"-",VLOOKUP($C69,StockMaster,COLUMN(StockCode!$C$4),0))</f>
        <v>Units</v>
      </c>
      <c r="L69" s="68">
        <f>IF(ISNA(VLOOKUP($C69,StockMaster,COLUMN(StockCode!$I$4),0))=TRUE,0,VLOOKUP($C69,StockMaster,COLUMN(StockCode!$I$4),0))</f>
        <v>4164.7192982456136</v>
      </c>
      <c r="M69" s="31">
        <f t="shared" si="9"/>
        <v>4164.7192982456136</v>
      </c>
      <c r="N69" s="31">
        <f t="shared" si="8"/>
        <v>2103183.2456140351</v>
      </c>
      <c r="O69" s="31">
        <f t="shared" si="10"/>
        <v>0</v>
      </c>
      <c r="P69" s="8">
        <f ca="1">IF(ISNA(VLOOKUP($A69,JSetup[],COLUMN(JSetup!$T$4),0))=TRUE,"-",VLOOKUP($A69,JSetup[],COLUMN(JSetup!$T$4),0))</f>
        <v>44027</v>
      </c>
      <c r="Q69" s="5">
        <f>IF(ISNA(VLOOKUP(G69,JSetup[],COLUMN(JSetup!$L$4),0))=TRUE,0,IF(ISNUMBER(VLOOKUP(G69,JSetup[],COLUMN(JSetup!$L$4),0))=FALSE,0,IF(VLOOKUP(G69,JSetup[],COLUMN(JSetup!$C$4),0)&lt;&gt;C69,0,VLOOKUP(G69,JSetup[],COLUMN(JSetup!$L$4),0))))</f>
        <v>0</v>
      </c>
      <c r="R69" s="5">
        <f>IF(J69="Bought-In",0,IF(B69="Receipt",0,IF(ISNA(VLOOKUP(C69,StockMaster,COLUMN(StockCode!$AA$4),0))=TRUE,0,VLOOKUP(C69,StockMaster,COLUMN(StockCode!$AA$4),0))))</f>
        <v>0</v>
      </c>
      <c r="S69" s="8" t="str">
        <f ca="1">IF(JSetup!$U$1="Single",IF(ISNA(VLOOKUP($A69,JSetup[],COLUMN(JSetup!$C$4),0))=TRUE,"-",VLOOKUP($A69,JSetup[],COLUMN(JSetup!$C$4),0)),"-")</f>
        <v>1212GHG</v>
      </c>
    </row>
    <row r="70" spans="1:19" ht="16.149999999999999" customHeight="1" x14ac:dyDescent="0.25">
      <c r="A70" s="2" t="s">
        <v>208</v>
      </c>
      <c r="B70" s="3" t="s">
        <v>112</v>
      </c>
      <c r="C70" s="3" t="s">
        <v>43</v>
      </c>
      <c r="D70" s="4">
        <v>-5611.1111111111104</v>
      </c>
      <c r="H70" s="3" t="str">
        <f>IF(AND(ISBLANK(C70)=FALSE,ISNA(MATCH(C70,StockCodes,0))=TRUE)=TRUE,"E3",IF(AND(J70&lt;&gt;"-",J70&lt;&gt;"Manufactured",B70="Receipt"),"E7",IF(AND(ISBLANK(A70)=FALSE,ISNA(MATCH(A70,JSJob,0))=TRUE),"E8",IF(AND(ISBLANK(A70)=FALSE,B70&lt;&gt;"Receipt",B70&lt;&gt;"Issue"),"E9",IF(AND(ISBLANK(G70)=FALSE,ISNA(MATCH(G70,JSJob,0))=TRUE),"E10",IF(AND(ISBLANK(C70)=FALSE,SUMPRODUCT((JSJob=A70)*(JSCode=C70)*(1))&lt;&gt;1,B70="Receipt"),"E11","-"))))))</f>
        <v>-</v>
      </c>
      <c r="I70" s="44" t="str">
        <f>IF(ISNA(VLOOKUP($C70,StockMaster,COLUMN(StockCode!$B$4),0))=TRUE,"-",VLOOKUP($C70,StockMaster,COLUMN(StockCode!$B$4),0))</f>
        <v>Steel Plates</v>
      </c>
      <c r="J70" s="40" t="str">
        <f>IF(ISNA(VLOOKUP($C70,StockMaster,COLUMN(StockCode!$G$4),0))=TRUE,"-",VLOOKUP($C70,StockMaster,COLUMN(StockCode!$G$4),0))</f>
        <v>Bought-In</v>
      </c>
      <c r="K70" s="40" t="str">
        <f>IF(ISNA(VLOOKUP($C70,StockMaster,COLUMN(StockCode!$C$4),0))=TRUE,"-",VLOOKUP($C70,StockMaster,COLUMN(StockCode!$C$4),0))</f>
        <v>M2</v>
      </c>
      <c r="L70" s="68">
        <f>IF(ISNA(VLOOKUP($C70,StockMaster,COLUMN(StockCode!$I$4),0))=TRUE,0,VLOOKUP($C70,StockMaster,COLUMN(StockCode!$I$4),0))</f>
        <v>140</v>
      </c>
      <c r="M70" s="31">
        <f>IF(B70="Receipt",L70,IF(J70="Manufactured",IF(Q70&lt;&gt;0,Q70,IF(R70&lt;&gt;0,R70,L70)),IF(F70="Yes",E70,L70)))</f>
        <v>140</v>
      </c>
      <c r="N70" s="31">
        <f>D70*M70</f>
        <v>-785555.5555555555</v>
      </c>
      <c r="O70" s="31">
        <f>-(L70-M70)*D70</f>
        <v>0</v>
      </c>
      <c r="P70" s="8">
        <f ca="1">IF(ISNA(VLOOKUP($A70,JSetup[],COLUMN(JSetup!$T$4),0))=TRUE,"-",VLOOKUP($A70,JSetup[],COLUMN(JSetup!$T$4),0))</f>
        <v>44027</v>
      </c>
      <c r="Q70" s="5">
        <f>IF(ISNA(VLOOKUP(G70,JSetup[],COLUMN(JSetup!$L$4),0))=TRUE,0,IF(ISNUMBER(VLOOKUP(G70,JSetup[],COLUMN(JSetup!$L$4),0))=FALSE,0,IF(VLOOKUP(G70,JSetup[],COLUMN(JSetup!$C$4),0)&lt;&gt;C70,0,VLOOKUP(G70,JSetup[],COLUMN(JSetup!$L$4),0))))</f>
        <v>0</v>
      </c>
      <c r="R70" s="5">
        <f>IF(J70="Bought-In",0,IF(B70="Receipt",0,IF(ISNA(VLOOKUP(C70,StockMaster,COLUMN(StockCode!$AA$4),0))=TRUE,0,VLOOKUP(C70,StockMaster,COLUMN(StockCode!$AA$4),0))))</f>
        <v>0</v>
      </c>
      <c r="S70" s="8" t="str">
        <f ca="1">IF(JSetup!$U$1="Single",IF(ISNA(VLOOKUP($A70,JSetup[],COLUMN(JSetup!$C$4),0))=TRUE,"-",VLOOKUP($A70,JSetup[],COLUMN(JSetup!$C$4),0)),"-")</f>
        <v>1212GHG</v>
      </c>
    </row>
    <row r="71" spans="1:19" ht="16.149999999999999" customHeight="1" x14ac:dyDescent="0.25">
      <c r="A71" s="2" t="s">
        <v>208</v>
      </c>
      <c r="B71" s="3" t="s">
        <v>112</v>
      </c>
      <c r="C71" s="3" t="s">
        <v>46</v>
      </c>
      <c r="D71" s="4">
        <v>-505</v>
      </c>
      <c r="H71" s="3" t="str">
        <f t="shared" si="11"/>
        <v>-</v>
      </c>
      <c r="I71" s="44" t="str">
        <f>IF(ISNA(VLOOKUP($C71,StockMaster,COLUMN(StockCode!$B$4),0))=TRUE,"-",VLOOKUP($C71,StockMaster,COLUMN(StockCode!$B$4),0))</f>
        <v>Door Handle</v>
      </c>
      <c r="J71" s="40" t="str">
        <f>IF(ISNA(VLOOKUP($C71,StockMaster,COLUMN(StockCode!$G$4),0))=TRUE,"-",VLOOKUP($C71,StockMaster,COLUMN(StockCode!$G$4),0))</f>
        <v>Bought-In</v>
      </c>
      <c r="K71" s="40" t="str">
        <f>IF(ISNA(VLOOKUP($C71,StockMaster,COLUMN(StockCode!$C$4),0))=TRUE,"-",VLOOKUP($C71,StockMaster,COLUMN(StockCode!$C$4),0))</f>
        <v>Units</v>
      </c>
      <c r="L71" s="68">
        <f>IF(ISNA(VLOOKUP($C71,StockMaster,COLUMN(StockCode!$I$4),0))=TRUE,0,VLOOKUP($C71,StockMaster,COLUMN(StockCode!$I$4),0))</f>
        <v>150</v>
      </c>
      <c r="M71" s="31">
        <f t="shared" si="9"/>
        <v>150</v>
      </c>
      <c r="N71" s="31">
        <f t="shared" ref="N71:N73" si="12">D71*M71</f>
        <v>-75750</v>
      </c>
      <c r="O71" s="31">
        <f t="shared" si="10"/>
        <v>0</v>
      </c>
      <c r="P71" s="8">
        <f ca="1">IF(ISNA(VLOOKUP($A71,JSetup[],COLUMN(JSetup!$T$4),0))=TRUE,"-",VLOOKUP($A71,JSetup[],COLUMN(JSetup!$T$4),0))</f>
        <v>44027</v>
      </c>
      <c r="Q71" s="5">
        <f>IF(ISNA(VLOOKUP(G71,JSetup[],COLUMN(JSetup!$L$4),0))=TRUE,0,IF(ISNUMBER(VLOOKUP(G71,JSetup[],COLUMN(JSetup!$L$4),0))=FALSE,0,IF(VLOOKUP(G71,JSetup[],COLUMN(JSetup!$C$4),0)&lt;&gt;C71,0,VLOOKUP(G71,JSetup[],COLUMN(JSetup!$L$4),0))))</f>
        <v>0</v>
      </c>
      <c r="R71" s="5">
        <f>IF(J71="Bought-In",0,IF(B71="Receipt",0,IF(ISNA(VLOOKUP(C71,StockMaster,COLUMN(StockCode!$AA$4),0))=TRUE,0,VLOOKUP(C71,StockMaster,COLUMN(StockCode!$AA$4),0))))</f>
        <v>0</v>
      </c>
      <c r="S71" s="8" t="str">
        <f ca="1">IF(JSetup!$U$1="Single",IF(ISNA(VLOOKUP($A71,JSetup[],COLUMN(JSetup!$C$4),0))=TRUE,"-",VLOOKUP($A71,JSetup[],COLUMN(JSetup!$C$4),0)),"-")</f>
        <v>1212GHG</v>
      </c>
    </row>
    <row r="72" spans="1:19" ht="16.149999999999999" customHeight="1" x14ac:dyDescent="0.25">
      <c r="A72" s="2" t="s">
        <v>208</v>
      </c>
      <c r="B72" s="3" t="s">
        <v>112</v>
      </c>
      <c r="C72" s="3" t="s">
        <v>48</v>
      </c>
      <c r="D72" s="4">
        <v>-7501.1695906432697</v>
      </c>
      <c r="E72" s="4">
        <v>130</v>
      </c>
      <c r="F72" s="3" t="s">
        <v>125</v>
      </c>
      <c r="H72" s="3" t="str">
        <f t="shared" si="11"/>
        <v>-</v>
      </c>
      <c r="I72" s="44" t="str">
        <f>IF(ISNA(VLOOKUP($C72,StockMaster,COLUMN(StockCode!$B$4),0))=TRUE,"-",VLOOKUP($C72,StockMaster,COLUMN(StockCode!$B$4),0))</f>
        <v>Wood</v>
      </c>
      <c r="J72" s="40" t="str">
        <f>IF(ISNA(VLOOKUP($C72,StockMaster,COLUMN(StockCode!$G$4),0))=TRUE,"-",VLOOKUP($C72,StockMaster,COLUMN(StockCode!$G$4),0))</f>
        <v>Bought-In</v>
      </c>
      <c r="K72" s="40" t="str">
        <f>IF(ISNA(VLOOKUP($C72,StockMaster,COLUMN(StockCode!$C$4),0))=TRUE,"-",VLOOKUP($C72,StockMaster,COLUMN(StockCode!$C$4),0))</f>
        <v>M2</v>
      </c>
      <c r="L72" s="68">
        <f>IF(ISNA(VLOOKUP($C72,StockMaster,COLUMN(StockCode!$I$4),0))=TRUE,0,VLOOKUP($C72,StockMaster,COLUMN(StockCode!$I$4),0))</f>
        <v>120</v>
      </c>
      <c r="M72" s="31">
        <f t="shared" si="9"/>
        <v>130</v>
      </c>
      <c r="N72" s="31">
        <f t="shared" si="12"/>
        <v>-975152.04678362503</v>
      </c>
      <c r="O72" s="31">
        <f t="shared" si="10"/>
        <v>-75011.695906432695</v>
      </c>
      <c r="P72" s="8">
        <f ca="1">IF(ISNA(VLOOKUP($A72,JSetup[],COLUMN(JSetup!$T$4),0))=TRUE,"-",VLOOKUP($A72,JSetup[],COLUMN(JSetup!$T$4),0))</f>
        <v>44027</v>
      </c>
      <c r="Q72" s="5">
        <f>IF(ISNA(VLOOKUP(G72,JSetup[],COLUMN(JSetup!$L$4),0))=TRUE,0,IF(ISNUMBER(VLOOKUP(G72,JSetup[],COLUMN(JSetup!$L$4),0))=FALSE,0,IF(VLOOKUP(G72,JSetup[],COLUMN(JSetup!$C$4),0)&lt;&gt;C72,0,VLOOKUP(G72,JSetup[],COLUMN(JSetup!$L$4),0))))</f>
        <v>0</v>
      </c>
      <c r="R72" s="5">
        <f>IF(J72="Bought-In",0,IF(B72="Receipt",0,IF(ISNA(VLOOKUP(C72,StockMaster,COLUMN(StockCode!$AA$4),0))=TRUE,0,VLOOKUP(C72,StockMaster,COLUMN(StockCode!$AA$4),0))))</f>
        <v>0</v>
      </c>
      <c r="S72" s="8" t="str">
        <f ca="1">IF(JSetup!$U$1="Single",IF(ISNA(VLOOKUP($A72,JSetup[],COLUMN(JSetup!$C$4),0))=TRUE,"-",VLOOKUP($A72,JSetup[],COLUMN(JSetup!$C$4),0)),"-")</f>
        <v>1212GHG</v>
      </c>
    </row>
    <row r="73" spans="1:19" ht="16.149999999999999" customHeight="1" x14ac:dyDescent="0.25">
      <c r="A73" s="2" t="s">
        <v>208</v>
      </c>
      <c r="B73" s="3" t="s">
        <v>112</v>
      </c>
      <c r="C73" s="3" t="s">
        <v>50</v>
      </c>
      <c r="D73" s="4">
        <v>-56.1111111111111</v>
      </c>
      <c r="H73" s="40" t="str">
        <f t="shared" si="11"/>
        <v>-</v>
      </c>
      <c r="I73" s="44" t="str">
        <f>IF(ISNA(VLOOKUP($C73,StockMaster,COLUMN(StockCode!$B$4),0))=TRUE,"-",VLOOKUP($C73,StockMaster,COLUMN(StockCode!$B$4),0))</f>
        <v>1 Inch Screws</v>
      </c>
      <c r="J73" s="40" t="str">
        <f>IF(ISNA(VLOOKUP($C73,StockMaster,COLUMN(StockCode!$G$4),0))=TRUE,"-",VLOOKUP($C73,StockMaster,COLUMN(StockCode!$G$4),0))</f>
        <v>Bought-In</v>
      </c>
      <c r="K73" s="40" t="str">
        <f>IF(ISNA(VLOOKUP($C73,StockMaster,COLUMN(StockCode!$C$4),0))=TRUE,"-",VLOOKUP($C73,StockMaster,COLUMN(StockCode!$C$4),0))</f>
        <v>Bag</v>
      </c>
      <c r="L73" s="32">
        <f>IF(ISNA(VLOOKUP($C73,StockMaster,COLUMN(StockCode!$I$4),0))=TRUE,0,VLOOKUP($C73,StockMaster,COLUMN(StockCode!$I$4),0))</f>
        <v>30</v>
      </c>
      <c r="M73" s="31">
        <f t="shared" si="9"/>
        <v>30</v>
      </c>
      <c r="N73" s="31">
        <f t="shared" si="12"/>
        <v>-1683.333333333333</v>
      </c>
      <c r="O73" s="32">
        <f t="shared" si="10"/>
        <v>0</v>
      </c>
      <c r="P73" s="8">
        <f ca="1">IF(ISNA(VLOOKUP($A73,JSetup[],COLUMN(JSetup!$T$4),0))=TRUE,"-",VLOOKUP($A73,JSetup[],COLUMN(JSetup!$T$4),0))</f>
        <v>44027</v>
      </c>
      <c r="Q73" s="5">
        <f>IF(ISNA(VLOOKUP(G73,JSetup[],COLUMN(JSetup!$L$4),0))=TRUE,0,IF(ISNUMBER(VLOOKUP(G73,JSetup[],COLUMN(JSetup!$L$4),0))=FALSE,0,IF(VLOOKUP(G73,JSetup[],COLUMN(JSetup!$C$4),0)&lt;&gt;C73,0,VLOOKUP(G73,JSetup[],COLUMN(JSetup!$L$4),0))))</f>
        <v>0</v>
      </c>
      <c r="R73" s="5">
        <f>IF(J73="Bought-In",0,IF(B73="Receipt",0,IF(ISNA(VLOOKUP(C73,StockMaster,COLUMN(StockCode!$AA$4),0))=TRUE,0,VLOOKUP(C73,StockMaster,COLUMN(StockCode!$AA$4),0))))</f>
        <v>0</v>
      </c>
      <c r="S73" s="8" t="str">
        <f ca="1">IF(JSetup!$U$1="Single",IF(ISNA(VLOOKUP($A73,JSetup[],COLUMN(JSetup!$C$4),0))=TRUE,"-",VLOOKUP($A73,JSetup[],COLUMN(JSetup!$C$4),0)),"-")</f>
        <v>1212GHG</v>
      </c>
    </row>
    <row r="74" spans="1:19" ht="16.149999999999999" customHeight="1" x14ac:dyDescent="0.25">
      <c r="A74" s="2" t="s">
        <v>208</v>
      </c>
      <c r="B74" s="3" t="s">
        <v>112</v>
      </c>
      <c r="C74" s="3" t="s">
        <v>70</v>
      </c>
      <c r="D74" s="69">
        <v>-1749.34640522876</v>
      </c>
      <c r="H74" s="40" t="str">
        <f t="shared" si="11"/>
        <v>-</v>
      </c>
      <c r="I74" s="44" t="str">
        <f>IF(ISNA(VLOOKUP($C74,StockMaster,COLUMN(StockCode!$B$4),0))=TRUE,"-",VLOOKUP($C74,StockMaster,COLUMN(StockCode!$B$4),0))</f>
        <v>2 Inch Screws</v>
      </c>
      <c r="J74" s="40" t="str">
        <f>IF(ISNA(VLOOKUP($C74,StockMaster,COLUMN(StockCode!$G$4),0))=TRUE,"-",VLOOKUP($C74,StockMaster,COLUMN(StockCode!$G$4),0))</f>
        <v>Bought-In</v>
      </c>
      <c r="K74" s="40" t="str">
        <f>IF(ISNA(VLOOKUP($C74,StockMaster,COLUMN(StockCode!$C$4),0))=TRUE,"-",VLOOKUP($C74,StockMaster,COLUMN(StockCode!$C$4),0))</f>
        <v>Bag</v>
      </c>
      <c r="L74" s="32">
        <f>IF(ISNA(VLOOKUP($C74,StockMaster,COLUMN(StockCode!$I$4),0))=TRUE,0,VLOOKUP($C74,StockMaster,COLUMN(StockCode!$I$4),0))</f>
        <v>50</v>
      </c>
      <c r="M74" s="31">
        <f t="shared" ref="M74:M79" si="13">IF(B74="Receipt",L74,IF(J74="Manufactured",IF(Q74&lt;&gt;0,Q74,IF(R74&lt;&gt;0,R74,L74)),IF(F74="Yes",E74,L74)))</f>
        <v>50</v>
      </c>
      <c r="N74" s="31">
        <f t="shared" ref="N74:N77" si="14">D74*M74</f>
        <v>-87467.320261437999</v>
      </c>
      <c r="O74" s="32">
        <f t="shared" si="10"/>
        <v>0</v>
      </c>
      <c r="P74" s="8">
        <f ca="1">IF(ISNA(VLOOKUP($A74,JSetup[],COLUMN(JSetup!$T$4),0))=TRUE,"-",VLOOKUP($A74,JSetup[],COLUMN(JSetup!$T$4),0))</f>
        <v>44027</v>
      </c>
      <c r="Q74" s="5">
        <f>IF(ISNA(VLOOKUP(G74,JSetup[],COLUMN(JSetup!$L$4),0))=TRUE,0,IF(ISNUMBER(VLOOKUP(G74,JSetup[],COLUMN(JSetup!$L$4),0))=FALSE,0,IF(VLOOKUP(G74,JSetup[],COLUMN(JSetup!$C$4),0)&lt;&gt;C74,0,VLOOKUP(G74,JSetup[],COLUMN(JSetup!$L$4),0))))</f>
        <v>0</v>
      </c>
      <c r="R74" s="5">
        <f>IF(J74="Bought-In",0,IF(B74="Receipt",0,IF(ISNA(VLOOKUP(C74,StockMaster,COLUMN(StockCode!$AA$4),0))=TRUE,0,VLOOKUP(C74,StockMaster,COLUMN(StockCode!$AA$4),0))))</f>
        <v>0</v>
      </c>
      <c r="S74" s="8" t="str">
        <f ca="1">IF(JSetup!$U$1="Single",IF(ISNA(VLOOKUP($A74,JSetup[],COLUMN(JSetup!$C$4),0))=TRUE,"-",VLOOKUP($A74,JSetup[],COLUMN(JSetup!$C$4),0)),"-")</f>
        <v>1212GHG</v>
      </c>
    </row>
    <row r="75" spans="1:19" ht="16.149999999999999" customHeight="1" x14ac:dyDescent="0.25">
      <c r="A75" s="2" t="s">
        <v>208</v>
      </c>
      <c r="B75" s="3" t="s">
        <v>112</v>
      </c>
      <c r="C75" s="3" t="s">
        <v>52</v>
      </c>
      <c r="D75" s="69">
        <v>-1250.7739938080499</v>
      </c>
      <c r="H75" s="40" t="str">
        <f t="shared" si="11"/>
        <v>-</v>
      </c>
      <c r="I75" s="44" t="str">
        <f>IF(ISNA(VLOOKUP($C75,StockMaster,COLUMN(StockCode!$B$4),0))=TRUE,"-",VLOOKUP($C75,StockMaster,COLUMN(StockCode!$B$4),0))</f>
        <v>Glass</v>
      </c>
      <c r="J75" s="40" t="str">
        <f>IF(ISNA(VLOOKUP($C75,StockMaster,COLUMN(StockCode!$G$4),0))=TRUE,"-",VLOOKUP($C75,StockMaster,COLUMN(StockCode!$G$4),0))</f>
        <v>Bought-In</v>
      </c>
      <c r="K75" s="40" t="str">
        <f>IF(ISNA(VLOOKUP($C75,StockMaster,COLUMN(StockCode!$C$4),0))=TRUE,"-",VLOOKUP($C75,StockMaster,COLUMN(StockCode!$C$4),0))</f>
        <v>M2</v>
      </c>
      <c r="L75" s="32">
        <f>IF(ISNA(VLOOKUP($C75,StockMaster,COLUMN(StockCode!$I$4),0))=TRUE,0,VLOOKUP($C75,StockMaster,COLUMN(StockCode!$I$4),0))</f>
        <v>80</v>
      </c>
      <c r="M75" s="31">
        <f t="shared" si="13"/>
        <v>80</v>
      </c>
      <c r="N75" s="31">
        <f t="shared" si="14"/>
        <v>-100061.919504644</v>
      </c>
      <c r="O75" s="32">
        <f t="shared" ref="O75:O79" si="15">-(L75-M75)*D75</f>
        <v>0</v>
      </c>
      <c r="P75" s="8">
        <f ca="1">IF(ISNA(VLOOKUP($A75,JSetup[],COLUMN(JSetup!$T$4),0))=TRUE,"-",VLOOKUP($A75,JSetup[],COLUMN(JSetup!$T$4),0))</f>
        <v>44027</v>
      </c>
      <c r="Q75" s="5">
        <f>IF(ISNA(VLOOKUP(G75,JSetup[],COLUMN(JSetup!$L$4),0))=TRUE,0,IF(ISNUMBER(VLOOKUP(G75,JSetup[],COLUMN(JSetup!$L$4),0))=FALSE,0,IF(VLOOKUP(G75,JSetup[],COLUMN(JSetup!$C$4),0)&lt;&gt;C75,0,VLOOKUP(G75,JSetup[],COLUMN(JSetup!$L$4),0))))</f>
        <v>0</v>
      </c>
      <c r="R75" s="5">
        <f>IF(J75="Bought-In",0,IF(B75="Receipt",0,IF(ISNA(VLOOKUP(C75,StockMaster,COLUMN(StockCode!$AA$4),0))=TRUE,0,VLOOKUP(C75,StockMaster,COLUMN(StockCode!$AA$4),0))))</f>
        <v>0</v>
      </c>
      <c r="S75" s="8" t="str">
        <f ca="1">IF(JSetup!$U$1="Single",IF(ISNA(VLOOKUP($A75,JSetup[],COLUMN(JSetup!$C$4),0))=TRUE,"-",VLOOKUP($A75,JSetup[],COLUMN(JSetup!$C$4),0)),"-")</f>
        <v>1212GHG</v>
      </c>
    </row>
    <row r="76" spans="1:19" ht="16.149999999999999" customHeight="1" x14ac:dyDescent="0.25">
      <c r="A76" s="2" t="s">
        <v>208</v>
      </c>
      <c r="B76" s="3" t="s">
        <v>112</v>
      </c>
      <c r="C76" s="3" t="s">
        <v>54</v>
      </c>
      <c r="D76" s="69">
        <v>-590.64327485380102</v>
      </c>
      <c r="H76" s="40" t="str">
        <f t="shared" si="11"/>
        <v>-</v>
      </c>
      <c r="I76" s="44" t="str">
        <f>IF(ISNA(VLOOKUP($C76,StockMaster,COLUMN(StockCode!$B$4),0))=TRUE,"-",VLOOKUP($C76,StockMaster,COLUMN(StockCode!$B$4),0))</f>
        <v>Filler</v>
      </c>
      <c r="J76" s="40" t="str">
        <f>IF(ISNA(VLOOKUP($C76,StockMaster,COLUMN(StockCode!$G$4),0))=TRUE,"-",VLOOKUP($C76,StockMaster,COLUMN(StockCode!$G$4),0))</f>
        <v>Bought-In</v>
      </c>
      <c r="K76" s="40" t="str">
        <f>IF(ISNA(VLOOKUP($C76,StockMaster,COLUMN(StockCode!$C$4),0))=TRUE,"-",VLOOKUP($C76,StockMaster,COLUMN(StockCode!$C$4),0))</f>
        <v>Bag</v>
      </c>
      <c r="L76" s="32">
        <f>IF(ISNA(VLOOKUP($C76,StockMaster,COLUMN(StockCode!$I$4),0))=TRUE,0,VLOOKUP($C76,StockMaster,COLUMN(StockCode!$I$4),0))</f>
        <v>60</v>
      </c>
      <c r="M76" s="31">
        <f t="shared" si="13"/>
        <v>60</v>
      </c>
      <c r="N76" s="31">
        <f t="shared" si="14"/>
        <v>-35438.596491228061</v>
      </c>
      <c r="O76" s="32">
        <f t="shared" si="15"/>
        <v>0</v>
      </c>
      <c r="P76" s="8">
        <f ca="1">IF(ISNA(VLOOKUP($A76,JSetup[],COLUMN(JSetup!$T$4),0))=TRUE,"-",VLOOKUP($A76,JSetup[],COLUMN(JSetup!$T$4),0))</f>
        <v>44027</v>
      </c>
      <c r="Q76" s="5">
        <f>IF(ISNA(VLOOKUP(G76,JSetup[],COLUMN(JSetup!$L$4),0))=TRUE,0,IF(ISNUMBER(VLOOKUP(G76,JSetup[],COLUMN(JSetup!$L$4),0))=FALSE,0,IF(VLOOKUP(G76,JSetup[],COLUMN(JSetup!$C$4),0)&lt;&gt;C76,0,VLOOKUP(G76,JSetup[],COLUMN(JSetup!$L$4),0))))</f>
        <v>0</v>
      </c>
      <c r="R76" s="5">
        <f>IF(J76="Bought-In",0,IF(B76="Receipt",0,IF(ISNA(VLOOKUP(C76,StockMaster,COLUMN(StockCode!$AA$4),0))=TRUE,0,VLOOKUP(C76,StockMaster,COLUMN(StockCode!$AA$4),0))))</f>
        <v>0</v>
      </c>
      <c r="S76" s="8" t="str">
        <f ca="1">IF(JSetup!$U$1="Single",IF(ISNA(VLOOKUP($A76,JSetup[],COLUMN(JSetup!$C$4),0))=TRUE,"-",VLOOKUP($A76,JSetup[],COLUMN(JSetup!$C$4),0)),"-")</f>
        <v>1212GHG</v>
      </c>
    </row>
    <row r="77" spans="1:19" ht="16.149999999999999" customHeight="1" x14ac:dyDescent="0.25">
      <c r="A77" s="2" t="s">
        <v>208</v>
      </c>
      <c r="B77" s="3" t="s">
        <v>112</v>
      </c>
      <c r="C77" s="3" t="s">
        <v>72</v>
      </c>
      <c r="D77" s="69">
        <v>-1010</v>
      </c>
      <c r="H77" s="40" t="str">
        <f t="shared" si="11"/>
        <v>-</v>
      </c>
      <c r="I77" s="44" t="str">
        <f>IF(ISNA(VLOOKUP($C77,StockMaster,COLUMN(StockCode!$B$4),0))=TRUE,"-",VLOOKUP($C77,StockMaster,COLUMN(StockCode!$B$4),0))</f>
        <v>Swivel</v>
      </c>
      <c r="J77" s="40" t="str">
        <f>IF(ISNA(VLOOKUP($C77,StockMaster,COLUMN(StockCode!$G$4),0))=TRUE,"-",VLOOKUP($C77,StockMaster,COLUMN(StockCode!$G$4),0))</f>
        <v>Bought-In</v>
      </c>
      <c r="K77" s="40" t="str">
        <f>IF(ISNA(VLOOKUP($C77,StockMaster,COLUMN(StockCode!$C$4),0))=TRUE,"-",VLOOKUP($C77,StockMaster,COLUMN(StockCode!$C$4),0))</f>
        <v>Units</v>
      </c>
      <c r="L77" s="32">
        <f>IF(ISNA(VLOOKUP($C77,StockMaster,COLUMN(StockCode!$I$4),0))=TRUE,0,VLOOKUP($C77,StockMaster,COLUMN(StockCode!$I$4),0))</f>
        <v>3.5</v>
      </c>
      <c r="M77" s="31">
        <f t="shared" si="13"/>
        <v>3.5</v>
      </c>
      <c r="N77" s="31">
        <f t="shared" si="14"/>
        <v>-3535</v>
      </c>
      <c r="O77" s="32">
        <f t="shared" si="15"/>
        <v>0</v>
      </c>
      <c r="P77" s="8">
        <f ca="1">IF(ISNA(VLOOKUP($A77,JSetup[],COLUMN(JSetup!$T$4),0))=TRUE,"-",VLOOKUP($A77,JSetup[],COLUMN(JSetup!$T$4),0))</f>
        <v>44027</v>
      </c>
      <c r="Q77" s="5">
        <f>IF(ISNA(VLOOKUP(G77,JSetup[],COLUMN(JSetup!$L$4),0))=TRUE,0,IF(ISNUMBER(VLOOKUP(G77,JSetup[],COLUMN(JSetup!$L$4),0))=FALSE,0,IF(VLOOKUP(G77,JSetup[],COLUMN(JSetup!$C$4),0)&lt;&gt;C77,0,VLOOKUP(G77,JSetup[],COLUMN(JSetup!$L$4),0))))</f>
        <v>0</v>
      </c>
      <c r="R77" s="5">
        <f>IF(J77="Bought-In",0,IF(B77="Receipt",0,IF(ISNA(VLOOKUP(C77,StockMaster,COLUMN(StockCode!$AA$4),0))=TRUE,0,VLOOKUP(C77,StockMaster,COLUMN(StockCode!$AA$4),0))))</f>
        <v>0</v>
      </c>
      <c r="S77" s="8" t="str">
        <f ca="1">IF(JSetup!$U$1="Single",IF(ISNA(VLOOKUP($A77,JSetup[],COLUMN(JSetup!$C$4),0))=TRUE,"-",VLOOKUP($A77,JSetup[],COLUMN(JSetup!$C$4),0)),"-")</f>
        <v>1212GHG</v>
      </c>
    </row>
    <row r="78" spans="1:19" ht="16.149999999999999" customHeight="1" x14ac:dyDescent="0.25">
      <c r="A78" s="2" t="s">
        <v>208</v>
      </c>
      <c r="B78" s="3" t="s">
        <v>112</v>
      </c>
      <c r="C78" s="3" t="s">
        <v>82</v>
      </c>
      <c r="D78" s="69">
        <v>-4920.0584795321602</v>
      </c>
      <c r="H78" s="40" t="str">
        <f t="shared" si="11"/>
        <v>-</v>
      </c>
      <c r="I78" s="44" t="str">
        <f>IF(ISNA(VLOOKUP($C78,StockMaster,COLUMN(StockCode!$B$4),0))=TRUE,"-",VLOOKUP($C78,StockMaster,COLUMN(StockCode!$B$4),0))</f>
        <v>Labour - Grade 1</v>
      </c>
      <c r="J78" s="40" t="str">
        <f>IF(ISNA(VLOOKUP($C78,StockMaster,COLUMN(StockCode!$G$4),0))=TRUE,"-",VLOOKUP($C78,StockMaster,COLUMN(StockCode!$G$4),0))</f>
        <v>Bought-In</v>
      </c>
      <c r="K78" s="40" t="str">
        <f>IF(ISNA(VLOOKUP($C78,StockMaster,COLUMN(StockCode!$C$4),0))=TRUE,"-",VLOOKUP($C78,StockMaster,COLUMN(StockCode!$C$4),0))</f>
        <v>Hours</v>
      </c>
      <c r="L78" s="32">
        <f>IF(ISNA(VLOOKUP($C78,StockMaster,COLUMN(StockCode!$I$4),0))=TRUE,0,VLOOKUP($C78,StockMaster,COLUMN(StockCode!$I$4),0))</f>
        <v>20</v>
      </c>
      <c r="M78" s="31">
        <f t="shared" si="13"/>
        <v>20</v>
      </c>
      <c r="N78" s="31">
        <f>D78*M78</f>
        <v>-98401.1695906432</v>
      </c>
      <c r="O78" s="32">
        <f t="shared" si="15"/>
        <v>0</v>
      </c>
      <c r="P78" s="8">
        <f ca="1">IF(ISNA(VLOOKUP($A78,JSetup[],COLUMN(JSetup!$T$4),0))=TRUE,"-",VLOOKUP($A78,JSetup[],COLUMN(JSetup!$T$4),0))</f>
        <v>44027</v>
      </c>
      <c r="Q78" s="5">
        <f>IF(ISNA(VLOOKUP(G78,JSetup[],COLUMN(JSetup!$L$4),0))=TRUE,0,IF(ISNUMBER(VLOOKUP(G78,JSetup[],COLUMN(JSetup!$L$4),0))=FALSE,0,IF(VLOOKUP(G78,JSetup[],COLUMN(JSetup!$C$4),0)&lt;&gt;C78,0,VLOOKUP(G78,JSetup[],COLUMN(JSetup!$L$4),0))))</f>
        <v>0</v>
      </c>
      <c r="R78" s="5">
        <f>IF(J78="Bought-In",0,IF(B78="Receipt",0,IF(ISNA(VLOOKUP(C78,StockMaster,COLUMN(StockCode!$AA$4),0))=TRUE,0,VLOOKUP(C78,StockMaster,COLUMN(StockCode!$AA$4),0))))</f>
        <v>0</v>
      </c>
      <c r="S78" s="8" t="str">
        <f ca="1">IF(JSetup!$U$1="Single",IF(ISNA(VLOOKUP($A78,JSetup[],COLUMN(JSetup!$C$4),0))=TRUE,"-",VLOOKUP($A78,JSetup[],COLUMN(JSetup!$C$4),0)),"-")</f>
        <v>1212GHG</v>
      </c>
    </row>
    <row r="79" spans="1:19" ht="16.149999999999999" customHeight="1" x14ac:dyDescent="0.25">
      <c r="A79" s="2" t="s">
        <v>208</v>
      </c>
      <c r="B79" s="3" t="s">
        <v>112</v>
      </c>
      <c r="C79" s="3" t="s">
        <v>84</v>
      </c>
      <c r="D79" s="69">
        <v>-505</v>
      </c>
      <c r="H79" s="40" t="str">
        <f t="shared" si="11"/>
        <v>-</v>
      </c>
      <c r="I79" s="44" t="str">
        <f>IF(ISNA(VLOOKUP($C79,StockMaster,COLUMN(StockCode!$B$4),0))=TRUE,"-",VLOOKUP($C79,StockMaster,COLUMN(StockCode!$B$4),0))</f>
        <v>Labour - Grade 2</v>
      </c>
      <c r="J79" s="40" t="str">
        <f>IF(ISNA(VLOOKUP($C79,StockMaster,COLUMN(StockCode!$G$4),0))=TRUE,"-",VLOOKUP($C79,StockMaster,COLUMN(StockCode!$G$4),0))</f>
        <v>Bought-In</v>
      </c>
      <c r="K79" s="40" t="str">
        <f>IF(ISNA(VLOOKUP($C79,StockMaster,COLUMN(StockCode!$C$4),0))=TRUE,"-",VLOOKUP($C79,StockMaster,COLUMN(StockCode!$C$4),0))</f>
        <v>Hours</v>
      </c>
      <c r="L79" s="32">
        <f>IF(ISNA(VLOOKUP($C79,StockMaster,COLUMN(StockCode!$I$4),0))=TRUE,0,VLOOKUP($C79,StockMaster,COLUMN(StockCode!$I$4),0))</f>
        <v>30</v>
      </c>
      <c r="M79" s="31">
        <f t="shared" si="13"/>
        <v>30</v>
      </c>
      <c r="N79" s="31">
        <f t="shared" ref="N79" si="16">D79*M79</f>
        <v>-15150</v>
      </c>
      <c r="O79" s="32">
        <f t="shared" si="15"/>
        <v>0</v>
      </c>
      <c r="P79" s="8">
        <f ca="1">IF(ISNA(VLOOKUP($A79,JSetup[],COLUMN(JSetup!$T$4),0))=TRUE,"-",VLOOKUP($A79,JSetup[],COLUMN(JSetup!$T$4),0))</f>
        <v>44027</v>
      </c>
      <c r="Q79" s="5">
        <f>IF(ISNA(VLOOKUP(G79,JSetup[],COLUMN(JSetup!$L$4),0))=TRUE,0,IF(ISNUMBER(VLOOKUP(G79,JSetup[],COLUMN(JSetup!$L$4),0))=FALSE,0,IF(VLOOKUP(G79,JSetup[],COLUMN(JSetup!$C$4),0)&lt;&gt;C79,0,VLOOKUP(G79,JSetup[],COLUMN(JSetup!$L$4),0))))</f>
        <v>0</v>
      </c>
      <c r="R79" s="5">
        <f>IF(J79="Bought-In",0,IF(B79="Receipt",0,IF(ISNA(VLOOKUP(C79,StockMaster,COLUMN(StockCode!$AA$4),0))=TRUE,0,VLOOKUP(C79,StockMaster,COLUMN(StockCode!$AA$4),0))))</f>
        <v>0</v>
      </c>
      <c r="S79" s="8" t="str">
        <f ca="1">IF(JSetup!$U$1="Single",IF(ISNA(VLOOKUP($A79,JSetup[],COLUMN(JSetup!$C$4),0))=TRUE,"-",VLOOKUP($A79,JSetup[],COLUMN(JSetup!$C$4),0)),"-")</f>
        <v>1212GHG</v>
      </c>
    </row>
  </sheetData>
  <conditionalFormatting sqref="A4">
    <cfRule type="expression" dxfId="43" priority="5">
      <formula>COUNTIF(JTError,"E8")&gt;0</formula>
    </cfRule>
  </conditionalFormatting>
  <conditionalFormatting sqref="C4">
    <cfRule type="expression" dxfId="42" priority="3">
      <formula>COUNTIF(JTError,"E3")&gt;0</formula>
    </cfRule>
    <cfRule type="expression" dxfId="41" priority="4">
      <formula>COUNTIF(JTError,"E7")&gt;0</formula>
    </cfRule>
  </conditionalFormatting>
  <conditionalFormatting sqref="B4">
    <cfRule type="expression" dxfId="40" priority="2">
      <formula>COUNTIF(JTError,"E9")&gt;1</formula>
    </cfRule>
  </conditionalFormatting>
  <conditionalFormatting sqref="G4">
    <cfRule type="expression" dxfId="39" priority="1">
      <formula>COUNTIF(JTError,"E10")&gt;1</formula>
    </cfRule>
  </conditionalFormatting>
  <dataValidations count="3">
    <dataValidation type="list" allowBlank="1" showInputMessage="1" showErrorMessage="1" errorTitle="Invalid Data" error="Select a valid entry from the list box." sqref="B5:B79" xr:uid="{00000000-0002-0000-0700-000000000000}">
      <formula1>"Receipt,Issue"</formula1>
    </dataValidation>
    <dataValidation type="list" allowBlank="1" showInputMessage="1" showErrorMessage="1" errorTitle="Invalid Data" error="Select a valid entry from the list box." sqref="C5:C79" xr:uid="{00000000-0002-0000-0700-000001000000}">
      <formula1>StockCodes</formula1>
    </dataValidation>
    <dataValidation type="list" allowBlank="1" showInputMessage="1" showErrorMessage="1" errorTitle="Invalid Data" error="Select a valid item from the list box." sqref="F5:F79" xr:uid="{00000000-0002-0000-0700-000002000000}">
      <formula1>"Yes,No"</formula1>
    </dataValidation>
  </dataValidations>
  <pageMargins left="0.51181102362204722" right="0.51181102362204722" top="0.55118110236220474" bottom="0.55118110236220474" header="0.39370078740157483" footer="0.39370078740157483"/>
  <pageSetup paperSize="9" scale="55" fitToHeight="0" orientation="landscape" r:id="rId1"/>
  <headerFooter>
    <oddFooter>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9"/>
  <sheetViews>
    <sheetView zoomScale="95" workbookViewId="0">
      <pane xSplit="2" ySplit="9" topLeftCell="C10" activePane="bottomRight" state="frozen"/>
      <selection pane="topRight" activeCell="C1" sqref="C1"/>
      <selection pane="bottomLeft" activeCell="A10" sqref="A10"/>
      <selection pane="bottomRight" activeCell="D1" sqref="D1"/>
    </sheetView>
  </sheetViews>
  <sheetFormatPr defaultColWidth="9.140625" defaultRowHeight="16.149999999999999" customHeight="1" x14ac:dyDescent="0.25"/>
  <cols>
    <col min="1" max="1" width="11.7109375" style="62" customWidth="1"/>
    <col min="2" max="2" width="20.7109375" style="2" customWidth="1"/>
    <col min="3" max="3" width="12.7109375" style="3" customWidth="1"/>
    <col min="4" max="4" width="12.7109375" style="4" customWidth="1"/>
    <col min="5" max="5" width="12.7109375" style="111" customWidth="1"/>
    <col min="6" max="12" width="12.7109375" style="4" customWidth="1"/>
    <col min="13" max="15" width="13.7109375" style="2" customWidth="1"/>
    <col min="16" max="16" width="3.7109375" style="2" customWidth="1"/>
    <col min="17" max="16384" width="9.140625" style="2"/>
  </cols>
  <sheetData>
    <row r="1" spans="1:17" s="44" customFormat="1" ht="16.149999999999999" customHeight="1" x14ac:dyDescent="0.25">
      <c r="A1" s="131" t="s">
        <v>102</v>
      </c>
      <c r="C1" s="70" t="s">
        <v>99</v>
      </c>
      <c r="D1" s="71" t="s">
        <v>106</v>
      </c>
      <c r="E1" s="72" t="str">
        <f>IF(ISNA(VLOOKUP($D$1,JSetup[],COLUMN(JSetup!$A$4),0))=TRUE,"Enter a valid job number in cell D1!","")</f>
        <v/>
      </c>
      <c r="F1" s="42"/>
      <c r="G1" s="42"/>
      <c r="H1" s="42"/>
      <c r="I1" s="73" t="s">
        <v>206</v>
      </c>
      <c r="J1" s="51">
        <f>IF(ISNA(VLOOKUP($D$1,JSetup[],COLUMN(JSetup!$B$4),0))=TRUE,"",VLOOKUP($D$1,JSetup[],COLUMN(JSetup!$B$4),0))</f>
        <v>44015</v>
      </c>
    </row>
    <row r="2" spans="1:17" s="44" customFormat="1" ht="16.149999999999999" customHeight="1" x14ac:dyDescent="0.25">
      <c r="A2" s="74" t="s">
        <v>154</v>
      </c>
      <c r="C2" s="40"/>
      <c r="D2" s="42"/>
      <c r="E2" s="75"/>
      <c r="F2" s="42"/>
      <c r="G2" s="42"/>
      <c r="H2" s="42"/>
      <c r="M2" s="151" t="s">
        <v>205</v>
      </c>
      <c r="N2" s="152"/>
      <c r="O2" s="153"/>
    </row>
    <row r="3" spans="1:17" s="81" customFormat="1" ht="16.149999999999999" customHeight="1" x14ac:dyDescent="0.25">
      <c r="A3" s="76" t="s">
        <v>4</v>
      </c>
      <c r="B3" s="77" t="s">
        <v>5</v>
      </c>
      <c r="C3" s="78" t="s">
        <v>6</v>
      </c>
      <c r="D3" s="79" t="s">
        <v>103</v>
      </c>
      <c r="E3" s="79" t="s">
        <v>104</v>
      </c>
      <c r="F3" s="79" t="s">
        <v>367</v>
      </c>
      <c r="G3" s="79" t="s">
        <v>133</v>
      </c>
      <c r="H3" s="79" t="s">
        <v>202</v>
      </c>
      <c r="I3" s="80" t="s">
        <v>203</v>
      </c>
      <c r="J3" s="80" t="s">
        <v>204</v>
      </c>
      <c r="M3" s="82" t="s">
        <v>133</v>
      </c>
      <c r="N3" s="82" t="s">
        <v>134</v>
      </c>
      <c r="O3" s="82" t="s">
        <v>111</v>
      </c>
    </row>
    <row r="4" spans="1:17" s="44" customFormat="1" ht="16.149999999999999" customHeight="1" x14ac:dyDescent="0.25">
      <c r="A4" s="83" t="str">
        <f t="array" ref="A4">IF(ISERROR(INDEX(JSetup[],SMALL(IF(JSJob=$D$1,ROW(JSJob)-StockRef),ROW(1:1)),COLUMN(JSetup!$C$4)))=TRUE,"", INDEX(JSetup[],SMALL(IF(JSJob=$D$1,ROW(JSJob)-StockRef),ROW(1:1)),COLUMN(JSetup!$C$4)))</f>
        <v>1212GHG</v>
      </c>
      <c r="B4" s="84" t="str">
        <f>IF(ISNA(VLOOKUP($A4,StockMaster,COLUMN(StockCode!$B$4),0))=TRUE,"",VLOOKUP($A4,StockMaster,COLUMN(StockCode!$B$4),0))</f>
        <v>Garden Shed</v>
      </c>
      <c r="C4" s="85" t="str">
        <f>IF(ISNA(VLOOKUP($A4,StockMaster,COLUMN(StockCode!$C$4),0))=TRUE,"",VLOOKUP($A4,StockMaster,COLUMN(StockCode!$C$4),0))</f>
        <v>Units</v>
      </c>
      <c r="D4" s="86" cm="1">
        <f t="array" ref="D4">IF(LEN($A4)&lt;=1,"",SUMIFS(JSRequired,JSJob,$D$1,JSCode,$A4))</f>
        <v>100</v>
      </c>
      <c r="E4" s="86" cm="1">
        <f t="array" ref="E4">IF(LEN($A4)&lt;=1,"",SUMIFS(JTQty,JTJob,$D$1,JTStockCode,$A4,JTType,"Receipt"))</f>
        <v>105</v>
      </c>
      <c r="F4" s="86">
        <f>IF(LEN($A4)&lt;=1,"",E4-D4)</f>
        <v>5</v>
      </c>
      <c r="G4" s="86">
        <f>IF(LEN($A4)&lt;=1,"",$H4*$E4)</f>
        <v>437295.52631578944</v>
      </c>
      <c r="H4" s="87">
        <f>IF(ISNA(VLOOKUP($A4,StockMaster,COLUMN(StockCode!$I$4),0))=TRUE,"",VLOOKUP($A4,StockMaster,COLUMN(StockCode!$I$4),0))</f>
        <v>4164.7192982456136</v>
      </c>
      <c r="I4" s="87" cm="1">
        <f t="array" aca="1" ref="I4" ca="1">IF(JSetup!$U$1="Single",IF(ISNUMBER(E4)=FALSE,"",IF(E4=0,0,-SUMIFS(JTValue,JTJob,$D$1,JTFGCode,$A4,JTType,"Issue")/E4)),"n/a")</f>
        <v>3747.7142857142858</v>
      </c>
      <c r="J4" s="88">
        <f ca="1">IF(JSetup!$U$1="Multiple","n/a",IF(ISNUMBER(E4)=FALSE,"",IF(E4=0,0,IF(H4=0,0,(H4-I4)/H4))))</f>
        <v>0.10012799967262884</v>
      </c>
      <c r="M4" s="89">
        <f>SUMIFS(JTValue,JTJob,$D$1,JTType,"Receipt")</f>
        <v>437295.52631578944</v>
      </c>
      <c r="N4" s="90">
        <f>-SUMIFS(JTValue,JTJob,$D$1,JTType,"Issue")</f>
        <v>393510</v>
      </c>
      <c r="O4" s="91">
        <f>M4-N4</f>
        <v>43785.526315789437</v>
      </c>
    </row>
    <row r="5" spans="1:17" s="44" customFormat="1" ht="16.149999999999999" customHeight="1" x14ac:dyDescent="0.25">
      <c r="A5" s="83" t="str">
        <f t="array" ref="A5">IF(ISERROR(INDEX(JSetup[],SMALL(IF(JSJob=$D$1,ROW(JSJob)-StockRef),ROW(2:2)),COLUMN(JSetup!$C$4)))=TRUE,"", INDEX(JSetup[],SMALL(IF(JSJob=$D$1,ROW(JSJob)-StockRef),ROW(2:2)),COLUMN(JSetup!$C$4)))</f>
        <v/>
      </c>
      <c r="B5" s="84" t="str">
        <f>IF(ISNA(VLOOKUP($A5,StockMaster,COLUMN(StockCode!$B$4),0))=TRUE,"",VLOOKUP($A5,StockMaster,COLUMN(StockCode!$B$4),0))</f>
        <v/>
      </c>
      <c r="C5" s="85" t="str">
        <f>IF(ISNA(VLOOKUP($A5,StockMaster,COLUMN(StockCode!$C$4),0))=TRUE,"",VLOOKUP($A5,StockMaster,COLUMN(StockCode!$C$4),0))</f>
        <v/>
      </c>
      <c r="D5" s="86" t="str" cm="1">
        <f t="array" ref="D5">IF(LEN($A5)&lt;=1,"",SUMIFS(JSRequired,JSJob,$D$1,JSCode,$A5))</f>
        <v/>
      </c>
      <c r="E5" s="86" t="str" cm="1">
        <f t="array" ref="E5">IF(LEN($A5)&lt;=1,"",SUMIFS(JTQty,JTJob,$D$1,JTStockCode,$A5,JTType,"Receipt"))</f>
        <v/>
      </c>
      <c r="F5" s="86" t="str">
        <f t="shared" ref="F5:F6" si="0">IF(LEN($A5)&lt;=1,"",E5-D5)</f>
        <v/>
      </c>
      <c r="G5" s="86" t="str">
        <f t="shared" ref="G5:G6" si="1">IF(LEN($A5)&lt;=1,"",$H5*$E5)</f>
        <v/>
      </c>
      <c r="H5" s="87" t="str">
        <f>IF(ISNA(VLOOKUP($A5,StockMaster,COLUMN(StockCode!$I$4),0))=TRUE,"",VLOOKUP($A5,StockMaster,COLUMN(StockCode!$I$4),0))</f>
        <v/>
      </c>
      <c r="I5" s="87" t="str">
        <f ca="1">IF(JSetup!$U$1="Single","","n/a")</f>
        <v/>
      </c>
      <c r="J5" s="88" t="str">
        <f ca="1">IF(JSetup!$U$1="Single","","n/a")</f>
        <v/>
      </c>
      <c r="M5" s="82" t="s">
        <v>131</v>
      </c>
      <c r="N5" s="82" t="s">
        <v>132</v>
      </c>
      <c r="O5" s="82" t="s">
        <v>135</v>
      </c>
    </row>
    <row r="6" spans="1:17" s="44" customFormat="1" ht="16.149999999999999" customHeight="1" x14ac:dyDescent="0.25">
      <c r="A6" s="92" t="str">
        <f t="array" ref="A6">IF(ISERROR(INDEX(JSetup[],SMALL(IF(JSJob=$D$1,ROW(JSJob)-StockRef),ROW(3:3)),COLUMN(JSetup!$C$4)))=TRUE,"", INDEX(JSetup[],SMALL(IF(JSJob=$D$1,ROW(JSJob)-StockRef),ROW(3:3)),COLUMN(JSetup!$C$4)))</f>
        <v/>
      </c>
      <c r="B6" s="93" t="str">
        <f>IF(ISNA(VLOOKUP($A6,StockMaster,COLUMN(StockCode!$B$4),0))=TRUE,"",VLOOKUP($A6,StockMaster,COLUMN(StockCode!$B$4),0))</f>
        <v/>
      </c>
      <c r="C6" s="94" t="str">
        <f>IF(ISNA(VLOOKUP($A6,StockMaster,COLUMN(StockCode!$C$4),0))=TRUE,"",VLOOKUP($A6,StockMaster,COLUMN(StockCode!$C$4),0))</f>
        <v/>
      </c>
      <c r="D6" s="95" t="str" cm="1">
        <f t="array" ref="D6">IF(LEN($A6)&lt;=1,"",SUMIFS(JSRequired,JSJob,$D$1,JSCode,$A6))</f>
        <v/>
      </c>
      <c r="E6" s="95" t="str" cm="1">
        <f t="array" ref="E6">IF(LEN($A6)&lt;=1,"",SUMIFS(JTQty,JTJob,$D$1,JTStockCode,$A6,JTType,"Receipt"))</f>
        <v/>
      </c>
      <c r="F6" s="95" t="str">
        <f t="shared" si="0"/>
        <v/>
      </c>
      <c r="G6" s="95" t="str">
        <f t="shared" si="1"/>
        <v/>
      </c>
      <c r="H6" s="96" t="str">
        <f>IF(ISNA(VLOOKUP($A6,StockMaster,COLUMN(StockCode!$I$4),0))=TRUE,"",VLOOKUP($A6,StockMaster,COLUMN(StockCode!$I$4),0))</f>
        <v/>
      </c>
      <c r="I6" s="96" t="str">
        <f ca="1">IF(JSetup!$U$1="Single","","n/a")</f>
        <v/>
      </c>
      <c r="J6" s="97" t="str">
        <f ca="1">IF(JSetup!$U$1="Single","","n/a")</f>
        <v/>
      </c>
      <c r="M6" s="98">
        <f ca="1">SUM(OFFSET($H$9,1,0,100,1))</f>
        <v>18785.526315789502</v>
      </c>
      <c r="N6" s="99">
        <f ca="1">SUM(OFFSET($L$9,1,0,100,1))</f>
        <v>25000</v>
      </c>
      <c r="O6" s="100" t="str">
        <f ca="1">IF(ROUND(O4-(M6+N6),0)=0,"ok","error!")</f>
        <v>ok</v>
      </c>
    </row>
    <row r="7" spans="1:17" s="44" customFormat="1" ht="16.149999999999999" customHeight="1" x14ac:dyDescent="0.25">
      <c r="A7" s="101" t="s">
        <v>30</v>
      </c>
      <c r="C7" s="40"/>
      <c r="D7" s="42"/>
      <c r="E7" s="75"/>
      <c r="F7" s="42"/>
      <c r="G7" s="42"/>
      <c r="H7" s="42"/>
      <c r="I7" s="42"/>
      <c r="J7" s="42"/>
      <c r="K7" s="42"/>
      <c r="L7" s="42"/>
    </row>
    <row r="8" spans="1:17" s="103" customFormat="1" ht="18" customHeight="1" x14ac:dyDescent="0.25">
      <c r="A8" s="102" t="s">
        <v>155</v>
      </c>
      <c r="C8" s="104"/>
      <c r="D8" s="105"/>
      <c r="E8" s="145" t="s">
        <v>117</v>
      </c>
      <c r="F8" s="146"/>
      <c r="G8" s="146"/>
      <c r="H8" s="147"/>
      <c r="I8" s="145" t="s">
        <v>123</v>
      </c>
      <c r="J8" s="146"/>
      <c r="K8" s="146"/>
      <c r="L8" s="147"/>
      <c r="M8" s="148" t="s">
        <v>137</v>
      </c>
      <c r="N8" s="149"/>
      <c r="O8" s="150"/>
    </row>
    <row r="9" spans="1:17" s="109" customFormat="1" ht="18" customHeight="1" x14ac:dyDescent="0.25">
      <c r="A9" s="106" t="s">
        <v>4</v>
      </c>
      <c r="B9" s="106" t="s">
        <v>5</v>
      </c>
      <c r="C9" s="107" t="s">
        <v>6</v>
      </c>
      <c r="D9" s="108" t="s">
        <v>105</v>
      </c>
      <c r="E9" s="108" t="s">
        <v>118</v>
      </c>
      <c r="F9" s="108" t="s">
        <v>119</v>
      </c>
      <c r="G9" s="108" t="s">
        <v>121</v>
      </c>
      <c r="H9" s="108" t="s">
        <v>122</v>
      </c>
      <c r="I9" s="108" t="s">
        <v>118</v>
      </c>
      <c r="J9" s="108" t="s">
        <v>119</v>
      </c>
      <c r="K9" s="108" t="s">
        <v>124</v>
      </c>
      <c r="L9" s="108" t="s">
        <v>122</v>
      </c>
      <c r="M9" s="108" t="s">
        <v>118</v>
      </c>
      <c r="N9" s="108" t="s">
        <v>119</v>
      </c>
      <c r="O9" s="108" t="s">
        <v>111</v>
      </c>
    </row>
    <row r="10" spans="1:17" ht="16.149999999999999" customHeight="1" x14ac:dyDescent="0.25">
      <c r="A10" s="62" t="str">
        <f t="array" ref="A10">IF(ISERROR(INDEX(StockMaster,SMALL(IF(StockJRStatus="Y",ROW(StockJRStatus)-StockRef),ROW(1:1)),COLUMN(StockCode!$A$4)))=TRUE,"", INDEX(StockMaster,SMALL(IF(StockJRStatus="Y",ROW(StockJRStatus)-StockRef),ROW(1:1)),COLUMN(StockCode!$A$4)))</f>
        <v>RM10</v>
      </c>
      <c r="B10" s="2" t="str">
        <f>IF(ISNA(VLOOKUP($A10,StockMaster,COLUMN(StockCode!$B$4),0))=TRUE,"",VLOOKUP($A10,StockMaster,COLUMN(StockCode!$B$4),0))</f>
        <v>Steel Plates</v>
      </c>
      <c r="C10" s="3" t="str">
        <f>IF(ISNA(VLOOKUP($A10,StockMaster,COLUMN(StockCode!$C$4),0))=TRUE,"",VLOOKUP($A10,StockMaster,COLUMN(StockCode!$C$4),0))</f>
        <v>M2</v>
      </c>
      <c r="D10" s="110">
        <f>IF(ISNA(VLOOKUP($A10,StockMaster,COLUMN(StockCode!$J$4),0))=TRUE,"",VLOOKUP($A10,StockMaster,COLUMN(StockCode!$J$4),0))</f>
        <v>1111.1111111111111</v>
      </c>
      <c r="E10" s="5">
        <f>IF(ISNA(VLOOKUP($A10,StockMaster,COLUMN(StockCode!$K$4),0))=TRUE,"",VLOOKUP($A10,StockMaster,COLUMN(StockCode!$K$4),0))</f>
        <v>1166.6666666666667</v>
      </c>
      <c r="F10" s="5" cm="1">
        <f t="array" ref="F10">IF(LEN($A10)&lt;=1,"",-SUMIFS(JTQty,JTJob,$D$1,JTStockCode,$A10,JTType,"Issue"))</f>
        <v>1200</v>
      </c>
      <c r="G10" s="111">
        <f>IF(LEN($A10)&lt;=1,"",E10-F10)</f>
        <v>-33.333333333333258</v>
      </c>
      <c r="H10" s="111">
        <f t="shared" ref="H10" si="2">IF(LEN($A10)&lt;=1,"",G10*I10)</f>
        <v>-4666.6666666666561</v>
      </c>
      <c r="I10" s="4">
        <f>IF(LEN($A10)&lt;=1,"",IF(ISNA(VLOOKUP($A10,StockMaster,COLUMN(StockCode!$I$4),0))=TRUE,0,VLOOKUP($A10,StockMaster,COLUMN(StockCode!$I$4),0)))</f>
        <v>140</v>
      </c>
      <c r="J10" s="4" cm="1">
        <f t="array" ref="J10">IF(LEN($A10)&lt;=1,"",IF(F10=0,0,-SUMIFS(JTValue,JTJob,$D$1,JTStockCode,$A10,JTType,"Issue")/F10))</f>
        <v>140</v>
      </c>
      <c r="K10" s="111">
        <f>IF(LEN($A10)&lt;=1,"",I10-J10)</f>
        <v>0</v>
      </c>
      <c r="L10" s="111">
        <f>IF(LEN($A10)&lt;=1,"",K10*F10)</f>
        <v>0</v>
      </c>
      <c r="M10" s="111">
        <f t="shared" ref="M10:M39" si="3">IF(LEN($A10)&lt;=1,"",E10*I10)</f>
        <v>163333.33333333334</v>
      </c>
      <c r="N10" s="111">
        <f t="shared" ref="N10:N39" si="4">IF(LEN($A10)&lt;=1,"",F10*J10)</f>
        <v>168000</v>
      </c>
      <c r="O10" s="111">
        <f>IF(LEN($A10)&lt;=1,"",M10-N10)</f>
        <v>-4666.666666666657</v>
      </c>
      <c r="Q10" s="112"/>
    </row>
    <row r="11" spans="1:17" ht="16.149999999999999" customHeight="1" x14ac:dyDescent="0.25">
      <c r="A11" s="62" t="str">
        <f t="array" ref="A11">IF(ISERROR(INDEX(StockMaster,SMALL(IF(StockJRStatus="Y",ROW(StockJRStatus)-StockRef),ROW(2:2)),COLUMN(StockCode!$A$4)))=TRUE,"", INDEX(StockMaster,SMALL(IF(StockJRStatus="Y",ROW(StockJRStatus)-StockRef),ROW(2:2)),COLUMN(StockCode!$A$4)))</f>
        <v>RM25</v>
      </c>
      <c r="B11" s="2" t="str">
        <f>IF(ISNA(VLOOKUP($A11,StockMaster,COLUMN(StockCode!$B$4),0))=TRUE,"",VLOOKUP($A11,StockMaster,COLUMN(StockCode!$B$4),0))</f>
        <v>Door Handle</v>
      </c>
      <c r="C11" s="3" t="str">
        <f>IF(ISNA(VLOOKUP($A11,StockMaster,COLUMN(StockCode!$C$4),0))=TRUE,"",VLOOKUP($A11,StockMaster,COLUMN(StockCode!$C$4),0))</f>
        <v>Units</v>
      </c>
      <c r="D11" s="110">
        <f>IF(ISNA(VLOOKUP($A11,StockMaster,COLUMN(StockCode!$J$4),0))=TRUE,"",VLOOKUP($A11,StockMaster,COLUMN(StockCode!$J$4),0))</f>
        <v>100</v>
      </c>
      <c r="E11" s="5">
        <f>IF(ISNA(VLOOKUP($A11,StockMaster,COLUMN(StockCode!$K$4),0))=TRUE,"",VLOOKUP($A11,StockMaster,COLUMN(StockCode!$K$4),0))</f>
        <v>105</v>
      </c>
      <c r="F11" s="5" cm="1">
        <f t="array" ref="F11">IF(LEN($A11)&lt;=1,"",-SUMIFS(JTQty,JTJob,$D$1,JTStockCode,$A11,JTType,"Issue"))</f>
        <v>107</v>
      </c>
      <c r="G11" s="111">
        <f t="shared" ref="G11:G39" si="5">IF(LEN($A11)&lt;=1,"",E11-F11)</f>
        <v>-2</v>
      </c>
      <c r="H11" s="111">
        <f t="shared" ref="H11:H39" si="6">IF(LEN($A11)&lt;=1,"",G11*I11)</f>
        <v>-300</v>
      </c>
      <c r="I11" s="4">
        <f>IF(LEN($A11)&lt;=1,"",IF(ISNA(VLOOKUP($A11,StockMaster,COLUMN(StockCode!$I$4),0))=TRUE,0,VLOOKUP($A11,StockMaster,COLUMN(StockCode!$I$4),0)))</f>
        <v>150</v>
      </c>
      <c r="J11" s="4" cm="1">
        <f t="array" ref="J11">IF(LEN($A11)&lt;=1,"",IF(F11=0,0,-SUMIFS(JTValue,JTJob,$D$1,JTStockCode,$A11,JTType,"Issue")/F11))</f>
        <v>150</v>
      </c>
      <c r="K11" s="111">
        <f t="shared" ref="K11:K39" si="7">IF(LEN($A11)&lt;=1,"",I11-J11)</f>
        <v>0</v>
      </c>
      <c r="L11" s="111">
        <f t="shared" ref="L11:L39" si="8">IF(LEN($A11)&lt;=1,"",K11*F11)</f>
        <v>0</v>
      </c>
      <c r="M11" s="111">
        <f t="shared" si="3"/>
        <v>15750</v>
      </c>
      <c r="N11" s="111">
        <f t="shared" si="4"/>
        <v>16050</v>
      </c>
      <c r="O11" s="111">
        <f t="shared" ref="O11:O39" si="9">IF(LEN($A11)&lt;=1,"",M11-N11)</f>
        <v>-300</v>
      </c>
      <c r="Q11" s="112"/>
    </row>
    <row r="12" spans="1:17" ht="16.149999999999999" customHeight="1" x14ac:dyDescent="0.25">
      <c r="A12" s="62" t="str">
        <f t="array" ref="A12">IF(ISERROR(INDEX(StockMaster,SMALL(IF(StockJRStatus="Y",ROW(StockJRStatus)-StockRef),ROW(3:3)),COLUMN(StockCode!$A$4)))=TRUE,"", INDEX(StockMaster,SMALL(IF(StockJRStatus="Y",ROW(StockJRStatus)-StockRef),ROW(3:3)),COLUMN(StockCode!$A$4)))</f>
        <v>RM30</v>
      </c>
      <c r="B12" s="2" t="str">
        <f>IF(ISNA(VLOOKUP($A12,StockMaster,COLUMN(StockCode!$B$4),0))=TRUE,"",VLOOKUP($A12,StockMaster,COLUMN(StockCode!$B$4),0))</f>
        <v>Wood</v>
      </c>
      <c r="C12" s="3" t="str">
        <f>IF(ISNA(VLOOKUP($A12,StockMaster,COLUMN(StockCode!$C$4),0))=TRUE,"",VLOOKUP($A12,StockMaster,COLUMN(StockCode!$C$4),0))</f>
        <v>M2</v>
      </c>
      <c r="D12" s="110">
        <f>IF(ISNA(VLOOKUP($A12,StockMaster,COLUMN(StockCode!$J$4),0))=TRUE,"",VLOOKUP($A12,StockMaster,COLUMN(StockCode!$J$4),0))</f>
        <v>1485.3801169590643</v>
      </c>
      <c r="E12" s="5">
        <f>IF(ISNA(VLOOKUP($A12,StockMaster,COLUMN(StockCode!$K$4),0))=TRUE,"",VLOOKUP($A12,StockMaster,COLUMN(StockCode!$K$4),0))</f>
        <v>1559.6491228070176</v>
      </c>
      <c r="F12" s="5" cm="1">
        <f t="array" ref="F12">IF(LEN($A12)&lt;=1,"",-SUMIFS(JTQty,JTJob,$D$1,JTStockCode,$A12,JTType,"Issue"))</f>
        <v>1500</v>
      </c>
      <c r="G12" s="111">
        <f t="shared" si="5"/>
        <v>59.649122807017648</v>
      </c>
      <c r="H12" s="111">
        <f t="shared" si="6"/>
        <v>7157.8947368421177</v>
      </c>
      <c r="I12" s="4">
        <f>IF(LEN($A12)&lt;=1,"",IF(ISNA(VLOOKUP($A12,StockMaster,COLUMN(StockCode!$I$4),0))=TRUE,0,VLOOKUP($A12,StockMaster,COLUMN(StockCode!$I$4),0)))</f>
        <v>120</v>
      </c>
      <c r="J12" s="4" cm="1">
        <f t="array" ref="J12">IF(LEN($A12)&lt;=1,"",IF(F12=0,0,-SUMIFS(JTValue,JTJob,$D$1,JTStockCode,$A12,JTType,"Issue")/F12))</f>
        <v>100</v>
      </c>
      <c r="K12" s="111">
        <f t="shared" si="7"/>
        <v>20</v>
      </c>
      <c r="L12" s="111">
        <f t="shared" si="8"/>
        <v>30000</v>
      </c>
      <c r="M12" s="111">
        <f t="shared" si="3"/>
        <v>187157.89473684211</v>
      </c>
      <c r="N12" s="111">
        <f t="shared" si="4"/>
        <v>150000</v>
      </c>
      <c r="O12" s="111">
        <f t="shared" si="9"/>
        <v>37157.894736842107</v>
      </c>
      <c r="Q12" s="112"/>
    </row>
    <row r="13" spans="1:17" ht="16.149999999999999" customHeight="1" x14ac:dyDescent="0.25">
      <c r="A13" s="62" t="str">
        <f t="array" ref="A13">IF(ISERROR(INDEX(StockMaster,SMALL(IF(StockJRStatus="Y",ROW(StockJRStatus)-StockRef),ROW(4:4)),COLUMN(StockCode!$A$4)))=TRUE,"", INDEX(StockMaster,SMALL(IF(StockJRStatus="Y",ROW(StockJRStatus)-StockRef),ROW(4:4)),COLUMN(StockCode!$A$4)))</f>
        <v>RM50</v>
      </c>
      <c r="B13" s="2" t="str">
        <f>IF(ISNA(VLOOKUP($A13,StockMaster,COLUMN(StockCode!$B$4),0))=TRUE,"",VLOOKUP($A13,StockMaster,COLUMN(StockCode!$B$4),0))</f>
        <v>1 Inch Screws</v>
      </c>
      <c r="C13" s="3" t="str">
        <f>IF(ISNA(VLOOKUP($A13,StockMaster,COLUMN(StockCode!$C$4),0))=TRUE,"",VLOOKUP($A13,StockMaster,COLUMN(StockCode!$C$4),0))</f>
        <v>Bag</v>
      </c>
      <c r="D13" s="110">
        <f>IF(ISNA(VLOOKUP($A13,StockMaster,COLUMN(StockCode!$J$4),0))=TRUE,"",VLOOKUP($A13,StockMaster,COLUMN(StockCode!$J$4),0))</f>
        <v>11.111111111111111</v>
      </c>
      <c r="E13" s="5">
        <f>IF(ISNA(VLOOKUP($A13,StockMaster,COLUMN(StockCode!$K$4),0))=TRUE,"",VLOOKUP($A13,StockMaster,COLUMN(StockCode!$K$4),0))</f>
        <v>11.666666666666666</v>
      </c>
      <c r="F13" s="5" cm="1">
        <f t="array" ref="F13">IF(LEN($A13)&lt;=1,"",-SUMIFS(JTQty,JTJob,$D$1,JTStockCode,$A13,JTType,"Issue"))</f>
        <v>12</v>
      </c>
      <c r="G13" s="111">
        <f t="shared" si="5"/>
        <v>-0.33333333333333393</v>
      </c>
      <c r="H13" s="111">
        <f t="shared" si="6"/>
        <v>-10.000000000000018</v>
      </c>
      <c r="I13" s="4">
        <f>IF(LEN($A13)&lt;=1,"",IF(ISNA(VLOOKUP($A13,StockMaster,COLUMN(StockCode!$I$4),0))=TRUE,0,VLOOKUP($A13,StockMaster,COLUMN(StockCode!$I$4),0)))</f>
        <v>30</v>
      </c>
      <c r="J13" s="4" cm="1">
        <f t="array" ref="J13">IF(LEN($A13)&lt;=1,"",IF(F13=0,0,-SUMIFS(JTValue,JTJob,$D$1,JTStockCode,$A13,JTType,"Issue")/F13))</f>
        <v>30</v>
      </c>
      <c r="K13" s="111">
        <f t="shared" si="7"/>
        <v>0</v>
      </c>
      <c r="L13" s="111">
        <f t="shared" si="8"/>
        <v>0</v>
      </c>
      <c r="M13" s="111">
        <f t="shared" si="3"/>
        <v>350</v>
      </c>
      <c r="N13" s="111">
        <f t="shared" si="4"/>
        <v>360</v>
      </c>
      <c r="O13" s="111">
        <f t="shared" si="9"/>
        <v>-10</v>
      </c>
      <c r="Q13" s="112"/>
    </row>
    <row r="14" spans="1:17" ht="16.149999999999999" customHeight="1" x14ac:dyDescent="0.25">
      <c r="A14" s="62" t="str">
        <f t="array" ref="A14">IF(ISERROR(INDEX(StockMaster,SMALL(IF(StockJRStatus="Y",ROW(StockJRStatus)-StockRef),ROW(5:5)),COLUMN(StockCode!$A$4)))=TRUE,"", INDEX(StockMaster,SMALL(IF(StockJRStatus="Y",ROW(StockJRStatus)-StockRef),ROW(5:5)),COLUMN(StockCode!$A$4)))</f>
        <v>RM55</v>
      </c>
      <c r="B14" s="2" t="str">
        <f>IF(ISNA(VLOOKUP($A14,StockMaster,COLUMN(StockCode!$B$4),0))=TRUE,"",VLOOKUP($A14,StockMaster,COLUMN(StockCode!$B$4),0))</f>
        <v>2 Inch Screws</v>
      </c>
      <c r="C14" s="3" t="str">
        <f>IF(ISNA(VLOOKUP($A14,StockMaster,COLUMN(StockCode!$C$4),0))=TRUE,"",VLOOKUP($A14,StockMaster,COLUMN(StockCode!$C$4),0))</f>
        <v>Bag</v>
      </c>
      <c r="D14" s="110">
        <f>IF(ISNA(VLOOKUP($A14,StockMaster,COLUMN(StockCode!$J$4),0))=TRUE,"",VLOOKUP($A14,StockMaster,COLUMN(StockCode!$J$4),0))</f>
        <v>346.40522875816998</v>
      </c>
      <c r="E14" s="5">
        <f>IF(ISNA(VLOOKUP($A14,StockMaster,COLUMN(StockCode!$K$4),0))=TRUE,"",VLOOKUP($A14,StockMaster,COLUMN(StockCode!$K$4),0))</f>
        <v>363.72549019607845</v>
      </c>
      <c r="F14" s="5" cm="1">
        <f t="array" ref="F14">IF(LEN($A14)&lt;=1,"",-SUMIFS(JTQty,JTJob,$D$1,JTStockCode,$A14,JTType,"Issue"))</f>
        <v>350</v>
      </c>
      <c r="G14" s="111">
        <f t="shared" si="5"/>
        <v>13.725490196078454</v>
      </c>
      <c r="H14" s="111">
        <f t="shared" si="6"/>
        <v>686.27450980392268</v>
      </c>
      <c r="I14" s="4">
        <f>IF(LEN($A14)&lt;=1,"",IF(ISNA(VLOOKUP($A14,StockMaster,COLUMN(StockCode!$I$4),0))=TRUE,0,VLOOKUP($A14,StockMaster,COLUMN(StockCode!$I$4),0)))</f>
        <v>50</v>
      </c>
      <c r="J14" s="4" cm="1">
        <f t="array" ref="J14">IF(LEN($A14)&lt;=1,"",IF(F14=0,0,-SUMIFS(JTValue,JTJob,$D$1,JTStockCode,$A14,JTType,"Issue")/F14))</f>
        <v>50</v>
      </c>
      <c r="K14" s="111">
        <f t="shared" si="7"/>
        <v>0</v>
      </c>
      <c r="L14" s="111">
        <f t="shared" si="8"/>
        <v>0</v>
      </c>
      <c r="M14" s="111">
        <f t="shared" si="3"/>
        <v>18186.274509803923</v>
      </c>
      <c r="N14" s="111">
        <f t="shared" si="4"/>
        <v>17500</v>
      </c>
      <c r="O14" s="111">
        <f t="shared" si="9"/>
        <v>686.27450980392314</v>
      </c>
      <c r="Q14" s="112"/>
    </row>
    <row r="15" spans="1:17" ht="16.149999999999999" customHeight="1" x14ac:dyDescent="0.25">
      <c r="A15" s="62" t="str">
        <f t="array" ref="A15">IF(ISERROR(INDEX(StockMaster,SMALL(IF(StockJRStatus="Y",ROW(StockJRStatus)-StockRef),ROW(6:6)),COLUMN(StockCode!$A$4)))=TRUE,"", INDEX(StockMaster,SMALL(IF(StockJRStatus="Y",ROW(StockJRStatus)-StockRef),ROW(6:6)),COLUMN(StockCode!$A$4)))</f>
        <v>RM60</v>
      </c>
      <c r="B15" s="2" t="str">
        <f>IF(ISNA(VLOOKUP($A15,StockMaster,COLUMN(StockCode!$B$4),0))=TRUE,"",VLOOKUP($A15,StockMaster,COLUMN(StockCode!$B$4),0))</f>
        <v>Glass</v>
      </c>
      <c r="C15" s="3" t="str">
        <f>IF(ISNA(VLOOKUP($A15,StockMaster,COLUMN(StockCode!$C$4),0))=TRUE,"",VLOOKUP($A15,StockMaster,COLUMN(StockCode!$C$4),0))</f>
        <v>M2</v>
      </c>
      <c r="D15" s="110">
        <f>IF(ISNA(VLOOKUP($A15,StockMaster,COLUMN(StockCode!$J$4),0))=TRUE,"",VLOOKUP($A15,StockMaster,COLUMN(StockCode!$J$4),0))</f>
        <v>247.67801857585141</v>
      </c>
      <c r="E15" s="5">
        <f>IF(ISNA(VLOOKUP($A15,StockMaster,COLUMN(StockCode!$K$4),0))=TRUE,"",VLOOKUP($A15,StockMaster,COLUMN(StockCode!$K$4),0))</f>
        <v>260.06191950464398</v>
      </c>
      <c r="F15" s="5" cm="1">
        <f t="array" ref="F15">IF(LEN($A15)&lt;=1,"",-SUMIFS(JTQty,JTJob,$D$1,JTStockCode,$A15,JTType,"Issue"))</f>
        <v>250</v>
      </c>
      <c r="G15" s="111">
        <f t="shared" si="5"/>
        <v>10.061919504643981</v>
      </c>
      <c r="H15" s="111">
        <f t="shared" si="6"/>
        <v>804.95356037151851</v>
      </c>
      <c r="I15" s="4">
        <f>IF(LEN($A15)&lt;=1,"",IF(ISNA(VLOOKUP($A15,StockMaster,COLUMN(StockCode!$I$4),0))=TRUE,0,VLOOKUP($A15,StockMaster,COLUMN(StockCode!$I$4),0)))</f>
        <v>80</v>
      </c>
      <c r="J15" s="4" cm="1">
        <f t="array" ref="J15">IF(LEN($A15)&lt;=1,"",IF(F15=0,0,-SUMIFS(JTValue,JTJob,$D$1,JTStockCode,$A15,JTType,"Issue")/F15))</f>
        <v>100</v>
      </c>
      <c r="K15" s="111">
        <f t="shared" si="7"/>
        <v>-20</v>
      </c>
      <c r="L15" s="111">
        <f t="shared" si="8"/>
        <v>-5000</v>
      </c>
      <c r="M15" s="111">
        <f t="shared" si="3"/>
        <v>20804.953560371519</v>
      </c>
      <c r="N15" s="111">
        <f t="shared" si="4"/>
        <v>25000</v>
      </c>
      <c r="O15" s="111">
        <f t="shared" si="9"/>
        <v>-4195.0464396284806</v>
      </c>
      <c r="Q15" s="112"/>
    </row>
    <row r="16" spans="1:17" ht="16.149999999999999" customHeight="1" x14ac:dyDescent="0.25">
      <c r="A16" s="62" t="str">
        <f t="array" ref="A16">IF(ISERROR(INDEX(StockMaster,SMALL(IF(StockJRStatus="Y",ROW(StockJRStatus)-StockRef),ROW(7:7)),COLUMN(StockCode!$A$4)))=TRUE,"", INDEX(StockMaster,SMALL(IF(StockJRStatus="Y",ROW(StockJRStatus)-StockRef),ROW(7:7)),COLUMN(StockCode!$A$4)))</f>
        <v>RM70</v>
      </c>
      <c r="B16" s="2" t="str">
        <f>IF(ISNA(VLOOKUP($A16,StockMaster,COLUMN(StockCode!$B$4),0))=TRUE,"",VLOOKUP($A16,StockMaster,COLUMN(StockCode!$B$4),0))</f>
        <v>Filler</v>
      </c>
      <c r="C16" s="3" t="str">
        <f>IF(ISNA(VLOOKUP($A16,StockMaster,COLUMN(StockCode!$C$4),0))=TRUE,"",VLOOKUP($A16,StockMaster,COLUMN(StockCode!$C$4),0))</f>
        <v>Bag</v>
      </c>
      <c r="D16" s="110">
        <f>IF(ISNA(VLOOKUP($A16,StockMaster,COLUMN(StockCode!$J$4),0))=TRUE,"",VLOOKUP($A16,StockMaster,COLUMN(StockCode!$J$4),0))</f>
        <v>116.95906432748538</v>
      </c>
      <c r="E16" s="5">
        <f>IF(ISNA(VLOOKUP($A16,StockMaster,COLUMN(StockCode!$K$4),0))=TRUE,"",VLOOKUP($A16,StockMaster,COLUMN(StockCode!$K$4),0))</f>
        <v>122.80701754385964</v>
      </c>
      <c r="F16" s="5" cm="1">
        <f t="array" ref="F16">IF(LEN($A16)&lt;=1,"",-SUMIFS(JTQty,JTJob,$D$1,JTStockCode,$A16,JTType,"Issue"))</f>
        <v>120</v>
      </c>
      <c r="G16" s="111">
        <f t="shared" si="5"/>
        <v>2.8070175438596436</v>
      </c>
      <c r="H16" s="111">
        <f t="shared" si="6"/>
        <v>168.42105263157862</v>
      </c>
      <c r="I16" s="4">
        <f>IF(LEN($A16)&lt;=1,"",IF(ISNA(VLOOKUP($A16,StockMaster,COLUMN(StockCode!$I$4),0))=TRUE,0,VLOOKUP($A16,StockMaster,COLUMN(StockCode!$I$4),0)))</f>
        <v>60</v>
      </c>
      <c r="J16" s="4" cm="1">
        <f t="array" ref="J16">IF(LEN($A16)&lt;=1,"",IF(F16=0,0,-SUMIFS(JTValue,JTJob,$D$1,JTStockCode,$A16,JTType,"Issue")/F16))</f>
        <v>60</v>
      </c>
      <c r="K16" s="111">
        <f t="shared" si="7"/>
        <v>0</v>
      </c>
      <c r="L16" s="111">
        <f t="shared" si="8"/>
        <v>0</v>
      </c>
      <c r="M16" s="111">
        <f t="shared" si="3"/>
        <v>7368.4210526315783</v>
      </c>
      <c r="N16" s="111">
        <f t="shared" si="4"/>
        <v>7200</v>
      </c>
      <c r="O16" s="111">
        <f t="shared" si="9"/>
        <v>168.42105263157828</v>
      </c>
      <c r="Q16" s="112"/>
    </row>
    <row r="17" spans="1:17" ht="16.149999999999999" customHeight="1" x14ac:dyDescent="0.25">
      <c r="A17" s="62" t="str">
        <f t="array" ref="A17">IF(ISERROR(INDEX(StockMaster,SMALL(IF(StockJRStatus="Y",ROW(StockJRStatus)-StockRef),ROW(8:8)),COLUMN(StockCode!$A$4)))=TRUE,"", INDEX(StockMaster,SMALL(IF(StockJRStatus="Y",ROW(StockJRStatus)-StockRef),ROW(8:8)),COLUMN(StockCode!$A$4)))</f>
        <v>RM75</v>
      </c>
      <c r="B17" s="2" t="str">
        <f>IF(ISNA(VLOOKUP($A17,StockMaster,COLUMN(StockCode!$B$4),0))=TRUE,"",VLOOKUP($A17,StockMaster,COLUMN(StockCode!$B$4),0))</f>
        <v>Swivel</v>
      </c>
      <c r="C17" s="3" t="str">
        <f>IF(ISNA(VLOOKUP($A17,StockMaster,COLUMN(StockCode!$C$4),0))=TRUE,"",VLOOKUP($A17,StockMaster,COLUMN(StockCode!$C$4),0))</f>
        <v>Units</v>
      </c>
      <c r="D17" s="110">
        <f>IF(ISNA(VLOOKUP($A17,StockMaster,COLUMN(StockCode!$J$4),0))=TRUE,"",VLOOKUP($A17,StockMaster,COLUMN(StockCode!$J$4),0))</f>
        <v>200</v>
      </c>
      <c r="E17" s="5">
        <f>IF(ISNA(VLOOKUP($A17,StockMaster,COLUMN(StockCode!$K$4),0))=TRUE,"",VLOOKUP($A17,StockMaster,COLUMN(StockCode!$K$4),0))</f>
        <v>210</v>
      </c>
      <c r="F17" s="5" cm="1">
        <f t="array" ref="F17">IF(LEN($A17)&lt;=1,"",-SUMIFS(JTQty,JTJob,$D$1,JTStockCode,$A17,JTType,"Issue"))</f>
        <v>200</v>
      </c>
      <c r="G17" s="111">
        <f t="shared" si="5"/>
        <v>10</v>
      </c>
      <c r="H17" s="111">
        <f t="shared" si="6"/>
        <v>35</v>
      </c>
      <c r="I17" s="4">
        <f>IF(LEN($A17)&lt;=1,"",IF(ISNA(VLOOKUP($A17,StockMaster,COLUMN(StockCode!$I$4),0))=TRUE,0,VLOOKUP($A17,StockMaster,COLUMN(StockCode!$I$4),0)))</f>
        <v>3.5</v>
      </c>
      <c r="J17" s="4" cm="1">
        <f t="array" ref="J17">IF(LEN($A17)&lt;=1,"",IF(F17=0,0,-SUMIFS(JTValue,JTJob,$D$1,JTStockCode,$A17,JTType,"Issue")/F17))</f>
        <v>3.5</v>
      </c>
      <c r="K17" s="111">
        <f t="shared" si="7"/>
        <v>0</v>
      </c>
      <c r="L17" s="111">
        <f t="shared" si="8"/>
        <v>0</v>
      </c>
      <c r="M17" s="111">
        <f t="shared" si="3"/>
        <v>735</v>
      </c>
      <c r="N17" s="111">
        <f t="shared" si="4"/>
        <v>700</v>
      </c>
      <c r="O17" s="111">
        <f t="shared" si="9"/>
        <v>35</v>
      </c>
      <c r="Q17" s="112"/>
    </row>
    <row r="18" spans="1:17" ht="16.149999999999999" customHeight="1" x14ac:dyDescent="0.25">
      <c r="A18" s="62" t="str">
        <f t="array" ref="A18">IF(ISERROR(INDEX(StockMaster,SMALL(IF(StockJRStatus="Y",ROW(StockJRStatus)-StockRef),ROW(9:9)),COLUMN(StockCode!$A$4)))=TRUE,"", INDEX(StockMaster,SMALL(IF(StockJRStatus="Y",ROW(StockJRStatus)-StockRef),ROW(9:9)),COLUMN(StockCode!$A$4)))</f>
        <v>LB10</v>
      </c>
      <c r="B18" s="2" t="str">
        <f>IF(ISNA(VLOOKUP($A18,StockMaster,COLUMN(StockCode!$B$4),0))=TRUE,"",VLOOKUP($A18,StockMaster,COLUMN(StockCode!$B$4),0))</f>
        <v>Labour - Grade 1</v>
      </c>
      <c r="C18" s="3" t="str">
        <f>IF(ISNA(VLOOKUP($A18,StockMaster,COLUMN(StockCode!$C$4),0))=TRUE,"",VLOOKUP($A18,StockMaster,COLUMN(StockCode!$C$4),0))</f>
        <v>Hours</v>
      </c>
      <c r="D18" s="110">
        <f>IF(ISNA(VLOOKUP($A18,StockMaster,COLUMN(StockCode!$J$4),0))=TRUE,"",VLOOKUP($A18,StockMaster,COLUMN(StockCode!$J$4),0))</f>
        <v>974.26900584795328</v>
      </c>
      <c r="E18" s="5">
        <f>IF(ISNA(VLOOKUP($A18,StockMaster,COLUMN(StockCode!$K$4),0))=TRUE,"",VLOOKUP($A18,StockMaster,COLUMN(StockCode!$K$4),0))</f>
        <v>1022.9824561403509</v>
      </c>
      <c r="F18" s="5" cm="1">
        <f t="array" ref="F18">IF(LEN($A18)&lt;=1,"",-SUMIFS(JTQty,JTJob,$D$1,JTStockCode,$A18,JTType,"Issue"))</f>
        <v>300</v>
      </c>
      <c r="G18" s="111">
        <f t="shared" si="5"/>
        <v>722.98245614035091</v>
      </c>
      <c r="H18" s="111">
        <f t="shared" si="6"/>
        <v>14459.649122807019</v>
      </c>
      <c r="I18" s="4">
        <f>IF(LEN($A18)&lt;=1,"",IF(ISNA(VLOOKUP($A18,StockMaster,COLUMN(StockCode!$I$4),0))=TRUE,0,VLOOKUP($A18,StockMaster,COLUMN(StockCode!$I$4),0)))</f>
        <v>20</v>
      </c>
      <c r="J18" s="4" cm="1">
        <f t="array" ref="J18">IF(LEN($A18)&lt;=1,"",IF(F18=0,0,-SUMIFS(JTValue,JTJob,$D$1,JTStockCode,$A18,JTType,"Issue")/F18))</f>
        <v>20</v>
      </c>
      <c r="K18" s="111">
        <f t="shared" si="7"/>
        <v>0</v>
      </c>
      <c r="L18" s="111">
        <f t="shared" si="8"/>
        <v>0</v>
      </c>
      <c r="M18" s="111">
        <f t="shared" si="3"/>
        <v>20459.649122807019</v>
      </c>
      <c r="N18" s="111">
        <f t="shared" si="4"/>
        <v>6000</v>
      </c>
      <c r="O18" s="111">
        <f t="shared" si="9"/>
        <v>14459.649122807019</v>
      </c>
      <c r="Q18" s="112"/>
    </row>
    <row r="19" spans="1:17" ht="16.149999999999999" customHeight="1" x14ac:dyDescent="0.25">
      <c r="A19" s="62" t="str">
        <f t="array" ref="A19">IF(ISERROR(INDEX(StockMaster,SMALL(IF(StockJRStatus="Y",ROW(StockJRStatus)-StockRef),ROW(10:10)),COLUMN(StockCode!$A$4)))=TRUE,"", INDEX(StockMaster,SMALL(IF(StockJRStatus="Y",ROW(StockJRStatus)-StockRef),ROW(10:10)),COLUMN(StockCode!$A$4)))</f>
        <v>LB15</v>
      </c>
      <c r="B19" s="2" t="str">
        <f>IF(ISNA(VLOOKUP($A19,StockMaster,COLUMN(StockCode!$B$4),0))=TRUE,"",VLOOKUP($A19,StockMaster,COLUMN(StockCode!$B$4),0))</f>
        <v>Labour - Grade 2</v>
      </c>
      <c r="C19" s="3" t="str">
        <f>IF(ISNA(VLOOKUP($A19,StockMaster,COLUMN(StockCode!$C$4),0))=TRUE,"",VLOOKUP($A19,StockMaster,COLUMN(StockCode!$C$4),0))</f>
        <v>Hours</v>
      </c>
      <c r="D19" s="110">
        <f>IF(ISNA(VLOOKUP($A19,StockMaster,COLUMN(StockCode!$J$4),0))=TRUE,"",VLOOKUP($A19,StockMaster,COLUMN(StockCode!$J$4),0))</f>
        <v>100</v>
      </c>
      <c r="E19" s="5">
        <f>IF(ISNA(VLOOKUP($A19,StockMaster,COLUMN(StockCode!$K$4),0))=TRUE,"",VLOOKUP($A19,StockMaster,COLUMN(StockCode!$K$4),0))</f>
        <v>105</v>
      </c>
      <c r="F19" s="5" cm="1">
        <f t="array" ref="F19">IF(LEN($A19)&lt;=1,"",-SUMIFS(JTQty,JTJob,$D$1,JTStockCode,$A19,JTType,"Issue"))</f>
        <v>90</v>
      </c>
      <c r="G19" s="111">
        <f t="shared" si="5"/>
        <v>15</v>
      </c>
      <c r="H19" s="111">
        <f t="shared" si="6"/>
        <v>450</v>
      </c>
      <c r="I19" s="4">
        <f>IF(LEN($A19)&lt;=1,"",IF(ISNA(VLOOKUP($A19,StockMaster,COLUMN(StockCode!$I$4),0))=TRUE,0,VLOOKUP($A19,StockMaster,COLUMN(StockCode!$I$4),0)))</f>
        <v>30</v>
      </c>
      <c r="J19" s="4" cm="1">
        <f t="array" ref="J19">IF(LEN($A19)&lt;=1,"",IF(F19=0,0,-SUMIFS(JTValue,JTJob,$D$1,JTStockCode,$A19,JTType,"Issue")/F19))</f>
        <v>30</v>
      </c>
      <c r="K19" s="111">
        <f t="shared" si="7"/>
        <v>0</v>
      </c>
      <c r="L19" s="111">
        <f t="shared" si="8"/>
        <v>0</v>
      </c>
      <c r="M19" s="111">
        <f t="shared" si="3"/>
        <v>3150</v>
      </c>
      <c r="N19" s="111">
        <f t="shared" si="4"/>
        <v>2700</v>
      </c>
      <c r="O19" s="111">
        <f t="shared" si="9"/>
        <v>450</v>
      </c>
      <c r="Q19" s="112"/>
    </row>
    <row r="20" spans="1:17" ht="16.149999999999999" customHeight="1" x14ac:dyDescent="0.25">
      <c r="A20" s="62" t="str">
        <f t="array" ref="A20">IF(ISERROR(INDEX(StockMaster,SMALL(IF(StockJRStatus="Y",ROW(StockJRStatus)-StockRef),ROW(11:11)),COLUMN(StockCode!$A$4)))=TRUE,"", INDEX(StockMaster,SMALL(IF(StockJRStatus="Y",ROW(StockJRStatus)-StockRef),ROW(11:11)),COLUMN(StockCode!$A$4)))</f>
        <v/>
      </c>
      <c r="B20" s="2" t="str">
        <f>IF(ISNA(VLOOKUP($A20,StockMaster,COLUMN(StockCode!$B$4),0))=TRUE,"",VLOOKUP($A20,StockMaster,COLUMN(StockCode!$B$4),0))</f>
        <v/>
      </c>
      <c r="C20" s="3" t="str">
        <f>IF(ISNA(VLOOKUP($A20,StockMaster,COLUMN(StockCode!$C$4),0))=TRUE,"",VLOOKUP($A20,StockMaster,COLUMN(StockCode!$C$4),0))</f>
        <v/>
      </c>
      <c r="D20" s="110" t="str">
        <f>IF(ISNA(VLOOKUP($A20,StockMaster,COLUMN(StockCode!$J$4),0))=TRUE,"",VLOOKUP($A20,StockMaster,COLUMN(StockCode!$J$4),0))</f>
        <v/>
      </c>
      <c r="E20" s="5" t="str">
        <f>IF(ISNA(VLOOKUP($A20,StockMaster,COLUMN(StockCode!$K$4),0))=TRUE,"",VLOOKUP($A20,StockMaster,COLUMN(StockCode!$K$4),0))</f>
        <v/>
      </c>
      <c r="F20" s="5" t="str" cm="1">
        <f t="array" ref="F20">IF(LEN($A20)&lt;=1,"",-SUMIFS(JTQty,JTJob,$D$1,JTStockCode,$A20,JTType,"Issue"))</f>
        <v/>
      </c>
      <c r="G20" s="111" t="str">
        <f t="shared" si="5"/>
        <v/>
      </c>
      <c r="H20" s="111" t="str">
        <f t="shared" si="6"/>
        <v/>
      </c>
      <c r="I20" s="4" t="str">
        <f>IF(LEN($A20)&lt;=1,"",IF(ISNA(VLOOKUP($A20,StockMaster,COLUMN(StockCode!$I$4),0))=TRUE,0,VLOOKUP($A20,StockMaster,COLUMN(StockCode!$I$4),0)))</f>
        <v/>
      </c>
      <c r="J20" s="4" t="str" cm="1">
        <f t="array" ref="J20">IF(LEN($A20)&lt;=1,"",IF(F20=0,0,-SUMIFS(JTValue,JTJob,$D$1,JTStockCode,$A20,JTType,"Issue")/F20))</f>
        <v/>
      </c>
      <c r="K20" s="111" t="str">
        <f t="shared" si="7"/>
        <v/>
      </c>
      <c r="L20" s="111" t="str">
        <f t="shared" si="8"/>
        <v/>
      </c>
      <c r="M20" s="111" t="str">
        <f t="shared" si="3"/>
        <v/>
      </c>
      <c r="N20" s="111" t="str">
        <f t="shared" si="4"/>
        <v/>
      </c>
      <c r="O20" s="111" t="str">
        <f t="shared" si="9"/>
        <v/>
      </c>
      <c r="Q20" s="112"/>
    </row>
    <row r="21" spans="1:17" ht="16.149999999999999" customHeight="1" x14ac:dyDescent="0.25">
      <c r="A21" s="62" t="str">
        <f t="array" ref="A21">IF(ISERROR(INDEX(StockMaster,SMALL(IF(StockJRStatus="Y",ROW(StockJRStatus)-StockRef),ROW(12:12)),COLUMN(StockCode!$A$4)))=TRUE,"", INDEX(StockMaster,SMALL(IF(StockJRStatus="Y",ROW(StockJRStatus)-StockRef),ROW(12:12)),COLUMN(StockCode!$A$4)))</f>
        <v/>
      </c>
      <c r="B21" s="2" t="str">
        <f>IF(ISNA(VLOOKUP($A21,StockMaster,COLUMN(StockCode!$B$4),0))=TRUE,"",VLOOKUP($A21,StockMaster,COLUMN(StockCode!$B$4),0))</f>
        <v/>
      </c>
      <c r="C21" s="3" t="str">
        <f>IF(ISNA(VLOOKUP($A21,StockMaster,COLUMN(StockCode!$C$4),0))=TRUE,"",VLOOKUP($A21,StockMaster,COLUMN(StockCode!$C$4),0))</f>
        <v/>
      </c>
      <c r="D21" s="110" t="str">
        <f>IF(ISNA(VLOOKUP($A21,StockMaster,COLUMN(StockCode!$J$4),0))=TRUE,"",VLOOKUP($A21,StockMaster,COLUMN(StockCode!$J$4),0))</f>
        <v/>
      </c>
      <c r="E21" s="5" t="str">
        <f>IF(ISNA(VLOOKUP($A21,StockMaster,COLUMN(StockCode!$K$4),0))=TRUE,"",VLOOKUP($A21,StockMaster,COLUMN(StockCode!$K$4),0))</f>
        <v/>
      </c>
      <c r="F21" s="5" t="str" cm="1">
        <f t="array" ref="F21">IF(LEN($A21)&lt;=1,"",-SUMIFS(JTQty,JTJob,$D$1,JTStockCode,$A21,JTType,"Issue"))</f>
        <v/>
      </c>
      <c r="G21" s="111" t="str">
        <f t="shared" si="5"/>
        <v/>
      </c>
      <c r="H21" s="111" t="str">
        <f t="shared" si="6"/>
        <v/>
      </c>
      <c r="I21" s="4" t="str">
        <f>IF(LEN($A21)&lt;=1,"",IF(ISNA(VLOOKUP($A21,StockMaster,COLUMN(StockCode!$I$4),0))=TRUE,0,VLOOKUP($A21,StockMaster,COLUMN(StockCode!$I$4),0)))</f>
        <v/>
      </c>
      <c r="J21" s="4" t="str" cm="1">
        <f t="array" ref="J21">IF(LEN($A21)&lt;=1,"",IF(F21=0,0,-SUMIFS(JTValue,JTJob,$D$1,JTStockCode,$A21,JTType,"Issue")/F21))</f>
        <v/>
      </c>
      <c r="K21" s="111" t="str">
        <f t="shared" si="7"/>
        <v/>
      </c>
      <c r="L21" s="111" t="str">
        <f t="shared" si="8"/>
        <v/>
      </c>
      <c r="M21" s="111" t="str">
        <f t="shared" si="3"/>
        <v/>
      </c>
      <c r="N21" s="111" t="str">
        <f t="shared" si="4"/>
        <v/>
      </c>
      <c r="O21" s="111" t="str">
        <f t="shared" si="9"/>
        <v/>
      </c>
      <c r="Q21" s="112"/>
    </row>
    <row r="22" spans="1:17" s="113" customFormat="1" ht="16.149999999999999" customHeight="1" x14ac:dyDescent="0.25">
      <c r="A22" s="62" t="str">
        <f t="array" ref="A22">IF(ISERROR(INDEX(StockMaster,SMALL(IF(StockJRStatus="Y",ROW(StockJRStatus)-StockRef),ROW(13:13)),COLUMN(StockCode!$A$4)))=TRUE,"", INDEX(StockMaster,SMALL(IF(StockJRStatus="Y",ROW(StockJRStatus)-StockRef),ROW(13:13)),COLUMN(StockCode!$A$4)))</f>
        <v/>
      </c>
      <c r="B22" s="2" t="str">
        <f>IF(ISNA(VLOOKUP($A22,StockMaster,COLUMN(StockCode!$B$4),0))=TRUE,"",VLOOKUP($A22,StockMaster,COLUMN(StockCode!$B$4),0))</f>
        <v/>
      </c>
      <c r="C22" s="3" t="str">
        <f>IF(ISNA(VLOOKUP($A22,StockMaster,COLUMN(StockCode!$C$4),0))=TRUE,"",VLOOKUP($A22,StockMaster,COLUMN(StockCode!$C$4),0))</f>
        <v/>
      </c>
      <c r="D22" s="110" t="str">
        <f>IF(ISNA(VLOOKUP($A22,StockMaster,COLUMN(StockCode!$J$4),0))=TRUE,"",VLOOKUP($A22,StockMaster,COLUMN(StockCode!$J$4),0))</f>
        <v/>
      </c>
      <c r="E22" s="5" t="str">
        <f>IF(ISNA(VLOOKUP($A22,StockMaster,COLUMN(StockCode!$K$4),0))=TRUE,"",VLOOKUP($A22,StockMaster,COLUMN(StockCode!$K$4),0))</f>
        <v/>
      </c>
      <c r="F22" s="5" t="str" cm="1">
        <f t="array" ref="F22">IF(LEN($A22)&lt;=1,"",-SUMIFS(JTQty,JTJob,$D$1,JTStockCode,$A22,JTType,"Issue"))</f>
        <v/>
      </c>
      <c r="G22" s="111" t="str">
        <f t="shared" si="5"/>
        <v/>
      </c>
      <c r="H22" s="111" t="str">
        <f t="shared" si="6"/>
        <v/>
      </c>
      <c r="I22" s="4" t="str">
        <f>IF(LEN($A22)&lt;=1,"",IF(ISNA(VLOOKUP($A22,StockMaster,COLUMN(StockCode!$I$4),0))=TRUE,0,VLOOKUP($A22,StockMaster,COLUMN(StockCode!$I$4),0)))</f>
        <v/>
      </c>
      <c r="J22" s="4" t="str" cm="1">
        <f t="array" ref="J22">IF(LEN($A22)&lt;=1,"",IF(F22=0,0,-SUMIFS(JTValue,JTJob,$D$1,JTStockCode,$A22,JTType,"Issue")/F22))</f>
        <v/>
      </c>
      <c r="K22" s="111" t="str">
        <f t="shared" si="7"/>
        <v/>
      </c>
      <c r="L22" s="111" t="str">
        <f t="shared" si="8"/>
        <v/>
      </c>
      <c r="M22" s="111" t="str">
        <f t="shared" si="3"/>
        <v/>
      </c>
      <c r="N22" s="111" t="str">
        <f t="shared" si="4"/>
        <v/>
      </c>
      <c r="O22" s="111" t="str">
        <f t="shared" si="9"/>
        <v/>
      </c>
    </row>
    <row r="23" spans="1:17" ht="16.149999999999999" customHeight="1" x14ac:dyDescent="0.25">
      <c r="A23" s="62" t="str">
        <f t="array" ref="A23">IF(ISERROR(INDEX(StockMaster,SMALL(IF(StockJRStatus="Y",ROW(StockJRStatus)-StockRef),ROW(14:14)),COLUMN(StockCode!$A$4)))=TRUE,"", INDEX(StockMaster,SMALL(IF(StockJRStatus="Y",ROW(StockJRStatus)-StockRef),ROW(14:14)),COLUMN(StockCode!$A$4)))</f>
        <v/>
      </c>
      <c r="B23" s="2" t="str">
        <f>IF(ISNA(VLOOKUP($A23,StockMaster,COLUMN(StockCode!$B$4),0))=TRUE,"",VLOOKUP($A23,StockMaster,COLUMN(StockCode!$B$4),0))</f>
        <v/>
      </c>
      <c r="C23" s="3" t="str">
        <f>IF(ISNA(VLOOKUP($A23,StockMaster,COLUMN(StockCode!$C$4),0))=TRUE,"",VLOOKUP($A23,StockMaster,COLUMN(StockCode!$C$4),0))</f>
        <v/>
      </c>
      <c r="D23" s="110" t="str">
        <f>IF(ISNA(VLOOKUP($A23,StockMaster,COLUMN(StockCode!$J$4),0))=TRUE,"",VLOOKUP($A23,StockMaster,COLUMN(StockCode!$J$4),0))</f>
        <v/>
      </c>
      <c r="E23" s="5" t="str">
        <f>IF(ISNA(VLOOKUP($A23,StockMaster,COLUMN(StockCode!$K$4),0))=TRUE,"",VLOOKUP($A23,StockMaster,COLUMN(StockCode!$K$4),0))</f>
        <v/>
      </c>
      <c r="F23" s="5" t="str" cm="1">
        <f t="array" ref="F23">IF(LEN($A23)&lt;=1,"",-SUMIFS(JTQty,JTJob,$D$1,JTStockCode,$A23,JTType,"Issue"))</f>
        <v/>
      </c>
      <c r="G23" s="111" t="str">
        <f t="shared" si="5"/>
        <v/>
      </c>
      <c r="H23" s="111" t="str">
        <f t="shared" si="6"/>
        <v/>
      </c>
      <c r="I23" s="4" t="str">
        <f>IF(LEN($A23)&lt;=1,"",IF(ISNA(VLOOKUP($A23,StockMaster,COLUMN(StockCode!$I$4),0))=TRUE,0,VLOOKUP($A23,StockMaster,COLUMN(StockCode!$I$4),0)))</f>
        <v/>
      </c>
      <c r="J23" s="4" t="str" cm="1">
        <f t="array" ref="J23">IF(LEN($A23)&lt;=1,"",IF(F23=0,0,-SUMIFS(JTValue,JTJob,$D$1,JTStockCode,$A23,JTType,"Issue")/F23))</f>
        <v/>
      </c>
      <c r="K23" s="111" t="str">
        <f t="shared" si="7"/>
        <v/>
      </c>
      <c r="L23" s="111" t="str">
        <f t="shared" si="8"/>
        <v/>
      </c>
      <c r="M23" s="111" t="str">
        <f t="shared" si="3"/>
        <v/>
      </c>
      <c r="N23" s="111" t="str">
        <f t="shared" si="4"/>
        <v/>
      </c>
      <c r="O23" s="111" t="str">
        <f t="shared" si="9"/>
        <v/>
      </c>
    </row>
    <row r="24" spans="1:17" ht="16.149999999999999" customHeight="1" x14ac:dyDescent="0.25">
      <c r="A24" s="62" t="str">
        <f t="array" ref="A24">IF(ISERROR(INDEX(StockMaster,SMALL(IF(StockJRStatus="Y",ROW(StockJRStatus)-StockRef),ROW(15:15)),COLUMN(StockCode!$A$4)))=TRUE,"", INDEX(StockMaster,SMALL(IF(StockJRStatus="Y",ROW(StockJRStatus)-StockRef),ROW(15:15)),COLUMN(StockCode!$A$4)))</f>
        <v/>
      </c>
      <c r="B24" s="2" t="str">
        <f>IF(ISNA(VLOOKUP($A24,StockMaster,COLUMN(StockCode!$B$4),0))=TRUE,"",VLOOKUP($A24,StockMaster,COLUMN(StockCode!$B$4),0))</f>
        <v/>
      </c>
      <c r="C24" s="3" t="str">
        <f>IF(ISNA(VLOOKUP($A24,StockMaster,COLUMN(StockCode!$C$4),0))=TRUE,"",VLOOKUP($A24,StockMaster,COLUMN(StockCode!$C$4),0))</f>
        <v/>
      </c>
      <c r="D24" s="110" t="str">
        <f>IF(ISNA(VLOOKUP($A24,StockMaster,COLUMN(StockCode!$J$4),0))=TRUE,"",VLOOKUP($A24,StockMaster,COLUMN(StockCode!$J$4),0))</f>
        <v/>
      </c>
      <c r="E24" s="5" t="str">
        <f>IF(ISNA(VLOOKUP($A24,StockMaster,COLUMN(StockCode!$K$4),0))=TRUE,"",VLOOKUP($A24,StockMaster,COLUMN(StockCode!$K$4),0))</f>
        <v/>
      </c>
      <c r="F24" s="5" t="str" cm="1">
        <f t="array" ref="F24">IF(LEN($A24)&lt;=1,"",-SUMIFS(JTQty,JTJob,$D$1,JTStockCode,$A24,JTType,"Issue"))</f>
        <v/>
      </c>
      <c r="G24" s="111" t="str">
        <f t="shared" si="5"/>
        <v/>
      </c>
      <c r="H24" s="111" t="str">
        <f t="shared" si="6"/>
        <v/>
      </c>
      <c r="I24" s="4" t="str">
        <f>IF(LEN($A24)&lt;=1,"",IF(ISNA(VLOOKUP($A24,StockMaster,COLUMN(StockCode!$I$4),0))=TRUE,0,VLOOKUP($A24,StockMaster,COLUMN(StockCode!$I$4),0)))</f>
        <v/>
      </c>
      <c r="J24" s="4" t="str" cm="1">
        <f t="array" ref="J24">IF(LEN($A24)&lt;=1,"",IF(F24=0,0,-SUMIFS(JTValue,JTJob,$D$1,JTStockCode,$A24,JTType,"Issue")/F24))</f>
        <v/>
      </c>
      <c r="K24" s="111" t="str">
        <f t="shared" si="7"/>
        <v/>
      </c>
      <c r="L24" s="111" t="str">
        <f t="shared" si="8"/>
        <v/>
      </c>
      <c r="M24" s="111" t="str">
        <f t="shared" si="3"/>
        <v/>
      </c>
      <c r="N24" s="111" t="str">
        <f t="shared" si="4"/>
        <v/>
      </c>
      <c r="O24" s="111" t="str">
        <f t="shared" si="9"/>
        <v/>
      </c>
    </row>
    <row r="25" spans="1:17" ht="16.149999999999999" customHeight="1" x14ac:dyDescent="0.25">
      <c r="A25" s="62" t="str">
        <f t="array" ref="A25">IF(ISERROR(INDEX(StockMaster,SMALL(IF(StockJRStatus="Y",ROW(StockJRStatus)-StockRef),ROW(16:16)),COLUMN(StockCode!$A$4)))=TRUE,"", INDEX(StockMaster,SMALL(IF(StockJRStatus="Y",ROW(StockJRStatus)-StockRef),ROW(16:16)),COLUMN(StockCode!$A$4)))</f>
        <v/>
      </c>
      <c r="B25" s="2" t="str">
        <f>IF(ISNA(VLOOKUP($A25,StockMaster,COLUMN(StockCode!$B$4),0))=TRUE,"",VLOOKUP($A25,StockMaster,COLUMN(StockCode!$B$4),0))</f>
        <v/>
      </c>
      <c r="C25" s="3" t="str">
        <f>IF(ISNA(VLOOKUP($A25,StockMaster,COLUMN(StockCode!$C$4),0))=TRUE,"",VLOOKUP($A25,StockMaster,COLUMN(StockCode!$C$4),0))</f>
        <v/>
      </c>
      <c r="D25" s="110" t="str">
        <f>IF(ISNA(VLOOKUP($A25,StockMaster,COLUMN(StockCode!$J$4),0))=TRUE,"",VLOOKUP($A25,StockMaster,COLUMN(StockCode!$J$4),0))</f>
        <v/>
      </c>
      <c r="E25" s="5" t="str">
        <f>IF(ISNA(VLOOKUP($A25,StockMaster,COLUMN(StockCode!$K$4),0))=TRUE,"",VLOOKUP($A25,StockMaster,COLUMN(StockCode!$K$4),0))</f>
        <v/>
      </c>
      <c r="F25" s="5" t="str" cm="1">
        <f t="array" ref="F25">IF(LEN($A25)&lt;=1,"",-SUMIFS(JTQty,JTJob,$D$1,JTStockCode,$A25,JTType,"Issue"))</f>
        <v/>
      </c>
      <c r="G25" s="111" t="str">
        <f t="shared" si="5"/>
        <v/>
      </c>
      <c r="H25" s="111" t="str">
        <f t="shared" si="6"/>
        <v/>
      </c>
      <c r="I25" s="4" t="str">
        <f>IF(LEN($A25)&lt;=1,"",IF(ISNA(VLOOKUP($A25,StockMaster,COLUMN(StockCode!$I$4),0))=TRUE,0,VLOOKUP($A25,StockMaster,COLUMN(StockCode!$I$4),0)))</f>
        <v/>
      </c>
      <c r="J25" s="4" t="str" cm="1">
        <f t="array" ref="J25">IF(LEN($A25)&lt;=1,"",IF(F25=0,0,-SUMIFS(JTValue,JTJob,$D$1,JTStockCode,$A25,JTType,"Issue")/F25))</f>
        <v/>
      </c>
      <c r="K25" s="111" t="str">
        <f t="shared" si="7"/>
        <v/>
      </c>
      <c r="L25" s="111" t="str">
        <f t="shared" si="8"/>
        <v/>
      </c>
      <c r="M25" s="111" t="str">
        <f t="shared" si="3"/>
        <v/>
      </c>
      <c r="N25" s="111" t="str">
        <f t="shared" si="4"/>
        <v/>
      </c>
      <c r="O25" s="111" t="str">
        <f t="shared" si="9"/>
        <v/>
      </c>
    </row>
    <row r="26" spans="1:17" ht="16.149999999999999" customHeight="1" x14ac:dyDescent="0.25">
      <c r="A26" s="62" t="str">
        <f t="array" ref="A26">IF(ISERROR(INDEX(StockMaster,SMALL(IF(StockJRStatus="Y",ROW(StockJRStatus)-StockRef),ROW(17:17)),COLUMN(StockCode!$A$4)))=TRUE,"", INDEX(StockMaster,SMALL(IF(StockJRStatus="Y",ROW(StockJRStatus)-StockRef),ROW(17:17)),COLUMN(StockCode!$A$4)))</f>
        <v/>
      </c>
      <c r="B26" s="2" t="str">
        <f>IF(ISNA(VLOOKUP($A26,StockMaster,COLUMN(StockCode!$B$4),0))=TRUE,"",VLOOKUP($A26,StockMaster,COLUMN(StockCode!$B$4),0))</f>
        <v/>
      </c>
      <c r="C26" s="3" t="str">
        <f>IF(ISNA(VLOOKUP($A26,StockMaster,COLUMN(StockCode!$C$4),0))=TRUE,"",VLOOKUP($A26,StockMaster,COLUMN(StockCode!$C$4),0))</f>
        <v/>
      </c>
      <c r="D26" s="110" t="str">
        <f>IF(ISNA(VLOOKUP($A26,StockMaster,COLUMN(StockCode!$J$4),0))=TRUE,"",VLOOKUP($A26,StockMaster,COLUMN(StockCode!$J$4),0))</f>
        <v/>
      </c>
      <c r="E26" s="5" t="str">
        <f>IF(ISNA(VLOOKUP($A26,StockMaster,COLUMN(StockCode!$K$4),0))=TRUE,"",VLOOKUP($A26,StockMaster,COLUMN(StockCode!$K$4),0))</f>
        <v/>
      </c>
      <c r="F26" s="5" t="str" cm="1">
        <f t="array" ref="F26">IF(LEN($A26)&lt;=1,"",-SUMIFS(JTQty,JTJob,$D$1,JTStockCode,$A26,JTType,"Issue"))</f>
        <v/>
      </c>
      <c r="G26" s="111" t="str">
        <f t="shared" si="5"/>
        <v/>
      </c>
      <c r="H26" s="111" t="str">
        <f t="shared" si="6"/>
        <v/>
      </c>
      <c r="I26" s="4" t="str">
        <f>IF(LEN($A26)&lt;=1,"",IF(ISNA(VLOOKUP($A26,StockMaster,COLUMN(StockCode!$I$4),0))=TRUE,0,VLOOKUP($A26,StockMaster,COLUMN(StockCode!$I$4),0)))</f>
        <v/>
      </c>
      <c r="J26" s="4" t="str" cm="1">
        <f t="array" ref="J26">IF(LEN($A26)&lt;=1,"",IF(F26=0,0,-SUMIFS(JTValue,JTJob,$D$1,JTStockCode,$A26,JTType,"Issue")/F26))</f>
        <v/>
      </c>
      <c r="K26" s="111" t="str">
        <f t="shared" si="7"/>
        <v/>
      </c>
      <c r="L26" s="111" t="str">
        <f t="shared" si="8"/>
        <v/>
      </c>
      <c r="M26" s="111" t="str">
        <f t="shared" si="3"/>
        <v/>
      </c>
      <c r="N26" s="111" t="str">
        <f t="shared" si="4"/>
        <v/>
      </c>
      <c r="O26" s="111" t="str">
        <f t="shared" si="9"/>
        <v/>
      </c>
    </row>
    <row r="27" spans="1:17" ht="16.149999999999999" customHeight="1" x14ac:dyDescent="0.25">
      <c r="A27" s="62" t="str">
        <f t="array" ref="A27">IF(ISERROR(INDEX(StockMaster,SMALL(IF(StockJRStatus="Y",ROW(StockJRStatus)-StockRef),ROW(18:18)),COLUMN(StockCode!$A$4)))=TRUE,"", INDEX(StockMaster,SMALL(IF(StockJRStatus="Y",ROW(StockJRStatus)-StockRef),ROW(18:18)),COLUMN(StockCode!$A$4)))</f>
        <v/>
      </c>
      <c r="B27" s="2" t="str">
        <f>IF(ISNA(VLOOKUP($A27,StockMaster,COLUMN(StockCode!$B$4),0))=TRUE,"",VLOOKUP($A27,StockMaster,COLUMN(StockCode!$B$4),0))</f>
        <v/>
      </c>
      <c r="C27" s="3" t="str">
        <f>IF(ISNA(VLOOKUP($A27,StockMaster,COLUMN(StockCode!$C$4),0))=TRUE,"",VLOOKUP($A27,StockMaster,COLUMN(StockCode!$C$4),0))</f>
        <v/>
      </c>
      <c r="D27" s="110" t="str">
        <f>IF(ISNA(VLOOKUP($A27,StockMaster,COLUMN(StockCode!$J$4),0))=TRUE,"",VLOOKUP($A27,StockMaster,COLUMN(StockCode!$J$4),0))</f>
        <v/>
      </c>
      <c r="E27" s="5" t="str">
        <f>IF(ISNA(VLOOKUP($A27,StockMaster,COLUMN(StockCode!$K$4),0))=TRUE,"",VLOOKUP($A27,StockMaster,COLUMN(StockCode!$K$4),0))</f>
        <v/>
      </c>
      <c r="F27" s="5" t="str" cm="1">
        <f t="array" ref="F27">IF(LEN($A27)&lt;=1,"",-SUMIFS(JTQty,JTJob,$D$1,JTStockCode,$A27,JTType,"Issue"))</f>
        <v/>
      </c>
      <c r="G27" s="111" t="str">
        <f t="shared" si="5"/>
        <v/>
      </c>
      <c r="H27" s="111" t="str">
        <f t="shared" si="6"/>
        <v/>
      </c>
      <c r="I27" s="4" t="str">
        <f>IF(LEN($A27)&lt;=1,"",IF(ISNA(VLOOKUP($A27,StockMaster,COLUMN(StockCode!$I$4),0))=TRUE,0,VLOOKUP($A27,StockMaster,COLUMN(StockCode!$I$4),0)))</f>
        <v/>
      </c>
      <c r="J27" s="4" t="str" cm="1">
        <f t="array" ref="J27">IF(LEN($A27)&lt;=1,"",IF(F27=0,0,-SUMIFS(JTValue,JTJob,$D$1,JTStockCode,$A27,JTType,"Issue")/F27))</f>
        <v/>
      </c>
      <c r="K27" s="111" t="str">
        <f t="shared" si="7"/>
        <v/>
      </c>
      <c r="L27" s="111" t="str">
        <f t="shared" si="8"/>
        <v/>
      </c>
      <c r="M27" s="111" t="str">
        <f t="shared" si="3"/>
        <v/>
      </c>
      <c r="N27" s="111" t="str">
        <f t="shared" si="4"/>
        <v/>
      </c>
      <c r="O27" s="111" t="str">
        <f t="shared" si="9"/>
        <v/>
      </c>
    </row>
    <row r="28" spans="1:17" ht="16.149999999999999" customHeight="1" x14ac:dyDescent="0.25">
      <c r="A28" s="62" t="str">
        <f t="array" ref="A28">IF(ISERROR(INDEX(StockMaster,SMALL(IF(StockJRStatus="Y",ROW(StockJRStatus)-StockRef),ROW(19:19)),COLUMN(StockCode!$A$4)))=TRUE,"", INDEX(StockMaster,SMALL(IF(StockJRStatus="Y",ROW(StockJRStatus)-StockRef),ROW(19:19)),COLUMN(StockCode!$A$4)))</f>
        <v/>
      </c>
      <c r="B28" s="2" t="str">
        <f>IF(ISNA(VLOOKUP($A28,StockMaster,COLUMN(StockCode!$B$4),0))=TRUE,"",VLOOKUP($A28,StockMaster,COLUMN(StockCode!$B$4),0))</f>
        <v/>
      </c>
      <c r="C28" s="3" t="str">
        <f>IF(ISNA(VLOOKUP($A28,StockMaster,COLUMN(StockCode!$C$4),0))=TRUE,"",VLOOKUP($A28,StockMaster,COLUMN(StockCode!$C$4),0))</f>
        <v/>
      </c>
      <c r="D28" s="110" t="str">
        <f>IF(ISNA(VLOOKUP($A28,StockMaster,COLUMN(StockCode!$J$4),0))=TRUE,"",VLOOKUP($A28,StockMaster,COLUMN(StockCode!$J$4),0))</f>
        <v/>
      </c>
      <c r="E28" s="5" t="str">
        <f>IF(ISNA(VLOOKUP($A28,StockMaster,COLUMN(StockCode!$K$4),0))=TRUE,"",VLOOKUP($A28,StockMaster,COLUMN(StockCode!$K$4),0))</f>
        <v/>
      </c>
      <c r="F28" s="5" t="str" cm="1">
        <f t="array" ref="F28">IF(LEN($A28)&lt;=1,"",-SUMIFS(JTQty,JTJob,$D$1,JTStockCode,$A28,JTType,"Issue"))</f>
        <v/>
      </c>
      <c r="G28" s="111" t="str">
        <f t="shared" si="5"/>
        <v/>
      </c>
      <c r="H28" s="111" t="str">
        <f t="shared" si="6"/>
        <v/>
      </c>
      <c r="I28" s="4" t="str">
        <f>IF(LEN($A28)&lt;=1,"",IF(ISNA(VLOOKUP($A28,StockMaster,COLUMN(StockCode!$I$4),0))=TRUE,0,VLOOKUP($A28,StockMaster,COLUMN(StockCode!$I$4),0)))</f>
        <v/>
      </c>
      <c r="J28" s="4" t="str" cm="1">
        <f t="array" ref="J28">IF(LEN($A28)&lt;=1,"",IF(F28=0,0,-SUMIFS(JTValue,JTJob,$D$1,JTStockCode,$A28,JTType,"Issue")/F28))</f>
        <v/>
      </c>
      <c r="K28" s="111" t="str">
        <f t="shared" si="7"/>
        <v/>
      </c>
      <c r="L28" s="111" t="str">
        <f t="shared" si="8"/>
        <v/>
      </c>
      <c r="M28" s="111" t="str">
        <f t="shared" si="3"/>
        <v/>
      </c>
      <c r="N28" s="111" t="str">
        <f t="shared" si="4"/>
        <v/>
      </c>
      <c r="O28" s="111" t="str">
        <f t="shared" si="9"/>
        <v/>
      </c>
    </row>
    <row r="29" spans="1:17" ht="16.149999999999999" customHeight="1" x14ac:dyDescent="0.25">
      <c r="A29" s="62" t="str">
        <f t="array" ref="A29">IF(ISERROR(INDEX(StockMaster,SMALL(IF(StockJRStatus="Y",ROW(StockJRStatus)-StockRef),ROW(20:20)),COLUMN(StockCode!$A$4)))=TRUE,"", INDEX(StockMaster,SMALL(IF(StockJRStatus="Y",ROW(StockJRStatus)-StockRef),ROW(20:20)),COLUMN(StockCode!$A$4)))</f>
        <v/>
      </c>
      <c r="B29" s="2" t="str">
        <f>IF(ISNA(VLOOKUP($A29,StockMaster,COLUMN(StockCode!$B$4),0))=TRUE,"",VLOOKUP($A29,StockMaster,COLUMN(StockCode!$B$4),0))</f>
        <v/>
      </c>
      <c r="C29" s="3" t="str">
        <f>IF(ISNA(VLOOKUP($A29,StockMaster,COLUMN(StockCode!$C$4),0))=TRUE,"",VLOOKUP($A29,StockMaster,COLUMN(StockCode!$C$4),0))</f>
        <v/>
      </c>
      <c r="D29" s="110" t="str">
        <f>IF(ISNA(VLOOKUP($A29,StockMaster,COLUMN(StockCode!$J$4),0))=TRUE,"",VLOOKUP($A29,StockMaster,COLUMN(StockCode!$J$4),0))</f>
        <v/>
      </c>
      <c r="E29" s="5" t="str">
        <f>IF(ISNA(VLOOKUP($A29,StockMaster,COLUMN(StockCode!$K$4),0))=TRUE,"",VLOOKUP($A29,StockMaster,COLUMN(StockCode!$K$4),0))</f>
        <v/>
      </c>
      <c r="F29" s="5" t="str" cm="1">
        <f t="array" ref="F29">IF(LEN($A29)&lt;=1,"",-SUMIFS(JTQty,JTJob,$D$1,JTStockCode,$A29,JTType,"Issue"))</f>
        <v/>
      </c>
      <c r="G29" s="111" t="str">
        <f t="shared" si="5"/>
        <v/>
      </c>
      <c r="H29" s="111" t="str">
        <f t="shared" si="6"/>
        <v/>
      </c>
      <c r="I29" s="4" t="str">
        <f>IF(LEN($A29)&lt;=1,"",IF(ISNA(VLOOKUP($A29,StockMaster,COLUMN(StockCode!$I$4),0))=TRUE,0,VLOOKUP($A29,StockMaster,COLUMN(StockCode!$I$4),0)))</f>
        <v/>
      </c>
      <c r="J29" s="4" t="str" cm="1">
        <f t="array" ref="J29">IF(LEN($A29)&lt;=1,"",IF(F29=0,0,-SUMIFS(JTValue,JTJob,$D$1,JTStockCode,$A29,JTType,"Issue")/F29))</f>
        <v/>
      </c>
      <c r="K29" s="111" t="str">
        <f t="shared" si="7"/>
        <v/>
      </c>
      <c r="L29" s="111" t="str">
        <f t="shared" si="8"/>
        <v/>
      </c>
      <c r="M29" s="111" t="str">
        <f t="shared" si="3"/>
        <v/>
      </c>
      <c r="N29" s="111" t="str">
        <f t="shared" si="4"/>
        <v/>
      </c>
      <c r="O29" s="111" t="str">
        <f t="shared" si="9"/>
        <v/>
      </c>
    </row>
    <row r="30" spans="1:17" ht="16.149999999999999" customHeight="1" x14ac:dyDescent="0.25">
      <c r="A30" s="62" t="str">
        <f t="array" ref="A30">IF(ISERROR(INDEX(StockMaster,SMALL(IF(StockJRStatus="Y",ROW(StockJRStatus)-StockRef),ROW(21:21)),COLUMN(StockCode!$A$4)))=TRUE,"", INDEX(StockMaster,SMALL(IF(StockJRStatus="Y",ROW(StockJRStatus)-StockRef),ROW(21:21)),COLUMN(StockCode!$A$4)))</f>
        <v/>
      </c>
      <c r="B30" s="2" t="str">
        <f>IF(ISNA(VLOOKUP($A30,StockMaster,COLUMN(StockCode!$B$4),0))=TRUE,"",VLOOKUP($A30,StockMaster,COLUMN(StockCode!$B$4),0))</f>
        <v/>
      </c>
      <c r="C30" s="3" t="str">
        <f>IF(ISNA(VLOOKUP($A30,StockMaster,COLUMN(StockCode!$C$4),0))=TRUE,"",VLOOKUP($A30,StockMaster,COLUMN(StockCode!$C$4),0))</f>
        <v/>
      </c>
      <c r="D30" s="110" t="str">
        <f>IF(ISNA(VLOOKUP($A30,StockMaster,COLUMN(StockCode!$J$4),0))=TRUE,"",VLOOKUP($A30,StockMaster,COLUMN(StockCode!$J$4),0))</f>
        <v/>
      </c>
      <c r="E30" s="5" t="str">
        <f>IF(ISNA(VLOOKUP($A30,StockMaster,COLUMN(StockCode!$K$4),0))=TRUE,"",VLOOKUP($A30,StockMaster,COLUMN(StockCode!$K$4),0))</f>
        <v/>
      </c>
      <c r="F30" s="5" t="str" cm="1">
        <f t="array" ref="F30">IF(LEN($A30)&lt;=1,"",-SUMIFS(JTQty,JTJob,$D$1,JTStockCode,$A30,JTType,"Issue"))</f>
        <v/>
      </c>
      <c r="G30" s="111" t="str">
        <f t="shared" si="5"/>
        <v/>
      </c>
      <c r="H30" s="111" t="str">
        <f t="shared" si="6"/>
        <v/>
      </c>
      <c r="I30" s="4" t="str">
        <f>IF(LEN($A30)&lt;=1,"",IF(ISNA(VLOOKUP($A30,StockMaster,COLUMN(StockCode!$I$4),0))=TRUE,0,VLOOKUP($A30,StockMaster,COLUMN(StockCode!$I$4),0)))</f>
        <v/>
      </c>
      <c r="J30" s="4" t="str" cm="1">
        <f t="array" ref="J30">IF(LEN($A30)&lt;=1,"",IF(F30=0,0,-SUMIFS(JTValue,JTJob,$D$1,JTStockCode,$A30,JTType,"Issue")/F30))</f>
        <v/>
      </c>
      <c r="K30" s="111" t="str">
        <f t="shared" si="7"/>
        <v/>
      </c>
      <c r="L30" s="111" t="str">
        <f t="shared" si="8"/>
        <v/>
      </c>
      <c r="M30" s="111" t="str">
        <f t="shared" si="3"/>
        <v/>
      </c>
      <c r="N30" s="111" t="str">
        <f t="shared" si="4"/>
        <v/>
      </c>
      <c r="O30" s="111" t="str">
        <f t="shared" si="9"/>
        <v/>
      </c>
    </row>
    <row r="31" spans="1:17" ht="16.149999999999999" customHeight="1" x14ac:dyDescent="0.25">
      <c r="A31" s="62" t="str">
        <f t="array" ref="A31">IF(ISERROR(INDEX(StockMaster,SMALL(IF(StockJRStatus="Y",ROW(StockJRStatus)-StockRef),ROW(22:22)),COLUMN(StockCode!$A$4)))=TRUE,"", INDEX(StockMaster,SMALL(IF(StockJRStatus="Y",ROW(StockJRStatus)-StockRef),ROW(22:22)),COLUMN(StockCode!$A$4)))</f>
        <v/>
      </c>
      <c r="B31" s="2" t="str">
        <f>IF(ISNA(VLOOKUP($A31,StockMaster,COLUMN(StockCode!$B$4),0))=TRUE,"",VLOOKUP($A31,StockMaster,COLUMN(StockCode!$B$4),0))</f>
        <v/>
      </c>
      <c r="C31" s="3" t="str">
        <f>IF(ISNA(VLOOKUP($A31,StockMaster,COLUMN(StockCode!$C$4),0))=TRUE,"",VLOOKUP($A31,StockMaster,COLUMN(StockCode!$C$4),0))</f>
        <v/>
      </c>
      <c r="D31" s="110" t="str">
        <f>IF(ISNA(VLOOKUP($A31,StockMaster,COLUMN(StockCode!$J$4),0))=TRUE,"",VLOOKUP($A31,StockMaster,COLUMN(StockCode!$J$4),0))</f>
        <v/>
      </c>
      <c r="E31" s="5" t="str">
        <f>IF(ISNA(VLOOKUP($A31,StockMaster,COLUMN(StockCode!$K$4),0))=TRUE,"",VLOOKUP($A31,StockMaster,COLUMN(StockCode!$K$4),0))</f>
        <v/>
      </c>
      <c r="F31" s="5" t="str" cm="1">
        <f t="array" ref="F31">IF(LEN($A31)&lt;=1,"",-SUMIFS(JTQty,JTJob,$D$1,JTStockCode,$A31,JTType,"Issue"))</f>
        <v/>
      </c>
      <c r="G31" s="111" t="str">
        <f t="shared" si="5"/>
        <v/>
      </c>
      <c r="H31" s="111" t="str">
        <f t="shared" si="6"/>
        <v/>
      </c>
      <c r="I31" s="4" t="str">
        <f>IF(LEN($A31)&lt;=1,"",IF(ISNA(VLOOKUP($A31,StockMaster,COLUMN(StockCode!$I$4),0))=TRUE,0,VLOOKUP($A31,StockMaster,COLUMN(StockCode!$I$4),0)))</f>
        <v/>
      </c>
      <c r="J31" s="4" t="str" cm="1">
        <f t="array" ref="J31">IF(LEN($A31)&lt;=1,"",IF(F31=0,0,-SUMIFS(JTValue,JTJob,$D$1,JTStockCode,$A31,JTType,"Issue")/F31))</f>
        <v/>
      </c>
      <c r="K31" s="111" t="str">
        <f t="shared" si="7"/>
        <v/>
      </c>
      <c r="L31" s="111" t="str">
        <f t="shared" si="8"/>
        <v/>
      </c>
      <c r="M31" s="111" t="str">
        <f t="shared" si="3"/>
        <v/>
      </c>
      <c r="N31" s="111" t="str">
        <f t="shared" si="4"/>
        <v/>
      </c>
      <c r="O31" s="111" t="str">
        <f t="shared" si="9"/>
        <v/>
      </c>
    </row>
    <row r="32" spans="1:17" ht="16.149999999999999" customHeight="1" x14ac:dyDescent="0.25">
      <c r="A32" s="62" t="str">
        <f t="array" ref="A32">IF(ISERROR(INDEX(StockMaster,SMALL(IF(StockJRStatus="Y",ROW(StockJRStatus)-StockRef),ROW(23:23)),COLUMN(StockCode!$A$4)))=TRUE,"", INDEX(StockMaster,SMALL(IF(StockJRStatus="Y",ROW(StockJRStatus)-StockRef),ROW(23:23)),COLUMN(StockCode!$A$4)))</f>
        <v/>
      </c>
      <c r="B32" s="2" t="str">
        <f>IF(ISNA(VLOOKUP($A32,StockMaster,COLUMN(StockCode!$B$4),0))=TRUE,"",VLOOKUP($A32,StockMaster,COLUMN(StockCode!$B$4),0))</f>
        <v/>
      </c>
      <c r="C32" s="3" t="str">
        <f>IF(ISNA(VLOOKUP($A32,StockMaster,COLUMN(StockCode!$C$4),0))=TRUE,"",VLOOKUP($A32,StockMaster,COLUMN(StockCode!$C$4),0))</f>
        <v/>
      </c>
      <c r="D32" s="110" t="str">
        <f>IF(ISNA(VLOOKUP($A32,StockMaster,COLUMN(StockCode!$J$4),0))=TRUE,"",VLOOKUP($A32,StockMaster,COLUMN(StockCode!$J$4),0))</f>
        <v/>
      </c>
      <c r="E32" s="5" t="str">
        <f>IF(ISNA(VLOOKUP($A32,StockMaster,COLUMN(StockCode!$K$4),0))=TRUE,"",VLOOKUP($A32,StockMaster,COLUMN(StockCode!$K$4),0))</f>
        <v/>
      </c>
      <c r="F32" s="5" t="str" cm="1">
        <f t="array" ref="F32">IF(LEN($A32)&lt;=1,"",-SUMIFS(JTQty,JTJob,$D$1,JTStockCode,$A32,JTType,"Issue"))</f>
        <v/>
      </c>
      <c r="G32" s="111" t="str">
        <f t="shared" si="5"/>
        <v/>
      </c>
      <c r="H32" s="111" t="str">
        <f t="shared" si="6"/>
        <v/>
      </c>
      <c r="I32" s="4" t="str">
        <f>IF(LEN($A32)&lt;=1,"",IF(ISNA(VLOOKUP($A32,StockMaster,COLUMN(StockCode!$I$4),0))=TRUE,0,VLOOKUP($A32,StockMaster,COLUMN(StockCode!$I$4),0)))</f>
        <v/>
      </c>
      <c r="J32" s="4" t="str" cm="1">
        <f t="array" ref="J32">IF(LEN($A32)&lt;=1,"",IF(F32=0,0,-SUMIFS(JTValue,JTJob,$D$1,JTStockCode,$A32,JTType,"Issue")/F32))</f>
        <v/>
      </c>
      <c r="K32" s="111" t="str">
        <f t="shared" si="7"/>
        <v/>
      </c>
      <c r="L32" s="111" t="str">
        <f t="shared" si="8"/>
        <v/>
      </c>
      <c r="M32" s="111" t="str">
        <f t="shared" si="3"/>
        <v/>
      </c>
      <c r="N32" s="111" t="str">
        <f t="shared" si="4"/>
        <v/>
      </c>
      <c r="O32" s="111" t="str">
        <f t="shared" si="9"/>
        <v/>
      </c>
    </row>
    <row r="33" spans="1:15" ht="16.149999999999999" customHeight="1" x14ac:dyDescent="0.25">
      <c r="A33" s="62" t="str">
        <f t="array" ref="A33">IF(ISERROR(INDEX(StockMaster,SMALL(IF(StockJRStatus="Y",ROW(StockJRStatus)-StockRef),ROW(24:24)),COLUMN(StockCode!$A$4)))=TRUE,"", INDEX(StockMaster,SMALL(IF(StockJRStatus="Y",ROW(StockJRStatus)-StockRef),ROW(24:24)),COLUMN(StockCode!$A$4)))</f>
        <v/>
      </c>
      <c r="B33" s="2" t="str">
        <f>IF(ISNA(VLOOKUP($A33,StockMaster,COLUMN(StockCode!$B$4),0))=TRUE,"",VLOOKUP($A33,StockMaster,COLUMN(StockCode!$B$4),0))</f>
        <v/>
      </c>
      <c r="C33" s="3" t="str">
        <f>IF(ISNA(VLOOKUP($A33,StockMaster,COLUMN(StockCode!$C$4),0))=TRUE,"",VLOOKUP($A33,StockMaster,COLUMN(StockCode!$C$4),0))</f>
        <v/>
      </c>
      <c r="D33" s="110" t="str">
        <f>IF(ISNA(VLOOKUP($A33,StockMaster,COLUMN(StockCode!$J$4),0))=TRUE,"",VLOOKUP($A33,StockMaster,COLUMN(StockCode!$J$4),0))</f>
        <v/>
      </c>
      <c r="E33" s="5" t="str">
        <f>IF(ISNA(VLOOKUP($A33,StockMaster,COLUMN(StockCode!$K$4),0))=TRUE,"",VLOOKUP($A33,StockMaster,COLUMN(StockCode!$K$4),0))</f>
        <v/>
      </c>
      <c r="F33" s="5" t="str" cm="1">
        <f t="array" ref="F33">IF(LEN($A33)&lt;=1,"",-SUMIFS(JTQty,JTJob,$D$1,JTStockCode,$A33,JTType,"Issue"))</f>
        <v/>
      </c>
      <c r="G33" s="111" t="str">
        <f t="shared" si="5"/>
        <v/>
      </c>
      <c r="H33" s="111" t="str">
        <f t="shared" si="6"/>
        <v/>
      </c>
      <c r="I33" s="4" t="str">
        <f>IF(LEN($A33)&lt;=1,"",IF(ISNA(VLOOKUP($A33,StockMaster,COLUMN(StockCode!$I$4),0))=TRUE,0,VLOOKUP($A33,StockMaster,COLUMN(StockCode!$I$4),0)))</f>
        <v/>
      </c>
      <c r="J33" s="4" t="str" cm="1">
        <f t="array" ref="J33">IF(LEN($A33)&lt;=1,"",IF(F33=0,0,-SUMIFS(JTValue,JTJob,$D$1,JTStockCode,$A33,JTType,"Issue")/F33))</f>
        <v/>
      </c>
      <c r="K33" s="111" t="str">
        <f t="shared" si="7"/>
        <v/>
      </c>
      <c r="L33" s="111" t="str">
        <f t="shared" si="8"/>
        <v/>
      </c>
      <c r="M33" s="111" t="str">
        <f t="shared" si="3"/>
        <v/>
      </c>
      <c r="N33" s="111" t="str">
        <f t="shared" si="4"/>
        <v/>
      </c>
      <c r="O33" s="111" t="str">
        <f t="shared" si="9"/>
        <v/>
      </c>
    </row>
    <row r="34" spans="1:15" ht="16.149999999999999" customHeight="1" x14ac:dyDescent="0.25">
      <c r="A34" s="62" t="str">
        <f t="array" ref="A34">IF(ISERROR(INDEX(StockMaster,SMALL(IF(StockJRStatus="Y",ROW(StockJRStatus)-StockRef),ROW(25:25)),COLUMN(StockCode!$A$4)))=TRUE,"", INDEX(StockMaster,SMALL(IF(StockJRStatus="Y",ROW(StockJRStatus)-StockRef),ROW(25:25)),COLUMN(StockCode!$A$4)))</f>
        <v/>
      </c>
      <c r="B34" s="2" t="str">
        <f>IF(ISNA(VLOOKUP($A34,StockMaster,COLUMN(StockCode!$B$4),0))=TRUE,"",VLOOKUP($A34,StockMaster,COLUMN(StockCode!$B$4),0))</f>
        <v/>
      </c>
      <c r="C34" s="3" t="str">
        <f>IF(ISNA(VLOOKUP($A34,StockMaster,COLUMN(StockCode!$C$4),0))=TRUE,"",VLOOKUP($A34,StockMaster,COLUMN(StockCode!$C$4),0))</f>
        <v/>
      </c>
      <c r="D34" s="110" t="str">
        <f>IF(ISNA(VLOOKUP($A34,StockMaster,COLUMN(StockCode!$J$4),0))=TRUE,"",VLOOKUP($A34,StockMaster,COLUMN(StockCode!$J$4),0))</f>
        <v/>
      </c>
      <c r="E34" s="5" t="str">
        <f>IF(ISNA(VLOOKUP($A34,StockMaster,COLUMN(StockCode!$K$4),0))=TRUE,"",VLOOKUP($A34,StockMaster,COLUMN(StockCode!$K$4),0))</f>
        <v/>
      </c>
      <c r="F34" s="5" t="str" cm="1">
        <f t="array" ref="F34">IF(LEN($A34)&lt;=1,"",-SUMIFS(JTQty,JTJob,$D$1,JTStockCode,$A34,JTType,"Issue"))</f>
        <v/>
      </c>
      <c r="G34" s="111" t="str">
        <f t="shared" si="5"/>
        <v/>
      </c>
      <c r="H34" s="111" t="str">
        <f t="shared" si="6"/>
        <v/>
      </c>
      <c r="I34" s="4" t="str">
        <f>IF(LEN($A34)&lt;=1,"",IF(ISNA(VLOOKUP($A34,StockMaster,COLUMN(StockCode!$I$4),0))=TRUE,0,VLOOKUP($A34,StockMaster,COLUMN(StockCode!$I$4),0)))</f>
        <v/>
      </c>
      <c r="J34" s="4" t="str" cm="1">
        <f t="array" ref="J34">IF(LEN($A34)&lt;=1,"",IF(F34=0,0,-SUMIFS(JTValue,JTJob,$D$1,JTStockCode,$A34,JTType,"Issue")/F34))</f>
        <v/>
      </c>
      <c r="K34" s="111" t="str">
        <f t="shared" si="7"/>
        <v/>
      </c>
      <c r="L34" s="111" t="str">
        <f t="shared" si="8"/>
        <v/>
      </c>
      <c r="M34" s="111" t="str">
        <f t="shared" si="3"/>
        <v/>
      </c>
      <c r="N34" s="111" t="str">
        <f t="shared" si="4"/>
        <v/>
      </c>
      <c r="O34" s="111" t="str">
        <f t="shared" si="9"/>
        <v/>
      </c>
    </row>
    <row r="35" spans="1:15" ht="16.149999999999999" customHeight="1" x14ac:dyDescent="0.25">
      <c r="A35" s="62" t="str">
        <f t="array" ref="A35">IF(ISERROR(INDEX(StockMaster,SMALL(IF(StockJRStatus="Y",ROW(StockJRStatus)-StockRef),ROW(26:26)),COLUMN(StockCode!$A$4)))=TRUE,"", INDEX(StockMaster,SMALL(IF(StockJRStatus="Y",ROW(StockJRStatus)-StockRef),ROW(26:26)),COLUMN(StockCode!$A$4)))</f>
        <v/>
      </c>
      <c r="B35" s="2" t="str">
        <f>IF(ISNA(VLOOKUP($A35,StockMaster,COLUMN(StockCode!$B$4),0))=TRUE,"",VLOOKUP($A35,StockMaster,COLUMN(StockCode!$B$4),0))</f>
        <v/>
      </c>
      <c r="C35" s="3" t="str">
        <f>IF(ISNA(VLOOKUP($A35,StockMaster,COLUMN(StockCode!$C$4),0))=TRUE,"",VLOOKUP($A35,StockMaster,COLUMN(StockCode!$C$4),0))</f>
        <v/>
      </c>
      <c r="D35" s="110" t="str">
        <f>IF(ISNA(VLOOKUP($A35,StockMaster,COLUMN(StockCode!$J$4),0))=TRUE,"",VLOOKUP($A35,StockMaster,COLUMN(StockCode!$J$4),0))</f>
        <v/>
      </c>
      <c r="E35" s="5" t="str">
        <f>IF(ISNA(VLOOKUP($A35,StockMaster,COLUMN(StockCode!$K$4),0))=TRUE,"",VLOOKUP($A35,StockMaster,COLUMN(StockCode!$K$4),0))</f>
        <v/>
      </c>
      <c r="F35" s="5" t="str" cm="1">
        <f t="array" ref="F35">IF(LEN($A35)&lt;=1,"",-SUMIFS(JTQty,JTJob,$D$1,JTStockCode,$A35,JTType,"Issue"))</f>
        <v/>
      </c>
      <c r="G35" s="111" t="str">
        <f t="shared" si="5"/>
        <v/>
      </c>
      <c r="H35" s="111" t="str">
        <f t="shared" si="6"/>
        <v/>
      </c>
      <c r="I35" s="4" t="str">
        <f>IF(LEN($A35)&lt;=1,"",IF(ISNA(VLOOKUP($A35,StockMaster,COLUMN(StockCode!$I$4),0))=TRUE,0,VLOOKUP($A35,StockMaster,COLUMN(StockCode!$I$4),0)))</f>
        <v/>
      </c>
      <c r="J35" s="4" t="str" cm="1">
        <f t="array" ref="J35">IF(LEN($A35)&lt;=1,"",IF(F35=0,0,-SUMIFS(JTValue,JTJob,$D$1,JTStockCode,$A35,JTType,"Issue")/F35))</f>
        <v/>
      </c>
      <c r="K35" s="111" t="str">
        <f t="shared" si="7"/>
        <v/>
      </c>
      <c r="L35" s="111" t="str">
        <f t="shared" si="8"/>
        <v/>
      </c>
      <c r="M35" s="111" t="str">
        <f t="shared" si="3"/>
        <v/>
      </c>
      <c r="N35" s="111" t="str">
        <f t="shared" si="4"/>
        <v/>
      </c>
      <c r="O35" s="111" t="str">
        <f t="shared" si="9"/>
        <v/>
      </c>
    </row>
    <row r="36" spans="1:15" ht="16.149999999999999" customHeight="1" x14ac:dyDescent="0.25">
      <c r="A36" s="62" t="str">
        <f t="array" ref="A36">IF(ISERROR(INDEX(StockMaster,SMALL(IF(StockJRStatus="Y",ROW(StockJRStatus)-StockRef),ROW(27:27)),COLUMN(StockCode!$A$4)))=TRUE,"", INDEX(StockMaster,SMALL(IF(StockJRStatus="Y",ROW(StockJRStatus)-StockRef),ROW(27:27)),COLUMN(StockCode!$A$4)))</f>
        <v/>
      </c>
      <c r="B36" s="2" t="str">
        <f>IF(ISNA(VLOOKUP($A36,StockMaster,COLUMN(StockCode!$B$4),0))=TRUE,"",VLOOKUP($A36,StockMaster,COLUMN(StockCode!$B$4),0))</f>
        <v/>
      </c>
      <c r="C36" s="3" t="str">
        <f>IF(ISNA(VLOOKUP($A36,StockMaster,COLUMN(StockCode!$C$4),0))=TRUE,"",VLOOKUP($A36,StockMaster,COLUMN(StockCode!$C$4),0))</f>
        <v/>
      </c>
      <c r="D36" s="110" t="str">
        <f>IF(ISNA(VLOOKUP($A36,StockMaster,COLUMN(StockCode!$J$4),0))=TRUE,"",VLOOKUP($A36,StockMaster,COLUMN(StockCode!$J$4),0))</f>
        <v/>
      </c>
      <c r="E36" s="5" t="str">
        <f>IF(ISNA(VLOOKUP($A36,StockMaster,COLUMN(StockCode!$K$4),0))=TRUE,"",VLOOKUP($A36,StockMaster,COLUMN(StockCode!$K$4),0))</f>
        <v/>
      </c>
      <c r="F36" s="5" t="str" cm="1">
        <f t="array" ref="F36">IF(LEN($A36)&lt;=1,"",-SUMIFS(JTQty,JTJob,$D$1,JTStockCode,$A36,JTType,"Issue"))</f>
        <v/>
      </c>
      <c r="G36" s="111" t="str">
        <f t="shared" si="5"/>
        <v/>
      </c>
      <c r="H36" s="111" t="str">
        <f t="shared" si="6"/>
        <v/>
      </c>
      <c r="I36" s="4" t="str">
        <f>IF(LEN($A36)&lt;=1,"",IF(ISNA(VLOOKUP($A36,StockMaster,COLUMN(StockCode!$I$4),0))=TRUE,0,VLOOKUP($A36,StockMaster,COLUMN(StockCode!$I$4),0)))</f>
        <v/>
      </c>
      <c r="J36" s="4" t="str" cm="1">
        <f t="array" ref="J36">IF(LEN($A36)&lt;=1,"",IF(F36=0,0,-SUMIFS(JTValue,JTJob,$D$1,JTStockCode,$A36,JTType,"Issue")/F36))</f>
        <v/>
      </c>
      <c r="K36" s="111" t="str">
        <f t="shared" si="7"/>
        <v/>
      </c>
      <c r="L36" s="111" t="str">
        <f t="shared" si="8"/>
        <v/>
      </c>
      <c r="M36" s="111" t="str">
        <f t="shared" si="3"/>
        <v/>
      </c>
      <c r="N36" s="111" t="str">
        <f t="shared" si="4"/>
        <v/>
      </c>
      <c r="O36" s="111" t="str">
        <f t="shared" si="9"/>
        <v/>
      </c>
    </row>
    <row r="37" spans="1:15" ht="16.149999999999999" customHeight="1" x14ac:dyDescent="0.25">
      <c r="A37" s="62" t="str">
        <f t="array" ref="A37">IF(ISERROR(INDEX(StockMaster,SMALL(IF(StockJRStatus="Y",ROW(StockJRStatus)-StockRef),ROW(28:28)),COLUMN(StockCode!$A$4)))=TRUE,"", INDEX(StockMaster,SMALL(IF(StockJRStatus="Y",ROW(StockJRStatus)-StockRef),ROW(28:28)),COLUMN(StockCode!$A$4)))</f>
        <v/>
      </c>
      <c r="B37" s="2" t="str">
        <f>IF(ISNA(VLOOKUP($A37,StockMaster,COLUMN(StockCode!$B$4),0))=TRUE,"",VLOOKUP($A37,StockMaster,COLUMN(StockCode!$B$4),0))</f>
        <v/>
      </c>
      <c r="C37" s="3" t="str">
        <f>IF(ISNA(VLOOKUP($A37,StockMaster,COLUMN(StockCode!$C$4),0))=TRUE,"",VLOOKUP($A37,StockMaster,COLUMN(StockCode!$C$4),0))</f>
        <v/>
      </c>
      <c r="D37" s="110" t="str">
        <f>IF(ISNA(VLOOKUP($A37,StockMaster,COLUMN(StockCode!$J$4),0))=TRUE,"",VLOOKUP($A37,StockMaster,COLUMN(StockCode!$J$4),0))</f>
        <v/>
      </c>
      <c r="E37" s="5" t="str">
        <f>IF(ISNA(VLOOKUP($A37,StockMaster,COLUMN(StockCode!$K$4),0))=TRUE,"",VLOOKUP($A37,StockMaster,COLUMN(StockCode!$K$4),0))</f>
        <v/>
      </c>
      <c r="F37" s="5" t="str" cm="1">
        <f t="array" ref="F37">IF(LEN($A37)&lt;=1,"",-SUMIFS(JTQty,JTJob,$D$1,JTStockCode,$A37,JTType,"Issue"))</f>
        <v/>
      </c>
      <c r="G37" s="111" t="str">
        <f t="shared" si="5"/>
        <v/>
      </c>
      <c r="H37" s="111" t="str">
        <f t="shared" si="6"/>
        <v/>
      </c>
      <c r="I37" s="4" t="str">
        <f>IF(LEN($A37)&lt;=1,"",IF(ISNA(VLOOKUP($A37,StockMaster,COLUMN(StockCode!$I$4),0))=TRUE,0,VLOOKUP($A37,StockMaster,COLUMN(StockCode!$I$4),0)))</f>
        <v/>
      </c>
      <c r="J37" s="4" t="str" cm="1">
        <f t="array" ref="J37">IF(LEN($A37)&lt;=1,"",IF(F37=0,0,-SUMIFS(JTValue,JTJob,$D$1,JTStockCode,$A37,JTType,"Issue")/F37))</f>
        <v/>
      </c>
      <c r="K37" s="111" t="str">
        <f t="shared" si="7"/>
        <v/>
      </c>
      <c r="L37" s="111" t="str">
        <f t="shared" si="8"/>
        <v/>
      </c>
      <c r="M37" s="111" t="str">
        <f t="shared" si="3"/>
        <v/>
      </c>
      <c r="N37" s="111" t="str">
        <f t="shared" si="4"/>
        <v/>
      </c>
      <c r="O37" s="111" t="str">
        <f t="shared" si="9"/>
        <v/>
      </c>
    </row>
    <row r="38" spans="1:15" ht="16.149999999999999" customHeight="1" x14ac:dyDescent="0.25">
      <c r="A38" s="62" t="str">
        <f t="array" ref="A38">IF(ISERROR(INDEX(StockMaster,SMALL(IF(StockJRStatus="Y",ROW(StockJRStatus)-StockRef),ROW(29:29)),COLUMN(StockCode!$A$4)))=TRUE,"", INDEX(StockMaster,SMALL(IF(StockJRStatus="Y",ROW(StockJRStatus)-StockRef),ROW(29:29)),COLUMN(StockCode!$A$4)))</f>
        <v/>
      </c>
      <c r="B38" s="2" t="str">
        <f>IF(ISNA(VLOOKUP($A38,StockMaster,COLUMN(StockCode!$B$4),0))=TRUE,"",VLOOKUP($A38,StockMaster,COLUMN(StockCode!$B$4),0))</f>
        <v/>
      </c>
      <c r="C38" s="3" t="str">
        <f>IF(ISNA(VLOOKUP($A38,StockMaster,COLUMN(StockCode!$C$4),0))=TRUE,"",VLOOKUP($A38,StockMaster,COLUMN(StockCode!$C$4),0))</f>
        <v/>
      </c>
      <c r="D38" s="110" t="str">
        <f>IF(ISNA(VLOOKUP($A38,StockMaster,COLUMN(StockCode!$J$4),0))=TRUE,"",VLOOKUP($A38,StockMaster,COLUMN(StockCode!$J$4),0))</f>
        <v/>
      </c>
      <c r="E38" s="5" t="str">
        <f>IF(ISNA(VLOOKUP($A38,StockMaster,COLUMN(StockCode!$K$4),0))=TRUE,"",VLOOKUP($A38,StockMaster,COLUMN(StockCode!$K$4),0))</f>
        <v/>
      </c>
      <c r="F38" s="5" t="str" cm="1">
        <f t="array" ref="F38">IF(LEN($A38)&lt;=1,"",-SUMIFS(JTQty,JTJob,$D$1,JTStockCode,$A38,JTType,"Issue"))</f>
        <v/>
      </c>
      <c r="G38" s="111" t="str">
        <f t="shared" si="5"/>
        <v/>
      </c>
      <c r="H38" s="111" t="str">
        <f t="shared" si="6"/>
        <v/>
      </c>
      <c r="I38" s="4" t="str">
        <f>IF(LEN($A38)&lt;=1,"",IF(ISNA(VLOOKUP($A38,StockMaster,COLUMN(StockCode!$I$4),0))=TRUE,0,VLOOKUP($A38,StockMaster,COLUMN(StockCode!$I$4),0)))</f>
        <v/>
      </c>
      <c r="J38" s="4" t="str" cm="1">
        <f t="array" ref="J38">IF(LEN($A38)&lt;=1,"",IF(F38=0,0,-SUMIFS(JTValue,JTJob,$D$1,JTStockCode,$A38,JTType,"Issue")/F38))</f>
        <v/>
      </c>
      <c r="K38" s="111" t="str">
        <f t="shared" si="7"/>
        <v/>
      </c>
      <c r="L38" s="111" t="str">
        <f t="shared" si="8"/>
        <v/>
      </c>
      <c r="M38" s="111" t="str">
        <f t="shared" si="3"/>
        <v/>
      </c>
      <c r="N38" s="111" t="str">
        <f t="shared" si="4"/>
        <v/>
      </c>
      <c r="O38" s="111" t="str">
        <f t="shared" si="9"/>
        <v/>
      </c>
    </row>
    <row r="39" spans="1:15" ht="16.149999999999999" customHeight="1" x14ac:dyDescent="0.25">
      <c r="A39" s="62" t="str">
        <f t="array" ref="A39">IF(ISERROR(INDEX(StockMaster,SMALL(IF(StockJRStatus="Y",ROW(StockJRStatus)-StockRef),ROW(30:30)),COLUMN(StockCode!$A$4)))=TRUE,"", INDEX(StockMaster,SMALL(IF(StockJRStatus="Y",ROW(StockJRStatus)-StockRef),ROW(30:30)),COLUMN(StockCode!$A$4)))</f>
        <v/>
      </c>
      <c r="B39" s="2" t="str">
        <f>IF(ISNA(VLOOKUP($A39,StockMaster,COLUMN(StockCode!$B$4),0))=TRUE,"",VLOOKUP($A39,StockMaster,COLUMN(StockCode!$B$4),0))</f>
        <v/>
      </c>
      <c r="C39" s="3" t="str">
        <f>IF(ISNA(VLOOKUP($A39,StockMaster,COLUMN(StockCode!$C$4),0))=TRUE,"",VLOOKUP($A39,StockMaster,COLUMN(StockCode!$C$4),0))</f>
        <v/>
      </c>
      <c r="D39" s="110" t="str">
        <f>IF(ISNA(VLOOKUP($A39,StockMaster,COLUMN(StockCode!$J$4),0))=TRUE,"",VLOOKUP($A39,StockMaster,COLUMN(StockCode!$J$4),0))</f>
        <v/>
      </c>
      <c r="E39" s="5" t="str">
        <f>IF(ISNA(VLOOKUP($A39,StockMaster,COLUMN(StockCode!$K$4),0))=TRUE,"",VLOOKUP($A39,StockMaster,COLUMN(StockCode!$K$4),0))</f>
        <v/>
      </c>
      <c r="F39" s="5" t="str" cm="1">
        <f t="array" ref="F39">IF(LEN($A39)&lt;=1,"",-SUMIFS(JTQty,JTJob,$D$1,JTStockCode,$A39,JTType,"Issue"))</f>
        <v/>
      </c>
      <c r="G39" s="111" t="str">
        <f t="shared" si="5"/>
        <v/>
      </c>
      <c r="H39" s="111" t="str">
        <f t="shared" si="6"/>
        <v/>
      </c>
      <c r="I39" s="4" t="str">
        <f>IF(LEN($A39)&lt;=1,"",IF(ISNA(VLOOKUP($A39,StockMaster,COLUMN(StockCode!$I$4),0))=TRUE,0,VLOOKUP($A39,StockMaster,COLUMN(StockCode!$I$4),0)))</f>
        <v/>
      </c>
      <c r="J39" s="4" t="str" cm="1">
        <f t="array" ref="J39">IF(LEN($A39)&lt;=1,"",IF(F39=0,0,-SUMIFS(JTValue,JTJob,$D$1,JTStockCode,$A39,JTType,"Issue")/F39))</f>
        <v/>
      </c>
      <c r="K39" s="111" t="str">
        <f t="shared" si="7"/>
        <v/>
      </c>
      <c r="L39" s="111" t="str">
        <f t="shared" si="8"/>
        <v/>
      </c>
      <c r="M39" s="111" t="str">
        <f t="shared" si="3"/>
        <v/>
      </c>
      <c r="N39" s="111" t="str">
        <f t="shared" si="4"/>
        <v/>
      </c>
      <c r="O39" s="111" t="str">
        <f t="shared" si="9"/>
        <v/>
      </c>
    </row>
  </sheetData>
  <sheetProtection formatCells="0" formatColumns="0" formatRows="0"/>
  <mergeCells count="4">
    <mergeCell ref="E8:H8"/>
    <mergeCell ref="I8:L8"/>
    <mergeCell ref="M8:O8"/>
    <mergeCell ref="M2:O2"/>
  </mergeCells>
  <phoneticPr fontId="2" type="noConversion"/>
  <conditionalFormatting sqref="O6">
    <cfRule type="cellIs" dxfId="15" priority="2" operator="notEqual">
      <formula>"ok"</formula>
    </cfRule>
    <cfRule type="cellIs" dxfId="14" priority="3" operator="equal">
      <formula>"ok"</formula>
    </cfRule>
  </conditionalFormatting>
  <conditionalFormatting sqref="D1">
    <cfRule type="expression" dxfId="13" priority="1">
      <formula>LEN(E1)&gt;1</formula>
    </cfRule>
  </conditionalFormatting>
  <pageMargins left="0.55118110236220474" right="0.55118110236220474" top="0.59055118110236227" bottom="0.59055118110236227" header="0.39370078740157483" footer="0.39370078740157483"/>
  <pageSetup paperSize="9" scale="69" orientation="landscape" r:id="rId1"/>
  <headerFooter alignWithMargins="0">
    <oddFooter>&amp;C&amp;9Page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N56"/>
  <sheetViews>
    <sheetView zoomScale="95" zoomScaleNormal="95" workbookViewId="0">
      <pane ySplit="6" topLeftCell="A7" activePane="bottomLeft" state="frozen"/>
      <selection pane="bottomLeft" activeCell="A7" sqref="A7"/>
    </sheetView>
  </sheetViews>
  <sheetFormatPr defaultColWidth="9.140625" defaultRowHeight="16.149999999999999" customHeight="1" x14ac:dyDescent="0.25"/>
  <cols>
    <col min="1" max="1" width="12.7109375" style="2" customWidth="1"/>
    <col min="2" max="2" width="25.7109375" style="2" customWidth="1"/>
    <col min="3" max="3" width="10.7109375" style="3" customWidth="1"/>
    <col min="4" max="5" width="12.7109375" style="3" customWidth="1"/>
    <col min="6" max="6" width="12.7109375" style="5" customWidth="1"/>
    <col min="7" max="7" width="15.7109375" style="4" customWidth="1"/>
    <col min="8" max="8" width="3.7109375" style="2" customWidth="1"/>
    <col min="9" max="9" width="12.7109375" style="2" customWidth="1"/>
    <col min="10" max="10" width="25.7109375" style="2" customWidth="1"/>
    <col min="11" max="11" width="12.7109375" style="3" customWidth="1"/>
    <col min="12" max="12" width="12.7109375" style="4" customWidth="1"/>
    <col min="13" max="13" width="12.7109375" style="2" customWidth="1"/>
    <col min="14" max="14" width="15.7109375" style="2" customWidth="1"/>
    <col min="15" max="15" width="3.7109375" style="2" customWidth="1"/>
    <col min="16" max="26" width="15.7109375" style="2" customWidth="1"/>
    <col min="27" max="16384" width="9.140625" style="2"/>
  </cols>
  <sheetData>
    <row r="1" spans="1:14" ht="16.149999999999999" customHeight="1" x14ac:dyDescent="0.25">
      <c r="A1" s="129" t="s">
        <v>113</v>
      </c>
      <c r="F1" s="114" t="s">
        <v>28</v>
      </c>
      <c r="G1" s="115">
        <f ca="1">TODAY()</f>
        <v>45321</v>
      </c>
      <c r="I1" s="129" t="s">
        <v>113</v>
      </c>
    </row>
    <row r="2" spans="1:14" ht="16.149999999999999" customHeight="1" x14ac:dyDescent="0.25">
      <c r="A2" s="10" t="s">
        <v>1</v>
      </c>
      <c r="I2" s="10" t="s">
        <v>1</v>
      </c>
    </row>
    <row r="3" spans="1:14" ht="16.149999999999999" customHeight="1" x14ac:dyDescent="0.25">
      <c r="A3" s="36" t="s">
        <v>30</v>
      </c>
    </row>
    <row r="4" spans="1:14" s="10" customFormat="1" ht="16.149999999999999" customHeight="1" x14ac:dyDescent="0.2">
      <c r="A4" s="10" t="s">
        <v>138</v>
      </c>
      <c r="C4" s="17"/>
      <c r="D4" s="17"/>
      <c r="E4" s="17"/>
      <c r="F4" s="19"/>
      <c r="G4" s="18"/>
      <c r="I4" s="10" t="s">
        <v>217</v>
      </c>
      <c r="K4" s="17"/>
      <c r="L4" s="18"/>
    </row>
    <row r="5" spans="1:14" s="10" customFormat="1" ht="16.149999999999999" customHeight="1" x14ac:dyDescent="0.2">
      <c r="C5" s="17"/>
      <c r="D5" s="17"/>
      <c r="E5" s="17"/>
      <c r="F5" s="19"/>
      <c r="G5" s="18">
        <f>SUBTOTAL(109,RequireMValue)</f>
        <v>2263425.3353973166</v>
      </c>
      <c r="K5" s="17"/>
      <c r="L5" s="18"/>
      <c r="N5" s="116">
        <f>SUM(N7:N56)</f>
        <v>2263425.3353973171</v>
      </c>
    </row>
    <row r="6" spans="1:14" s="123" customFormat="1" ht="18" customHeight="1" x14ac:dyDescent="0.25">
      <c r="A6" s="117" t="s">
        <v>4</v>
      </c>
      <c r="B6" s="118" t="s">
        <v>5</v>
      </c>
      <c r="C6" s="119" t="s">
        <v>6</v>
      </c>
      <c r="D6" s="119" t="s">
        <v>35</v>
      </c>
      <c r="E6" s="120" t="s">
        <v>29</v>
      </c>
      <c r="F6" s="121" t="s">
        <v>129</v>
      </c>
      <c r="G6" s="122" t="s">
        <v>120</v>
      </c>
      <c r="I6" s="124" t="s">
        <v>4</v>
      </c>
      <c r="J6" s="124" t="s">
        <v>5</v>
      </c>
      <c r="K6" s="125" t="s">
        <v>6</v>
      </c>
      <c r="L6" s="126" t="s">
        <v>29</v>
      </c>
      <c r="M6" s="127" t="s">
        <v>129</v>
      </c>
      <c r="N6" s="128" t="s">
        <v>120</v>
      </c>
    </row>
    <row r="7" spans="1:14" ht="16.149999999999999" customHeight="1" x14ac:dyDescent="0.25">
      <c r="A7" s="2" t="s">
        <v>67</v>
      </c>
      <c r="B7" s="2" t="str">
        <f>IF(ISNA(VLOOKUP($A7,StockMaster,COLUMN(StockCode!$B$4),0))=TRUE,"-",VLOOKUP($A7,StockMaster,COLUMN(StockCode!$B$4),0))</f>
        <v>Tools Shed</v>
      </c>
      <c r="C7" s="3" t="str">
        <f>IF(ISNA(VLOOKUP($A7,StockMaster,COLUMN(StockCode!$C$4),0))=TRUE,"-",VLOOKUP($A7,StockMaster,COLUMN(StockCode!$C$4),0))</f>
        <v>Units</v>
      </c>
      <c r="D7" s="3" t="str" cm="1">
        <f t="array" ref="D7">IF(COUNTIF(RequireCode,A7)&gt;1,"E1",IF(AND(ISBLANK(A7)=FALSE,ISNA(MATCH(A7,StockCodes,0))=TRUE)=TRUE,"E3","-"))</f>
        <v>-</v>
      </c>
      <c r="E7" s="31">
        <v>50</v>
      </c>
      <c r="F7" s="5">
        <f>IF(ISNA(VLOOKUP($A7,StockMaster,COLUMN(StockCode!$I$4),0))=TRUE,0,VLOOKUP($A7,StockMaster,COLUMN(StockCode!$I$4),0))</f>
        <v>3621.3137254901953</v>
      </c>
      <c r="G7" s="4">
        <f t="shared" ref="G7:G26" si="0">E7*F7</f>
        <v>181065.68627450976</v>
      </c>
      <c r="I7" s="2" t="str">
        <f t="array" ref="I7">IF(ISERROR(INDEX(StockMaster,SMALL(IF(StockRPStatus="Y",ROW(StockRPStatus)-StockRef),ROW(1:1)),COLUMN(StockCode!$A$4)))=TRUE,"", INDEX(StockMaster,SMALL(IF(StockRPStatus="Y",ROW(StockRPStatus)-StockRef),ROW(1:1)),COLUMN(StockCode!$A$4)))</f>
        <v>RM10</v>
      </c>
      <c r="J7" s="2" t="str">
        <f>IF(ISNA(VLOOKUP($I7,StockMaster,COLUMN(StockCode!$B$4),0))=TRUE,"",VLOOKUP($I7,StockMaster,COLUMN(StockCode!$B$4),0))</f>
        <v>Steel Plates</v>
      </c>
      <c r="K7" s="3" t="str">
        <f>IF(ISNA(VLOOKUP($I7,StockMaster,COLUMN(StockCode!$C$4),0))=TRUE,"",VLOOKUP($I7,StockMaster,COLUMN(StockCode!$C$4),0))</f>
        <v>M2</v>
      </c>
      <c r="L7" s="5">
        <f>IF(LEN($I7)&lt;=1,"",IF(ISNA(VLOOKUP($I7,StockMaster,COLUMN(StockCode!$N$4),0))=TRUE,0,VLOOKUP($I7,StockMaster,COLUMN(StockCode!$N$4),0)))</f>
        <v>6111.1111111111113</v>
      </c>
      <c r="M7" s="5">
        <f>IF(LEN($I7)&lt;=1,"",IF(ISNA(VLOOKUP($I7,StockMaster,COLUMN(StockCode!$I$4),0))=TRUE,0,VLOOKUP($I7,StockMaster,COLUMN(StockCode!$I$4),0)))</f>
        <v>140</v>
      </c>
      <c r="N7" s="5">
        <f>IF(LEN($I7)&lt;=1,"",L7*M7)</f>
        <v>855555.55555555562</v>
      </c>
    </row>
    <row r="8" spans="1:14" ht="16.149999999999999" customHeight="1" x14ac:dyDescent="0.25">
      <c r="A8" s="2" t="s">
        <v>41</v>
      </c>
      <c r="B8" s="2" t="str">
        <f>IF(ISNA(VLOOKUP($A8,StockMaster,COLUMN(StockCode!$B$4),0))=TRUE,"-",VLOOKUP($A8,StockMaster,COLUMN(StockCode!$B$4),0))</f>
        <v>Garden Shed</v>
      </c>
      <c r="C8" s="3" t="str">
        <f>IF(ISNA(VLOOKUP($A8,StockMaster,COLUMN(StockCode!$C$4),0))=TRUE,"-",VLOOKUP($A8,StockMaster,COLUMN(StockCode!$C$4),0))</f>
        <v>Units</v>
      </c>
      <c r="D8" s="3" t="str" cm="1">
        <f t="array" ref="D8">IF(COUNTIF(RequireCode,A8)&gt;1,"E1",IF(AND(ISBLANK(A8)=FALSE,ISNA(MATCH(A8,StockCodes,0))=TRUE)=TRUE,"E3","-"))</f>
        <v>-</v>
      </c>
      <c r="E8" s="31">
        <v>500</v>
      </c>
      <c r="F8" s="5">
        <f>IF(ISNA(VLOOKUP($A8,StockMaster,COLUMN(StockCode!$I$4),0))=TRUE,0,VLOOKUP($A8,StockMaster,COLUMN(StockCode!$I$4),0))</f>
        <v>4164.7192982456136</v>
      </c>
      <c r="G8" s="4">
        <f t="shared" si="0"/>
        <v>2082359.6491228067</v>
      </c>
      <c r="I8" s="2" t="str">
        <f t="array" ref="I8">IF(ISERROR(INDEX(StockMaster,SMALL(IF(StockRPStatus="Y",ROW(StockRPStatus)-StockRef),ROW(2:2)),COLUMN(StockCode!$A$4)))=TRUE,"", INDEX(StockMaster,SMALL(IF(StockRPStatus="Y",ROW(StockRPStatus)-StockRef),ROW(2:2)),COLUMN(StockCode!$A$4)))</f>
        <v>RM25</v>
      </c>
      <c r="J8" s="2" t="str">
        <f>IF(ISNA(VLOOKUP($I8,StockMaster,COLUMN(StockCode!$B$4),0))=TRUE,"",VLOOKUP($I8,StockMaster,COLUMN(StockCode!$B$4),0))</f>
        <v>Door Handle</v>
      </c>
      <c r="K8" s="3" t="str">
        <f>IF(ISNA(VLOOKUP($I8,StockMaster,COLUMN(StockCode!$C$4),0))=TRUE,"",VLOOKUP($I8,StockMaster,COLUMN(StockCode!$C$4),0))</f>
        <v>Units</v>
      </c>
      <c r="L8" s="5">
        <f>IF(LEN($I8)&lt;=1,"",IF(ISNA(VLOOKUP($I8,StockMaster,COLUMN(StockCode!$N$4),0))=TRUE,0,VLOOKUP($I8,StockMaster,COLUMN(StockCode!$N$4),0)))</f>
        <v>550</v>
      </c>
      <c r="M8" s="5">
        <f>IF(LEN($I8)&lt;=1,"",IF(ISNA(VLOOKUP($I8,StockMaster,COLUMN(StockCode!$I$4),0))=TRUE,0,VLOOKUP($I8,StockMaster,COLUMN(StockCode!$I$4),0)))</f>
        <v>150</v>
      </c>
      <c r="N8" s="5">
        <f t="shared" ref="N8:N56" si="1">IF(LEN($I8)&lt;=1,"",L8*M8)</f>
        <v>82500</v>
      </c>
    </row>
    <row r="9" spans="1:14" ht="16.149999999999999" customHeight="1" x14ac:dyDescent="0.25">
      <c r="B9" s="2" t="str">
        <f>IF(ISNA(VLOOKUP($A9,StockMaster,COLUMN(StockCode!$B$4),0))=TRUE,"-",VLOOKUP($A9,StockMaster,COLUMN(StockCode!$B$4),0))</f>
        <v>-</v>
      </c>
      <c r="C9" s="3" t="str">
        <f>IF(ISNA(VLOOKUP($A9,StockMaster,COLUMN(StockCode!$C$4),0))=TRUE,"-",VLOOKUP($A9,StockMaster,COLUMN(StockCode!$C$4),0))</f>
        <v>-</v>
      </c>
      <c r="D9" s="3" t="str" cm="1">
        <f t="array" ref="D9">IF(COUNTIF(RequireCode,A9)&gt;1,"E1",IF(AND(ISBLANK(A9)=FALSE,ISNA(MATCH(A9,StockCodes,0))=TRUE)=TRUE,"E3","-"))</f>
        <v>-</v>
      </c>
      <c r="E9" s="31"/>
      <c r="F9" s="5">
        <f>IF(ISNA(VLOOKUP($A9,StockMaster,COLUMN(StockCode!$I$4),0))=TRUE,0,VLOOKUP($A9,StockMaster,COLUMN(StockCode!$I$4),0))</f>
        <v>0</v>
      </c>
      <c r="G9" s="4">
        <f t="shared" si="0"/>
        <v>0</v>
      </c>
      <c r="I9" s="2" t="str">
        <f t="array" ref="I9">IF(ISERROR(INDEX(StockMaster,SMALL(IF(StockRPStatus="Y",ROW(StockRPStatus)-StockRef),ROW(3:3)),COLUMN(StockCode!$A$4)))=TRUE,"", INDEX(StockMaster,SMALL(IF(StockRPStatus="Y",ROW(StockRPStatus)-StockRef),ROW(3:3)),COLUMN(StockCode!$A$4)))</f>
        <v>RM30</v>
      </c>
      <c r="J9" s="2" t="str">
        <f>IF(ISNA(VLOOKUP($I9,StockMaster,COLUMN(StockCode!$B$4),0))=TRUE,"",VLOOKUP($I9,StockMaster,COLUMN(StockCode!$B$4),0))</f>
        <v>Wood</v>
      </c>
      <c r="K9" s="3" t="str">
        <f>IF(ISNA(VLOOKUP($I9,StockMaster,COLUMN(StockCode!$C$4),0))=TRUE,"",VLOOKUP($I9,StockMaster,COLUMN(StockCode!$C$4),0))</f>
        <v>M2</v>
      </c>
      <c r="L9" s="5">
        <f>IF(LEN($I9)&lt;=1,"",IF(ISNA(VLOOKUP($I9,StockMaster,COLUMN(StockCode!$N$4),0))=TRUE,0,VLOOKUP($I9,StockMaster,COLUMN(StockCode!$N$4),0)))</f>
        <v>8093.5672514619882</v>
      </c>
      <c r="M9" s="5">
        <f>IF(LEN($I9)&lt;=1,"",IF(ISNA(VLOOKUP($I9,StockMaster,COLUMN(StockCode!$I$4),0))=TRUE,0,VLOOKUP($I9,StockMaster,COLUMN(StockCode!$I$4),0)))</f>
        <v>120</v>
      </c>
      <c r="N9" s="5">
        <f t="shared" si="1"/>
        <v>971228.07017543854</v>
      </c>
    </row>
    <row r="10" spans="1:14" ht="16.149999999999999" customHeight="1" x14ac:dyDescent="0.25">
      <c r="B10" s="2" t="str">
        <f>IF(ISNA(VLOOKUP($A10,StockMaster,COLUMN(StockCode!$B$4),0))=TRUE,"-",VLOOKUP($A10,StockMaster,COLUMN(StockCode!$B$4),0))</f>
        <v>-</v>
      </c>
      <c r="C10" s="40" t="str">
        <f>IF(ISNA(VLOOKUP($A10,StockMaster,COLUMN(StockCode!$C$4),0))=TRUE,"-",VLOOKUP($A10,StockMaster,COLUMN(StockCode!$C$4),0))</f>
        <v>-</v>
      </c>
      <c r="D10" s="3" t="str" cm="1">
        <f t="array" ref="D10">IF(COUNTIF(RequireCode,A10)&gt;1,"E1",IF(AND(ISBLANK(A10)=FALSE,ISNA(MATCH(A10,StockCodes,0))=TRUE)=TRUE,"E3","-"))</f>
        <v>-</v>
      </c>
      <c r="E10" s="31"/>
      <c r="F10" s="5">
        <f>IF(ISNA(VLOOKUP($A10,StockMaster,COLUMN(StockCode!$I$4),0))=TRUE,0,VLOOKUP($A10,StockMaster,COLUMN(StockCode!$I$4),0))</f>
        <v>0</v>
      </c>
      <c r="G10" s="4">
        <f t="shared" si="0"/>
        <v>0</v>
      </c>
      <c r="I10" s="2" t="str">
        <f t="array" ref="I10">IF(ISERROR(INDEX(StockMaster,SMALL(IF(StockRPStatus="Y",ROW(StockRPStatus)-StockRef),ROW(4:4)),COLUMN(StockCode!$A$4)))=TRUE,"", INDEX(StockMaster,SMALL(IF(StockRPStatus="Y",ROW(StockRPStatus)-StockRef),ROW(4:4)),COLUMN(StockCode!$A$4)))</f>
        <v>RM50</v>
      </c>
      <c r="J10" s="2" t="str">
        <f>IF(ISNA(VLOOKUP($I10,StockMaster,COLUMN(StockCode!$B$4),0))=TRUE,"",VLOOKUP($I10,StockMaster,COLUMN(StockCode!$B$4),0))</f>
        <v>1 Inch Screws</v>
      </c>
      <c r="K10" s="3" t="str">
        <f>IF(ISNA(VLOOKUP($I10,StockMaster,COLUMN(StockCode!$C$4),0))=TRUE,"",VLOOKUP($I10,StockMaster,COLUMN(StockCode!$C$4),0))</f>
        <v>Bag</v>
      </c>
      <c r="L10" s="5">
        <f>IF(LEN($I10)&lt;=1,"",IF(ISNA(VLOOKUP($I10,StockMaster,COLUMN(StockCode!$N$4),0))=TRUE,0,VLOOKUP($I10,StockMaster,COLUMN(StockCode!$N$4),0)))</f>
        <v>61.111111111111107</v>
      </c>
      <c r="M10" s="5">
        <f>IF(LEN($I10)&lt;=1,"",IF(ISNA(VLOOKUP($I10,StockMaster,COLUMN(StockCode!$I$4),0))=TRUE,0,VLOOKUP($I10,StockMaster,COLUMN(StockCode!$I$4),0)))</f>
        <v>30</v>
      </c>
      <c r="N10" s="5">
        <f t="shared" si="1"/>
        <v>1833.3333333333333</v>
      </c>
    </row>
    <row r="11" spans="1:14" ht="16.149999999999999" customHeight="1" x14ac:dyDescent="0.25">
      <c r="B11" s="2" t="str">
        <f>IF(ISNA(VLOOKUP($A11,StockMaster,COLUMN(StockCode!$B$4),0))=TRUE,"-",VLOOKUP($A11,StockMaster,COLUMN(StockCode!$B$4),0))</f>
        <v>-</v>
      </c>
      <c r="C11" s="40" t="str">
        <f>IF(ISNA(VLOOKUP($A11,StockMaster,COLUMN(StockCode!$C$4),0))=TRUE,"-",VLOOKUP($A11,StockMaster,COLUMN(StockCode!$C$4),0))</f>
        <v>-</v>
      </c>
      <c r="D11" s="3" t="str" cm="1">
        <f t="array" ref="D11">IF(COUNTIF(RequireCode,A11)&gt;1,"E1",IF(AND(ISBLANK(A11)=FALSE,ISNA(MATCH(A11,StockCodes,0))=TRUE)=TRUE,"E3","-"))</f>
        <v>-</v>
      </c>
      <c r="E11" s="31"/>
      <c r="F11" s="5">
        <f>IF(ISNA(VLOOKUP($A11,StockMaster,COLUMN(StockCode!$I$4),0))=TRUE,0,VLOOKUP($A11,StockMaster,COLUMN(StockCode!$I$4),0))</f>
        <v>0</v>
      </c>
      <c r="G11" s="4">
        <f t="shared" si="0"/>
        <v>0</v>
      </c>
      <c r="I11" s="2" t="str">
        <f t="array" ref="I11">IF(ISERROR(INDEX(StockMaster,SMALL(IF(StockRPStatus="Y",ROW(StockRPStatus)-StockRef),ROW(5:5)),COLUMN(StockCode!$A$4)))=TRUE,"", INDEX(StockMaster,SMALL(IF(StockRPStatus="Y",ROW(StockRPStatus)-StockRef),ROW(5:5)),COLUMN(StockCode!$A$4)))</f>
        <v>RM55</v>
      </c>
      <c r="J11" s="2" t="str">
        <f>IF(ISNA(VLOOKUP($I11,StockMaster,COLUMN(StockCode!$B$4),0))=TRUE,"",VLOOKUP($I11,StockMaster,COLUMN(StockCode!$B$4),0))</f>
        <v>2 Inch Screws</v>
      </c>
      <c r="K11" s="3" t="str">
        <f>IF(ISNA(VLOOKUP($I11,StockMaster,COLUMN(StockCode!$C$4),0))=TRUE,"",VLOOKUP($I11,StockMaster,COLUMN(StockCode!$C$4),0))</f>
        <v>Bag</v>
      </c>
      <c r="L11" s="5">
        <f>IF(LEN($I11)&lt;=1,"",IF(ISNA(VLOOKUP($I11,StockMaster,COLUMN(StockCode!$N$4),0))=TRUE,0,VLOOKUP($I11,StockMaster,COLUMN(StockCode!$N$4),0)))</f>
        <v>1905.2287581699347</v>
      </c>
      <c r="M11" s="5">
        <f>IF(LEN($I11)&lt;=1,"",IF(ISNA(VLOOKUP($I11,StockMaster,COLUMN(StockCode!$I$4),0))=TRUE,0,VLOOKUP($I11,StockMaster,COLUMN(StockCode!$I$4),0)))</f>
        <v>50</v>
      </c>
      <c r="N11" s="5">
        <f t="shared" si="1"/>
        <v>95261.437908496737</v>
      </c>
    </row>
    <row r="12" spans="1:14" ht="16.149999999999999" customHeight="1" x14ac:dyDescent="0.25">
      <c r="B12" s="2" t="str">
        <f>IF(ISNA(VLOOKUP($A12,StockMaster,COLUMN(StockCode!$B$4),0))=TRUE,"-",VLOOKUP($A12,StockMaster,COLUMN(StockCode!$B$4),0))</f>
        <v>-</v>
      </c>
      <c r="C12" s="40" t="str">
        <f>IF(ISNA(VLOOKUP($A12,StockMaster,COLUMN(StockCode!$C$4),0))=TRUE,"-",VLOOKUP($A12,StockMaster,COLUMN(StockCode!$C$4),0))</f>
        <v>-</v>
      </c>
      <c r="D12" s="3" t="str" cm="1">
        <f t="array" ref="D12">IF(COUNTIF(RequireCode,A12)&gt;1,"E1",IF(AND(ISBLANK(A12)=FALSE,ISNA(MATCH(A12,StockCodes,0))=TRUE)=TRUE,"E3","-"))</f>
        <v>-</v>
      </c>
      <c r="E12" s="31"/>
      <c r="F12" s="5">
        <f>IF(ISNA(VLOOKUP($A12,StockMaster,COLUMN(StockCode!$I$4),0))=TRUE,0,VLOOKUP($A12,StockMaster,COLUMN(StockCode!$I$4),0))</f>
        <v>0</v>
      </c>
      <c r="G12" s="4">
        <f t="shared" si="0"/>
        <v>0</v>
      </c>
      <c r="I12" s="2" t="str">
        <f t="array" ref="I12">IF(ISERROR(INDEX(StockMaster,SMALL(IF(StockRPStatus="Y",ROW(StockRPStatus)-StockRef),ROW(6:6)),COLUMN(StockCode!$A$4)))=TRUE,"", INDEX(StockMaster,SMALL(IF(StockRPStatus="Y",ROW(StockRPStatus)-StockRef),ROW(6:6)),COLUMN(StockCode!$A$4)))</f>
        <v>RM60</v>
      </c>
      <c r="J12" s="2" t="str">
        <f>IF(ISNA(VLOOKUP($I12,StockMaster,COLUMN(StockCode!$B$4),0))=TRUE,"",VLOOKUP($I12,StockMaster,COLUMN(StockCode!$B$4),0))</f>
        <v>Glass</v>
      </c>
      <c r="K12" s="3" t="str">
        <f>IF(ISNA(VLOOKUP($I12,StockMaster,COLUMN(StockCode!$C$4),0))=TRUE,"",VLOOKUP($I12,StockMaster,COLUMN(StockCode!$C$4),0))</f>
        <v>M2</v>
      </c>
      <c r="L12" s="5">
        <f>IF(LEN($I12)&lt;=1,"",IF(ISNA(VLOOKUP($I12,StockMaster,COLUMN(StockCode!$N$4),0))=TRUE,0,VLOOKUP($I12,StockMaster,COLUMN(StockCode!$N$4),0)))</f>
        <v>1238.3900928792571</v>
      </c>
      <c r="M12" s="5">
        <f>IF(LEN($I12)&lt;=1,"",IF(ISNA(VLOOKUP($I12,StockMaster,COLUMN(StockCode!$I$4),0))=TRUE,0,VLOOKUP($I12,StockMaster,COLUMN(StockCode!$I$4),0)))</f>
        <v>80</v>
      </c>
      <c r="N12" s="5">
        <f t="shared" si="1"/>
        <v>99071.207430340568</v>
      </c>
    </row>
    <row r="13" spans="1:14" ht="16.149999999999999" customHeight="1" x14ac:dyDescent="0.25">
      <c r="B13" s="2" t="str">
        <f>IF(ISNA(VLOOKUP($A13,StockMaster,COLUMN(StockCode!$B$4),0))=TRUE,"-",VLOOKUP($A13,StockMaster,COLUMN(StockCode!$B$4),0))</f>
        <v>-</v>
      </c>
      <c r="C13" s="40" t="str">
        <f>IF(ISNA(VLOOKUP($A13,StockMaster,COLUMN(StockCode!$C$4),0))=TRUE,"-",VLOOKUP($A13,StockMaster,COLUMN(StockCode!$C$4),0))</f>
        <v>-</v>
      </c>
      <c r="D13" s="3" t="str" cm="1">
        <f t="array" ref="D13">IF(COUNTIF(RequireCode,A13)&gt;1,"E1",IF(AND(ISBLANK(A13)=FALSE,ISNA(MATCH(A13,StockCodes,0))=TRUE)=TRUE,"E3","-"))</f>
        <v>-</v>
      </c>
      <c r="E13" s="31"/>
      <c r="F13" s="5">
        <f>IF(ISNA(VLOOKUP($A13,StockMaster,COLUMN(StockCode!$I$4),0))=TRUE,0,VLOOKUP($A13,StockMaster,COLUMN(StockCode!$I$4),0))</f>
        <v>0</v>
      </c>
      <c r="G13" s="4">
        <f t="shared" si="0"/>
        <v>0</v>
      </c>
      <c r="I13" s="2" t="str">
        <f t="array" ref="I13">IF(ISERROR(INDEX(StockMaster,SMALL(IF(StockRPStatus="Y",ROW(StockRPStatus)-StockRef),ROW(7:7)),COLUMN(StockCode!$A$4)))=TRUE,"", INDEX(StockMaster,SMALL(IF(StockRPStatus="Y",ROW(StockRPStatus)-StockRef),ROW(7:7)),COLUMN(StockCode!$A$4)))</f>
        <v>RM70</v>
      </c>
      <c r="J13" s="2" t="str">
        <f>IF(ISNA(VLOOKUP($I13,StockMaster,COLUMN(StockCode!$B$4),0))=TRUE,"",VLOOKUP($I13,StockMaster,COLUMN(StockCode!$B$4),0))</f>
        <v>Filler</v>
      </c>
      <c r="K13" s="3" t="str">
        <f>IF(ISNA(VLOOKUP($I13,StockMaster,COLUMN(StockCode!$C$4),0))=TRUE,"",VLOOKUP($I13,StockMaster,COLUMN(StockCode!$C$4),0))</f>
        <v>Bag</v>
      </c>
      <c r="L13" s="5">
        <f>IF(LEN($I13)&lt;=1,"",IF(ISNA(VLOOKUP($I13,StockMaster,COLUMN(StockCode!$N$4),0))=TRUE,0,VLOOKUP($I13,StockMaster,COLUMN(StockCode!$N$4),0)))</f>
        <v>584.79532163742692</v>
      </c>
      <c r="M13" s="5">
        <f>IF(LEN($I13)&lt;=1,"",IF(ISNA(VLOOKUP($I13,StockMaster,COLUMN(StockCode!$I$4),0))=TRUE,0,VLOOKUP($I13,StockMaster,COLUMN(StockCode!$I$4),0)))</f>
        <v>60</v>
      </c>
      <c r="N13" s="5">
        <f t="shared" si="1"/>
        <v>35087.719298245618</v>
      </c>
    </row>
    <row r="14" spans="1:14" ht="16.149999999999999" customHeight="1" x14ac:dyDescent="0.25">
      <c r="B14" s="2" t="str">
        <f>IF(ISNA(VLOOKUP($A14,StockMaster,COLUMN(StockCode!$B$4),0))=TRUE,"-",VLOOKUP($A14,StockMaster,COLUMN(StockCode!$B$4),0))</f>
        <v>-</v>
      </c>
      <c r="C14" s="40" t="str">
        <f>IF(ISNA(VLOOKUP($A14,StockMaster,COLUMN(StockCode!$C$4),0))=TRUE,"-",VLOOKUP($A14,StockMaster,COLUMN(StockCode!$C$4),0))</f>
        <v>-</v>
      </c>
      <c r="D14" s="3" t="str" cm="1">
        <f t="array" ref="D14">IF(COUNTIF(RequireCode,A14)&gt;1,"E1",IF(AND(ISBLANK(A14)=FALSE,ISNA(MATCH(A14,StockCodes,0))=TRUE)=TRUE,"E3","-"))</f>
        <v>-</v>
      </c>
      <c r="E14" s="31"/>
      <c r="F14" s="5">
        <f>IF(ISNA(VLOOKUP($A14,StockMaster,COLUMN(StockCode!$I$4),0))=TRUE,0,VLOOKUP($A14,StockMaster,COLUMN(StockCode!$I$4),0))</f>
        <v>0</v>
      </c>
      <c r="G14" s="4">
        <f t="shared" si="0"/>
        <v>0</v>
      </c>
      <c r="I14" s="2" t="str">
        <f t="array" ref="I14">IF(ISERROR(INDEX(StockMaster,SMALL(IF(StockRPStatus="Y",ROW(StockRPStatus)-StockRef),ROW(8:8)),COLUMN(StockCode!$A$4)))=TRUE,"", INDEX(StockMaster,SMALL(IF(StockRPStatus="Y",ROW(StockRPStatus)-StockRef),ROW(8:8)),COLUMN(StockCode!$A$4)))</f>
        <v>RM75</v>
      </c>
      <c r="J14" s="2" t="str">
        <f>IF(ISNA(VLOOKUP($I14,StockMaster,COLUMN(StockCode!$B$4),0))=TRUE,"",VLOOKUP($I14,StockMaster,COLUMN(StockCode!$B$4),0))</f>
        <v>Swivel</v>
      </c>
      <c r="K14" s="3" t="str">
        <f>IF(ISNA(VLOOKUP($I14,StockMaster,COLUMN(StockCode!$C$4),0))=TRUE,"",VLOOKUP($I14,StockMaster,COLUMN(StockCode!$C$4),0))</f>
        <v>Units</v>
      </c>
      <c r="L14" s="5">
        <f>IF(LEN($I14)&lt;=1,"",IF(ISNA(VLOOKUP($I14,StockMaster,COLUMN(StockCode!$N$4),0))=TRUE,0,VLOOKUP($I14,StockMaster,COLUMN(StockCode!$N$4),0)))</f>
        <v>1100</v>
      </c>
      <c r="M14" s="5">
        <f>IF(LEN($I14)&lt;=1,"",IF(ISNA(VLOOKUP($I14,StockMaster,COLUMN(StockCode!$I$4),0))=TRUE,0,VLOOKUP($I14,StockMaster,COLUMN(StockCode!$I$4),0)))</f>
        <v>3.5</v>
      </c>
      <c r="N14" s="5">
        <f t="shared" si="1"/>
        <v>3850</v>
      </c>
    </row>
    <row r="15" spans="1:14" ht="16.149999999999999" customHeight="1" x14ac:dyDescent="0.25">
      <c r="B15" s="2" t="str">
        <f>IF(ISNA(VLOOKUP($A15,StockMaster,COLUMN(StockCode!$B$4),0))=TRUE,"-",VLOOKUP($A15,StockMaster,COLUMN(StockCode!$B$4),0))</f>
        <v>-</v>
      </c>
      <c r="C15" s="40" t="str">
        <f>IF(ISNA(VLOOKUP($A15,StockMaster,COLUMN(StockCode!$C$4),0))=TRUE,"-",VLOOKUP($A15,StockMaster,COLUMN(StockCode!$C$4),0))</f>
        <v>-</v>
      </c>
      <c r="D15" s="3" t="str" cm="1">
        <f t="array" ref="D15">IF(COUNTIF(RequireCode,A15)&gt;1,"E1",IF(AND(ISBLANK(A15)=FALSE,ISNA(MATCH(A15,StockCodes,0))=TRUE)=TRUE,"E3","-"))</f>
        <v>-</v>
      </c>
      <c r="E15" s="31"/>
      <c r="F15" s="5">
        <f>IF(ISNA(VLOOKUP($A15,StockMaster,COLUMN(StockCode!$I$4),0))=TRUE,0,VLOOKUP($A15,StockMaster,COLUMN(StockCode!$I$4),0))</f>
        <v>0</v>
      </c>
      <c r="G15" s="4">
        <f t="shared" si="0"/>
        <v>0</v>
      </c>
      <c r="I15" s="2" t="str">
        <f t="array" ref="I15">IF(ISERROR(INDEX(StockMaster,SMALL(IF(StockRPStatus="Y",ROW(StockRPStatus)-StockRef),ROW(9:9)),COLUMN(StockCode!$A$4)))=TRUE,"", INDEX(StockMaster,SMALL(IF(StockRPStatus="Y",ROW(StockRPStatus)-StockRef),ROW(9:9)),COLUMN(StockCode!$A$4)))</f>
        <v>LB10</v>
      </c>
      <c r="J15" s="2" t="str">
        <f>IF(ISNA(VLOOKUP($I15,StockMaster,COLUMN(StockCode!$B$4),0))=TRUE,"",VLOOKUP($I15,StockMaster,COLUMN(StockCode!$B$4),0))</f>
        <v>Labour - Grade 1</v>
      </c>
      <c r="K15" s="3" t="str">
        <f>IF(ISNA(VLOOKUP($I15,StockMaster,COLUMN(StockCode!$C$4),0))=TRUE,"",VLOOKUP($I15,StockMaster,COLUMN(StockCode!$C$4),0))</f>
        <v>Hours</v>
      </c>
      <c r="L15" s="5">
        <f>IF(LEN($I15)&lt;=1,"",IF(ISNA(VLOOKUP($I15,StockMaster,COLUMN(StockCode!$N$4),0))=TRUE,0,VLOOKUP($I15,StockMaster,COLUMN(StockCode!$N$4),0)))</f>
        <v>5126.9005847953222</v>
      </c>
      <c r="M15" s="5">
        <f>IF(LEN($I15)&lt;=1,"",IF(ISNA(VLOOKUP($I15,StockMaster,COLUMN(StockCode!$I$4),0))=TRUE,0,VLOOKUP($I15,StockMaster,COLUMN(StockCode!$I$4),0)))</f>
        <v>20</v>
      </c>
      <c r="N15" s="5">
        <f t="shared" si="1"/>
        <v>102538.01169590645</v>
      </c>
    </row>
    <row r="16" spans="1:14" ht="16.149999999999999" customHeight="1" x14ac:dyDescent="0.25">
      <c r="B16" s="2" t="str">
        <f>IF(ISNA(VLOOKUP($A16,StockMaster,COLUMN(StockCode!$B$4),0))=TRUE,"-",VLOOKUP($A16,StockMaster,COLUMN(StockCode!$B$4),0))</f>
        <v>-</v>
      </c>
      <c r="C16" s="40" t="str">
        <f>IF(ISNA(VLOOKUP($A16,StockMaster,COLUMN(StockCode!$C$4),0))=TRUE,"-",VLOOKUP($A16,StockMaster,COLUMN(StockCode!$C$4),0))</f>
        <v>-</v>
      </c>
      <c r="D16" s="3" t="str" cm="1">
        <f t="array" ref="D16">IF(COUNTIF(RequireCode,A16)&gt;1,"E1",IF(AND(ISBLANK(A16)=FALSE,ISNA(MATCH(A16,StockCodes,0))=TRUE)=TRUE,"E3","-"))</f>
        <v>-</v>
      </c>
      <c r="E16" s="31"/>
      <c r="F16" s="5">
        <f>IF(ISNA(VLOOKUP($A16,StockMaster,COLUMN(StockCode!$I$4),0))=TRUE,0,VLOOKUP($A16,StockMaster,COLUMN(StockCode!$I$4),0))</f>
        <v>0</v>
      </c>
      <c r="G16" s="4">
        <f t="shared" si="0"/>
        <v>0</v>
      </c>
      <c r="I16" s="2" t="str">
        <f t="array" ref="I16">IF(ISERROR(INDEX(StockMaster,SMALL(IF(StockRPStatus="Y",ROW(StockRPStatus)-StockRef),ROW(10:10)),COLUMN(StockCode!$A$4)))=TRUE,"", INDEX(StockMaster,SMALL(IF(StockRPStatus="Y",ROW(StockRPStatus)-StockRef),ROW(10:10)),COLUMN(StockCode!$A$4)))</f>
        <v>LB15</v>
      </c>
      <c r="J16" s="2" t="str">
        <f>IF(ISNA(VLOOKUP($I16,StockMaster,COLUMN(StockCode!$B$4),0))=TRUE,"",VLOOKUP($I16,StockMaster,COLUMN(StockCode!$B$4),0))</f>
        <v>Labour - Grade 2</v>
      </c>
      <c r="K16" s="3" t="str">
        <f>IF(ISNA(VLOOKUP($I16,StockMaster,COLUMN(StockCode!$C$4),0))=TRUE,"",VLOOKUP($I16,StockMaster,COLUMN(StockCode!$C$4),0))</f>
        <v>Hours</v>
      </c>
      <c r="L16" s="5">
        <f>IF(LEN($I16)&lt;=1,"",IF(ISNA(VLOOKUP($I16,StockMaster,COLUMN(StockCode!$N$4),0))=TRUE,0,VLOOKUP($I16,StockMaster,COLUMN(StockCode!$N$4),0)))</f>
        <v>550</v>
      </c>
      <c r="M16" s="5">
        <f>IF(LEN($I16)&lt;=1,"",IF(ISNA(VLOOKUP($I16,StockMaster,COLUMN(StockCode!$I$4),0))=TRUE,0,VLOOKUP($I16,StockMaster,COLUMN(StockCode!$I$4),0)))</f>
        <v>30</v>
      </c>
      <c r="N16" s="5">
        <f t="shared" si="1"/>
        <v>16500</v>
      </c>
    </row>
    <row r="17" spans="2:14" ht="16.149999999999999" customHeight="1" x14ac:dyDescent="0.25">
      <c r="B17" s="2" t="str">
        <f>IF(ISNA(VLOOKUP($A17,StockMaster,COLUMN(StockCode!$B$4),0))=TRUE,"-",VLOOKUP($A17,StockMaster,COLUMN(StockCode!$B$4),0))</f>
        <v>-</v>
      </c>
      <c r="C17" s="40" t="str">
        <f>IF(ISNA(VLOOKUP($A17,StockMaster,COLUMN(StockCode!$C$4),0))=TRUE,"-",VLOOKUP($A17,StockMaster,COLUMN(StockCode!$C$4),0))</f>
        <v>-</v>
      </c>
      <c r="D17" s="3" t="str" cm="1">
        <f t="array" ref="D17">IF(COUNTIF(RequireCode,A17)&gt;1,"E1",IF(AND(ISBLANK(A17)=FALSE,ISNA(MATCH(A17,StockCodes,0))=TRUE)=TRUE,"E3","-"))</f>
        <v>-</v>
      </c>
      <c r="E17" s="31"/>
      <c r="F17" s="5">
        <f>IF(ISNA(VLOOKUP($A17,StockMaster,COLUMN(StockCode!$I$4),0))=TRUE,0,VLOOKUP($A17,StockMaster,COLUMN(StockCode!$I$4),0))</f>
        <v>0</v>
      </c>
      <c r="G17" s="4">
        <f t="shared" si="0"/>
        <v>0</v>
      </c>
      <c r="I17" s="2" t="str">
        <f t="array" ref="I17">IF(ISERROR(INDEX(StockMaster,SMALL(IF(StockRPStatus="Y",ROW(StockRPStatus)-StockRef),ROW(11:11)),COLUMN(StockCode!$A$4)))=TRUE,"", INDEX(StockMaster,SMALL(IF(StockRPStatus="Y",ROW(StockRPStatus)-StockRef),ROW(11:11)),COLUMN(StockCode!$A$4)))</f>
        <v/>
      </c>
      <c r="J17" s="2" t="str">
        <f>IF(ISNA(VLOOKUP($I17,StockMaster,COLUMN(StockCode!$B$4),0))=TRUE,"",VLOOKUP($I17,StockMaster,COLUMN(StockCode!$B$4),0))</f>
        <v/>
      </c>
      <c r="K17" s="3" t="str">
        <f>IF(ISNA(VLOOKUP($I17,StockMaster,COLUMN(StockCode!$C$4),0))=TRUE,"",VLOOKUP($I17,StockMaster,COLUMN(StockCode!$C$4),0))</f>
        <v/>
      </c>
      <c r="L17" s="5" t="str">
        <f>IF(LEN($I17)&lt;=1,"",IF(ISNA(VLOOKUP($I17,StockMaster,COLUMN(StockCode!$N$4),0))=TRUE,0,VLOOKUP($I17,StockMaster,COLUMN(StockCode!$N$4),0)))</f>
        <v/>
      </c>
      <c r="M17" s="5" t="str">
        <f>IF(LEN($I17)&lt;=1,"",IF(ISNA(VLOOKUP($I17,StockMaster,COLUMN(StockCode!$I$4),0))=TRUE,0,VLOOKUP($I17,StockMaster,COLUMN(StockCode!$I$4),0)))</f>
        <v/>
      </c>
      <c r="N17" s="5" t="str">
        <f t="shared" si="1"/>
        <v/>
      </c>
    </row>
    <row r="18" spans="2:14" ht="16.149999999999999" customHeight="1" x14ac:dyDescent="0.25">
      <c r="B18" s="2" t="str">
        <f>IF(ISNA(VLOOKUP($A18,StockMaster,COLUMN(StockCode!$B$4),0))=TRUE,"-",VLOOKUP($A18,StockMaster,COLUMN(StockCode!$B$4),0))</f>
        <v>-</v>
      </c>
      <c r="C18" s="40" t="str">
        <f>IF(ISNA(VLOOKUP($A18,StockMaster,COLUMN(StockCode!$C$4),0))=TRUE,"-",VLOOKUP($A18,StockMaster,COLUMN(StockCode!$C$4),0))</f>
        <v>-</v>
      </c>
      <c r="D18" s="3" t="str" cm="1">
        <f t="array" ref="D18">IF(COUNTIF(RequireCode,A18)&gt;1,"E1",IF(AND(ISBLANK(A18)=FALSE,ISNA(MATCH(A18,StockCodes,0))=TRUE)=TRUE,"E3","-"))</f>
        <v>-</v>
      </c>
      <c r="E18" s="31"/>
      <c r="F18" s="5">
        <f>IF(ISNA(VLOOKUP($A18,StockMaster,COLUMN(StockCode!$I$4),0))=TRUE,0,VLOOKUP($A18,StockMaster,COLUMN(StockCode!$I$4),0))</f>
        <v>0</v>
      </c>
      <c r="G18" s="4">
        <f t="shared" si="0"/>
        <v>0</v>
      </c>
      <c r="I18" s="2" t="str">
        <f t="array" ref="I18">IF(ISERROR(INDEX(StockMaster,SMALL(IF(StockRPStatus="Y",ROW(StockRPStatus)-StockRef),ROW(12:12)),COLUMN(StockCode!$A$4)))=TRUE,"", INDEX(StockMaster,SMALL(IF(StockRPStatus="Y",ROW(StockRPStatus)-StockRef),ROW(12:12)),COLUMN(StockCode!$A$4)))</f>
        <v/>
      </c>
      <c r="J18" s="2" t="str">
        <f>IF(ISNA(VLOOKUP($I18,StockMaster,COLUMN(StockCode!$B$4),0))=TRUE,"",VLOOKUP($I18,StockMaster,COLUMN(StockCode!$B$4),0))</f>
        <v/>
      </c>
      <c r="K18" s="3" t="str">
        <f>IF(ISNA(VLOOKUP($I18,StockMaster,COLUMN(StockCode!$C$4),0))=TRUE,"",VLOOKUP($I18,StockMaster,COLUMN(StockCode!$C$4),0))</f>
        <v/>
      </c>
      <c r="L18" s="5" t="str">
        <f>IF(LEN($I18)&lt;=1,"",IF(ISNA(VLOOKUP($I18,StockMaster,COLUMN(StockCode!$N$4),0))=TRUE,0,VLOOKUP($I18,StockMaster,COLUMN(StockCode!$N$4),0)))</f>
        <v/>
      </c>
      <c r="M18" s="5" t="str">
        <f>IF(LEN($I18)&lt;=1,"",IF(ISNA(VLOOKUP($I18,StockMaster,COLUMN(StockCode!$I$4),0))=TRUE,0,VLOOKUP($I18,StockMaster,COLUMN(StockCode!$I$4),0)))</f>
        <v/>
      </c>
      <c r="N18" s="5" t="str">
        <f t="shared" si="1"/>
        <v/>
      </c>
    </row>
    <row r="19" spans="2:14" ht="16.149999999999999" customHeight="1" x14ac:dyDescent="0.25">
      <c r="B19" s="2" t="str">
        <f>IF(ISNA(VLOOKUP($A19,StockMaster,COLUMN(StockCode!$B$4),0))=TRUE,"-",VLOOKUP($A19,StockMaster,COLUMN(StockCode!$B$4),0))</f>
        <v>-</v>
      </c>
      <c r="C19" s="40" t="str">
        <f>IF(ISNA(VLOOKUP($A19,StockMaster,COLUMN(StockCode!$C$4),0))=TRUE,"-",VLOOKUP($A19,StockMaster,COLUMN(StockCode!$C$4),0))</f>
        <v>-</v>
      </c>
      <c r="D19" s="3" t="str" cm="1">
        <f t="array" ref="D19">IF(COUNTIF(RequireCode,A19)&gt;1,"E1",IF(AND(ISBLANK(A19)=FALSE,ISNA(MATCH(A19,StockCodes,0))=TRUE)=TRUE,"E3","-"))</f>
        <v>-</v>
      </c>
      <c r="E19" s="31"/>
      <c r="F19" s="5">
        <f>IF(ISNA(VLOOKUP($A19,StockMaster,COLUMN(StockCode!$I$4),0))=TRUE,0,VLOOKUP($A19,StockMaster,COLUMN(StockCode!$I$4),0))</f>
        <v>0</v>
      </c>
      <c r="G19" s="4">
        <f t="shared" si="0"/>
        <v>0</v>
      </c>
      <c r="I19" s="2" t="str">
        <f t="array" ref="I19">IF(ISERROR(INDEX(StockMaster,SMALL(IF(StockRPStatus="Y",ROW(StockRPStatus)-StockRef),ROW(13:13)),COLUMN(StockCode!$A$4)))=TRUE,"", INDEX(StockMaster,SMALL(IF(StockRPStatus="Y",ROW(StockRPStatus)-StockRef),ROW(13:13)),COLUMN(StockCode!$A$4)))</f>
        <v/>
      </c>
      <c r="J19" s="2" t="str">
        <f>IF(ISNA(VLOOKUP($I19,StockMaster,COLUMN(StockCode!$B$4),0))=TRUE,"",VLOOKUP($I19,StockMaster,COLUMN(StockCode!$B$4),0))</f>
        <v/>
      </c>
      <c r="K19" s="3" t="str">
        <f>IF(ISNA(VLOOKUP($I19,StockMaster,COLUMN(StockCode!$C$4),0))=TRUE,"",VLOOKUP($I19,StockMaster,COLUMN(StockCode!$C$4),0))</f>
        <v/>
      </c>
      <c r="L19" s="5" t="str">
        <f>IF(LEN($I19)&lt;=1,"",IF(ISNA(VLOOKUP($I19,StockMaster,COLUMN(StockCode!$N$4),0))=TRUE,0,VLOOKUP($I19,StockMaster,COLUMN(StockCode!$N$4),0)))</f>
        <v/>
      </c>
      <c r="M19" s="5" t="str">
        <f>IF(LEN($I19)&lt;=1,"",IF(ISNA(VLOOKUP($I19,StockMaster,COLUMN(StockCode!$I$4),0))=TRUE,0,VLOOKUP($I19,StockMaster,COLUMN(StockCode!$I$4),0)))</f>
        <v/>
      </c>
      <c r="N19" s="5" t="str">
        <f t="shared" si="1"/>
        <v/>
      </c>
    </row>
    <row r="20" spans="2:14" ht="16.149999999999999" customHeight="1" x14ac:dyDescent="0.25">
      <c r="B20" s="2" t="str">
        <f>IF(ISNA(VLOOKUP($A20,StockMaster,COLUMN(StockCode!$B$4),0))=TRUE,"-",VLOOKUP($A20,StockMaster,COLUMN(StockCode!$B$4),0))</f>
        <v>-</v>
      </c>
      <c r="C20" s="40" t="str">
        <f>IF(ISNA(VLOOKUP($A20,StockMaster,COLUMN(StockCode!$C$4),0))=TRUE,"-",VLOOKUP($A20,StockMaster,COLUMN(StockCode!$C$4),0))</f>
        <v>-</v>
      </c>
      <c r="D20" s="3" t="str" cm="1">
        <f t="array" ref="D20">IF(COUNTIF(RequireCode,A20)&gt;1,"E1",IF(AND(ISBLANK(A20)=FALSE,ISNA(MATCH(A20,StockCodes,0))=TRUE)=TRUE,"E3","-"))</f>
        <v>-</v>
      </c>
      <c r="E20" s="31"/>
      <c r="F20" s="5">
        <f>IF(ISNA(VLOOKUP($A20,StockMaster,COLUMN(StockCode!$I$4),0))=TRUE,0,VLOOKUP($A20,StockMaster,COLUMN(StockCode!$I$4),0))</f>
        <v>0</v>
      </c>
      <c r="G20" s="4">
        <f t="shared" si="0"/>
        <v>0</v>
      </c>
      <c r="I20" s="2" t="str">
        <f t="array" ref="I20">IF(ISERROR(INDEX(StockMaster,SMALL(IF(StockRPStatus="Y",ROW(StockRPStatus)-StockRef),ROW(14:14)),COLUMN(StockCode!$A$4)))=TRUE,"", INDEX(StockMaster,SMALL(IF(StockRPStatus="Y",ROW(StockRPStatus)-StockRef),ROW(14:14)),COLUMN(StockCode!$A$4)))</f>
        <v/>
      </c>
      <c r="J20" s="2" t="str">
        <f>IF(ISNA(VLOOKUP($I20,StockMaster,COLUMN(StockCode!$B$4),0))=TRUE,"",VLOOKUP($I20,StockMaster,COLUMN(StockCode!$B$4),0))</f>
        <v/>
      </c>
      <c r="K20" s="3" t="str">
        <f>IF(ISNA(VLOOKUP($I20,StockMaster,COLUMN(StockCode!$C$4),0))=TRUE,"",VLOOKUP($I20,StockMaster,COLUMN(StockCode!$C$4),0))</f>
        <v/>
      </c>
      <c r="L20" s="5" t="str">
        <f>IF(LEN($I20)&lt;=1,"",IF(ISNA(VLOOKUP($I20,StockMaster,COLUMN(StockCode!$N$4),0))=TRUE,0,VLOOKUP($I20,StockMaster,COLUMN(StockCode!$N$4),0)))</f>
        <v/>
      </c>
      <c r="M20" s="5" t="str">
        <f>IF(LEN($I20)&lt;=1,"",IF(ISNA(VLOOKUP($I20,StockMaster,COLUMN(StockCode!$I$4),0))=TRUE,0,VLOOKUP($I20,StockMaster,COLUMN(StockCode!$I$4),0)))</f>
        <v/>
      </c>
      <c r="N20" s="5" t="str">
        <f t="shared" si="1"/>
        <v/>
      </c>
    </row>
    <row r="21" spans="2:14" ht="16.149999999999999" customHeight="1" x14ac:dyDescent="0.25">
      <c r="B21" s="2" t="str">
        <f>IF(ISNA(VLOOKUP($A21,StockMaster,COLUMN(StockCode!$B$4),0))=TRUE,"-",VLOOKUP($A21,StockMaster,COLUMN(StockCode!$B$4),0))</f>
        <v>-</v>
      </c>
      <c r="C21" s="40" t="str">
        <f>IF(ISNA(VLOOKUP($A21,StockMaster,COLUMN(StockCode!$C$4),0))=TRUE,"-",VLOOKUP($A21,StockMaster,COLUMN(StockCode!$C$4),0))</f>
        <v>-</v>
      </c>
      <c r="D21" s="3" t="str" cm="1">
        <f t="array" ref="D21">IF(COUNTIF(RequireCode,A21)&gt;1,"E1",IF(AND(ISBLANK(A21)=FALSE,ISNA(MATCH(A21,StockCodes,0))=TRUE)=TRUE,"E3","-"))</f>
        <v>-</v>
      </c>
      <c r="E21" s="31"/>
      <c r="F21" s="5">
        <f>IF(ISNA(VLOOKUP($A21,StockMaster,COLUMN(StockCode!$I$4),0))=TRUE,0,VLOOKUP($A21,StockMaster,COLUMN(StockCode!$I$4),0))</f>
        <v>0</v>
      </c>
      <c r="G21" s="4">
        <f t="shared" si="0"/>
        <v>0</v>
      </c>
      <c r="I21" s="2" t="str">
        <f t="array" ref="I21">IF(ISERROR(INDEX(StockMaster,SMALL(IF(StockRPStatus="Y",ROW(StockRPStatus)-StockRef),ROW(15:15)),COLUMN(StockCode!$A$4)))=TRUE,"", INDEX(StockMaster,SMALL(IF(StockRPStatus="Y",ROW(StockRPStatus)-StockRef),ROW(15:15)),COLUMN(StockCode!$A$4)))</f>
        <v/>
      </c>
      <c r="J21" s="2" t="str">
        <f>IF(ISNA(VLOOKUP($I21,StockMaster,COLUMN(StockCode!$B$4),0))=TRUE,"",VLOOKUP($I21,StockMaster,COLUMN(StockCode!$B$4),0))</f>
        <v/>
      </c>
      <c r="K21" s="3" t="str">
        <f>IF(ISNA(VLOOKUP($I21,StockMaster,COLUMN(StockCode!$C$4),0))=TRUE,"",VLOOKUP($I21,StockMaster,COLUMN(StockCode!$C$4),0))</f>
        <v/>
      </c>
      <c r="L21" s="5" t="str">
        <f>IF(LEN($I21)&lt;=1,"",IF(ISNA(VLOOKUP($I21,StockMaster,COLUMN(StockCode!$N$4),0))=TRUE,0,VLOOKUP($I21,StockMaster,COLUMN(StockCode!$N$4),0)))</f>
        <v/>
      </c>
      <c r="M21" s="5" t="str">
        <f>IF(LEN($I21)&lt;=1,"",IF(ISNA(VLOOKUP($I21,StockMaster,COLUMN(StockCode!$I$4),0))=TRUE,0,VLOOKUP($I21,StockMaster,COLUMN(StockCode!$I$4),0)))</f>
        <v/>
      </c>
      <c r="N21" s="5" t="str">
        <f t="shared" si="1"/>
        <v/>
      </c>
    </row>
    <row r="22" spans="2:14" ht="16.149999999999999" customHeight="1" x14ac:dyDescent="0.25">
      <c r="B22" s="2" t="str">
        <f>IF(ISNA(VLOOKUP($A22,StockMaster,COLUMN(StockCode!$B$4),0))=TRUE,"-",VLOOKUP($A22,StockMaster,COLUMN(StockCode!$B$4),0))</f>
        <v>-</v>
      </c>
      <c r="C22" s="40" t="str">
        <f>IF(ISNA(VLOOKUP($A22,StockMaster,COLUMN(StockCode!$C$4),0))=TRUE,"-",VLOOKUP($A22,StockMaster,COLUMN(StockCode!$C$4),0))</f>
        <v>-</v>
      </c>
      <c r="D22" s="3" t="str" cm="1">
        <f t="array" ref="D22">IF(COUNTIF(RequireCode,A22)&gt;1,"E1",IF(AND(ISBLANK(A22)=FALSE,ISNA(MATCH(A22,StockCodes,0))=TRUE)=TRUE,"E3","-"))</f>
        <v>-</v>
      </c>
      <c r="E22" s="31"/>
      <c r="F22" s="5">
        <f>IF(ISNA(VLOOKUP($A22,StockMaster,COLUMN(StockCode!$I$4),0))=TRUE,0,VLOOKUP($A22,StockMaster,COLUMN(StockCode!$I$4),0))</f>
        <v>0</v>
      </c>
      <c r="G22" s="4">
        <f t="shared" si="0"/>
        <v>0</v>
      </c>
      <c r="I22" s="2" t="str">
        <f t="array" ref="I22">IF(ISERROR(INDEX(StockMaster,SMALL(IF(StockRPStatus="Y",ROW(StockRPStatus)-StockRef),ROW(16:16)),COLUMN(StockCode!$A$4)))=TRUE,"", INDEX(StockMaster,SMALL(IF(StockRPStatus="Y",ROW(StockRPStatus)-StockRef),ROW(16:16)),COLUMN(StockCode!$A$4)))</f>
        <v/>
      </c>
      <c r="J22" s="2" t="str">
        <f>IF(ISNA(VLOOKUP($I22,StockMaster,COLUMN(StockCode!$B$4),0))=TRUE,"",VLOOKUP($I22,StockMaster,COLUMN(StockCode!$B$4),0))</f>
        <v/>
      </c>
      <c r="K22" s="3" t="str">
        <f>IF(ISNA(VLOOKUP($I22,StockMaster,COLUMN(StockCode!$C$4),0))=TRUE,"",VLOOKUP($I22,StockMaster,COLUMN(StockCode!$C$4),0))</f>
        <v/>
      </c>
      <c r="L22" s="5" t="str">
        <f>IF(LEN($I22)&lt;=1,"",IF(ISNA(VLOOKUP($I22,StockMaster,COLUMN(StockCode!$N$4),0))=TRUE,0,VLOOKUP($I22,StockMaster,COLUMN(StockCode!$N$4),0)))</f>
        <v/>
      </c>
      <c r="M22" s="5" t="str">
        <f>IF(LEN($I22)&lt;=1,"",IF(ISNA(VLOOKUP($I22,StockMaster,COLUMN(StockCode!$I$4),0))=TRUE,0,VLOOKUP($I22,StockMaster,COLUMN(StockCode!$I$4),0)))</f>
        <v/>
      </c>
      <c r="N22" s="5" t="str">
        <f t="shared" si="1"/>
        <v/>
      </c>
    </row>
    <row r="23" spans="2:14" ht="16.149999999999999" customHeight="1" x14ac:dyDescent="0.25">
      <c r="B23" s="2" t="str">
        <f>IF(ISNA(VLOOKUP($A23,StockMaster,COLUMN(StockCode!$B$4),0))=TRUE,"-",VLOOKUP($A23,StockMaster,COLUMN(StockCode!$B$4),0))</f>
        <v>-</v>
      </c>
      <c r="C23" s="40" t="str">
        <f>IF(ISNA(VLOOKUP($A23,StockMaster,COLUMN(StockCode!$C$4),0))=TRUE,"-",VLOOKUP($A23,StockMaster,COLUMN(StockCode!$C$4),0))</f>
        <v>-</v>
      </c>
      <c r="D23" s="3" t="str" cm="1">
        <f t="array" ref="D23">IF(COUNTIF(RequireCode,A23)&gt;1,"E1",IF(AND(ISBLANK(A23)=FALSE,ISNA(MATCH(A23,StockCodes,0))=TRUE)=TRUE,"E3","-"))</f>
        <v>-</v>
      </c>
      <c r="E23" s="31"/>
      <c r="F23" s="5">
        <f>IF(ISNA(VLOOKUP($A23,StockMaster,COLUMN(StockCode!$I$4),0))=TRUE,0,VLOOKUP($A23,StockMaster,COLUMN(StockCode!$I$4),0))</f>
        <v>0</v>
      </c>
      <c r="G23" s="4">
        <f t="shared" si="0"/>
        <v>0</v>
      </c>
      <c r="I23" s="2" t="str">
        <f t="array" ref="I23">IF(ISERROR(INDEX(StockMaster,SMALL(IF(StockRPStatus="Y",ROW(StockRPStatus)-StockRef),ROW(17:17)),COLUMN(StockCode!$A$4)))=TRUE,"", INDEX(StockMaster,SMALL(IF(StockRPStatus="Y",ROW(StockRPStatus)-StockRef),ROW(17:17)),COLUMN(StockCode!$A$4)))</f>
        <v/>
      </c>
      <c r="J23" s="2" t="str">
        <f>IF(ISNA(VLOOKUP($I23,StockMaster,COLUMN(StockCode!$B$4),0))=TRUE,"",VLOOKUP($I23,StockMaster,COLUMN(StockCode!$B$4),0))</f>
        <v/>
      </c>
      <c r="K23" s="3" t="str">
        <f>IF(ISNA(VLOOKUP($I23,StockMaster,COLUMN(StockCode!$C$4),0))=TRUE,"",VLOOKUP($I23,StockMaster,COLUMN(StockCode!$C$4),0))</f>
        <v/>
      </c>
      <c r="L23" s="5" t="str">
        <f>IF(LEN($I23)&lt;=1,"",IF(ISNA(VLOOKUP($I23,StockMaster,COLUMN(StockCode!$N$4),0))=TRUE,0,VLOOKUP($I23,StockMaster,COLUMN(StockCode!$N$4),0)))</f>
        <v/>
      </c>
      <c r="M23" s="5" t="str">
        <f>IF(LEN($I23)&lt;=1,"",IF(ISNA(VLOOKUP($I23,StockMaster,COLUMN(StockCode!$I$4),0))=TRUE,0,VLOOKUP($I23,StockMaster,COLUMN(StockCode!$I$4),0)))</f>
        <v/>
      </c>
      <c r="N23" s="5" t="str">
        <f t="shared" si="1"/>
        <v/>
      </c>
    </row>
    <row r="24" spans="2:14" ht="16.149999999999999" customHeight="1" x14ac:dyDescent="0.25">
      <c r="B24" s="2" t="str">
        <f>IF(ISNA(VLOOKUP($A24,StockMaster,COLUMN(StockCode!$B$4),0))=TRUE,"-",VLOOKUP($A24,StockMaster,COLUMN(StockCode!$B$4),0))</f>
        <v>-</v>
      </c>
      <c r="C24" s="40" t="str">
        <f>IF(ISNA(VLOOKUP($A24,StockMaster,COLUMN(StockCode!$C$4),0))=TRUE,"-",VLOOKUP($A24,StockMaster,COLUMN(StockCode!$C$4),0))</f>
        <v>-</v>
      </c>
      <c r="D24" s="3" t="str" cm="1">
        <f t="array" ref="D24">IF(COUNTIF(RequireCode,A24)&gt;1,"E1",IF(AND(ISBLANK(A24)=FALSE,ISNA(MATCH(A24,StockCodes,0))=TRUE)=TRUE,"E3","-"))</f>
        <v>-</v>
      </c>
      <c r="E24" s="31"/>
      <c r="F24" s="5">
        <f>IF(ISNA(VLOOKUP($A24,StockMaster,COLUMN(StockCode!$I$4),0))=TRUE,0,VLOOKUP($A24,StockMaster,COLUMN(StockCode!$I$4),0))</f>
        <v>0</v>
      </c>
      <c r="G24" s="4">
        <f t="shared" si="0"/>
        <v>0</v>
      </c>
      <c r="I24" s="2" t="str">
        <f t="array" ref="I24">IF(ISERROR(INDEX(StockMaster,SMALL(IF(StockRPStatus="Y",ROW(StockRPStatus)-StockRef),ROW(18:18)),COLUMN(StockCode!$A$4)))=TRUE,"", INDEX(StockMaster,SMALL(IF(StockRPStatus="Y",ROW(StockRPStatus)-StockRef),ROW(18:18)),COLUMN(StockCode!$A$4)))</f>
        <v/>
      </c>
      <c r="J24" s="2" t="str">
        <f>IF(ISNA(VLOOKUP($I24,StockMaster,COLUMN(StockCode!$B$4),0))=TRUE,"",VLOOKUP($I24,StockMaster,COLUMN(StockCode!$B$4),0))</f>
        <v/>
      </c>
      <c r="K24" s="3" t="str">
        <f>IF(ISNA(VLOOKUP($I24,StockMaster,COLUMN(StockCode!$C$4),0))=TRUE,"",VLOOKUP($I24,StockMaster,COLUMN(StockCode!$C$4),0))</f>
        <v/>
      </c>
      <c r="L24" s="5" t="str">
        <f>IF(LEN($I24)&lt;=1,"",IF(ISNA(VLOOKUP($I24,StockMaster,COLUMN(StockCode!$N$4),0))=TRUE,0,VLOOKUP($I24,StockMaster,COLUMN(StockCode!$N$4),0)))</f>
        <v/>
      </c>
      <c r="M24" s="5" t="str">
        <f>IF(LEN($I24)&lt;=1,"",IF(ISNA(VLOOKUP($I24,StockMaster,COLUMN(StockCode!$I$4),0))=TRUE,0,VLOOKUP($I24,StockMaster,COLUMN(StockCode!$I$4),0)))</f>
        <v/>
      </c>
      <c r="N24" s="5" t="str">
        <f t="shared" si="1"/>
        <v/>
      </c>
    </row>
    <row r="25" spans="2:14" ht="16.149999999999999" customHeight="1" x14ac:dyDescent="0.25">
      <c r="B25" s="2" t="str">
        <f>IF(ISNA(VLOOKUP($A25,StockMaster,COLUMN(StockCode!$B$4),0))=TRUE,"-",VLOOKUP($A25,StockMaster,COLUMN(StockCode!$B$4),0))</f>
        <v>-</v>
      </c>
      <c r="C25" s="40" t="str">
        <f>IF(ISNA(VLOOKUP($A25,StockMaster,COLUMN(StockCode!$C$4),0))=TRUE,"-",VLOOKUP($A25,StockMaster,COLUMN(StockCode!$C$4),0))</f>
        <v>-</v>
      </c>
      <c r="D25" s="3" t="str" cm="1">
        <f t="array" ref="D25">IF(COUNTIF(RequireCode,A25)&gt;1,"E1",IF(AND(ISBLANK(A25)=FALSE,ISNA(MATCH(A25,StockCodes,0))=TRUE)=TRUE,"E3","-"))</f>
        <v>-</v>
      </c>
      <c r="E25" s="31"/>
      <c r="F25" s="5">
        <f>IF(ISNA(VLOOKUP($A25,StockMaster,COLUMN(StockCode!$I$4),0))=TRUE,0,VLOOKUP($A25,StockMaster,COLUMN(StockCode!$I$4),0))</f>
        <v>0</v>
      </c>
      <c r="G25" s="4">
        <f t="shared" si="0"/>
        <v>0</v>
      </c>
      <c r="I25" s="2" t="str">
        <f t="array" ref="I25">IF(ISERROR(INDEX(StockMaster,SMALL(IF(StockRPStatus="Y",ROW(StockRPStatus)-StockRef),ROW(19:19)),COLUMN(StockCode!$A$4)))=TRUE,"", INDEX(StockMaster,SMALL(IF(StockRPStatus="Y",ROW(StockRPStatus)-StockRef),ROW(19:19)),COLUMN(StockCode!$A$4)))</f>
        <v/>
      </c>
      <c r="J25" s="2" t="str">
        <f>IF(ISNA(VLOOKUP($I25,StockMaster,COLUMN(StockCode!$B$4),0))=TRUE,"",VLOOKUP($I25,StockMaster,COLUMN(StockCode!$B$4),0))</f>
        <v/>
      </c>
      <c r="K25" s="3" t="str">
        <f>IF(ISNA(VLOOKUP($I25,StockMaster,COLUMN(StockCode!$C$4),0))=TRUE,"",VLOOKUP($I25,StockMaster,COLUMN(StockCode!$C$4),0))</f>
        <v/>
      </c>
      <c r="L25" s="5" t="str">
        <f>IF(LEN($I25)&lt;=1,"",IF(ISNA(VLOOKUP($I25,StockMaster,COLUMN(StockCode!$N$4),0))=TRUE,0,VLOOKUP($I25,StockMaster,COLUMN(StockCode!$N$4),0)))</f>
        <v/>
      </c>
      <c r="M25" s="5" t="str">
        <f>IF(LEN($I25)&lt;=1,"",IF(ISNA(VLOOKUP($I25,StockMaster,COLUMN(StockCode!$I$4),0))=TRUE,0,VLOOKUP($I25,StockMaster,COLUMN(StockCode!$I$4),0)))</f>
        <v/>
      </c>
      <c r="N25" s="5" t="str">
        <f t="shared" si="1"/>
        <v/>
      </c>
    </row>
    <row r="26" spans="2:14" ht="16.149999999999999" customHeight="1" x14ac:dyDescent="0.25">
      <c r="B26" s="2" t="str">
        <f>IF(ISNA(VLOOKUP($A26,StockMaster,COLUMN(StockCode!$B$4),0))=TRUE,"-",VLOOKUP($A26,StockMaster,COLUMN(StockCode!$B$4),0))</f>
        <v>-</v>
      </c>
      <c r="C26" s="40" t="str">
        <f>IF(ISNA(VLOOKUP($A26,StockMaster,COLUMN(StockCode!$C$4),0))=TRUE,"-",VLOOKUP($A26,StockMaster,COLUMN(StockCode!$C$4),0))</f>
        <v>-</v>
      </c>
      <c r="D26" s="3" t="str" cm="1">
        <f t="array" ref="D26">IF(COUNTIF(RequireCode,A26)&gt;1,"E1",IF(AND(ISBLANK(A26)=FALSE,ISNA(MATCH(A26,StockCodes,0))=TRUE)=TRUE,"E3","-"))</f>
        <v>-</v>
      </c>
      <c r="E26" s="31"/>
      <c r="F26" s="5">
        <f>IF(ISNA(VLOOKUP($A26,StockMaster,COLUMN(StockCode!$I$4),0))=TRUE,0,VLOOKUP($A26,StockMaster,COLUMN(StockCode!$I$4),0))</f>
        <v>0</v>
      </c>
      <c r="G26" s="4">
        <f t="shared" si="0"/>
        <v>0</v>
      </c>
      <c r="I26" s="2" t="str">
        <f t="array" ref="I26">IF(ISERROR(INDEX(StockMaster,SMALL(IF(StockRPStatus="Y",ROW(StockRPStatus)-StockRef),ROW(20:20)),COLUMN(StockCode!$A$4)))=TRUE,"", INDEX(StockMaster,SMALL(IF(StockRPStatus="Y",ROW(StockRPStatus)-StockRef),ROW(20:20)),COLUMN(StockCode!$A$4)))</f>
        <v/>
      </c>
      <c r="J26" s="2" t="str">
        <f>IF(ISNA(VLOOKUP($I26,StockMaster,COLUMN(StockCode!$B$4),0))=TRUE,"",VLOOKUP($I26,StockMaster,COLUMN(StockCode!$B$4),0))</f>
        <v/>
      </c>
      <c r="K26" s="3" t="str">
        <f>IF(ISNA(VLOOKUP($I26,StockMaster,COLUMN(StockCode!$C$4),0))=TRUE,"",VLOOKUP($I26,StockMaster,COLUMN(StockCode!$C$4),0))</f>
        <v/>
      </c>
      <c r="L26" s="5" t="str">
        <f>IF(LEN($I26)&lt;=1,"",IF(ISNA(VLOOKUP($I26,StockMaster,COLUMN(StockCode!$N$4),0))=TRUE,0,VLOOKUP($I26,StockMaster,COLUMN(StockCode!$N$4),0)))</f>
        <v/>
      </c>
      <c r="M26" s="5" t="str">
        <f>IF(LEN($I26)&lt;=1,"",IF(ISNA(VLOOKUP($I26,StockMaster,COLUMN(StockCode!$I$4),0))=TRUE,0,VLOOKUP($I26,StockMaster,COLUMN(StockCode!$I$4),0)))</f>
        <v/>
      </c>
      <c r="N26" s="5" t="str">
        <f t="shared" si="1"/>
        <v/>
      </c>
    </row>
    <row r="27" spans="2:14" ht="16.149999999999999" customHeight="1" x14ac:dyDescent="0.25">
      <c r="I27" s="2" t="str">
        <f t="array" ref="I27">IF(ISERROR(INDEX(StockMaster,SMALL(IF(StockRPStatus="Y",ROW(StockRPStatus)-StockRef),ROW(21:21)),COLUMN(StockCode!$A$4)))=TRUE,"", INDEX(StockMaster,SMALL(IF(StockRPStatus="Y",ROW(StockRPStatus)-StockRef),ROW(21:21)),COLUMN(StockCode!$A$4)))</f>
        <v/>
      </c>
      <c r="J27" s="2" t="str">
        <f>IF(ISNA(VLOOKUP($I27,StockMaster,COLUMN(StockCode!$B$4),0))=TRUE,"",VLOOKUP($I27,StockMaster,COLUMN(StockCode!$B$4),0))</f>
        <v/>
      </c>
      <c r="K27" s="3" t="str">
        <f>IF(ISNA(VLOOKUP($I27,StockMaster,COLUMN(StockCode!$C$4),0))=TRUE,"",VLOOKUP($I27,StockMaster,COLUMN(StockCode!$C$4),0))</f>
        <v/>
      </c>
      <c r="L27" s="5" t="str">
        <f>IF(LEN($I27)&lt;=1,"",IF(ISNA(VLOOKUP($I27,StockMaster,COLUMN(StockCode!$N$4),0))=TRUE,0,VLOOKUP($I27,StockMaster,COLUMN(StockCode!$N$4),0)))</f>
        <v/>
      </c>
      <c r="M27" s="5" t="str">
        <f>IF(LEN($I27)&lt;=1,"",IF(ISNA(VLOOKUP($I27,StockMaster,COLUMN(StockCode!$I$4),0))=TRUE,0,VLOOKUP($I27,StockMaster,COLUMN(StockCode!$I$4),0)))</f>
        <v/>
      </c>
      <c r="N27" s="5" t="str">
        <f t="shared" si="1"/>
        <v/>
      </c>
    </row>
    <row r="28" spans="2:14" ht="16.149999999999999" customHeight="1" x14ac:dyDescent="0.25">
      <c r="I28" s="2" t="str">
        <f t="array" ref="I28">IF(ISERROR(INDEX(StockMaster,SMALL(IF(StockRPStatus="Y",ROW(StockRPStatus)-StockRef),ROW(22:22)),COLUMN(StockCode!$A$4)))=TRUE,"", INDEX(StockMaster,SMALL(IF(StockRPStatus="Y",ROW(StockRPStatus)-StockRef),ROW(22:22)),COLUMN(StockCode!$A$4)))</f>
        <v/>
      </c>
      <c r="J28" s="2" t="str">
        <f>IF(ISNA(VLOOKUP($I28,StockMaster,COLUMN(StockCode!$B$4),0))=TRUE,"",VLOOKUP($I28,StockMaster,COLUMN(StockCode!$B$4),0))</f>
        <v/>
      </c>
      <c r="K28" s="3" t="str">
        <f>IF(ISNA(VLOOKUP($I28,StockMaster,COLUMN(StockCode!$C$4),0))=TRUE,"",VLOOKUP($I28,StockMaster,COLUMN(StockCode!$C$4),0))</f>
        <v/>
      </c>
      <c r="L28" s="5" t="str">
        <f>IF(LEN($I28)&lt;=1,"",IF(ISNA(VLOOKUP($I28,StockMaster,COLUMN(StockCode!$N$4),0))=TRUE,0,VLOOKUP($I28,StockMaster,COLUMN(StockCode!$N$4),0)))</f>
        <v/>
      </c>
      <c r="M28" s="5" t="str">
        <f>IF(LEN($I28)&lt;=1,"",IF(ISNA(VLOOKUP($I28,StockMaster,COLUMN(StockCode!$I$4),0))=TRUE,0,VLOOKUP($I28,StockMaster,COLUMN(StockCode!$I$4),0)))</f>
        <v/>
      </c>
      <c r="N28" s="5" t="str">
        <f t="shared" si="1"/>
        <v/>
      </c>
    </row>
    <row r="29" spans="2:14" ht="16.149999999999999" customHeight="1" x14ac:dyDescent="0.25">
      <c r="I29" s="2" t="str">
        <f t="array" ref="I29">IF(ISERROR(INDEX(StockMaster,SMALL(IF(StockRPStatus="Y",ROW(StockRPStatus)-StockRef),ROW(23:23)),COLUMN(StockCode!$A$4)))=TRUE,"", INDEX(StockMaster,SMALL(IF(StockRPStatus="Y",ROW(StockRPStatus)-StockRef),ROW(23:23)),COLUMN(StockCode!$A$4)))</f>
        <v/>
      </c>
      <c r="J29" s="2" t="str">
        <f>IF(ISNA(VLOOKUP($I29,StockMaster,COLUMN(StockCode!$B$4),0))=TRUE,"",VLOOKUP($I29,StockMaster,COLUMN(StockCode!$B$4),0))</f>
        <v/>
      </c>
      <c r="K29" s="3" t="str">
        <f>IF(ISNA(VLOOKUP($I29,StockMaster,COLUMN(StockCode!$C$4),0))=TRUE,"",VLOOKUP($I29,StockMaster,COLUMN(StockCode!$C$4),0))</f>
        <v/>
      </c>
      <c r="L29" s="5" t="str">
        <f>IF(LEN($I29)&lt;=1,"",IF(ISNA(VLOOKUP($I29,StockMaster,COLUMN(StockCode!$N$4),0))=TRUE,0,VLOOKUP($I29,StockMaster,COLUMN(StockCode!$N$4),0)))</f>
        <v/>
      </c>
      <c r="M29" s="5" t="str">
        <f>IF(LEN($I29)&lt;=1,"",IF(ISNA(VLOOKUP($I29,StockMaster,COLUMN(StockCode!$I$4),0))=TRUE,0,VLOOKUP($I29,StockMaster,COLUMN(StockCode!$I$4),0)))</f>
        <v/>
      </c>
      <c r="N29" s="5" t="str">
        <f t="shared" si="1"/>
        <v/>
      </c>
    </row>
    <row r="30" spans="2:14" ht="16.149999999999999" customHeight="1" x14ac:dyDescent="0.25">
      <c r="I30" s="2" t="str">
        <f t="array" ref="I30">IF(ISERROR(INDEX(StockMaster,SMALL(IF(StockRPStatus="Y",ROW(StockRPStatus)-StockRef),ROW(24:24)),COLUMN(StockCode!$A$4)))=TRUE,"", INDEX(StockMaster,SMALL(IF(StockRPStatus="Y",ROW(StockRPStatus)-StockRef),ROW(24:24)),COLUMN(StockCode!$A$4)))</f>
        <v/>
      </c>
      <c r="J30" s="2" t="str">
        <f>IF(ISNA(VLOOKUP($I30,StockMaster,COLUMN(StockCode!$B$4),0))=TRUE,"",VLOOKUP($I30,StockMaster,COLUMN(StockCode!$B$4),0))</f>
        <v/>
      </c>
      <c r="K30" s="3" t="str">
        <f>IF(ISNA(VLOOKUP($I30,StockMaster,COLUMN(StockCode!$C$4),0))=TRUE,"",VLOOKUP($I30,StockMaster,COLUMN(StockCode!$C$4),0))</f>
        <v/>
      </c>
      <c r="L30" s="5" t="str">
        <f>IF(LEN($I30)&lt;=1,"",IF(ISNA(VLOOKUP($I30,StockMaster,COLUMN(StockCode!$N$4),0))=TRUE,0,VLOOKUP($I30,StockMaster,COLUMN(StockCode!$N$4),0)))</f>
        <v/>
      </c>
      <c r="M30" s="5" t="str">
        <f>IF(LEN($I30)&lt;=1,"",IF(ISNA(VLOOKUP($I30,StockMaster,COLUMN(StockCode!$I$4),0))=TRUE,0,VLOOKUP($I30,StockMaster,COLUMN(StockCode!$I$4),0)))</f>
        <v/>
      </c>
      <c r="N30" s="5" t="str">
        <f t="shared" si="1"/>
        <v/>
      </c>
    </row>
    <row r="31" spans="2:14" ht="16.149999999999999" customHeight="1" x14ac:dyDescent="0.25">
      <c r="I31" s="2" t="str">
        <f t="array" ref="I31">IF(ISERROR(INDEX(StockMaster,SMALL(IF(StockRPStatus="Y",ROW(StockRPStatus)-StockRef),ROW(25:25)),COLUMN(StockCode!$A$4)))=TRUE,"", INDEX(StockMaster,SMALL(IF(StockRPStatus="Y",ROW(StockRPStatus)-StockRef),ROW(25:25)),COLUMN(StockCode!$A$4)))</f>
        <v/>
      </c>
      <c r="J31" s="2" t="str">
        <f>IF(ISNA(VLOOKUP($I31,StockMaster,COLUMN(StockCode!$B$4),0))=TRUE,"",VLOOKUP($I31,StockMaster,COLUMN(StockCode!$B$4),0))</f>
        <v/>
      </c>
      <c r="K31" s="3" t="str">
        <f>IF(ISNA(VLOOKUP($I31,StockMaster,COLUMN(StockCode!$C$4),0))=TRUE,"",VLOOKUP($I31,StockMaster,COLUMN(StockCode!$C$4),0))</f>
        <v/>
      </c>
      <c r="L31" s="5" t="str">
        <f>IF(LEN($I31)&lt;=1,"",IF(ISNA(VLOOKUP($I31,StockMaster,COLUMN(StockCode!$N$4),0))=TRUE,0,VLOOKUP($I31,StockMaster,COLUMN(StockCode!$N$4),0)))</f>
        <v/>
      </c>
      <c r="M31" s="5" t="str">
        <f>IF(LEN($I31)&lt;=1,"",IF(ISNA(VLOOKUP($I31,StockMaster,COLUMN(StockCode!$I$4),0))=TRUE,0,VLOOKUP($I31,StockMaster,COLUMN(StockCode!$I$4),0)))</f>
        <v/>
      </c>
      <c r="N31" s="5" t="str">
        <f t="shared" si="1"/>
        <v/>
      </c>
    </row>
    <row r="32" spans="2:14" ht="16.149999999999999" customHeight="1" x14ac:dyDescent="0.25">
      <c r="I32" s="2" t="str">
        <f t="array" ref="I32">IF(ISERROR(INDEX(StockMaster,SMALL(IF(StockRPStatus="Y",ROW(StockRPStatus)-StockRef),ROW(26:26)),COLUMN(StockCode!$A$4)))=TRUE,"", INDEX(StockMaster,SMALL(IF(StockRPStatus="Y",ROW(StockRPStatus)-StockRef),ROW(26:26)),COLUMN(StockCode!$A$4)))</f>
        <v/>
      </c>
      <c r="J32" s="2" t="str">
        <f>IF(ISNA(VLOOKUP($I32,StockMaster,COLUMN(StockCode!$B$4),0))=TRUE,"",VLOOKUP($I32,StockMaster,COLUMN(StockCode!$B$4),0))</f>
        <v/>
      </c>
      <c r="K32" s="3" t="str">
        <f>IF(ISNA(VLOOKUP($I32,StockMaster,COLUMN(StockCode!$C$4),0))=TRUE,"",VLOOKUP($I32,StockMaster,COLUMN(StockCode!$C$4),0))</f>
        <v/>
      </c>
      <c r="L32" s="5" t="str">
        <f>IF(LEN($I32)&lt;=1,"",IF(ISNA(VLOOKUP($I32,StockMaster,COLUMN(StockCode!$N$4),0))=TRUE,0,VLOOKUP($I32,StockMaster,COLUMN(StockCode!$N$4),0)))</f>
        <v/>
      </c>
      <c r="M32" s="5" t="str">
        <f>IF(LEN($I32)&lt;=1,"",IF(ISNA(VLOOKUP($I32,StockMaster,COLUMN(StockCode!$I$4),0))=TRUE,0,VLOOKUP($I32,StockMaster,COLUMN(StockCode!$I$4),0)))</f>
        <v/>
      </c>
      <c r="N32" s="5" t="str">
        <f t="shared" si="1"/>
        <v/>
      </c>
    </row>
    <row r="33" spans="9:14" ht="16.149999999999999" customHeight="1" x14ac:dyDescent="0.25">
      <c r="I33" s="2" t="str">
        <f t="array" ref="I33">IF(ISERROR(INDEX(StockMaster,SMALL(IF(StockRPStatus="Y",ROW(StockRPStatus)-StockRef),ROW(27:27)),COLUMN(StockCode!$A$4)))=TRUE,"", INDEX(StockMaster,SMALL(IF(StockRPStatus="Y",ROW(StockRPStatus)-StockRef),ROW(27:27)),COLUMN(StockCode!$A$4)))</f>
        <v/>
      </c>
      <c r="J33" s="2" t="str">
        <f>IF(ISNA(VLOOKUP($I33,StockMaster,COLUMN(StockCode!$B$4),0))=TRUE,"",VLOOKUP($I33,StockMaster,COLUMN(StockCode!$B$4),0))</f>
        <v/>
      </c>
      <c r="K33" s="3" t="str">
        <f>IF(ISNA(VLOOKUP($I33,StockMaster,COLUMN(StockCode!$C$4),0))=TRUE,"",VLOOKUP($I33,StockMaster,COLUMN(StockCode!$C$4),0))</f>
        <v/>
      </c>
      <c r="L33" s="5" t="str">
        <f>IF(LEN($I33)&lt;=1,"",IF(ISNA(VLOOKUP($I33,StockMaster,COLUMN(StockCode!$N$4),0))=TRUE,0,VLOOKUP($I33,StockMaster,COLUMN(StockCode!$N$4),0)))</f>
        <v/>
      </c>
      <c r="M33" s="5" t="str">
        <f>IF(LEN($I33)&lt;=1,"",IF(ISNA(VLOOKUP($I33,StockMaster,COLUMN(StockCode!$I$4),0))=TRUE,0,VLOOKUP($I33,StockMaster,COLUMN(StockCode!$I$4),0)))</f>
        <v/>
      </c>
      <c r="N33" s="5" t="str">
        <f t="shared" si="1"/>
        <v/>
      </c>
    </row>
    <row r="34" spans="9:14" ht="16.149999999999999" customHeight="1" x14ac:dyDescent="0.25">
      <c r="I34" s="2" t="str">
        <f t="array" ref="I34">IF(ISERROR(INDEX(StockMaster,SMALL(IF(StockRPStatus="Y",ROW(StockRPStatus)-StockRef),ROW(28:28)),COLUMN(StockCode!$A$4)))=TRUE,"", INDEX(StockMaster,SMALL(IF(StockRPStatus="Y",ROW(StockRPStatus)-StockRef),ROW(28:28)),COLUMN(StockCode!$A$4)))</f>
        <v/>
      </c>
      <c r="J34" s="2" t="str">
        <f>IF(ISNA(VLOOKUP($I34,StockMaster,COLUMN(StockCode!$B$4),0))=TRUE,"",VLOOKUP($I34,StockMaster,COLUMN(StockCode!$B$4),0))</f>
        <v/>
      </c>
      <c r="K34" s="3" t="str">
        <f>IF(ISNA(VLOOKUP($I34,StockMaster,COLUMN(StockCode!$C$4),0))=TRUE,"",VLOOKUP($I34,StockMaster,COLUMN(StockCode!$C$4),0))</f>
        <v/>
      </c>
      <c r="L34" s="5" t="str">
        <f>IF(LEN($I34)&lt;=1,"",IF(ISNA(VLOOKUP($I34,StockMaster,COLUMN(StockCode!$N$4),0))=TRUE,0,VLOOKUP($I34,StockMaster,COLUMN(StockCode!$N$4),0)))</f>
        <v/>
      </c>
      <c r="M34" s="5" t="str">
        <f>IF(LEN($I34)&lt;=1,"",IF(ISNA(VLOOKUP($I34,StockMaster,COLUMN(StockCode!$I$4),0))=TRUE,0,VLOOKUP($I34,StockMaster,COLUMN(StockCode!$I$4),0)))</f>
        <v/>
      </c>
      <c r="N34" s="5" t="str">
        <f t="shared" si="1"/>
        <v/>
      </c>
    </row>
    <row r="35" spans="9:14" ht="16.149999999999999" customHeight="1" x14ac:dyDescent="0.25">
      <c r="I35" s="2" t="str">
        <f t="array" ref="I35">IF(ISERROR(INDEX(StockMaster,SMALL(IF(StockRPStatus="Y",ROW(StockRPStatus)-StockRef),ROW(29:29)),COLUMN(StockCode!$A$4)))=TRUE,"", INDEX(StockMaster,SMALL(IF(StockRPStatus="Y",ROW(StockRPStatus)-StockRef),ROW(29:29)),COLUMN(StockCode!$A$4)))</f>
        <v/>
      </c>
      <c r="J35" s="2" t="str">
        <f>IF(ISNA(VLOOKUP($I35,StockMaster,COLUMN(StockCode!$B$4),0))=TRUE,"",VLOOKUP($I35,StockMaster,COLUMN(StockCode!$B$4),0))</f>
        <v/>
      </c>
      <c r="K35" s="3" t="str">
        <f>IF(ISNA(VLOOKUP($I35,StockMaster,COLUMN(StockCode!$C$4),0))=TRUE,"",VLOOKUP($I35,StockMaster,COLUMN(StockCode!$C$4),0))</f>
        <v/>
      </c>
      <c r="L35" s="5" t="str">
        <f>IF(LEN($I35)&lt;=1,"",IF(ISNA(VLOOKUP($I35,StockMaster,COLUMN(StockCode!$N$4),0))=TRUE,0,VLOOKUP($I35,StockMaster,COLUMN(StockCode!$N$4),0)))</f>
        <v/>
      </c>
      <c r="M35" s="5" t="str">
        <f>IF(LEN($I35)&lt;=1,"",IF(ISNA(VLOOKUP($I35,StockMaster,COLUMN(StockCode!$I$4),0))=TRUE,0,VLOOKUP($I35,StockMaster,COLUMN(StockCode!$I$4),0)))</f>
        <v/>
      </c>
      <c r="N35" s="5" t="str">
        <f t="shared" si="1"/>
        <v/>
      </c>
    </row>
    <row r="36" spans="9:14" ht="16.149999999999999" customHeight="1" x14ac:dyDescent="0.25">
      <c r="I36" s="2" t="str">
        <f t="array" ref="I36">IF(ISERROR(INDEX(StockMaster,SMALL(IF(StockRPStatus="Y",ROW(StockRPStatus)-StockRef),ROW(30:30)),COLUMN(StockCode!$A$4)))=TRUE,"", INDEX(StockMaster,SMALL(IF(StockRPStatus="Y",ROW(StockRPStatus)-StockRef),ROW(30:30)),COLUMN(StockCode!$A$4)))</f>
        <v/>
      </c>
      <c r="J36" s="2" t="str">
        <f>IF(ISNA(VLOOKUP($I36,StockMaster,COLUMN(StockCode!$B$4),0))=TRUE,"",VLOOKUP($I36,StockMaster,COLUMN(StockCode!$B$4),0))</f>
        <v/>
      </c>
      <c r="K36" s="3" t="str">
        <f>IF(ISNA(VLOOKUP($I36,StockMaster,COLUMN(StockCode!$C$4),0))=TRUE,"",VLOOKUP($I36,StockMaster,COLUMN(StockCode!$C$4),0))</f>
        <v/>
      </c>
      <c r="L36" s="5" t="str">
        <f>IF(LEN($I36)&lt;=1,"",IF(ISNA(VLOOKUP($I36,StockMaster,COLUMN(StockCode!$N$4),0))=TRUE,0,VLOOKUP($I36,StockMaster,COLUMN(StockCode!$N$4),0)))</f>
        <v/>
      </c>
      <c r="M36" s="5" t="str">
        <f>IF(LEN($I36)&lt;=1,"",IF(ISNA(VLOOKUP($I36,StockMaster,COLUMN(StockCode!$I$4),0))=TRUE,0,VLOOKUP($I36,StockMaster,COLUMN(StockCode!$I$4),0)))</f>
        <v/>
      </c>
      <c r="N36" s="5" t="str">
        <f t="shared" si="1"/>
        <v/>
      </c>
    </row>
    <row r="37" spans="9:14" ht="16.149999999999999" customHeight="1" x14ac:dyDescent="0.25">
      <c r="I37" s="2" t="str">
        <f t="array" ref="I37">IF(ISERROR(INDEX(StockMaster,SMALL(IF(StockRPStatus="Y",ROW(StockRPStatus)-StockRef),ROW(31:31)),COLUMN(StockCode!$A$4)))=TRUE,"", INDEX(StockMaster,SMALL(IF(StockRPStatus="Y",ROW(StockRPStatus)-StockRef),ROW(31:31)),COLUMN(StockCode!$A$4)))</f>
        <v/>
      </c>
      <c r="J37" s="2" t="str">
        <f>IF(ISNA(VLOOKUP($I37,StockMaster,COLUMN(StockCode!$B$4),0))=TRUE,"",VLOOKUP($I37,StockMaster,COLUMN(StockCode!$B$4),0))</f>
        <v/>
      </c>
      <c r="K37" s="3" t="str">
        <f>IF(ISNA(VLOOKUP($I37,StockMaster,COLUMN(StockCode!$C$4),0))=TRUE,"",VLOOKUP($I37,StockMaster,COLUMN(StockCode!$C$4),0))</f>
        <v/>
      </c>
      <c r="L37" s="5" t="str">
        <f>IF(LEN($I37)&lt;=1,"",IF(ISNA(VLOOKUP($I37,StockMaster,COLUMN(StockCode!$N$4),0))=TRUE,0,VLOOKUP($I37,StockMaster,COLUMN(StockCode!$N$4),0)))</f>
        <v/>
      </c>
      <c r="M37" s="5" t="str">
        <f>IF(LEN($I37)&lt;=1,"",IF(ISNA(VLOOKUP($I37,StockMaster,COLUMN(StockCode!$I$4),0))=TRUE,0,VLOOKUP($I37,StockMaster,COLUMN(StockCode!$I$4),0)))</f>
        <v/>
      </c>
      <c r="N37" s="5" t="str">
        <f t="shared" si="1"/>
        <v/>
      </c>
    </row>
    <row r="38" spans="9:14" ht="16.149999999999999" customHeight="1" x14ac:dyDescent="0.25">
      <c r="I38" s="2" t="str">
        <f t="array" ref="I38">IF(ISERROR(INDEX(StockMaster,SMALL(IF(StockRPStatus="Y",ROW(StockRPStatus)-StockRef),ROW(32:32)),COLUMN(StockCode!$A$4)))=TRUE,"", INDEX(StockMaster,SMALL(IF(StockRPStatus="Y",ROW(StockRPStatus)-StockRef),ROW(32:32)),COLUMN(StockCode!$A$4)))</f>
        <v/>
      </c>
      <c r="J38" s="2" t="str">
        <f>IF(ISNA(VLOOKUP($I38,StockMaster,COLUMN(StockCode!$B$4),0))=TRUE,"",VLOOKUP($I38,StockMaster,COLUMN(StockCode!$B$4),0))</f>
        <v/>
      </c>
      <c r="K38" s="3" t="str">
        <f>IF(ISNA(VLOOKUP($I38,StockMaster,COLUMN(StockCode!$C$4),0))=TRUE,"",VLOOKUP($I38,StockMaster,COLUMN(StockCode!$C$4),0))</f>
        <v/>
      </c>
      <c r="L38" s="5" t="str">
        <f>IF(LEN($I38)&lt;=1,"",IF(ISNA(VLOOKUP($I38,StockMaster,COLUMN(StockCode!$N$4),0))=TRUE,0,VLOOKUP($I38,StockMaster,COLUMN(StockCode!$N$4),0)))</f>
        <v/>
      </c>
      <c r="M38" s="5" t="str">
        <f>IF(LEN($I38)&lt;=1,"",IF(ISNA(VLOOKUP($I38,StockMaster,COLUMN(StockCode!$I$4),0))=TRUE,0,VLOOKUP($I38,StockMaster,COLUMN(StockCode!$I$4),0)))</f>
        <v/>
      </c>
      <c r="N38" s="5" t="str">
        <f t="shared" si="1"/>
        <v/>
      </c>
    </row>
    <row r="39" spans="9:14" ht="16.149999999999999" customHeight="1" x14ac:dyDescent="0.25">
      <c r="I39" s="2" t="str">
        <f t="array" ref="I39">IF(ISERROR(INDEX(StockMaster,SMALL(IF(StockRPStatus="Y",ROW(StockRPStatus)-StockRef),ROW(33:33)),COLUMN(StockCode!$A$4)))=TRUE,"", INDEX(StockMaster,SMALL(IF(StockRPStatus="Y",ROW(StockRPStatus)-StockRef),ROW(33:33)),COLUMN(StockCode!$A$4)))</f>
        <v/>
      </c>
      <c r="J39" s="2" t="str">
        <f>IF(ISNA(VLOOKUP($I39,StockMaster,COLUMN(StockCode!$B$4),0))=TRUE,"",VLOOKUP($I39,StockMaster,COLUMN(StockCode!$B$4),0))</f>
        <v/>
      </c>
      <c r="K39" s="3" t="str">
        <f>IF(ISNA(VLOOKUP($I39,StockMaster,COLUMN(StockCode!$C$4),0))=TRUE,"",VLOOKUP($I39,StockMaster,COLUMN(StockCode!$C$4),0))</f>
        <v/>
      </c>
      <c r="L39" s="5" t="str">
        <f>IF(LEN($I39)&lt;=1,"",IF(ISNA(VLOOKUP($I39,StockMaster,COLUMN(StockCode!$N$4),0))=TRUE,0,VLOOKUP($I39,StockMaster,COLUMN(StockCode!$N$4),0)))</f>
        <v/>
      </c>
      <c r="M39" s="5" t="str">
        <f>IF(LEN($I39)&lt;=1,"",IF(ISNA(VLOOKUP($I39,StockMaster,COLUMN(StockCode!$I$4),0))=TRUE,0,VLOOKUP($I39,StockMaster,COLUMN(StockCode!$I$4),0)))</f>
        <v/>
      </c>
      <c r="N39" s="5" t="str">
        <f t="shared" si="1"/>
        <v/>
      </c>
    </row>
    <row r="40" spans="9:14" ht="16.149999999999999" customHeight="1" x14ac:dyDescent="0.25">
      <c r="I40" s="2" t="str">
        <f t="array" ref="I40">IF(ISERROR(INDEX(StockMaster,SMALL(IF(StockRPStatus="Y",ROW(StockRPStatus)-StockRef),ROW(34:34)),COLUMN(StockCode!$A$4)))=TRUE,"", INDEX(StockMaster,SMALL(IF(StockRPStatus="Y",ROW(StockRPStatus)-StockRef),ROW(34:34)),COLUMN(StockCode!$A$4)))</f>
        <v/>
      </c>
      <c r="J40" s="2" t="str">
        <f>IF(ISNA(VLOOKUP($I40,StockMaster,COLUMN(StockCode!$B$4),0))=TRUE,"",VLOOKUP($I40,StockMaster,COLUMN(StockCode!$B$4),0))</f>
        <v/>
      </c>
      <c r="K40" s="3" t="str">
        <f>IF(ISNA(VLOOKUP($I40,StockMaster,COLUMN(StockCode!$C$4),0))=TRUE,"",VLOOKUP($I40,StockMaster,COLUMN(StockCode!$C$4),0))</f>
        <v/>
      </c>
      <c r="L40" s="5" t="str">
        <f>IF(LEN($I40)&lt;=1,"",IF(ISNA(VLOOKUP($I40,StockMaster,COLUMN(StockCode!$N$4),0))=TRUE,0,VLOOKUP($I40,StockMaster,COLUMN(StockCode!$N$4),0)))</f>
        <v/>
      </c>
      <c r="M40" s="5" t="str">
        <f>IF(LEN($I40)&lt;=1,"",IF(ISNA(VLOOKUP($I40,StockMaster,COLUMN(StockCode!$I$4),0))=TRUE,0,VLOOKUP($I40,StockMaster,COLUMN(StockCode!$I$4),0)))</f>
        <v/>
      </c>
      <c r="N40" s="5" t="str">
        <f t="shared" si="1"/>
        <v/>
      </c>
    </row>
    <row r="41" spans="9:14" ht="16.149999999999999" customHeight="1" x14ac:dyDescent="0.25">
      <c r="I41" s="2" t="str">
        <f t="array" ref="I41">IF(ISERROR(INDEX(StockMaster,SMALL(IF(StockRPStatus="Y",ROW(StockRPStatus)-StockRef),ROW(35:35)),COLUMN(StockCode!$A$4)))=TRUE,"", INDEX(StockMaster,SMALL(IF(StockRPStatus="Y",ROW(StockRPStatus)-StockRef),ROW(35:35)),COLUMN(StockCode!$A$4)))</f>
        <v/>
      </c>
      <c r="J41" s="2" t="str">
        <f>IF(ISNA(VLOOKUP($I41,StockMaster,COLUMN(StockCode!$B$4),0))=TRUE,"",VLOOKUP($I41,StockMaster,COLUMN(StockCode!$B$4),0))</f>
        <v/>
      </c>
      <c r="K41" s="3" t="str">
        <f>IF(ISNA(VLOOKUP($I41,StockMaster,COLUMN(StockCode!$C$4),0))=TRUE,"",VLOOKUP($I41,StockMaster,COLUMN(StockCode!$C$4),0))</f>
        <v/>
      </c>
      <c r="L41" s="5" t="str">
        <f>IF(LEN($I41)&lt;=1,"",IF(ISNA(VLOOKUP($I41,StockMaster,COLUMN(StockCode!$N$4),0))=TRUE,0,VLOOKUP($I41,StockMaster,COLUMN(StockCode!$N$4),0)))</f>
        <v/>
      </c>
      <c r="M41" s="5" t="str">
        <f>IF(LEN($I41)&lt;=1,"",IF(ISNA(VLOOKUP($I41,StockMaster,COLUMN(StockCode!$I$4),0))=TRUE,0,VLOOKUP($I41,StockMaster,COLUMN(StockCode!$I$4),0)))</f>
        <v/>
      </c>
      <c r="N41" s="5" t="str">
        <f t="shared" si="1"/>
        <v/>
      </c>
    </row>
    <row r="42" spans="9:14" ht="16.149999999999999" customHeight="1" x14ac:dyDescent="0.25">
      <c r="I42" s="2" t="str">
        <f t="array" ref="I42">IF(ISERROR(INDEX(StockMaster,SMALL(IF(StockRPStatus="Y",ROW(StockRPStatus)-StockRef),ROW(36:36)),COLUMN(StockCode!$A$4)))=TRUE,"", INDEX(StockMaster,SMALL(IF(StockRPStatus="Y",ROW(StockRPStatus)-StockRef),ROW(36:36)),COLUMN(StockCode!$A$4)))</f>
        <v/>
      </c>
      <c r="J42" s="2" t="str">
        <f>IF(ISNA(VLOOKUP($I42,StockMaster,COLUMN(StockCode!$B$4),0))=TRUE,"",VLOOKUP($I42,StockMaster,COLUMN(StockCode!$B$4),0))</f>
        <v/>
      </c>
      <c r="K42" s="3" t="str">
        <f>IF(ISNA(VLOOKUP($I42,StockMaster,COLUMN(StockCode!$C$4),0))=TRUE,"",VLOOKUP($I42,StockMaster,COLUMN(StockCode!$C$4),0))</f>
        <v/>
      </c>
      <c r="L42" s="5" t="str">
        <f>IF(LEN($I42)&lt;=1,"",IF(ISNA(VLOOKUP($I42,StockMaster,COLUMN(StockCode!$N$4),0))=TRUE,0,VLOOKUP($I42,StockMaster,COLUMN(StockCode!$N$4),0)))</f>
        <v/>
      </c>
      <c r="M42" s="5" t="str">
        <f>IF(LEN($I42)&lt;=1,"",IF(ISNA(VLOOKUP($I42,StockMaster,COLUMN(StockCode!$I$4),0))=TRUE,0,VLOOKUP($I42,StockMaster,COLUMN(StockCode!$I$4),0)))</f>
        <v/>
      </c>
      <c r="N42" s="5" t="str">
        <f t="shared" si="1"/>
        <v/>
      </c>
    </row>
    <row r="43" spans="9:14" ht="16.149999999999999" customHeight="1" x14ac:dyDescent="0.25">
      <c r="I43" s="2" t="str">
        <f t="array" ref="I43">IF(ISERROR(INDEX(StockMaster,SMALL(IF(StockRPStatus="Y",ROW(StockRPStatus)-StockRef),ROW(37:37)),COLUMN(StockCode!$A$4)))=TRUE,"", INDEX(StockMaster,SMALL(IF(StockRPStatus="Y",ROW(StockRPStatus)-StockRef),ROW(37:37)),COLUMN(StockCode!$A$4)))</f>
        <v/>
      </c>
      <c r="J43" s="2" t="str">
        <f>IF(ISNA(VLOOKUP($I43,StockMaster,COLUMN(StockCode!$B$4),0))=TRUE,"",VLOOKUP($I43,StockMaster,COLUMN(StockCode!$B$4),0))</f>
        <v/>
      </c>
      <c r="K43" s="3" t="str">
        <f>IF(ISNA(VLOOKUP($I43,StockMaster,COLUMN(StockCode!$C$4),0))=TRUE,"",VLOOKUP($I43,StockMaster,COLUMN(StockCode!$C$4),0))</f>
        <v/>
      </c>
      <c r="L43" s="5" t="str">
        <f>IF(LEN($I43)&lt;=1,"",IF(ISNA(VLOOKUP($I43,StockMaster,COLUMN(StockCode!$N$4),0))=TRUE,0,VLOOKUP($I43,StockMaster,COLUMN(StockCode!$N$4),0)))</f>
        <v/>
      </c>
      <c r="M43" s="5" t="str">
        <f>IF(LEN($I43)&lt;=1,"",IF(ISNA(VLOOKUP($I43,StockMaster,COLUMN(StockCode!$I$4),0))=TRUE,0,VLOOKUP($I43,StockMaster,COLUMN(StockCode!$I$4),0)))</f>
        <v/>
      </c>
      <c r="N43" s="5" t="str">
        <f t="shared" si="1"/>
        <v/>
      </c>
    </row>
    <row r="44" spans="9:14" ht="16.149999999999999" customHeight="1" x14ac:dyDescent="0.25">
      <c r="I44" s="2" t="str">
        <f t="array" ref="I44">IF(ISERROR(INDEX(StockMaster,SMALL(IF(StockRPStatus="Y",ROW(StockRPStatus)-StockRef),ROW(38:38)),COLUMN(StockCode!$A$4)))=TRUE,"", INDEX(StockMaster,SMALL(IF(StockRPStatus="Y",ROW(StockRPStatus)-StockRef),ROW(38:38)),COLUMN(StockCode!$A$4)))</f>
        <v/>
      </c>
      <c r="J44" s="2" t="str">
        <f>IF(ISNA(VLOOKUP($I44,StockMaster,COLUMN(StockCode!$B$4),0))=TRUE,"",VLOOKUP($I44,StockMaster,COLUMN(StockCode!$B$4),0))</f>
        <v/>
      </c>
      <c r="K44" s="3" t="str">
        <f>IF(ISNA(VLOOKUP($I44,StockMaster,COLUMN(StockCode!$C$4),0))=TRUE,"",VLOOKUP($I44,StockMaster,COLUMN(StockCode!$C$4),0))</f>
        <v/>
      </c>
      <c r="L44" s="5" t="str">
        <f>IF(LEN($I44)&lt;=1,"",IF(ISNA(VLOOKUP($I44,StockMaster,COLUMN(StockCode!$N$4),0))=TRUE,0,VLOOKUP($I44,StockMaster,COLUMN(StockCode!$N$4),0)))</f>
        <v/>
      </c>
      <c r="M44" s="5" t="str">
        <f>IF(LEN($I44)&lt;=1,"",IF(ISNA(VLOOKUP($I44,StockMaster,COLUMN(StockCode!$I$4),0))=TRUE,0,VLOOKUP($I44,StockMaster,COLUMN(StockCode!$I$4),0)))</f>
        <v/>
      </c>
      <c r="N44" s="5" t="str">
        <f t="shared" si="1"/>
        <v/>
      </c>
    </row>
    <row r="45" spans="9:14" ht="16.149999999999999" customHeight="1" x14ac:dyDescent="0.25">
      <c r="I45" s="2" t="str">
        <f t="array" ref="I45">IF(ISERROR(INDEX(StockMaster,SMALL(IF(StockRPStatus="Y",ROW(StockRPStatus)-StockRef),ROW(39:39)),COLUMN(StockCode!$A$4)))=TRUE,"", INDEX(StockMaster,SMALL(IF(StockRPStatus="Y",ROW(StockRPStatus)-StockRef),ROW(39:39)),COLUMN(StockCode!$A$4)))</f>
        <v/>
      </c>
      <c r="J45" s="2" t="str">
        <f>IF(ISNA(VLOOKUP($I45,StockMaster,COLUMN(StockCode!$B$4),0))=TRUE,"",VLOOKUP($I45,StockMaster,COLUMN(StockCode!$B$4),0))</f>
        <v/>
      </c>
      <c r="K45" s="3" t="str">
        <f>IF(ISNA(VLOOKUP($I45,StockMaster,COLUMN(StockCode!$C$4),0))=TRUE,"",VLOOKUP($I45,StockMaster,COLUMN(StockCode!$C$4),0))</f>
        <v/>
      </c>
      <c r="L45" s="5" t="str">
        <f>IF(LEN($I45)&lt;=1,"",IF(ISNA(VLOOKUP($I45,StockMaster,COLUMN(StockCode!$N$4),0))=TRUE,0,VLOOKUP($I45,StockMaster,COLUMN(StockCode!$N$4),0)))</f>
        <v/>
      </c>
      <c r="M45" s="5" t="str">
        <f>IF(LEN($I45)&lt;=1,"",IF(ISNA(VLOOKUP($I45,StockMaster,COLUMN(StockCode!$I$4),0))=TRUE,0,VLOOKUP($I45,StockMaster,COLUMN(StockCode!$I$4),0)))</f>
        <v/>
      </c>
      <c r="N45" s="5" t="str">
        <f t="shared" si="1"/>
        <v/>
      </c>
    </row>
    <row r="46" spans="9:14" ht="16.149999999999999" customHeight="1" x14ac:dyDescent="0.25">
      <c r="I46" s="2" t="str">
        <f t="array" ref="I46">IF(ISERROR(INDEX(StockMaster,SMALL(IF(StockRPStatus="Y",ROW(StockRPStatus)-StockRef),ROW(40:40)),COLUMN(StockCode!$A$4)))=TRUE,"", INDEX(StockMaster,SMALL(IF(StockRPStatus="Y",ROW(StockRPStatus)-StockRef),ROW(40:40)),COLUMN(StockCode!$A$4)))</f>
        <v/>
      </c>
      <c r="J46" s="2" t="str">
        <f>IF(ISNA(VLOOKUP($I46,StockMaster,COLUMN(StockCode!$B$4),0))=TRUE,"",VLOOKUP($I46,StockMaster,COLUMN(StockCode!$B$4),0))</f>
        <v/>
      </c>
      <c r="K46" s="3" t="str">
        <f>IF(ISNA(VLOOKUP($I46,StockMaster,COLUMN(StockCode!$C$4),0))=TRUE,"",VLOOKUP($I46,StockMaster,COLUMN(StockCode!$C$4),0))</f>
        <v/>
      </c>
      <c r="L46" s="5" t="str">
        <f>IF(LEN($I46)&lt;=1,"",IF(ISNA(VLOOKUP($I46,StockMaster,COLUMN(StockCode!$N$4),0))=TRUE,0,VLOOKUP($I46,StockMaster,COLUMN(StockCode!$N$4),0)))</f>
        <v/>
      </c>
      <c r="M46" s="5" t="str">
        <f>IF(LEN($I46)&lt;=1,"",IF(ISNA(VLOOKUP($I46,StockMaster,COLUMN(StockCode!$I$4),0))=TRUE,0,VLOOKUP($I46,StockMaster,COLUMN(StockCode!$I$4),0)))</f>
        <v/>
      </c>
      <c r="N46" s="5" t="str">
        <f t="shared" si="1"/>
        <v/>
      </c>
    </row>
    <row r="47" spans="9:14" ht="16.149999999999999" customHeight="1" x14ac:dyDescent="0.25">
      <c r="I47" s="2" t="str">
        <f t="array" ref="I47">IF(ISERROR(INDEX(StockMaster,SMALL(IF(StockRPStatus="Y",ROW(StockRPStatus)-StockRef),ROW(41:41)),COLUMN(StockCode!$A$4)))=TRUE,"", INDEX(StockMaster,SMALL(IF(StockRPStatus="Y",ROW(StockRPStatus)-StockRef),ROW(41:41)),COLUMN(StockCode!$A$4)))</f>
        <v/>
      </c>
      <c r="J47" s="2" t="str">
        <f>IF(ISNA(VLOOKUP($I47,StockMaster,COLUMN(StockCode!$B$4),0))=TRUE,"",VLOOKUP($I47,StockMaster,COLUMN(StockCode!$B$4),0))</f>
        <v/>
      </c>
      <c r="K47" s="3" t="str">
        <f>IF(ISNA(VLOOKUP($I47,StockMaster,COLUMN(StockCode!$C$4),0))=TRUE,"",VLOOKUP($I47,StockMaster,COLUMN(StockCode!$C$4),0))</f>
        <v/>
      </c>
      <c r="L47" s="5" t="str">
        <f>IF(LEN($I47)&lt;=1,"",IF(ISNA(VLOOKUP($I47,StockMaster,COLUMN(StockCode!$N$4),0))=TRUE,0,VLOOKUP($I47,StockMaster,COLUMN(StockCode!$N$4),0)))</f>
        <v/>
      </c>
      <c r="M47" s="5" t="str">
        <f>IF(LEN($I47)&lt;=1,"",IF(ISNA(VLOOKUP($I47,StockMaster,COLUMN(StockCode!$I$4),0))=TRUE,0,VLOOKUP($I47,StockMaster,COLUMN(StockCode!$I$4),0)))</f>
        <v/>
      </c>
      <c r="N47" s="5" t="str">
        <f t="shared" si="1"/>
        <v/>
      </c>
    </row>
    <row r="48" spans="9:14" ht="16.149999999999999" customHeight="1" x14ac:dyDescent="0.25">
      <c r="I48" s="2" t="str">
        <f t="array" ref="I48">IF(ISERROR(INDEX(StockMaster,SMALL(IF(StockRPStatus="Y",ROW(StockRPStatus)-StockRef),ROW(42:42)),COLUMN(StockCode!$A$4)))=TRUE,"", INDEX(StockMaster,SMALL(IF(StockRPStatus="Y",ROW(StockRPStatus)-StockRef),ROW(42:42)),COLUMN(StockCode!$A$4)))</f>
        <v/>
      </c>
      <c r="J48" s="2" t="str">
        <f>IF(ISNA(VLOOKUP($I48,StockMaster,COLUMN(StockCode!$B$4),0))=TRUE,"",VLOOKUP($I48,StockMaster,COLUMN(StockCode!$B$4),0))</f>
        <v/>
      </c>
      <c r="K48" s="3" t="str">
        <f>IF(ISNA(VLOOKUP($I48,StockMaster,COLUMN(StockCode!$C$4),0))=TRUE,"",VLOOKUP($I48,StockMaster,COLUMN(StockCode!$C$4),0))</f>
        <v/>
      </c>
      <c r="L48" s="5" t="str">
        <f>IF(LEN($I48)&lt;=1,"",IF(ISNA(VLOOKUP($I48,StockMaster,COLUMN(StockCode!$N$4),0))=TRUE,0,VLOOKUP($I48,StockMaster,COLUMN(StockCode!$N$4),0)))</f>
        <v/>
      </c>
      <c r="M48" s="5" t="str">
        <f>IF(LEN($I48)&lt;=1,"",IF(ISNA(VLOOKUP($I48,StockMaster,COLUMN(StockCode!$I$4),0))=TRUE,0,VLOOKUP($I48,StockMaster,COLUMN(StockCode!$I$4),0)))</f>
        <v/>
      </c>
      <c r="N48" s="5" t="str">
        <f t="shared" si="1"/>
        <v/>
      </c>
    </row>
    <row r="49" spans="9:14" ht="16.149999999999999" customHeight="1" x14ac:dyDescent="0.25">
      <c r="I49" s="2" t="str">
        <f t="array" ref="I49">IF(ISERROR(INDEX(StockMaster,SMALL(IF(StockRPStatus="Y",ROW(StockRPStatus)-StockRef),ROW(43:43)),COLUMN(StockCode!$A$4)))=TRUE,"", INDEX(StockMaster,SMALL(IF(StockRPStatus="Y",ROW(StockRPStatus)-StockRef),ROW(43:43)),COLUMN(StockCode!$A$4)))</f>
        <v/>
      </c>
      <c r="J49" s="2" t="str">
        <f>IF(ISNA(VLOOKUP($I49,StockMaster,COLUMN(StockCode!$B$4),0))=TRUE,"",VLOOKUP($I49,StockMaster,COLUMN(StockCode!$B$4),0))</f>
        <v/>
      </c>
      <c r="K49" s="3" t="str">
        <f>IF(ISNA(VLOOKUP($I49,StockMaster,COLUMN(StockCode!$C$4),0))=TRUE,"",VLOOKUP($I49,StockMaster,COLUMN(StockCode!$C$4),0))</f>
        <v/>
      </c>
      <c r="L49" s="5" t="str">
        <f>IF(LEN($I49)&lt;=1,"",IF(ISNA(VLOOKUP($I49,StockMaster,COLUMN(StockCode!$N$4),0))=TRUE,0,VLOOKUP($I49,StockMaster,COLUMN(StockCode!$N$4),0)))</f>
        <v/>
      </c>
      <c r="M49" s="5" t="str">
        <f>IF(LEN($I49)&lt;=1,"",IF(ISNA(VLOOKUP($I49,StockMaster,COLUMN(StockCode!$I$4),0))=TRUE,0,VLOOKUP($I49,StockMaster,COLUMN(StockCode!$I$4),0)))</f>
        <v/>
      </c>
      <c r="N49" s="5" t="str">
        <f t="shared" si="1"/>
        <v/>
      </c>
    </row>
    <row r="50" spans="9:14" ht="16.149999999999999" customHeight="1" x14ac:dyDescent="0.25">
      <c r="I50" s="2" t="str">
        <f t="array" ref="I50">IF(ISERROR(INDEX(StockMaster,SMALL(IF(StockRPStatus="Y",ROW(StockRPStatus)-StockRef),ROW(44:44)),COLUMN(StockCode!$A$4)))=TRUE,"", INDEX(StockMaster,SMALL(IF(StockRPStatus="Y",ROW(StockRPStatus)-StockRef),ROW(44:44)),COLUMN(StockCode!$A$4)))</f>
        <v/>
      </c>
      <c r="J50" s="2" t="str">
        <f>IF(ISNA(VLOOKUP($I50,StockMaster,COLUMN(StockCode!$B$4),0))=TRUE,"",VLOOKUP($I50,StockMaster,COLUMN(StockCode!$B$4),0))</f>
        <v/>
      </c>
      <c r="K50" s="3" t="str">
        <f>IF(ISNA(VLOOKUP($I50,StockMaster,COLUMN(StockCode!$C$4),0))=TRUE,"",VLOOKUP($I50,StockMaster,COLUMN(StockCode!$C$4),0))</f>
        <v/>
      </c>
      <c r="L50" s="5" t="str">
        <f>IF(LEN($I50)&lt;=1,"",IF(ISNA(VLOOKUP($I50,StockMaster,COLUMN(StockCode!$N$4),0))=TRUE,0,VLOOKUP($I50,StockMaster,COLUMN(StockCode!$N$4),0)))</f>
        <v/>
      </c>
      <c r="M50" s="5" t="str">
        <f>IF(LEN($I50)&lt;=1,"",IF(ISNA(VLOOKUP($I50,StockMaster,COLUMN(StockCode!$I$4),0))=TRUE,0,VLOOKUP($I50,StockMaster,COLUMN(StockCode!$I$4),0)))</f>
        <v/>
      </c>
      <c r="N50" s="5" t="str">
        <f t="shared" si="1"/>
        <v/>
      </c>
    </row>
    <row r="51" spans="9:14" ht="16.149999999999999" customHeight="1" x14ac:dyDescent="0.25">
      <c r="I51" s="2" t="str">
        <f t="array" ref="I51">IF(ISERROR(INDEX(StockMaster,SMALL(IF(StockRPStatus="Y",ROW(StockRPStatus)-StockRef),ROW(45:45)),COLUMN(StockCode!$A$4)))=TRUE,"", INDEX(StockMaster,SMALL(IF(StockRPStatus="Y",ROW(StockRPStatus)-StockRef),ROW(45:45)),COLUMN(StockCode!$A$4)))</f>
        <v/>
      </c>
      <c r="J51" s="2" t="str">
        <f>IF(ISNA(VLOOKUP($I51,StockMaster,COLUMN(StockCode!$B$4),0))=TRUE,"",VLOOKUP($I51,StockMaster,COLUMN(StockCode!$B$4),0))</f>
        <v/>
      </c>
      <c r="K51" s="3" t="str">
        <f>IF(ISNA(VLOOKUP($I51,StockMaster,COLUMN(StockCode!$C$4),0))=TRUE,"",VLOOKUP($I51,StockMaster,COLUMN(StockCode!$C$4),0))</f>
        <v/>
      </c>
      <c r="L51" s="5" t="str">
        <f>IF(LEN($I51)&lt;=1,"",IF(ISNA(VLOOKUP($I51,StockMaster,COLUMN(StockCode!$N$4),0))=TRUE,0,VLOOKUP($I51,StockMaster,COLUMN(StockCode!$N$4),0)))</f>
        <v/>
      </c>
      <c r="M51" s="5" t="str">
        <f>IF(LEN($I51)&lt;=1,"",IF(ISNA(VLOOKUP($I51,StockMaster,COLUMN(StockCode!$I$4),0))=TRUE,0,VLOOKUP($I51,StockMaster,COLUMN(StockCode!$I$4),0)))</f>
        <v/>
      </c>
      <c r="N51" s="5" t="str">
        <f t="shared" si="1"/>
        <v/>
      </c>
    </row>
    <row r="52" spans="9:14" ht="16.149999999999999" customHeight="1" x14ac:dyDescent="0.25">
      <c r="I52" s="2" t="str">
        <f t="array" ref="I52">IF(ISERROR(INDEX(StockMaster,SMALL(IF(StockRPStatus="Y",ROW(StockRPStatus)-StockRef),ROW(46:46)),COLUMN(StockCode!$A$4)))=TRUE,"", INDEX(StockMaster,SMALL(IF(StockRPStatus="Y",ROW(StockRPStatus)-StockRef),ROW(46:46)),COLUMN(StockCode!$A$4)))</f>
        <v/>
      </c>
      <c r="J52" s="2" t="str">
        <f>IF(ISNA(VLOOKUP($I52,StockMaster,COLUMN(StockCode!$B$4),0))=TRUE,"",VLOOKUP($I52,StockMaster,COLUMN(StockCode!$B$4),0))</f>
        <v/>
      </c>
      <c r="K52" s="3" t="str">
        <f>IF(ISNA(VLOOKUP($I52,StockMaster,COLUMN(StockCode!$C$4),0))=TRUE,"",VLOOKUP($I52,StockMaster,COLUMN(StockCode!$C$4),0))</f>
        <v/>
      </c>
      <c r="L52" s="5" t="str">
        <f>IF(LEN($I52)&lt;=1,"",IF(ISNA(VLOOKUP($I52,StockMaster,COLUMN(StockCode!$N$4),0))=TRUE,0,VLOOKUP($I52,StockMaster,COLUMN(StockCode!$N$4),0)))</f>
        <v/>
      </c>
      <c r="M52" s="5" t="str">
        <f>IF(LEN($I52)&lt;=1,"",IF(ISNA(VLOOKUP($I52,StockMaster,COLUMN(StockCode!$I$4),0))=TRUE,0,VLOOKUP($I52,StockMaster,COLUMN(StockCode!$I$4),0)))</f>
        <v/>
      </c>
      <c r="N52" s="5" t="str">
        <f t="shared" si="1"/>
        <v/>
      </c>
    </row>
    <row r="53" spans="9:14" ht="16.149999999999999" customHeight="1" x14ac:dyDescent="0.25">
      <c r="I53" s="2" t="str">
        <f t="array" ref="I53">IF(ISERROR(INDEX(StockMaster,SMALL(IF(StockRPStatus="Y",ROW(StockRPStatus)-StockRef),ROW(47:47)),COLUMN(StockCode!$A$4)))=TRUE,"", INDEX(StockMaster,SMALL(IF(StockRPStatus="Y",ROW(StockRPStatus)-StockRef),ROW(47:47)),COLUMN(StockCode!$A$4)))</f>
        <v/>
      </c>
      <c r="J53" s="2" t="str">
        <f>IF(ISNA(VLOOKUP($I53,StockMaster,COLUMN(StockCode!$B$4),0))=TRUE,"",VLOOKUP($I53,StockMaster,COLUMN(StockCode!$B$4),0))</f>
        <v/>
      </c>
      <c r="K53" s="3" t="str">
        <f>IF(ISNA(VLOOKUP($I53,StockMaster,COLUMN(StockCode!$C$4),0))=TRUE,"",VLOOKUP($I53,StockMaster,COLUMN(StockCode!$C$4),0))</f>
        <v/>
      </c>
      <c r="L53" s="5" t="str">
        <f>IF(LEN($I53)&lt;=1,"",IF(ISNA(VLOOKUP($I53,StockMaster,COLUMN(StockCode!$N$4),0))=TRUE,0,VLOOKUP($I53,StockMaster,COLUMN(StockCode!$N$4),0)))</f>
        <v/>
      </c>
      <c r="M53" s="5" t="str">
        <f>IF(LEN($I53)&lt;=1,"",IF(ISNA(VLOOKUP($I53,StockMaster,COLUMN(StockCode!$I$4),0))=TRUE,0,VLOOKUP($I53,StockMaster,COLUMN(StockCode!$I$4),0)))</f>
        <v/>
      </c>
      <c r="N53" s="5" t="str">
        <f t="shared" si="1"/>
        <v/>
      </c>
    </row>
    <row r="54" spans="9:14" ht="16.149999999999999" customHeight="1" x14ac:dyDescent="0.25">
      <c r="I54" s="2" t="str">
        <f t="array" ref="I54">IF(ISERROR(INDEX(StockMaster,SMALL(IF(StockRPStatus="Y",ROW(StockRPStatus)-StockRef),ROW(48:48)),COLUMN(StockCode!$A$4)))=TRUE,"", INDEX(StockMaster,SMALL(IF(StockRPStatus="Y",ROW(StockRPStatus)-StockRef),ROW(48:48)),COLUMN(StockCode!$A$4)))</f>
        <v/>
      </c>
      <c r="J54" s="2" t="str">
        <f>IF(ISNA(VLOOKUP($I54,StockMaster,COLUMN(StockCode!$B$4),0))=TRUE,"",VLOOKUP($I54,StockMaster,COLUMN(StockCode!$B$4),0))</f>
        <v/>
      </c>
      <c r="K54" s="3" t="str">
        <f>IF(ISNA(VLOOKUP($I54,StockMaster,COLUMN(StockCode!$C$4),0))=TRUE,"",VLOOKUP($I54,StockMaster,COLUMN(StockCode!$C$4),0))</f>
        <v/>
      </c>
      <c r="L54" s="5" t="str">
        <f>IF(LEN($I54)&lt;=1,"",IF(ISNA(VLOOKUP($I54,StockMaster,COLUMN(StockCode!$N$4),0))=TRUE,0,VLOOKUP($I54,StockMaster,COLUMN(StockCode!$N$4),0)))</f>
        <v/>
      </c>
      <c r="M54" s="5" t="str">
        <f>IF(LEN($I54)&lt;=1,"",IF(ISNA(VLOOKUP($I54,StockMaster,COLUMN(StockCode!$I$4),0))=TRUE,0,VLOOKUP($I54,StockMaster,COLUMN(StockCode!$I$4),0)))</f>
        <v/>
      </c>
      <c r="N54" s="5" t="str">
        <f t="shared" si="1"/>
        <v/>
      </c>
    </row>
    <row r="55" spans="9:14" ht="16.149999999999999" customHeight="1" x14ac:dyDescent="0.25">
      <c r="I55" s="2" t="str">
        <f t="array" ref="I55">IF(ISERROR(INDEX(StockMaster,SMALL(IF(StockRPStatus="Y",ROW(StockRPStatus)-StockRef),ROW(49:49)),COLUMN(StockCode!$A$4)))=TRUE,"", INDEX(StockMaster,SMALL(IF(StockRPStatus="Y",ROW(StockRPStatus)-StockRef),ROW(49:49)),COLUMN(StockCode!$A$4)))</f>
        <v/>
      </c>
      <c r="J55" s="2" t="str">
        <f>IF(ISNA(VLOOKUP($I55,StockMaster,COLUMN(StockCode!$B$4),0))=TRUE,"",VLOOKUP($I55,StockMaster,COLUMN(StockCode!$B$4),0))</f>
        <v/>
      </c>
      <c r="K55" s="3" t="str">
        <f>IF(ISNA(VLOOKUP($I55,StockMaster,COLUMN(StockCode!$C$4),0))=TRUE,"",VLOOKUP($I55,StockMaster,COLUMN(StockCode!$C$4),0))</f>
        <v/>
      </c>
      <c r="L55" s="5" t="str">
        <f>IF(LEN($I55)&lt;=1,"",IF(ISNA(VLOOKUP($I55,StockMaster,COLUMN(StockCode!$N$4),0))=TRUE,0,VLOOKUP($I55,StockMaster,COLUMN(StockCode!$N$4),0)))</f>
        <v/>
      </c>
      <c r="M55" s="5" t="str">
        <f>IF(LEN($I55)&lt;=1,"",IF(ISNA(VLOOKUP($I55,StockMaster,COLUMN(StockCode!$I$4),0))=TRUE,0,VLOOKUP($I55,StockMaster,COLUMN(StockCode!$I$4),0)))</f>
        <v/>
      </c>
      <c r="N55" s="5" t="str">
        <f t="shared" si="1"/>
        <v/>
      </c>
    </row>
    <row r="56" spans="9:14" ht="16.149999999999999" customHeight="1" x14ac:dyDescent="0.25">
      <c r="I56" s="2" t="str">
        <f t="array" ref="I56">IF(ISERROR(INDEX(StockMaster,SMALL(IF(StockRPStatus="Y",ROW(StockRPStatus)-StockRef),ROW(50:50)),COLUMN(StockCode!$A$4)))=TRUE,"", INDEX(StockMaster,SMALL(IF(StockRPStatus="Y",ROW(StockRPStatus)-StockRef),ROW(50:50)),COLUMN(StockCode!$A$4)))</f>
        <v/>
      </c>
      <c r="J56" s="2" t="str">
        <f>IF(ISNA(VLOOKUP($I56,StockMaster,COLUMN(StockCode!$B$4),0))=TRUE,"",VLOOKUP($I56,StockMaster,COLUMN(StockCode!$B$4),0))</f>
        <v/>
      </c>
      <c r="K56" s="3" t="str">
        <f>IF(ISNA(VLOOKUP($I56,StockMaster,COLUMN(StockCode!$C$4),0))=TRUE,"",VLOOKUP($I56,StockMaster,COLUMN(StockCode!$C$4),0))</f>
        <v/>
      </c>
      <c r="L56" s="5" t="str">
        <f>IF(LEN($I56)&lt;=1,"",IF(ISNA(VLOOKUP($I56,StockMaster,COLUMN(StockCode!$N$4),0))=TRUE,0,VLOOKUP($I56,StockMaster,COLUMN(StockCode!$N$4),0)))</f>
        <v/>
      </c>
      <c r="M56" s="5" t="str">
        <f>IF(LEN($I56)&lt;=1,"",IF(ISNA(VLOOKUP($I56,StockMaster,COLUMN(StockCode!$I$4),0))=TRUE,0,VLOOKUP($I56,StockMaster,COLUMN(StockCode!$I$4),0)))</f>
        <v/>
      </c>
      <c r="N56" s="5" t="str">
        <f t="shared" si="1"/>
        <v/>
      </c>
    </row>
  </sheetData>
  <phoneticPr fontId="2" type="noConversion"/>
  <conditionalFormatting sqref="A6">
    <cfRule type="expression" dxfId="12" priority="3">
      <formula>COUNTIF(RequireError,"E3")&gt;0</formula>
    </cfRule>
    <cfRule type="expression" dxfId="11" priority="4">
      <formula>COUNTIF(RequireError,"E1")&gt;0</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7:A1000" xr:uid="{00000000-0002-0000-0900-000000000000}">
      <formula1>StockCodes</formula1>
    </dataValidation>
  </dataValidations>
  <pageMargins left="0.55118110236220474" right="0.55118110236220474" top="0.59055118110236227" bottom="0.59055118110236227" header="0.39370078740157483" footer="0.39370078740157483"/>
  <pageSetup paperSize="9" scale="93" fitToWidth="2" fitToHeight="0" pageOrder="overThenDown" orientation="portrait" r:id="rId1"/>
  <headerFooter alignWithMargins="0">
    <oddFooter>&amp;C&amp;9Page &amp;P of &amp;N</oddFooter>
  </headerFooter>
  <colBreaks count="1" manualBreakCount="1">
    <brk id="8" max="1048575" man="1"/>
  </colBreaks>
  <drawing r:id="rId2"/>
  <tableParts count="1">
    <tablePart r:id="rId3"/>
  </tableParts>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74</vt:i4>
      </vt:variant>
    </vt:vector>
  </HeadingPairs>
  <TitlesOfParts>
    <vt:vector size="75" baseType="lpstr">
      <vt:lpstr>Info</vt:lpstr>
      <vt:lpstr>BOMActualCost</vt:lpstr>
      <vt:lpstr>BOMAll</vt:lpstr>
      <vt:lpstr>BOMComp</vt:lpstr>
      <vt:lpstr>BOMCompStatus</vt:lpstr>
      <vt:lpstr>BOMCost</vt:lpstr>
      <vt:lpstr>BOMError</vt:lpstr>
      <vt:lpstr>BOMLevel</vt:lpstr>
      <vt:lpstr>BOMParents</vt:lpstr>
      <vt:lpstr>CostingCode</vt:lpstr>
      <vt:lpstr>JLevel1</vt:lpstr>
      <vt:lpstr>JLevel2</vt:lpstr>
      <vt:lpstr>JLevel3</vt:lpstr>
      <vt:lpstr>JLevel4</vt:lpstr>
      <vt:lpstr>JLevel5</vt:lpstr>
      <vt:lpstr>JLevel6</vt:lpstr>
      <vt:lpstr>JRCode</vt:lpstr>
      <vt:lpstr>JRLevel1</vt:lpstr>
      <vt:lpstr>JRLevel2</vt:lpstr>
      <vt:lpstr>JRLevel3</vt:lpstr>
      <vt:lpstr>JRLevel4</vt:lpstr>
      <vt:lpstr>JRLevel5</vt:lpstr>
      <vt:lpstr>JRLevel6</vt:lpstr>
      <vt:lpstr>JSCode</vt:lpstr>
      <vt:lpstr>JSDate</vt:lpstr>
      <vt:lpstr>JSError</vt:lpstr>
      <vt:lpstr>JSJActual</vt:lpstr>
      <vt:lpstr>JSJob</vt:lpstr>
      <vt:lpstr>JSJPrice</vt:lpstr>
      <vt:lpstr>JSJStd</vt:lpstr>
      <vt:lpstr>JSJUsage</vt:lpstr>
      <vt:lpstr>JSJVar</vt:lpstr>
      <vt:lpstr>JSRequired</vt:lpstr>
      <vt:lpstr>JSStd</vt:lpstr>
      <vt:lpstr>JSUnique</vt:lpstr>
      <vt:lpstr>JTDate</vt:lpstr>
      <vt:lpstr>JTError</vt:lpstr>
      <vt:lpstr>JTFGCode</vt:lpstr>
      <vt:lpstr>JTJob</vt:lpstr>
      <vt:lpstr>JTPrice</vt:lpstr>
      <vt:lpstr>JTQty</vt:lpstr>
      <vt:lpstr>JTStockCode</vt:lpstr>
      <vt:lpstr>JTType</vt:lpstr>
      <vt:lpstr>JTValue</vt:lpstr>
      <vt:lpstr>Instructions!Print_Area</vt:lpstr>
      <vt:lpstr>BOM!Print_Titles</vt:lpstr>
      <vt:lpstr>Instructions!Print_Titles</vt:lpstr>
      <vt:lpstr>JDetails!Print_Titles</vt:lpstr>
      <vt:lpstr>JReview!Print_Titles</vt:lpstr>
      <vt:lpstr>JSetup!Print_Titles</vt:lpstr>
      <vt:lpstr>ReqPlan!Print_Titles</vt:lpstr>
      <vt:lpstr>StockCode!Print_Titles</vt:lpstr>
      <vt:lpstr>Require</vt:lpstr>
      <vt:lpstr>RequireCode</vt:lpstr>
      <vt:lpstr>RequireError</vt:lpstr>
      <vt:lpstr>RequireMValue</vt:lpstr>
      <vt:lpstr>RLevel1</vt:lpstr>
      <vt:lpstr>RLevel2</vt:lpstr>
      <vt:lpstr>RLevel3</vt:lpstr>
      <vt:lpstr>RLevel4</vt:lpstr>
      <vt:lpstr>RLevel5</vt:lpstr>
      <vt:lpstr>RLevel6</vt:lpstr>
      <vt:lpstr>StockCodes</vt:lpstr>
      <vt:lpstr>StockError</vt:lpstr>
      <vt:lpstr>StockJRQty</vt:lpstr>
      <vt:lpstr>StockJRStatus</vt:lpstr>
      <vt:lpstr>StockMaster</vt:lpstr>
      <vt:lpstr>StockRPQty</vt:lpstr>
      <vt:lpstr>StockRPStatus</vt:lpstr>
      <vt:lpstr>TLevel1</vt:lpstr>
      <vt:lpstr>TLevel2</vt:lpstr>
      <vt:lpstr>TLevel3</vt:lpstr>
      <vt:lpstr>TLevel4</vt:lpstr>
      <vt:lpstr>TLevel5</vt:lpstr>
      <vt:lpstr>TLevel6</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Job Costing Template - Excel Skills</dc:title>
  <dc:subject>Job Costing</dc:subject>
  <dc:creator>Excel Skills International</dc:creator>
  <cp:keywords>job costing</cp:keywords>
  <cp:lastModifiedBy>cloudconvert_18</cp:lastModifiedBy>
  <cp:lastPrinted>2020-09-28T13:10:19Z</cp:lastPrinted>
  <dcterms:created xsi:type="dcterms:W3CDTF">2009-08-11T14:03:33Z</dcterms:created>
  <dcterms:modified xsi:type="dcterms:W3CDTF">2024-01-30T16:26:15Z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46316a88-d759-44da-865a-1abda3336d60</vt:lpwstr>
  </property>
</Properties>
</file>