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drawings/drawing6.xml" ContentType="application/vnd.openxmlformats-officedocument.drawing+xml"/>
  <Override PartName="/xl/tables/table2.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1.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2.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eeddc02251104220" Type="http://schemas.microsoft.com/office/2006/relationships/ui/extensibility" Target="customUI/customUI.xml"/><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dfe33cd525844b78" Type="http://schemas.microsoft.com/office/2007/relationships/ui/extensibility" Target="customUI/customUI14.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C:\Users\cloudconvert\server\files\tasks\8d1d976f-88cc-4ad6-ace6-c7a0e5695935\"/>
    </mc:Choice>
  </mc:AlternateContent>
  <xr:revisionPtr revIDLastSave="0" documentId="8_{1C6C540F-4DDB-426E-B28A-ECF6E688C453}" xr6:coauthVersionLast="47" xr6:coauthVersionMax="47" xr10:uidLastSave="{00000000-0000-0000-0000-000000000000}"/>
  <bookViews>
    <workbookView xWindow="1950" yWindow="1950" windowWidth="11520" windowHeight="7875" tabRatio="799" xr2:uid="{00000000-000D-0000-FFFF-FFFF00000000}"/>
  </bookViews>
  <sheets>
    <sheet name="Info" sheetId="13" r:id="rId1"/>
    <sheet name="Trial" sheetId="12" state="veryHidden" r:id="rId2"/>
    <sheet name="Instructions" sheetId="5" state="veryHidden" r:id="rId3"/>
    <sheet name="Setup" sheetId="4" state="veryHidden" r:id="rId4"/>
    <sheet name="Customers" sheetId="3" state="veryHidden" r:id="rId5"/>
    <sheet name="Details" sheetId="2" state="veryHidden" r:id="rId6"/>
    <sheet name="Quote" sheetId="14" state="veryHidden" r:id="rId7"/>
    <sheet name="Invoice" sheetId="1" state="veryHidden" r:id="rId8"/>
    <sheet name="Statement" sheetId="10" state="veryHidden" r:id="rId9"/>
    <sheet name="Monthly" sheetId="7" state="veryHidden" r:id="rId10"/>
    <sheet name="Ageing" sheetId="8" state="veryHidden" r:id="rId11"/>
    <sheet name="Balances" sheetId="11" state="veryHidden" r:id="rId12"/>
    <sheet name="ChartInfo" sheetId="9" state="hidden" r:id="rId13"/>
  </sheets>
  <definedNames>
    <definedName name="_xlnm._FilterDatabase" localSheetId="5" hidden="1">Details!$A$4:$Q$39</definedName>
    <definedName name="_xlnm._FilterDatabase" localSheetId="7" hidden="1">Invoice!$F$9:$H$12</definedName>
    <definedName name="_xlnm._FilterDatabase" localSheetId="6" hidden="1">Quote!$F$9:$H$12</definedName>
    <definedName name="_xlnm._FilterDatabase" localSheetId="8" hidden="1">Statement!$I$9:$J$12</definedName>
    <definedName name="BalCount">COUNTA(Balance[[#Data],[Code]])</definedName>
    <definedName name="CusCount">COUNTA(Customer[[#Data],[Code]])</definedName>
    <definedName name="Customer_Code">Customer[[#Data],[Code]]</definedName>
    <definedName name="Customers">Customer[#Data]</definedName>
    <definedName name="InvCount">COUNTA(OFFSET(Details!$C$4,1,0,Records,1))</definedName>
    <definedName name="InvError">Details[[#Data],[Error Code]]</definedName>
    <definedName name="Invoice_Number">Details[[#Data],[Invoice Number]]</definedName>
    <definedName name="InvoiceAmount">Details[[#Data],[Tax Inclusive Amount]]</definedName>
    <definedName name="InvoiceCus">Details[[#Data],[Customer Code]]</definedName>
    <definedName name="InvoiceDate">Details[[#Data],[Invoice Date]]</definedName>
    <definedName name="Invoices">Details[#Data]</definedName>
    <definedName name="InvoiceStatus">Details[[#Data],[SC2]]</definedName>
    <definedName name="PayDate">Details[[#Data],[Payment Date]]</definedName>
    <definedName name="_xlnm.Print_Area" localSheetId="7">Invoice!$B$2:$I$52</definedName>
    <definedName name="_xlnm.Print_Area" localSheetId="6">Quote!$B$2:$I$46</definedName>
    <definedName name="_xlnm.Print_Area" localSheetId="8">Statement!$B$2:$K$59</definedName>
    <definedName name="_xlnm.Print_Titles" localSheetId="11">Balances!$1:$5</definedName>
    <definedName name="_xlnm.Print_Titles" localSheetId="4">Customers!$1:$5</definedName>
    <definedName name="_xlnm.Print_Titles" localSheetId="5">Details!$1:$4</definedName>
    <definedName name="_xlnm.Print_Titles" localSheetId="2">Instructions!$1:$4</definedName>
    <definedName name="_xlnm.Print_Titles" localSheetId="8">Statement!$2:$29</definedName>
    <definedName name="QNumber">Details[[#Data],[Quotation Number]]</definedName>
    <definedName name="Quotes">Details[[#Data],[Quotation Number]:[Error Code]]</definedName>
    <definedName name="TaxCode">OFFSET(Setup!$A$22,1,0,ROW(Setup!$B$28)-ROW(Setup!$B$22)-1,1)</definedName>
    <definedName name="TaxCount">COLUMN(Details!$M$4)-COLUMN(Details!$K$4)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5" i="2" l="1"/>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3" i="2" l="1"/>
  <c r="E44" i="14" l="1" a="1"/>
  <c r="E44" i="14" s="1"/>
  <c r="E43" i="14" a="1"/>
  <c r="E43" i="14" s="1"/>
  <c r="E42" i="14" a="1"/>
  <c r="E42" i="14" s="1"/>
  <c r="E41" i="14" a="1"/>
  <c r="E41" i="14" s="1"/>
  <c r="E40" i="14" a="1"/>
  <c r="E40" i="14" s="1"/>
  <c r="E39" i="14" a="1"/>
  <c r="E39" i="14" s="1"/>
  <c r="E38" i="14" a="1"/>
  <c r="E38" i="14" s="1"/>
  <c r="E37" i="14" a="1"/>
  <c r="E37" i="14" s="1"/>
  <c r="E36" i="14" a="1"/>
  <c r="E36" i="14" s="1"/>
  <c r="E35" i="14" a="1"/>
  <c r="E35" i="14" s="1"/>
  <c r="E34" i="14" a="1"/>
  <c r="E34" i="14" s="1"/>
  <c r="E33" i="14" a="1"/>
  <c r="E33" i="14" s="1"/>
  <c r="E32" i="14" a="1"/>
  <c r="E32" i="14" s="1"/>
  <c r="E31" i="14" a="1"/>
  <c r="E31" i="14" s="1"/>
  <c r="E30" i="14" a="1"/>
  <c r="E30" i="14" s="1"/>
  <c r="E29" i="14" a="1"/>
  <c r="E29" i="14" s="1"/>
  <c r="E28" i="14" a="1"/>
  <c r="E28" i="14" s="1"/>
  <c r="E44" i="1" a="1"/>
  <c r="E44" i="1" s="1"/>
  <c r="E43" i="1" a="1"/>
  <c r="E43" i="1" s="1"/>
  <c r="E42" i="1" a="1"/>
  <c r="E42" i="1" s="1"/>
  <c r="E41" i="1" a="1"/>
  <c r="E41" i="1" s="1"/>
  <c r="E40" i="1" a="1"/>
  <c r="E40" i="1" s="1"/>
  <c r="E39" i="1" a="1"/>
  <c r="E39" i="1" s="1"/>
  <c r="E38" i="1" a="1"/>
  <c r="E38" i="1" s="1"/>
  <c r="E37" i="1" a="1"/>
  <c r="E37" i="1" s="1"/>
  <c r="E36" i="1" a="1"/>
  <c r="E36" i="1" s="1"/>
  <c r="E35" i="1" a="1"/>
  <c r="E35" i="1" s="1"/>
  <c r="E34" i="1" a="1"/>
  <c r="E34" i="1" s="1"/>
  <c r="E33" i="1" a="1"/>
  <c r="E33" i="1" s="1"/>
  <c r="E32" i="1" a="1"/>
  <c r="E32" i="1" s="1"/>
  <c r="E31" i="1" a="1"/>
  <c r="E31" i="1" s="1"/>
  <c r="E30" i="1" a="1"/>
  <c r="E30" i="1" s="1"/>
  <c r="E29" i="1" a="1"/>
  <c r="E29" i="1" s="1"/>
  <c r="E28" i="1" a="1"/>
  <c r="E28" i="1" s="1"/>
  <c r="G44" i="1" a="1"/>
  <c r="G44" i="1" s="1"/>
  <c r="G43" i="1" a="1"/>
  <c r="G43" i="1" s="1"/>
  <c r="G42" i="1" a="1"/>
  <c r="G42" i="1" s="1"/>
  <c r="G41" i="1" a="1"/>
  <c r="G41" i="1" s="1"/>
  <c r="G40" i="1" a="1"/>
  <c r="G40" i="1" s="1"/>
  <c r="G39" i="1" a="1"/>
  <c r="G39" i="1" s="1"/>
  <c r="G38" i="1" a="1"/>
  <c r="G38" i="1" s="1"/>
  <c r="G37" i="1" a="1"/>
  <c r="G37" i="1" s="1"/>
  <c r="G36" i="1" a="1"/>
  <c r="G36" i="1" s="1"/>
  <c r="G35" i="1" a="1"/>
  <c r="G35" i="1" s="1"/>
  <c r="G34" i="1" a="1"/>
  <c r="G34" i="1" s="1"/>
  <c r="G33" i="1" a="1"/>
  <c r="G33" i="1" s="1"/>
  <c r="G32" i="1" a="1"/>
  <c r="G32" i="1" s="1"/>
  <c r="G31" i="1" a="1"/>
  <c r="G31" i="1" s="1"/>
  <c r="G30" i="1" a="1"/>
  <c r="G30" i="1" s="1"/>
  <c r="G29" i="1" a="1"/>
  <c r="G29" i="1" s="1"/>
  <c r="G28" i="1" a="1"/>
  <c r="G28" i="1" s="1"/>
  <c r="G44" i="14" a="1"/>
  <c r="G44" i="14" s="1"/>
  <c r="G43" i="14" a="1"/>
  <c r="G43" i="14" s="1"/>
  <c r="G42" i="14" a="1"/>
  <c r="G42" i="14" s="1"/>
  <c r="G41" i="14" a="1"/>
  <c r="G41" i="14" s="1"/>
  <c r="G40" i="14" a="1"/>
  <c r="G40" i="14" s="1"/>
  <c r="G39" i="14" a="1"/>
  <c r="G39" i="14" s="1"/>
  <c r="G38" i="14" a="1"/>
  <c r="G38" i="14" s="1"/>
  <c r="G37" i="14" a="1"/>
  <c r="G37" i="14" s="1"/>
  <c r="G36" i="14" a="1"/>
  <c r="G36" i="14" s="1"/>
  <c r="G35" i="14" a="1"/>
  <c r="G35" i="14" s="1"/>
  <c r="G34" i="14" a="1"/>
  <c r="G34" i="14" s="1"/>
  <c r="G33" i="14" a="1"/>
  <c r="G33" i="14" s="1"/>
  <c r="G32" i="14" a="1"/>
  <c r="G32" i="14" s="1"/>
  <c r="G31" i="14" a="1"/>
  <c r="G31" i="14" s="1"/>
  <c r="G30" i="14" a="1"/>
  <c r="G30" i="14" s="1"/>
  <c r="G29" i="14" a="1"/>
  <c r="G29" i="14" s="1"/>
  <c r="G28" i="14" a="1"/>
  <c r="G28" i="14" s="1"/>
  <c r="F44" i="14" a="1"/>
  <c r="F44" i="14" s="1"/>
  <c r="F43" i="14" a="1"/>
  <c r="F43" i="14" s="1"/>
  <c r="F42" i="14" a="1"/>
  <c r="F42" i="14" s="1"/>
  <c r="F41" i="14" a="1"/>
  <c r="F41" i="14" s="1"/>
  <c r="F40" i="14" a="1"/>
  <c r="F40" i="14" s="1"/>
  <c r="F39" i="14" a="1"/>
  <c r="F39" i="14" s="1"/>
  <c r="F38" i="14" a="1"/>
  <c r="F38" i="14" s="1"/>
  <c r="F37" i="14" a="1"/>
  <c r="F37" i="14" s="1"/>
  <c r="F36" i="14" a="1"/>
  <c r="F36" i="14" s="1"/>
  <c r="F35" i="14" a="1"/>
  <c r="F35" i="14" s="1"/>
  <c r="F34" i="14" a="1"/>
  <c r="F34" i="14" s="1"/>
  <c r="F33" i="14" a="1"/>
  <c r="F33" i="14" s="1"/>
  <c r="F32" i="14" a="1"/>
  <c r="F32" i="14" s="1"/>
  <c r="F31" i="14" a="1"/>
  <c r="F31" i="14" s="1"/>
  <c r="F30" i="14" a="1"/>
  <c r="F30" i="14" s="1"/>
  <c r="F29" i="14" a="1"/>
  <c r="F29" i="14" s="1"/>
  <c r="F28" i="14" a="1"/>
  <c r="F28" i="14" s="1"/>
  <c r="H44" i="14" a="1"/>
  <c r="H44" i="14" s="1"/>
  <c r="H43" i="14" a="1"/>
  <c r="H43" i="14" s="1"/>
  <c r="H42" i="14" a="1"/>
  <c r="H42" i="14" s="1"/>
  <c r="H41" i="14" a="1"/>
  <c r="H41" i="14" s="1"/>
  <c r="H40" i="14" a="1"/>
  <c r="H40" i="14" s="1"/>
  <c r="H39" i="14" a="1"/>
  <c r="H39" i="14" s="1"/>
  <c r="H38" i="14" a="1"/>
  <c r="H38" i="14" s="1"/>
  <c r="H37" i="14" a="1"/>
  <c r="H37" i="14" s="1"/>
  <c r="H36" i="14" a="1"/>
  <c r="H36" i="14" s="1"/>
  <c r="H35" i="14" a="1"/>
  <c r="H35" i="14" s="1"/>
  <c r="H34" i="14" a="1"/>
  <c r="H34" i="14" s="1"/>
  <c r="H33" i="14" a="1"/>
  <c r="H33" i="14" s="1"/>
  <c r="H32" i="14" a="1"/>
  <c r="H32" i="14" s="1"/>
  <c r="H31" i="14" a="1"/>
  <c r="H31" i="14" s="1"/>
  <c r="H30" i="14" a="1"/>
  <c r="H30" i="14" s="1"/>
  <c r="H29" i="14" a="1"/>
  <c r="H29" i="14" s="1"/>
  <c r="H28" i="14" a="1"/>
  <c r="H28" i="14" s="1"/>
  <c r="H27" i="14" a="1"/>
  <c r="H27" i="14" s="1"/>
  <c r="H26" i="14" a="1"/>
  <c r="H26" i="14" s="1"/>
  <c r="K5" i="2" l="1"/>
  <c r="K6" i="2"/>
  <c r="M6" i="2" s="1" a="1"/>
  <c r="M6" i="2" s="1"/>
  <c r="K7" i="2"/>
  <c r="M7" i="2" s="1" a="1"/>
  <c r="M7" i="2" s="1"/>
  <c r="K8" i="2"/>
  <c r="K9" i="2"/>
  <c r="K10" i="2"/>
  <c r="K11" i="2"/>
  <c r="K12" i="2"/>
  <c r="K13" i="2"/>
  <c r="K14" i="2"/>
  <c r="M14" i="2" s="1" a="1"/>
  <c r="M14" i="2" s="1"/>
  <c r="K15" i="2"/>
  <c r="M15" i="2" s="1" a="1"/>
  <c r="M15" i="2" s="1"/>
  <c r="K16" i="2"/>
  <c r="K17" i="2"/>
  <c r="K18" i="2"/>
  <c r="K19" i="2"/>
  <c r="K20" i="2"/>
  <c r="K21" i="2"/>
  <c r="K22" i="2"/>
  <c r="M22" i="2" s="1" a="1"/>
  <c r="M22" i="2" s="1"/>
  <c r="K23" i="2"/>
  <c r="M23" i="2" s="1" a="1"/>
  <c r="M23" i="2" s="1"/>
  <c r="K24" i="2"/>
  <c r="K25" i="2"/>
  <c r="K26" i="2"/>
  <c r="K27" i="2"/>
  <c r="K28" i="2"/>
  <c r="K29" i="2"/>
  <c r="K30" i="2"/>
  <c r="K31" i="2"/>
  <c r="M31" i="2" s="1" a="1"/>
  <c r="M31" i="2" s="1"/>
  <c r="K32" i="2"/>
  <c r="K33" i="2"/>
  <c r="K34" i="2"/>
  <c r="K35" i="2"/>
  <c r="K36" i="2"/>
  <c r="K37" i="2"/>
  <c r="K38" i="2"/>
  <c r="K39" i="2"/>
  <c r="M39" i="2" s="1" a="1"/>
  <c r="M39" i="2" s="1"/>
  <c r="M26" i="2" l="1" a="1"/>
  <c r="M26" i="2" s="1"/>
  <c r="G27" i="14" a="1"/>
  <c r="G27" i="14" s="1"/>
  <c r="G27" i="1" a="1"/>
  <c r="G27" i="1" s="1"/>
  <c r="G26" i="14" a="1"/>
  <c r="G26" i="14" s="1"/>
  <c r="G26" i="1" a="1"/>
  <c r="G26" i="1" s="1"/>
  <c r="G25" i="14" a="1"/>
  <c r="G25" i="14" s="1"/>
  <c r="G25" i="1" a="1"/>
  <c r="G25" i="1" s="1"/>
  <c r="F27" i="14" a="1"/>
  <c r="F27" i="14" s="1"/>
  <c r="F26" i="14" a="1"/>
  <c r="F26" i="14" s="1"/>
  <c r="M33" i="2" a="1"/>
  <c r="M33" i="2" s="1"/>
  <c r="M17" i="2" a="1"/>
  <c r="M17" i="2" s="1"/>
  <c r="M25" i="2" a="1"/>
  <c r="M25" i="2" s="1"/>
  <c r="M9" i="2" a="1"/>
  <c r="M9" i="2" s="1"/>
  <c r="M18" i="2" a="1"/>
  <c r="M18" i="2" s="1"/>
  <c r="M10" i="2" a="1"/>
  <c r="M10" i="2" s="1"/>
  <c r="M35" i="2" a="1"/>
  <c r="M35" i="2" s="1"/>
  <c r="M27" i="2" a="1"/>
  <c r="M27" i="2" s="1"/>
  <c r="M19" i="2" a="1"/>
  <c r="M19" i="2" s="1"/>
  <c r="M11" i="2" a="1"/>
  <c r="M11" i="2" s="1"/>
  <c r="M34" i="2" a="1"/>
  <c r="M34" i="2" s="1"/>
  <c r="M36" i="2" a="1"/>
  <c r="M36" i="2" s="1"/>
  <c r="M28" i="2" a="1"/>
  <c r="M28" i="2" s="1"/>
  <c r="M37" i="2" a="1"/>
  <c r="M37" i="2" s="1"/>
  <c r="M29" i="2" a="1"/>
  <c r="M29" i="2" s="1"/>
  <c r="M21" i="2" a="1"/>
  <c r="M21" i="2" s="1"/>
  <c r="M13" i="2" a="1"/>
  <c r="M13" i="2" s="1"/>
  <c r="M5" i="2" a="1"/>
  <c r="M5" i="2" s="1"/>
  <c r="M20" i="2" a="1"/>
  <c r="M20" i="2" s="1"/>
  <c r="M12" i="2" a="1"/>
  <c r="M12" i="2" s="1"/>
  <c r="M32" i="2" a="1"/>
  <c r="M32" i="2" s="1"/>
  <c r="M24" i="2" a="1"/>
  <c r="M24" i="2" s="1"/>
  <c r="M16" i="2" a="1"/>
  <c r="M16" i="2" s="1"/>
  <c r="M8" i="2" a="1"/>
  <c r="M8" i="2" s="1"/>
  <c r="M38" i="2" a="1"/>
  <c r="M38" i="2" s="1"/>
  <c r="M30" i="2" a="1"/>
  <c r="M30" i="2" s="1"/>
  <c r="E26" i="1" l="1" a="1"/>
  <c r="E26" i="1" s="1"/>
  <c r="E26" i="14" a="1"/>
  <c r="E26" i="14" s="1"/>
  <c r="E27" i="1" a="1"/>
  <c r="E27" i="1" s="1"/>
  <c r="E27" i="14" a="1"/>
  <c r="E27" i="14" s="1"/>
  <c r="E25" i="1" a="1"/>
  <c r="E25" i="1" s="1"/>
  <c r="E25" i="14" a="1"/>
  <c r="E25" i="14" s="1"/>
  <c r="G45" i="14"/>
  <c r="G45" i="1"/>
  <c r="N39" i="2" l="1"/>
  <c r="O39" i="2"/>
  <c r="Q39" i="2"/>
  <c r="A25" i="11" l="1"/>
  <c r="B25" i="11" s="1"/>
  <c r="F3" i="2"/>
  <c r="A11" i="11" l="1"/>
  <c r="B11" i="11" s="1"/>
  <c r="Q38" i="2"/>
  <c r="Q37" i="2"/>
  <c r="Q36" i="2"/>
  <c r="Q35" i="2"/>
  <c r="Q34" i="2"/>
  <c r="Q33" i="2"/>
  <c r="Q32" i="2"/>
  <c r="Q31" i="2"/>
  <c r="Q30" i="2"/>
  <c r="Q29" i="2"/>
  <c r="Q28" i="2"/>
  <c r="Q27" i="2"/>
  <c r="Q26" i="2"/>
  <c r="Q25" i="2"/>
  <c r="Q24" i="2"/>
  <c r="Q23" i="2"/>
  <c r="Q22" i="2"/>
  <c r="Q21" i="2"/>
  <c r="Q20" i="2"/>
  <c r="Q19" i="2"/>
  <c r="Q18" i="2"/>
  <c r="Q17" i="2"/>
  <c r="Q16" i="2"/>
  <c r="Q15" i="2"/>
  <c r="Q14" i="2"/>
  <c r="Q13" i="2"/>
  <c r="Q12" i="2"/>
  <c r="Q11" i="2"/>
  <c r="Q10" i="2"/>
  <c r="Q9" i="2"/>
  <c r="Q8" i="2"/>
  <c r="Q7" i="2"/>
  <c r="Q6" i="2"/>
  <c r="Q5" i="2"/>
  <c r="A11" i="8"/>
  <c r="N38" i="2"/>
  <c r="O38" i="2" s="1"/>
  <c r="N37" i="2"/>
  <c r="O37" i="2" s="1"/>
  <c r="N36" i="2"/>
  <c r="O36" i="2" s="1"/>
  <c r="N35" i="2"/>
  <c r="O35" i="2" s="1"/>
  <c r="N34" i="2"/>
  <c r="O34" i="2" s="1"/>
  <c r="N33" i="2"/>
  <c r="O33" i="2" s="1"/>
  <c r="N32" i="2"/>
  <c r="O32" i="2" s="1"/>
  <c r="N31" i="2"/>
  <c r="O31" i="2" s="1"/>
  <c r="N30" i="2"/>
  <c r="O30" i="2" s="1"/>
  <c r="N29" i="2"/>
  <c r="O29" i="2" s="1"/>
  <c r="N28" i="2"/>
  <c r="O28" i="2" s="1"/>
  <c r="N27" i="2"/>
  <c r="O27" i="2" s="1"/>
  <c r="N26" i="2"/>
  <c r="O26" i="2" s="1"/>
  <c r="N25" i="2"/>
  <c r="O25" i="2" s="1"/>
  <c r="N24" i="2"/>
  <c r="O24" i="2" s="1"/>
  <c r="N23" i="2"/>
  <c r="O23" i="2" s="1"/>
  <c r="N22" i="2"/>
  <c r="O22" i="2" s="1"/>
  <c r="N21" i="2"/>
  <c r="O21" i="2" s="1"/>
  <c r="N20" i="2"/>
  <c r="O20" i="2" s="1"/>
  <c r="N19" i="2"/>
  <c r="O19" i="2" s="1"/>
  <c r="N18" i="2"/>
  <c r="O18" i="2" s="1"/>
  <c r="N17" i="2"/>
  <c r="O17" i="2" s="1"/>
  <c r="N16" i="2"/>
  <c r="O16" i="2" s="1"/>
  <c r="N15" i="2"/>
  <c r="O15" i="2" s="1"/>
  <c r="N14" i="2"/>
  <c r="O14" i="2" s="1"/>
  <c r="N13" i="2"/>
  <c r="O13" i="2" s="1"/>
  <c r="N12" i="2"/>
  <c r="O12" i="2" s="1"/>
  <c r="N11" i="2"/>
  <c r="O11" i="2" s="1"/>
  <c r="N10" i="2"/>
  <c r="O10" i="2" s="1"/>
  <c r="N9" i="2"/>
  <c r="O9" i="2" s="1"/>
  <c r="N8" i="2"/>
  <c r="O8" i="2" s="1"/>
  <c r="N7" i="2"/>
  <c r="O7" i="2" s="1"/>
  <c r="N6" i="2"/>
  <c r="O6" i="2" s="1"/>
  <c r="N5" i="2"/>
  <c r="O5" i="2" s="1"/>
  <c r="J22" i="10"/>
  <c r="B3" i="11"/>
  <c r="H2" i="11" s="1"/>
  <c r="A24" i="11"/>
  <c r="B24" i="11" s="1"/>
  <c r="H25" i="14" a="1"/>
  <c r="H25" i="14" s="1"/>
  <c r="C44" i="14" a="1"/>
  <c r="C44" i="14" s="1"/>
  <c r="C43" i="14" a="1"/>
  <c r="C43" i="14" s="1"/>
  <c r="C42" i="14" a="1"/>
  <c r="C42" i="14" s="1"/>
  <c r="C41" i="14" a="1"/>
  <c r="C41" i="14" s="1"/>
  <c r="C40" i="14" a="1"/>
  <c r="C40" i="14" s="1"/>
  <c r="C39" i="14" a="1"/>
  <c r="C39" i="14" s="1"/>
  <c r="C38" i="14" a="1"/>
  <c r="C38" i="14" s="1"/>
  <c r="C37" i="14" a="1"/>
  <c r="C37" i="14" s="1"/>
  <c r="C36" i="14" a="1"/>
  <c r="C36" i="14" s="1"/>
  <c r="C35" i="14" a="1"/>
  <c r="C35" i="14" s="1"/>
  <c r="C34" i="14" a="1"/>
  <c r="C34" i="14" s="1"/>
  <c r="C33" i="14" a="1"/>
  <c r="C33" i="14" s="1"/>
  <c r="C32" i="14" a="1"/>
  <c r="C32" i="14" s="1"/>
  <c r="C31" i="14" a="1"/>
  <c r="C31" i="14" s="1"/>
  <c r="C30" i="14" a="1"/>
  <c r="C30" i="14" s="1"/>
  <c r="C29" i="14" a="1"/>
  <c r="C29" i="14" s="1"/>
  <c r="C28" i="14" a="1"/>
  <c r="C28" i="14" s="1"/>
  <c r="C27" i="14" a="1"/>
  <c r="C27" i="14" s="1"/>
  <c r="C26" i="14" a="1"/>
  <c r="C26" i="14" s="1"/>
  <c r="C25" i="14" a="1"/>
  <c r="C25" i="14" s="1"/>
  <c r="H21" i="14"/>
  <c r="F20" i="14"/>
  <c r="F19" i="14"/>
  <c r="F18" i="14"/>
  <c r="F17" i="14"/>
  <c r="F16" i="14"/>
  <c r="F15" i="14"/>
  <c r="H12" i="14"/>
  <c r="D21" i="14"/>
  <c r="C21" i="14"/>
  <c r="D20" i="14"/>
  <c r="C20" i="14"/>
  <c r="D19" i="14"/>
  <c r="C19" i="14"/>
  <c r="D18" i="14"/>
  <c r="C18" i="14"/>
  <c r="D17" i="14"/>
  <c r="C17" i="14"/>
  <c r="D16" i="14"/>
  <c r="C16" i="14"/>
  <c r="C15" i="14"/>
  <c r="C14" i="14"/>
  <c r="C13" i="14"/>
  <c r="C12" i="14"/>
  <c r="C11" i="14"/>
  <c r="C10" i="14"/>
  <c r="D21" i="10"/>
  <c r="C21" i="10"/>
  <c r="D20" i="10"/>
  <c r="D19" i="10"/>
  <c r="D18" i="10"/>
  <c r="D17" i="10"/>
  <c r="D16" i="10"/>
  <c r="C20" i="10"/>
  <c r="C19" i="10"/>
  <c r="C18" i="10"/>
  <c r="C17" i="10"/>
  <c r="C16" i="10"/>
  <c r="H50" i="1"/>
  <c r="H48" i="1"/>
  <c r="H49" i="1"/>
  <c r="F44" i="1" a="1"/>
  <c r="F44" i="1" s="1"/>
  <c r="F43" i="1" a="1"/>
  <c r="F43" i="1" s="1"/>
  <c r="F42" i="1" a="1"/>
  <c r="F42" i="1" s="1"/>
  <c r="F41" i="1" a="1"/>
  <c r="F41" i="1" s="1"/>
  <c r="F40" i="1" a="1"/>
  <c r="F40" i="1" s="1"/>
  <c r="F39" i="1" a="1"/>
  <c r="F39" i="1" s="1"/>
  <c r="F38" i="1" a="1"/>
  <c r="F38" i="1" s="1"/>
  <c r="F37" i="1" a="1"/>
  <c r="F37" i="1" s="1"/>
  <c r="F36" i="1" a="1"/>
  <c r="F36" i="1" s="1"/>
  <c r="F35" i="1" a="1"/>
  <c r="F35" i="1" s="1"/>
  <c r="F34" i="1" a="1"/>
  <c r="F34" i="1" s="1"/>
  <c r="F33" i="1" a="1"/>
  <c r="F33" i="1" s="1"/>
  <c r="F32" i="1" a="1"/>
  <c r="F32" i="1" s="1"/>
  <c r="F31" i="1" a="1"/>
  <c r="F31" i="1" s="1"/>
  <c r="F30" i="1" a="1"/>
  <c r="F30" i="1" s="1"/>
  <c r="F29" i="1" a="1"/>
  <c r="F29" i="1" s="1"/>
  <c r="F28" i="1" a="1"/>
  <c r="F28" i="1" s="1"/>
  <c r="H44" i="1" a="1"/>
  <c r="H44" i="1" s="1"/>
  <c r="H43" i="1" a="1"/>
  <c r="H43" i="1" s="1"/>
  <c r="H42" i="1" a="1"/>
  <c r="H42" i="1" s="1"/>
  <c r="H41" i="1" a="1"/>
  <c r="H41" i="1" s="1"/>
  <c r="H40" i="1" a="1"/>
  <c r="H40" i="1" s="1"/>
  <c r="H39" i="1" a="1"/>
  <c r="H39" i="1" s="1"/>
  <c r="H38" i="1" a="1"/>
  <c r="H38" i="1" s="1"/>
  <c r="H37" i="1" a="1"/>
  <c r="H37" i="1" s="1"/>
  <c r="H36" i="1" a="1"/>
  <c r="H36" i="1" s="1"/>
  <c r="H35" i="1" a="1"/>
  <c r="H35" i="1" s="1"/>
  <c r="H34" i="1" a="1"/>
  <c r="H34" i="1" s="1"/>
  <c r="H33" i="1" a="1"/>
  <c r="H33" i="1" s="1"/>
  <c r="H32" i="1" a="1"/>
  <c r="H32" i="1" s="1"/>
  <c r="H31" i="1" a="1"/>
  <c r="H31" i="1" s="1"/>
  <c r="H30" i="1" a="1"/>
  <c r="H30" i="1" s="1"/>
  <c r="H29" i="1" a="1"/>
  <c r="H29" i="1" s="1"/>
  <c r="H28" i="1" a="1"/>
  <c r="H28" i="1" s="1"/>
  <c r="H27" i="1" a="1"/>
  <c r="H27" i="1" s="1"/>
  <c r="H26" i="1" a="1"/>
  <c r="H26" i="1" s="1"/>
  <c r="H25" i="1" a="1"/>
  <c r="H25" i="1" s="1"/>
  <c r="C44" i="1" a="1"/>
  <c r="C44" i="1" s="1"/>
  <c r="C43" i="1" a="1"/>
  <c r="C43" i="1" s="1"/>
  <c r="C42" i="1" a="1"/>
  <c r="C42" i="1" s="1"/>
  <c r="C41" i="1" a="1"/>
  <c r="C41" i="1" s="1"/>
  <c r="C40" i="1" a="1"/>
  <c r="C40" i="1" s="1"/>
  <c r="C39" i="1" a="1"/>
  <c r="C39" i="1" s="1"/>
  <c r="C38" i="1" a="1"/>
  <c r="C38" i="1" s="1"/>
  <c r="C37" i="1" a="1"/>
  <c r="C37" i="1" s="1"/>
  <c r="C36" i="1" a="1"/>
  <c r="C36" i="1" s="1"/>
  <c r="C35" i="1" a="1"/>
  <c r="C35" i="1" s="1"/>
  <c r="C34" i="1" a="1"/>
  <c r="C34" i="1" s="1"/>
  <c r="C33" i="1" a="1"/>
  <c r="C33" i="1" s="1"/>
  <c r="C32" i="1" a="1"/>
  <c r="C32" i="1" s="1"/>
  <c r="C31" i="1" a="1"/>
  <c r="C31" i="1" s="1"/>
  <c r="C30" i="1" a="1"/>
  <c r="C30" i="1" s="1"/>
  <c r="C29" i="1" a="1"/>
  <c r="C29" i="1" s="1"/>
  <c r="C28" i="1" a="1"/>
  <c r="C28" i="1" s="1"/>
  <c r="C27" i="1" a="1"/>
  <c r="C27" i="1" s="1"/>
  <c r="C26" i="1" a="1"/>
  <c r="C26" i="1" s="1"/>
  <c r="C25" i="1" a="1"/>
  <c r="C25" i="1" s="1"/>
  <c r="H12" i="1"/>
  <c r="H21" i="1"/>
  <c r="F20" i="1"/>
  <c r="F19" i="1"/>
  <c r="F18" i="1"/>
  <c r="F17" i="1"/>
  <c r="F16" i="1"/>
  <c r="F15" i="1"/>
  <c r="D21" i="1"/>
  <c r="C21" i="1"/>
  <c r="D20" i="1"/>
  <c r="D19" i="1"/>
  <c r="D18" i="1"/>
  <c r="D17" i="1"/>
  <c r="D16" i="1"/>
  <c r="C20" i="1"/>
  <c r="C19" i="1"/>
  <c r="C18" i="1"/>
  <c r="C17" i="1"/>
  <c r="C16" i="1"/>
  <c r="A23" i="11"/>
  <c r="B23" i="11" s="1"/>
  <c r="A22" i="11"/>
  <c r="B22" i="11" s="1"/>
  <c r="A21" i="11"/>
  <c r="B21" i="11" s="1"/>
  <c r="A20" i="11"/>
  <c r="B20" i="11" s="1"/>
  <c r="A19" i="11"/>
  <c r="B19" i="11" s="1"/>
  <c r="A18" i="11"/>
  <c r="B18" i="11" s="1"/>
  <c r="A17" i="11"/>
  <c r="B17" i="11" s="1"/>
  <c r="A16" i="11"/>
  <c r="A15" i="11"/>
  <c r="B15" i="11" s="1"/>
  <c r="A14" i="11"/>
  <c r="B14" i="11" s="1"/>
  <c r="A13" i="11"/>
  <c r="B13" i="11" s="1"/>
  <c r="A12" i="11"/>
  <c r="A10" i="11"/>
  <c r="B10" i="11" s="1"/>
  <c r="A9" i="11"/>
  <c r="B9" i="11" s="1"/>
  <c r="A8" i="11"/>
  <c r="B8" i="11" s="1"/>
  <c r="A7" i="11"/>
  <c r="A6" i="11"/>
  <c r="C4" i="8"/>
  <c r="A17" i="8"/>
  <c r="J26" i="10"/>
  <c r="J25" i="10" s="1"/>
  <c r="I26" i="10"/>
  <c r="I28" i="10"/>
  <c r="H26" i="10"/>
  <c r="H28" i="10"/>
  <c r="G26" i="10"/>
  <c r="G28" i="10"/>
  <c r="F26" i="10"/>
  <c r="F28" i="10"/>
  <c r="E26" i="10"/>
  <c r="E28" i="10"/>
  <c r="D26" i="10"/>
  <c r="D28" i="10"/>
  <c r="C26" i="10"/>
  <c r="C28" i="10"/>
  <c r="J28" i="10"/>
  <c r="A24" i="8"/>
  <c r="A25" i="8" s="1"/>
  <c r="F7" i="9" s="1"/>
  <c r="F25" i="14" a="1"/>
  <c r="F25" i="14" s="1"/>
  <c r="H20" i="10"/>
  <c r="H19" i="10"/>
  <c r="H18" i="10"/>
  <c r="H17" i="10"/>
  <c r="H16" i="10"/>
  <c r="H15" i="10"/>
  <c r="C10" i="10"/>
  <c r="C11" i="10"/>
  <c r="C12" i="10"/>
  <c r="C13" i="10"/>
  <c r="C14" i="10"/>
  <c r="C15" i="10"/>
  <c r="A1" i="9"/>
  <c r="A1" i="8"/>
  <c r="D4" i="8"/>
  <c r="D5" i="8"/>
  <c r="A1" i="7"/>
  <c r="A7" i="7"/>
  <c r="A8" i="7" s="1"/>
  <c r="C8" i="7" s="1"/>
  <c r="C10" i="1"/>
  <c r="C11" i="1"/>
  <c r="C12" i="1"/>
  <c r="C13" i="1"/>
  <c r="C14" i="1"/>
  <c r="C15" i="1"/>
  <c r="C48" i="1"/>
  <c r="C49" i="1"/>
  <c r="C50" i="1"/>
  <c r="C51" i="1"/>
  <c r="A1" i="2"/>
  <c r="A1" i="3"/>
  <c r="A1" i="4"/>
  <c r="A1" i="11" s="1"/>
  <c r="B7" i="7" l="1"/>
  <c r="F26" i="1" a="1"/>
  <c r="F26" i="1" s="1"/>
  <c r="C7" i="7"/>
  <c r="F25" i="1" a="1"/>
  <c r="F25" i="1" s="1"/>
  <c r="E2" i="11"/>
  <c r="H25" i="10"/>
  <c r="I2" i="11"/>
  <c r="C6" i="11"/>
  <c r="D25" i="10"/>
  <c r="C14" i="11"/>
  <c r="F25" i="10"/>
  <c r="C9" i="11"/>
  <c r="H3" i="11"/>
  <c r="H14" i="11" s="1"/>
  <c r="D3" i="11"/>
  <c r="J2" i="11"/>
  <c r="C23" i="11"/>
  <c r="C25" i="10"/>
  <c r="E25" i="10"/>
  <c r="G25" i="10"/>
  <c r="I25" i="10"/>
  <c r="H45" i="1"/>
  <c r="C18" i="11"/>
  <c r="F2" i="11"/>
  <c r="C17" i="11"/>
  <c r="C15" i="11"/>
  <c r="C8" i="11"/>
  <c r="D2" i="11"/>
  <c r="G2" i="11"/>
  <c r="J3" i="11"/>
  <c r="C22" i="11"/>
  <c r="C21" i="11"/>
  <c r="C19" i="11"/>
  <c r="C13" i="11"/>
  <c r="C10" i="11"/>
  <c r="F3" i="11"/>
  <c r="B7" i="11"/>
  <c r="C7" i="11"/>
  <c r="B16" i="11"/>
  <c r="C16" i="11"/>
  <c r="F27" i="1" a="1"/>
  <c r="F27" i="1" s="1"/>
  <c r="B17" i="8"/>
  <c r="D7" i="9"/>
  <c r="A18" i="8"/>
  <c r="E7" i="9" s="1"/>
  <c r="C12" i="11"/>
  <c r="B12" i="11"/>
  <c r="C20" i="11"/>
  <c r="F45" i="14"/>
  <c r="A9" i="7"/>
  <c r="E9" i="7" s="1"/>
  <c r="B8" i="7"/>
  <c r="B6" i="11"/>
  <c r="C25" i="11"/>
  <c r="K2" i="11"/>
  <c r="K6" i="11" s="1"/>
  <c r="K3" i="11"/>
  <c r="I3" i="11"/>
  <c r="G3" i="11"/>
  <c r="E3" i="11"/>
  <c r="C11" i="11"/>
  <c r="B24" i="8"/>
  <c r="H45" i="14"/>
  <c r="C24" i="11"/>
  <c r="P5" i="2"/>
  <c r="P39" i="2"/>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K3" i="2"/>
  <c r="E8" i="7"/>
  <c r="D8" i="7"/>
  <c r="E7" i="7"/>
  <c r="D7" i="7"/>
  <c r="M3" i="2" l="1"/>
  <c r="H8" i="11"/>
  <c r="D9" i="7"/>
  <c r="H25" i="11"/>
  <c r="H16" i="11"/>
  <c r="I20" i="11"/>
  <c r="D17" i="11"/>
  <c r="E12" i="11"/>
  <c r="F23" i="11"/>
  <c r="D7" i="11"/>
  <c r="H18" i="11"/>
  <c r="H19" i="11"/>
  <c r="D25" i="11"/>
  <c r="D14" i="11"/>
  <c r="D11" i="11"/>
  <c r="D15" i="11"/>
  <c r="H23" i="11"/>
  <c r="F25" i="11"/>
  <c r="D9" i="11"/>
  <c r="D13" i="11"/>
  <c r="D10" i="11"/>
  <c r="D22" i="11"/>
  <c r="D24" i="11"/>
  <c r="D8" i="11"/>
  <c r="D6" i="11"/>
  <c r="D18" i="11"/>
  <c r="D21" i="11"/>
  <c r="D19" i="11"/>
  <c r="H12" i="11"/>
  <c r="H24" i="11"/>
  <c r="H10" i="11"/>
  <c r="H17" i="11"/>
  <c r="H7" i="11"/>
  <c r="J19" i="11"/>
  <c r="H11" i="11"/>
  <c r="H21" i="11"/>
  <c r="H6" i="11"/>
  <c r="H15" i="11"/>
  <c r="H20" i="11"/>
  <c r="H22" i="11"/>
  <c r="H9" i="11"/>
  <c r="H13" i="11"/>
  <c r="G6" i="11"/>
  <c r="F14" i="11"/>
  <c r="F7" i="11"/>
  <c r="E25" i="11"/>
  <c r="F12" i="11"/>
  <c r="E56" i="10" a="1"/>
  <c r="E56" i="10" s="1"/>
  <c r="F16" i="11"/>
  <c r="E45" i="1"/>
  <c r="G25" i="11"/>
  <c r="F20" i="11"/>
  <c r="G13" i="11"/>
  <c r="F11" i="11"/>
  <c r="J17" i="11"/>
  <c r="J14" i="11"/>
  <c r="J12" i="11"/>
  <c r="E16" i="11"/>
  <c r="E51" i="10" a="1"/>
  <c r="E51" i="10" s="1"/>
  <c r="E39" i="10" a="1"/>
  <c r="E39" i="10" s="1"/>
  <c r="G22" i="11"/>
  <c r="F9" i="11"/>
  <c r="F24" i="11"/>
  <c r="I12" i="11"/>
  <c r="I7" i="11"/>
  <c r="J9" i="11"/>
  <c r="J22" i="11"/>
  <c r="E43" i="10" a="1"/>
  <c r="E43" i="10" s="1"/>
  <c r="J25" i="11"/>
  <c r="E48" i="10" a="1"/>
  <c r="E48" i="10" s="1"/>
  <c r="J15" i="11"/>
  <c r="J13" i="11"/>
  <c r="E20" i="11"/>
  <c r="J18" i="11"/>
  <c r="G8" i="11"/>
  <c r="I16" i="11"/>
  <c r="F6" i="11"/>
  <c r="E31" i="10" a="1"/>
  <c r="E31" i="10" s="1"/>
  <c r="E47" i="10" a="1"/>
  <c r="E47" i="10" s="1"/>
  <c r="I25" i="11"/>
  <c r="J10" i="11"/>
  <c r="J8" i="11"/>
  <c r="J23" i="11"/>
  <c r="G9" i="11"/>
  <c r="J16" i="11"/>
  <c r="D23" i="11"/>
  <c r="D12" i="11"/>
  <c r="D20" i="11"/>
  <c r="D16" i="11"/>
  <c r="E59" i="10" a="1"/>
  <c r="E59" i="10" s="1"/>
  <c r="E35" i="10" a="1"/>
  <c r="E35" i="10" s="1"/>
  <c r="J24" i="11"/>
  <c r="G24" i="11"/>
  <c r="J21" i="11"/>
  <c r="J7" i="11"/>
  <c r="J20" i="11"/>
  <c r="C4" i="11"/>
  <c r="K7" i="11"/>
  <c r="F8" i="11"/>
  <c r="F15" i="11"/>
  <c r="F17" i="11"/>
  <c r="F10" i="11"/>
  <c r="F13" i="11"/>
  <c r="F19" i="11"/>
  <c r="F21" i="11"/>
  <c r="F22" i="11"/>
  <c r="F18" i="11"/>
  <c r="J11" i="11"/>
  <c r="J6" i="11"/>
  <c r="E40" i="10" a="1"/>
  <c r="E40" i="10" s="1"/>
  <c r="E52" i="10" a="1"/>
  <c r="E52" i="10" s="1"/>
  <c r="E57" i="10" a="1"/>
  <c r="E57" i="10" s="1"/>
  <c r="E32" i="10" a="1"/>
  <c r="E32" i="10" s="1"/>
  <c r="E44" i="10" a="1"/>
  <c r="E44" i="10" s="1"/>
  <c r="E24" i="11"/>
  <c r="E9" i="11"/>
  <c r="E14" i="11"/>
  <c r="E18" i="11"/>
  <c r="E10" i="11"/>
  <c r="E15" i="11"/>
  <c r="E19" i="11"/>
  <c r="E23" i="11"/>
  <c r="E6" i="11"/>
  <c r="E11" i="11"/>
  <c r="E22" i="11"/>
  <c r="E8" i="11"/>
  <c r="E13" i="11"/>
  <c r="E17" i="11"/>
  <c r="E21" i="11"/>
  <c r="E7" i="11"/>
  <c r="D8" i="9"/>
  <c r="B18" i="8"/>
  <c r="E8" i="9" s="1"/>
  <c r="C17" i="8"/>
  <c r="C11" i="8" s="1"/>
  <c r="B8" i="9" s="1"/>
  <c r="B11" i="8"/>
  <c r="B7" i="9" s="1"/>
  <c r="E33" i="10" a="1"/>
  <c r="E33" i="10" s="1"/>
  <c r="E37" i="10" a="1"/>
  <c r="E37" i="10" s="1"/>
  <c r="E41" i="10" a="1"/>
  <c r="E41" i="10" s="1"/>
  <c r="E45" i="10" a="1"/>
  <c r="E45" i="10" s="1"/>
  <c r="E49" i="10" a="1"/>
  <c r="E49" i="10" s="1"/>
  <c r="E53" i="10" a="1"/>
  <c r="E53" i="10" s="1"/>
  <c r="E58" i="10" a="1"/>
  <c r="E58" i="10" s="1"/>
  <c r="G10" i="11"/>
  <c r="G15" i="11"/>
  <c r="G19" i="11"/>
  <c r="G23" i="11"/>
  <c r="G11" i="11"/>
  <c r="G20" i="11"/>
  <c r="G12" i="11"/>
  <c r="G21" i="11"/>
  <c r="G18" i="11"/>
  <c r="G16" i="11"/>
  <c r="E45" i="14"/>
  <c r="E36" i="10" a="1"/>
  <c r="E36" i="10" s="1"/>
  <c r="K25" i="11"/>
  <c r="K9" i="11"/>
  <c r="K14" i="11"/>
  <c r="K18" i="11"/>
  <c r="K24" i="11"/>
  <c r="K8" i="11"/>
  <c r="K13" i="11"/>
  <c r="K17" i="11"/>
  <c r="K21" i="11"/>
  <c r="K11" i="11"/>
  <c r="K23" i="11"/>
  <c r="K10" i="11"/>
  <c r="K15" i="11"/>
  <c r="K19" i="11"/>
  <c r="K22" i="11"/>
  <c r="E30" i="10" a="1"/>
  <c r="E30" i="10" s="1"/>
  <c r="E34" i="10" a="1"/>
  <c r="E34" i="10" s="1"/>
  <c r="E38" i="10" a="1"/>
  <c r="E38" i="10" s="1"/>
  <c r="E42" i="10" a="1"/>
  <c r="E42" i="10" s="1"/>
  <c r="E46" i="10" a="1"/>
  <c r="E46" i="10" s="1"/>
  <c r="E50" i="10" a="1"/>
  <c r="E50" i="10" s="1"/>
  <c r="E54" i="10" a="1"/>
  <c r="E54" i="10" s="1"/>
  <c r="C24" i="8"/>
  <c r="B25" i="8"/>
  <c r="F8" i="9" s="1"/>
  <c r="I9" i="11"/>
  <c r="I14" i="11"/>
  <c r="I18" i="11"/>
  <c r="I22" i="11"/>
  <c r="I24" i="11"/>
  <c r="I10" i="11"/>
  <c r="I15" i="11"/>
  <c r="I19" i="11"/>
  <c r="I23" i="11"/>
  <c r="I6" i="11"/>
  <c r="I8" i="11"/>
  <c r="I13" i="11"/>
  <c r="I17" i="11"/>
  <c r="I21" i="11"/>
  <c r="I11" i="11"/>
  <c r="A10" i="7"/>
  <c r="C9" i="7"/>
  <c r="B9" i="7"/>
  <c r="K20" i="11"/>
  <c r="K12" i="11"/>
  <c r="G17" i="11"/>
  <c r="G14" i="11"/>
  <c r="K16" i="11"/>
  <c r="G7" i="11"/>
  <c r="F45" i="1"/>
  <c r="C59" i="10" a="1"/>
  <c r="C59" i="10" s="1"/>
  <c r="C58" i="10" a="1"/>
  <c r="C58" i="10" s="1"/>
  <c r="C57" i="10" a="1"/>
  <c r="C57" i="10" s="1"/>
  <c r="C56" i="10" a="1"/>
  <c r="C56" i="10" s="1"/>
  <c r="C54" i="10" a="1"/>
  <c r="C54" i="10" s="1"/>
  <c r="C53" i="10" a="1"/>
  <c r="C53" i="10" s="1"/>
  <c r="C52" i="10" a="1"/>
  <c r="C52" i="10" s="1"/>
  <c r="C51" i="10" a="1"/>
  <c r="C51" i="10" s="1"/>
  <c r="C50" i="10" a="1"/>
  <c r="C50" i="10" s="1"/>
  <c r="C49" i="10" a="1"/>
  <c r="C49" i="10" s="1"/>
  <c r="C48" i="10" a="1"/>
  <c r="C48" i="10" s="1"/>
  <c r="C47" i="10" a="1"/>
  <c r="C47" i="10" s="1"/>
  <c r="C46" i="10" a="1"/>
  <c r="C46" i="10" s="1"/>
  <c r="C45" i="10" a="1"/>
  <c r="C45" i="10" s="1"/>
  <c r="C44" i="10" a="1"/>
  <c r="C44" i="10" s="1"/>
  <c r="C43" i="10" a="1"/>
  <c r="C43" i="10" s="1"/>
  <c r="C42" i="10" a="1"/>
  <c r="C42" i="10" s="1"/>
  <c r="C41" i="10" a="1"/>
  <c r="C41" i="10" s="1"/>
  <c r="C40" i="10" a="1"/>
  <c r="C40" i="10" s="1"/>
  <c r="C39" i="10" a="1"/>
  <c r="C39" i="10" s="1"/>
  <c r="C38" i="10" a="1"/>
  <c r="C38" i="10" s="1"/>
  <c r="C37" i="10" a="1"/>
  <c r="C37" i="10" s="1"/>
  <c r="C36" i="10" a="1"/>
  <c r="C36" i="10" s="1"/>
  <c r="C35" i="10" a="1"/>
  <c r="C35" i="10" s="1"/>
  <c r="C34" i="10" a="1"/>
  <c r="C34" i="10" s="1"/>
  <c r="C33" i="10" a="1"/>
  <c r="C33" i="10" s="1"/>
  <c r="C32" i="10" a="1"/>
  <c r="C32" i="10" s="1"/>
  <c r="C31" i="10" a="1"/>
  <c r="C31" i="10" s="1"/>
  <c r="C30" i="10" a="1"/>
  <c r="C30" i="10" s="1"/>
  <c r="C55" i="10" a="1"/>
  <c r="C55" i="10" s="1"/>
  <c r="E55" i="10" a="1"/>
  <c r="E55" i="10" s="1"/>
  <c r="H4" i="11" l="1"/>
  <c r="D4" i="11"/>
  <c r="F4" i="11"/>
  <c r="K4" i="11"/>
  <c r="J4" i="11"/>
  <c r="G4" i="11"/>
  <c r="E4" i="11"/>
  <c r="A11" i="7"/>
  <c r="B10" i="7"/>
  <c r="C10" i="7"/>
  <c r="E10" i="7"/>
  <c r="D10" i="7"/>
  <c r="C18" i="8"/>
  <c r="E9" i="9" s="1"/>
  <c r="D17" i="8"/>
  <c r="D11" i="8" s="1"/>
  <c r="B9" i="9" s="1"/>
  <c r="D9" i="9"/>
  <c r="D24" i="8"/>
  <c r="C25" i="8"/>
  <c r="F9" i="9" s="1"/>
  <c r="I4" i="11"/>
  <c r="K55" i="10"/>
  <c r="J55" i="10"/>
  <c r="G55" i="10"/>
  <c r="J30" i="10"/>
  <c r="K30" i="10" s="1"/>
  <c r="G30" i="10"/>
  <c r="J31" i="10"/>
  <c r="K31" i="10" s="1"/>
  <c r="G31" i="10"/>
  <c r="J32" i="10"/>
  <c r="K32" i="10" s="1"/>
  <c r="G32" i="10"/>
  <c r="J33" i="10"/>
  <c r="K33" i="10" s="1"/>
  <c r="G33" i="10"/>
  <c r="J34" i="10"/>
  <c r="K34" i="10" s="1"/>
  <c r="G34" i="10"/>
  <c r="J35" i="10"/>
  <c r="K35" i="10" s="1"/>
  <c r="G35" i="10"/>
  <c r="K36" i="10"/>
  <c r="J36" i="10"/>
  <c r="G36" i="10"/>
  <c r="K37" i="10"/>
  <c r="J37" i="10"/>
  <c r="G37" i="10"/>
  <c r="K38" i="10"/>
  <c r="J38" i="10"/>
  <c r="G38" i="10"/>
  <c r="K39" i="10"/>
  <c r="J39" i="10"/>
  <c r="G39" i="10"/>
  <c r="K40" i="10"/>
  <c r="J40" i="10"/>
  <c r="G40" i="10"/>
  <c r="K41" i="10"/>
  <c r="J41" i="10"/>
  <c r="G41" i="10"/>
  <c r="K42" i="10"/>
  <c r="J42" i="10"/>
  <c r="G42" i="10"/>
  <c r="K43" i="10"/>
  <c r="J43" i="10"/>
  <c r="G43" i="10"/>
  <c r="K44" i="10"/>
  <c r="J44" i="10"/>
  <c r="G44" i="10"/>
  <c r="K45" i="10"/>
  <c r="J45" i="10"/>
  <c r="G45" i="10"/>
  <c r="K46" i="10"/>
  <c r="J46" i="10"/>
  <c r="G46" i="10"/>
  <c r="K47" i="10"/>
  <c r="J47" i="10"/>
  <c r="G47" i="10"/>
  <c r="K48" i="10"/>
  <c r="J48" i="10"/>
  <c r="G48" i="10"/>
  <c r="K49" i="10"/>
  <c r="J49" i="10"/>
  <c r="G49" i="10"/>
  <c r="K50" i="10"/>
  <c r="J50" i="10"/>
  <c r="G50" i="10"/>
  <c r="K51" i="10"/>
  <c r="J51" i="10"/>
  <c r="G51" i="10"/>
  <c r="K52" i="10"/>
  <c r="J52" i="10"/>
  <c r="G52" i="10"/>
  <c r="K53" i="10"/>
  <c r="J53" i="10"/>
  <c r="G53" i="10"/>
  <c r="K54" i="10"/>
  <c r="J54" i="10"/>
  <c r="G54" i="10"/>
  <c r="K56" i="10"/>
  <c r="J56" i="10"/>
  <c r="G56" i="10"/>
  <c r="K57" i="10"/>
  <c r="J57" i="10"/>
  <c r="G57" i="10"/>
  <c r="K58" i="10"/>
  <c r="J58" i="10"/>
  <c r="G58" i="10"/>
  <c r="K59" i="10"/>
  <c r="J59" i="10"/>
  <c r="G59" i="10"/>
  <c r="E24" i="8" l="1"/>
  <c r="D25" i="8"/>
  <c r="F10" i="9" s="1"/>
  <c r="A12" i="7"/>
  <c r="B11" i="7"/>
  <c r="C11" i="7"/>
  <c r="D11" i="7"/>
  <c r="E11" i="7"/>
  <c r="E17" i="8"/>
  <c r="E11" i="8" s="1"/>
  <c r="B10" i="9" s="1"/>
  <c r="D10" i="9"/>
  <c r="D18" i="8"/>
  <c r="E10" i="9" s="1"/>
  <c r="B12" i="7" l="1"/>
  <c r="A13" i="7"/>
  <c r="C12" i="7"/>
  <c r="E12" i="7"/>
  <c r="D12" i="7"/>
  <c r="E25" i="8"/>
  <c r="F11" i="9" s="1"/>
  <c r="F24" i="8"/>
  <c r="F17" i="8"/>
  <c r="F11" i="8" s="1"/>
  <c r="B11" i="9" s="1"/>
  <c r="E18" i="8"/>
  <c r="E11" i="9" s="1"/>
  <c r="D11" i="9"/>
  <c r="A14" i="7" l="1"/>
  <c r="C13" i="7"/>
  <c r="B13" i="7"/>
  <c r="D13" i="7"/>
  <c r="E13" i="7"/>
  <c r="F25" i="8"/>
  <c r="F12" i="9" s="1"/>
  <c r="A26" i="8"/>
  <c r="D12" i="9"/>
  <c r="A19" i="8"/>
  <c r="F18" i="8"/>
  <c r="E12" i="9" s="1"/>
  <c r="G11" i="8"/>
  <c r="B12" i="9" s="1"/>
  <c r="B26" i="8" l="1"/>
  <c r="A27" i="8"/>
  <c r="F13" i="9" s="1"/>
  <c r="A20" i="8"/>
  <c r="E13" i="9" s="1"/>
  <c r="D13" i="9"/>
  <c r="B19" i="8"/>
  <c r="A13" i="8"/>
  <c r="B13" i="9" s="1"/>
  <c r="A15" i="7"/>
  <c r="B14" i="7"/>
  <c r="C14" i="7"/>
  <c r="E14" i="7"/>
  <c r="D14" i="7"/>
  <c r="A16" i="7" l="1"/>
  <c r="C15" i="7"/>
  <c r="B15" i="7"/>
  <c r="D15" i="7"/>
  <c r="E15" i="7"/>
  <c r="B20" i="8"/>
  <c r="E14" i="9" s="1"/>
  <c r="C19" i="8"/>
  <c r="D14" i="9"/>
  <c r="C26" i="8"/>
  <c r="B27" i="8"/>
  <c r="F14" i="9" s="1"/>
  <c r="C20" i="8" l="1"/>
  <c r="E15" i="9" s="1"/>
  <c r="D15" i="9"/>
  <c r="D19" i="8"/>
  <c r="C13" i="8"/>
  <c r="B15" i="9" s="1"/>
  <c r="C27" i="8"/>
  <c r="F15" i="9" s="1"/>
  <c r="D26" i="8"/>
  <c r="B13" i="8"/>
  <c r="B14" i="9" s="1"/>
  <c r="A17" i="7"/>
  <c r="B16" i="7"/>
  <c r="C16" i="7"/>
  <c r="E16" i="7"/>
  <c r="D16" i="7"/>
  <c r="A18" i="7" l="1"/>
  <c r="C17" i="7"/>
  <c r="B17" i="7"/>
  <c r="D17" i="7"/>
  <c r="E17" i="7"/>
  <c r="E19" i="8"/>
  <c r="D13" i="8" s="1"/>
  <c r="B16" i="9" s="1"/>
  <c r="D16" i="9"/>
  <c r="D20" i="8"/>
  <c r="E16" i="9" s="1"/>
  <c r="E26" i="8"/>
  <c r="D27" i="8"/>
  <c r="F16" i="9" s="1"/>
  <c r="F26" i="8" l="1"/>
  <c r="F27" i="8" s="1"/>
  <c r="F18" i="9" s="1"/>
  <c r="E27" i="8"/>
  <c r="F17" i="9" s="1"/>
  <c r="E20" i="8"/>
  <c r="E17" i="9" s="1"/>
  <c r="F19" i="8"/>
  <c r="D17" i="9"/>
  <c r="B18" i="7"/>
  <c r="B19" i="7" s="1"/>
  <c r="C18" i="7"/>
  <c r="C19" i="7" s="1"/>
  <c r="E18" i="7"/>
  <c r="D18" i="7"/>
  <c r="F20" i="8" l="1"/>
  <c r="E18" i="9" s="1"/>
  <c r="D18" i="9"/>
  <c r="G19" i="8"/>
  <c r="G13" i="8" s="1"/>
  <c r="B19" i="9" s="1"/>
  <c r="F13" i="8"/>
  <c r="B18" i="9" s="1"/>
  <c r="E13" i="8"/>
  <c r="B17"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<sst xmlns="http://schemas.openxmlformats.org/spreadsheetml/2006/main" count="650" uniqueCount="420">
  <si>
    <t>Customer Account Balances</t>
  </si>
  <si>
    <t>Report Date:</t>
  </si>
  <si>
    <t>The customer code can also be selected on the Statement and Ageing sheets in order to automatically compile an account statement or age analysis for a particular customer. Refer to the Account Statement and Age Analysis sections of these instructions for guidance on these features.</t>
  </si>
  <si>
    <t>Account statements are therefore compiled on an open item basis - this means that only open or outstanding items (invoices) are included on account statements and not all the movements on the customer account during a specific period (opening balances, invoices and payments displayed separately). We believe that this is the most efficient method of compiling account statements because it negates the need for complicated account reconciliations.</t>
  </si>
  <si>
    <t>Note: Invoices are listed on the account statement in the same order in which the invoices appear on the Details sheet. If you therefore want to change the order in which invoices are listed, you need to sort the data on the Details sheet accordingly.</t>
  </si>
  <si>
    <t>Ageing calculations can be performed for a specific customer by simply selecting the appropriate customer code from the list box in cell B6 or an age analysis of all customer accounts can be compiled by simply clearing the customer code from cell B6 (select cell B6 and simply press the Delete key on the keyboard).</t>
  </si>
  <si>
    <t>Note: If you accidentally clear the statement date from cell B4, you may notice that some of the calculations on this sheet result in errors. This is because a statement date should always be specified in order to perform these calculations. We have therefore implemented conditional formatting features to highlight the statement date in orange if this cell is accidentally cleared.</t>
  </si>
  <si>
    <t>Excel Skills | Invoice Template | Service Based</t>
  </si>
  <si>
    <t>Note: By default, the account statement includes a maximum of 30 outstanding invoices, but you can add more invoices to this sheet by simply copying the formulas from row 59 and pasting them into the appropriate number of additional rows. We recommend that you select the entire row before copying &amp; pasting the formulas.</t>
  </si>
  <si>
    <t>555 Broadway Boulevard</t>
  </si>
  <si>
    <t>10 Delhi Crescent</t>
  </si>
  <si>
    <t>City Centre</t>
  </si>
  <si>
    <t>290 York Crescent</t>
  </si>
  <si>
    <t>52 Adderley Crescent</t>
  </si>
  <si>
    <t>© www.excel-skills.com</t>
  </si>
  <si>
    <t>Monthly Sales Analysis</t>
  </si>
  <si>
    <t>Tax Invoice</t>
  </si>
  <si>
    <t>Invoice Number</t>
  </si>
  <si>
    <t>Invoice Date</t>
  </si>
  <si>
    <t>Invoiced To:</t>
  </si>
  <si>
    <t>Description</t>
  </si>
  <si>
    <t>Total</t>
  </si>
  <si>
    <t>Banking Details:</t>
  </si>
  <si>
    <t>Tax Inclusive Amount</t>
  </si>
  <si>
    <t>Exclusive Amount</t>
  </si>
  <si>
    <t>A</t>
  </si>
  <si>
    <t>Customer Set-up</t>
  </si>
  <si>
    <t>Billing Address</t>
  </si>
  <si>
    <t>Code</t>
  </si>
  <si>
    <t>Billing Name</t>
  </si>
  <si>
    <t>Line 1</t>
  </si>
  <si>
    <t>Line 2</t>
  </si>
  <si>
    <t>Line 3</t>
  </si>
  <si>
    <t>Line 4</t>
  </si>
  <si>
    <t>Line 5</t>
  </si>
  <si>
    <t>Tax Number</t>
  </si>
  <si>
    <t>Street Address</t>
  </si>
  <si>
    <t>Suburb</t>
  </si>
  <si>
    <t>Set-up</t>
  </si>
  <si>
    <t>Business Details</t>
  </si>
  <si>
    <t>Business Name</t>
  </si>
  <si>
    <t>Building Name</t>
  </si>
  <si>
    <t>Contact Number</t>
  </si>
  <si>
    <t>+27 21 999 9999</t>
  </si>
  <si>
    <t>Fax Number</t>
  </si>
  <si>
    <t>+27 21 999 0000</t>
  </si>
  <si>
    <t>www.example.com</t>
  </si>
  <si>
    <t>Contact E-mail</t>
  </si>
  <si>
    <t>info@example.com</t>
  </si>
  <si>
    <t>Sales Tax Reference Number</t>
  </si>
  <si>
    <t>9999 999 9999</t>
  </si>
  <si>
    <t>Account Type</t>
  </si>
  <si>
    <t>Current Account</t>
  </si>
  <si>
    <t>Bank</t>
  </si>
  <si>
    <t>Example Bank</t>
  </si>
  <si>
    <t>Bank Code</t>
  </si>
  <si>
    <t>999-999</t>
  </si>
  <si>
    <t>Account Number</t>
  </si>
  <si>
    <t>1111 999 888</t>
  </si>
  <si>
    <t>Invoice Details</t>
  </si>
  <si>
    <t>City</t>
  </si>
  <si>
    <t>Accounting Services</t>
  </si>
  <si>
    <t>Invoice Due Date</t>
  </si>
  <si>
    <t>Instructions</t>
  </si>
  <si>
    <t>www.excel-skills.com</t>
  </si>
  <si>
    <t>Customers</t>
  </si>
  <si>
    <t>Help &amp; Customization</t>
  </si>
  <si>
    <t>Customer Tax No.</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</si>
  <si>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</si>
  <si>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Example (Pty) Ltd</t>
  </si>
  <si>
    <t>ABC01</t>
  </si>
  <si>
    <t>ABC Limited</t>
  </si>
  <si>
    <t>22 Long Street</t>
  </si>
  <si>
    <t>Orange County</t>
  </si>
  <si>
    <t>United States</t>
  </si>
  <si>
    <t>N/A</t>
  </si>
  <si>
    <t>CCS01</t>
  </si>
  <si>
    <t>CC Supplies</t>
  </si>
  <si>
    <t>105 Newmarket Street</t>
  </si>
  <si>
    <t>City Bowl</t>
  </si>
  <si>
    <t>Cape Town</t>
  </si>
  <si>
    <t>499 888 2000</t>
  </si>
  <si>
    <t>DFM01</t>
  </si>
  <si>
    <t>DF Manufacturing</t>
  </si>
  <si>
    <t>DF House</t>
  </si>
  <si>
    <t>110 Mandela Avenue</t>
  </si>
  <si>
    <t>Westville</t>
  </si>
  <si>
    <t>Durban</t>
  </si>
  <si>
    <t>452 765 2303</t>
  </si>
  <si>
    <t>DIG01</t>
  </si>
  <si>
    <t>Digicom</t>
  </si>
  <si>
    <t>Rivionia</t>
  </si>
  <si>
    <t>Johannesburg</t>
  </si>
  <si>
    <t>452 079 2090</t>
  </si>
  <si>
    <t>ECE01</t>
  </si>
  <si>
    <t>EC Estate Agents</t>
  </si>
  <si>
    <t>20 Cross Street</t>
  </si>
  <si>
    <t>Gardens</t>
  </si>
  <si>
    <t>ENE01</t>
  </si>
  <si>
    <t>Energy Incorporated</t>
  </si>
  <si>
    <t>39 Bay Avenue</t>
  </si>
  <si>
    <t>Waverley</t>
  </si>
  <si>
    <t>Bloemfontein</t>
  </si>
  <si>
    <t>402 899 3000</t>
  </si>
  <si>
    <t>FSF01</t>
  </si>
  <si>
    <t>FS Financial Services</t>
  </si>
  <si>
    <t>55A Broad Street</t>
  </si>
  <si>
    <t>Umhlanga</t>
  </si>
  <si>
    <t>423 090 3400</t>
  </si>
  <si>
    <t>GPA01</t>
  </si>
  <si>
    <t>GP Accountants</t>
  </si>
  <si>
    <t>30 Chancery Lane</t>
  </si>
  <si>
    <t>Camps Bay</t>
  </si>
  <si>
    <t>451 678 5230</t>
  </si>
  <si>
    <t>INS01</t>
  </si>
  <si>
    <t>Insurance Solutions</t>
  </si>
  <si>
    <t>Sandown</t>
  </si>
  <si>
    <t>422 998 2030</t>
  </si>
  <si>
    <t>ITS01</t>
  </si>
  <si>
    <t>IT Solutions</t>
  </si>
  <si>
    <t>112 Elizabeth Avenue</t>
  </si>
  <si>
    <t>Notting Hill</t>
  </si>
  <si>
    <t>London</t>
  </si>
  <si>
    <t>United Kingdom</t>
  </si>
  <si>
    <t>EC5 3PW</t>
  </si>
  <si>
    <t>KZB01</t>
  </si>
  <si>
    <t>KZN Bonds</t>
  </si>
  <si>
    <t>East London</t>
  </si>
  <si>
    <t>432 000 7650</t>
  </si>
  <si>
    <t>PTY01</t>
  </si>
  <si>
    <t>PTY Consultants</t>
  </si>
  <si>
    <t>PTY Place</t>
  </si>
  <si>
    <t>24 Tobago Street</t>
  </si>
  <si>
    <t>Fourways</t>
  </si>
  <si>
    <t>SAB01</t>
  </si>
  <si>
    <t>SA Bonds</t>
  </si>
  <si>
    <t>90 Melbourne Road</t>
  </si>
  <si>
    <t>Centurion</t>
  </si>
  <si>
    <t>Pretoria</t>
  </si>
  <si>
    <t>465 000 8970</t>
  </si>
  <si>
    <t>TPS01</t>
  </si>
  <si>
    <t>The Paint Shop</t>
  </si>
  <si>
    <t>115 Main Street</t>
  </si>
  <si>
    <t>Houtbay</t>
  </si>
  <si>
    <t>432 998 7273</t>
  </si>
  <si>
    <t>TRF01</t>
  </si>
  <si>
    <t>TRF Solutions</t>
  </si>
  <si>
    <t>Northcliff</t>
  </si>
  <si>
    <t>463 556 2880</t>
  </si>
  <si>
    <t>WCA01</t>
  </si>
  <si>
    <t>WC Financial Advisors</t>
  </si>
  <si>
    <t>15 Strand Street</t>
  </si>
  <si>
    <t>Walmer</t>
  </si>
  <si>
    <t>Port Elizabeth</t>
  </si>
  <si>
    <t>412 998 0020</t>
  </si>
  <si>
    <t>WWR01</t>
  </si>
  <si>
    <t>WW Retail</t>
  </si>
  <si>
    <t>22 Upper Boulevard</t>
  </si>
  <si>
    <t>XXB01</t>
  </si>
  <si>
    <t>XX Building Supplies</t>
  </si>
  <si>
    <t>80 Ocean Avenue</t>
  </si>
  <si>
    <t>Constantia</t>
  </si>
  <si>
    <t>499 662 1200</t>
  </si>
  <si>
    <t>XYS01</t>
  </si>
  <si>
    <t>XY Services</t>
  </si>
  <si>
    <t>113 Market Avenue</t>
  </si>
  <si>
    <t>Sandton</t>
  </si>
  <si>
    <t>423 996 0020</t>
  </si>
  <si>
    <t>XXX01</t>
  </si>
  <si>
    <t>General Customer Code</t>
  </si>
  <si>
    <t>Consulting Services</t>
  </si>
  <si>
    <t>E</t>
  </si>
  <si>
    <t>Taxation Services</t>
  </si>
  <si>
    <t>Secretarial Services</t>
  </si>
  <si>
    <t>INV0001</t>
  </si>
  <si>
    <t>INV0002</t>
  </si>
  <si>
    <t>INV0003</t>
  </si>
  <si>
    <t>INV0004</t>
  </si>
  <si>
    <t>INV0005</t>
  </si>
  <si>
    <t>INV0006</t>
  </si>
  <si>
    <t>INV0007</t>
  </si>
  <si>
    <t>INV0008</t>
  </si>
  <si>
    <t>INV0009</t>
  </si>
  <si>
    <t>INV0010</t>
  </si>
  <si>
    <t>INV0011</t>
  </si>
  <si>
    <t>INV0012</t>
  </si>
  <si>
    <t>INV0013</t>
  </si>
  <si>
    <t>INV0014</t>
  </si>
  <si>
    <t>INV0015</t>
  </si>
  <si>
    <t>INV0016</t>
  </si>
  <si>
    <t>INV0017</t>
  </si>
  <si>
    <t>INV0018</t>
  </si>
  <si>
    <t>INV0019</t>
  </si>
  <si>
    <t>INV0020</t>
  </si>
  <si>
    <t>INV0021</t>
  </si>
  <si>
    <t>INV0022</t>
  </si>
  <si>
    <t>INV0023</t>
  </si>
  <si>
    <t>INV0024</t>
  </si>
  <si>
    <t>Monthly Sales</t>
  </si>
  <si>
    <t>Start Date</t>
  </si>
  <si>
    <t>Date</t>
  </si>
  <si>
    <t>Sales</t>
  </si>
  <si>
    <t>Customer Code</t>
  </si>
  <si>
    <t>Payment Date</t>
  </si>
  <si>
    <t>Receipts</t>
  </si>
  <si>
    <t>Debtors</t>
  </si>
  <si>
    <t>Debtors Age Analysis</t>
  </si>
  <si>
    <t>Statement Date</t>
  </si>
  <si>
    <t>Customer</t>
  </si>
  <si>
    <t>Age Analysis</t>
  </si>
  <si>
    <t>Balance</t>
  </si>
  <si>
    <t>Current</t>
  </si>
  <si>
    <t>30 Days</t>
  </si>
  <si>
    <t>60 Days</t>
  </si>
  <si>
    <t>90 Days</t>
  </si>
  <si>
    <t>120 Days</t>
  </si>
  <si>
    <t>150 Days</t>
  </si>
  <si>
    <t>180 Days</t>
  </si>
  <si>
    <t>210 Days</t>
  </si>
  <si>
    <t>240 Days</t>
  </si>
  <si>
    <t>270 Days</t>
  </si>
  <si>
    <t>300 Days</t>
  </si>
  <si>
    <t>330 Days</t>
  </si>
  <si>
    <t>Sales History</t>
  </si>
  <si>
    <t>Balance History</t>
  </si>
  <si>
    <t>Los Angeles California</t>
  </si>
  <si>
    <t>360+ Days</t>
  </si>
  <si>
    <t>Chart Info</t>
  </si>
  <si>
    <t>Sales &amp; Debtors Chart</t>
  </si>
  <si>
    <t>Month</t>
  </si>
  <si>
    <t>Ageing</t>
  </si>
  <si>
    <t xml:space="preserve">Balance </t>
  </si>
  <si>
    <t>Account Statement</t>
  </si>
  <si>
    <t>Customer Details:</t>
  </si>
  <si>
    <t>Outstanding Balance:</t>
  </si>
  <si>
    <t>+180 Days</t>
  </si>
  <si>
    <t>Outstanding Invoices:</t>
  </si>
  <si>
    <t>Amount</t>
  </si>
  <si>
    <t>Website</t>
  </si>
  <si>
    <t>Business Registration Number</t>
  </si>
  <si>
    <t>INV0025</t>
  </si>
  <si>
    <t>INV0026</t>
  </si>
  <si>
    <t>INV0027</t>
  </si>
  <si>
    <t>INV0028</t>
  </si>
  <si>
    <t>INV0029</t>
  </si>
  <si>
    <t>INV0030</t>
  </si>
  <si>
    <t>Tax Services</t>
  </si>
  <si>
    <t>The following sheets are included in this template:</t>
  </si>
  <si>
    <t>Error Code</t>
  </si>
  <si>
    <t>Input Error Codes</t>
  </si>
  <si>
    <t>Reason</t>
  </si>
  <si>
    <t>E1</t>
  </si>
  <si>
    <t>E2</t>
  </si>
  <si>
    <t>Payment date is before invoice date.</t>
  </si>
  <si>
    <t>Customer code does not exist.</t>
  </si>
  <si>
    <t>Business Address:</t>
  </si>
  <si>
    <t>2012 000000 00</t>
  </si>
  <si>
    <t>Invoice Status:</t>
  </si>
  <si>
    <t>Payment Status:</t>
  </si>
  <si>
    <t>Payment Date:</t>
  </si>
  <si>
    <t>Invoice Due Date:</t>
  </si>
  <si>
    <t>Quotation</t>
  </si>
  <si>
    <t>Quotation Number</t>
  </si>
  <si>
    <t>Quotation No.</t>
  </si>
  <si>
    <t>Quotation Date</t>
  </si>
  <si>
    <t>Q0001</t>
  </si>
  <si>
    <t>Q0002</t>
  </si>
  <si>
    <t>Q0003</t>
  </si>
  <si>
    <t>Q0004</t>
  </si>
  <si>
    <t>Q0005</t>
  </si>
  <si>
    <t>Q0006</t>
  </si>
  <si>
    <t>Q0007</t>
  </si>
  <si>
    <t>Q0008</t>
  </si>
  <si>
    <t>Q0009</t>
  </si>
  <si>
    <t>Q0010</t>
  </si>
  <si>
    <t>Q0011</t>
  </si>
  <si>
    <t>Q0012</t>
  </si>
  <si>
    <t>Q0013</t>
  </si>
  <si>
    <t>Q0014</t>
  </si>
  <si>
    <t>Q0015</t>
  </si>
  <si>
    <t>Q0016</t>
  </si>
  <si>
    <t>Q0017</t>
  </si>
  <si>
    <t>Q0018</t>
  </si>
  <si>
    <t>Q0019</t>
  </si>
  <si>
    <t>Q0020</t>
  </si>
  <si>
    <t>Q0021</t>
  </si>
  <si>
    <t>Q0022</t>
  </si>
  <si>
    <t>Q0023</t>
  </si>
  <si>
    <t>Q0024</t>
  </si>
  <si>
    <t>Q0025</t>
  </si>
  <si>
    <t>Q0026</t>
  </si>
  <si>
    <t>Q0027</t>
  </si>
  <si>
    <t>Q0028</t>
  </si>
  <si>
    <t>Q0029</t>
  </si>
  <si>
    <t>Q0030</t>
  </si>
  <si>
    <t>Issued To:</t>
  </si>
  <si>
    <t>SC1</t>
  </si>
  <si>
    <t>State Ref</t>
  </si>
  <si>
    <t>SC2</t>
  </si>
  <si>
    <t>Quotations</t>
  </si>
  <si>
    <t>E3</t>
  </si>
  <si>
    <t>Payment date entered but no invoice number.</t>
  </si>
  <si>
    <t>Q0031</t>
  </si>
  <si>
    <t>Note: Refer to the Trade Based Invoice template if you require stock codes to be included on your tax invoices. We also recommend using the Invoice templates in conjunction with our unique service based &amp; trade based accounting templates.</t>
  </si>
  <si>
    <t>Note: We recommend that you use an abbreviated version of the customer name as the customer code because it will make it easier to identify the correct customer when selecting the appropriate customer code from the list box in column D on the Details sheet. For example, a customer code of ABC01 can be created for a customer whose billing name is "ABC Trading".</t>
  </si>
  <si>
    <t>In some instances, it may be preferable to allocate quotations or invoices to a generic customer code instead of creating a unique customer code for each customer. For example, customers trading on a cash or COD basis may not require a tax invoice and these invoices can therefore be allocated to a single Cash or COD customer code (for example: the code "XXX01" can be created for this purpose).</t>
  </si>
  <si>
    <t>Quotation / Invoice Details</t>
  </si>
  <si>
    <t>The following calculated columns (columns with light blue column headings) are included on the Details sheet:</t>
  </si>
  <si>
    <t>Recording Quotations</t>
  </si>
  <si>
    <t>When you record a quotation on the Details sheet, the quotation number should be entered in column B, the quotation date should be entered in column C and all the other columns should be completed as per the guidance that has been included in the previous section of these instructions. The invoice number, invoice due date and payment date columns should however be left blank.</t>
  </si>
  <si>
    <t>Note: Invoices are only included in the debtor balance calculations on the other sheets in this template after an invoice number has been entered in column A. Quotations that have not been accepted by a customer should therefore not contain an invoice number in column A and are included in the outstanding quotation balance calculation in column E on the Monthly sheet.</t>
  </si>
  <si>
    <t>Recording Partial Payments</t>
  </si>
  <si>
    <t>■ Find the appropriate invoice on the Details sheet and insert a new row below the last entry for the particular invoice.</t>
  </si>
  <si>
    <t>■ Copy the entire last entry for the invoice into the new blank row and delete the tax inclusive amount in column F.</t>
  </si>
  <si>
    <t>■ Only the difference between the original invoice amount and the amount that the customer has paid will now be included in the debtor balance and will be reflected on the customer statement.</t>
  </si>
  <si>
    <t>Error Codes</t>
  </si>
  <si>
    <t>The following error codes may result from inaccurate input on the Details sheet and will be displayed in the Error Code column. The heading of the affected input column will also be highlighted in orange:</t>
  </si>
  <si>
    <t>Note: Input errors may result in inaccurate template calculations and it is therefore imperative that all errors are resolved before reviewing the debtor balance and ageing calculations on the other sheets in this template.</t>
  </si>
  <si>
    <t>If you want to customize the standard quotation to your own requirements (example: changing fonts, colours, etc.), you will be able to do so but take care not to replace any of the formulas because it may result in the information that is included on the quotation becoming inaccurate. Note you can insert your own logo or artwork at the top of the Quote sheet.</t>
  </si>
  <si>
    <t>Tax Invoices</t>
  </si>
  <si>
    <t>If you want to customize the standard tax invoice to your own requirements (example: changing fonts, colours, etc.), you will be able to do so but take care not to replace any of the formulas that have been included on the Invoice sheet because it may result in the information that is included on the tax invoice becoming inaccurate. Note you can insert your own logo or artwork at the top of the Invoice sheet.</t>
  </si>
  <si>
    <t>For example: If the statement date is specified as the 27th of January, all invoices dated between the 28th of December and the 27th of January are included in the "Current" ageing group, all invoices between the 28th of November and the 27th of December are included in the "30 Days" ageing group and so forth.</t>
  </si>
  <si>
    <t>If you want to customize the account statement template to your own requirements (example: changing fonts, colours, etc.), you will be able to format the cells on the Statement sheet accordingly. Also note that you can insert your own logo or artwork at the top of the Statement sheet.</t>
  </si>
  <si>
    <t>Note: If the number of customers on the Customers sheet and the number of customers that have been included on the Balances sheet are not the same, cell A5 (the Code heading cell) on the Balances sheet will be highlighted in orange in order to indicate that you need to add additional rows to the Balances sheet.</t>
  </si>
  <si>
    <t>The Ageing sheet also includes sales history and customer account balance history calculations for a 12 month period and two charts which are extremely useful for analysing customer account movements.</t>
  </si>
  <si>
    <t>Note: All the columns on the Customers sheet have been included in an Excel table. This feature is extremely useful when entering data in a table format. You can create a new customer code by simply entering a new code in column A - the table will then automatically be extended to include the new customer code.</t>
  </si>
  <si>
    <t>Note: All the columns on the Details sheet have been included in an Excel table. This feature is extremely useful when entering data in a table format because the formulas in the calculated columns (the columns with light blue column headings) are automatically copied when new rows are inserted into the table or when data is entered into the first blank row below the table. You can therefore enter a new quotation by simply entering a quotation number in the first blank cell in column B - the table will be extended automatically to include the new quotation.</t>
  </si>
  <si>
    <t>If the statement date is specified as the 29th of February (a month end date), the ageing is calculated based on calendar months. For example, all invoices dated between 1 February and 29 February are included in the "Current" ageing group, all invoices dated between 1 January and 31 January are included in the "30 Days" ageing group and so forth.</t>
  </si>
  <si>
    <t>Note: By default, only the first 20 customer accounts are included on the Balances sheet. If you therefore create more than 20 customer accounts on the Customers sheet, some of the accounts may not be included on the Balances sheet. This limitation can be extended by simply dragging the selection arrow in the bottom right corner of the Excel table downwards for the required number of rows. The table will be extended and all the formulas in all the columns on the Balances sheet will automatically be copied into the additional rows. All customer accounts should then be included in the report.</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</si>
  <si>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</si>
  <si>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</si>
  <si>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B</t>
  </si>
  <si>
    <t>Ageing Chart</t>
  </si>
  <si>
    <r>
      <t>Customers</t>
    </r>
    <r>
      <rPr>
        <sz val="10"/>
        <rFont val="Arial"/>
        <family val="2"/>
      </rPr>
      <t xml:space="preserve"> - create a unique customer code for each customer and enter a billing address and sales tax reference number for all customers on this sheet.</t>
    </r>
  </si>
  <si>
    <r>
      <t xml:space="preserve">Invoice Number </t>
    </r>
    <r>
      <rPr>
        <sz val="10"/>
        <rFont val="Arial"/>
        <family val="2"/>
      </rPr>
      <t>- invoice numbers can be in any format and are used as the primary reference for including the invoice details on the Invoice sheet.</t>
    </r>
  </si>
  <si>
    <r>
      <t xml:space="preserve">Quotation Number </t>
    </r>
    <r>
      <rPr>
        <sz val="10"/>
        <rFont val="Arial"/>
        <family val="2"/>
      </rPr>
      <t>- quotation numbers can be in any format and are used as the primary reference for including the quotation details on the Quote sheet.</t>
    </r>
  </si>
  <si>
    <r>
      <t>Description</t>
    </r>
    <r>
      <rPr>
        <sz val="10"/>
        <rFont val="Arial"/>
        <family val="2"/>
      </rPr>
      <t xml:space="preserve"> - enter a description of the service that is being provided in this column.</t>
    </r>
  </si>
  <si>
    <r>
      <t>Tax Inclusive Amount</t>
    </r>
    <r>
      <rPr>
        <sz val="10"/>
        <rFont val="Arial"/>
        <family val="2"/>
      </rPr>
      <t xml:space="preserve"> - enter the total invoice amount inclusive of any sales tax that may be applicable.</t>
    </r>
  </si>
  <si>
    <r>
      <t>Invoice Due Date</t>
    </r>
    <r>
      <rPr>
        <sz val="10"/>
        <rFont val="Arial"/>
        <family val="2"/>
      </rPr>
      <t xml:space="preserve"> - enter the date on which payment from the customer is due. This date is included in the Invoice Status section at the bottom of the automated tax invoice.</t>
    </r>
  </si>
  <si>
    <r>
      <t>Payment Date</t>
    </r>
    <r>
      <rPr>
        <sz val="10"/>
        <rFont val="Arial"/>
        <family val="2"/>
      </rPr>
      <t xml:space="preserve"> - enter the date on which payment has been received from the customer. If payment has not been received for a particular invoice, leave the payment date column blank. A complete list of outstanding invoices can therefore be compiled by using the Filter feature and simply selecting the "blank" option from the filter menu (this feature can be accessed by clicking the selection arrow next to the appropriate column heading).</t>
    </r>
  </si>
  <si>
    <r>
      <rPr>
        <b/>
        <sz val="10"/>
        <rFont val="Arial"/>
        <family val="2"/>
      </rPr>
      <t>SC1, StateRef, SC2 -</t>
    </r>
    <r>
      <rPr>
        <sz val="10"/>
        <rFont val="Arial"/>
        <family val="2"/>
      </rPr>
      <t xml:space="preserve"> the calculations in these columns are used in compiling the automated account statement on the Statement sheet.</t>
    </r>
  </si>
  <si>
    <r>
      <rPr>
        <b/>
        <sz val="10"/>
        <rFont val="Arial"/>
        <family val="2"/>
      </rPr>
      <t>Error Code -</t>
    </r>
    <r>
      <rPr>
        <sz val="10"/>
        <rFont val="Arial"/>
        <family val="2"/>
      </rPr>
      <t xml:space="preserve"> if any of the user input columns contain invalid data, an error code will be reflected in this column. It is therefore important to ensure that none of the cells in this column contain an error code. For more info on the error codes that may be encountered, refer to the Error Codes section of these instructions.</t>
    </r>
  </si>
  <si>
    <t>The invoice description and invoice amounts which are included on the automated tax invoice are also looked up on the Details sheet based on the invoice number. The tax invoice template accommodates a maximum of 20 lines per invoice and the order in which items are included on the Invoice sheet are determined by the order in which the items are included on the Details sheet.</t>
  </si>
  <si>
    <t>The invoice status section at the bottom of the invoice includes the invoice status, invoice due date and the payment date. If an invoice has not been paid, the invoice status will be reflected as "Due" (in red text) and will not include a payment date. If an invoice has been paid, the invoice status will be reflected as "Paid" and the payment date entered on the Details sheet will be reflected.</t>
  </si>
  <si>
    <t>Note: The quotation balances in column E reflect the total amount of all outstanding quotations as at the end of the monthly period. Outstanding quotations are defined as all quotations issued to a customer but where an invoice has not been raised for the quotation (the invoice number in column A on the Details sheet is therefore blank). In some instances, outstanding quotations may never result in an invoice being raised (for instance where the customer rejects the quotation).</t>
  </si>
  <si>
    <t>Note: All ageing calculations are performed on the same basis as discussed under the Statement section of these instructions. If you enter any month end date as the statement date, the age analysis is calculated based on calendar months and if you enter any other date, the age analysis is calculated based on the day component included in the specified statement date.</t>
  </si>
  <si>
    <t>Sales Tax</t>
  </si>
  <si>
    <t>Percentage</t>
  </si>
  <si>
    <t>Standard Sales Tax 1</t>
  </si>
  <si>
    <t>Standard Sales Tax 2</t>
  </si>
  <si>
    <t>C</t>
  </si>
  <si>
    <t>Standard Sales Tax 3</t>
  </si>
  <si>
    <t>Exempt</t>
  </si>
  <si>
    <t>Z</t>
  </si>
  <si>
    <t>Zero Rated</t>
  </si>
  <si>
    <t>End of list</t>
  </si>
  <si>
    <t>Tax 1 Code</t>
  </si>
  <si>
    <t>Tax 2 Code</t>
  </si>
  <si>
    <t>Sales Tax 1 Amount</t>
  </si>
  <si>
    <t>Sales Tax 2 Amount</t>
  </si>
  <si>
    <t>Setup</t>
  </si>
  <si>
    <r>
      <rPr>
        <b/>
        <sz val="10"/>
        <rFont val="Arial"/>
        <family val="2"/>
      </rPr>
      <t>Setup</t>
    </r>
    <r>
      <rPr>
        <sz val="10"/>
        <rFont val="Arial"/>
        <family val="2"/>
      </rPr>
      <t xml:space="preserve"> - this sheet enables users to customize the template for their businesses by entering the appropriate business details, sales tax details and banking details.</t>
    </r>
  </si>
  <si>
    <t>Tax 1</t>
  </si>
  <si>
    <t>Tax 2</t>
  </si>
  <si>
    <t>This template enables users to create an automated quotation and tax invoice based on the business details, banking details, customer information and quotation &amp; invoice details recorded on the appropriate sheets. The template also facilitates creating automated customer account statements, reviewing monthly sales over any 12 month period, compiling an age analysis for individual or all customer accounts and compiling a customer account balance report based on a user defined statement date.</t>
  </si>
  <si>
    <t>The banking details are included in the cell range from cell C48 to cell C51 on the Invoice sheet. If you don’t want to include your banking details on your tax invoices, simply delete the contents of these cells and clear the appropriate border formatting.</t>
  </si>
  <si>
    <t>The business details entered on this sheet are included in the cell range from cell C10 to C21 on the Quote and Invoice sheets. The business name is also used as a heading on all the other sheets. The sales tax codes are included in the sales tax code columns on the Details sheet and the sales tax percentages which are linked to the appropriate codes are used to calculate the sales tax amounts on the same sheet. These sales tax amounts are also included on the invoices and quotations.</t>
  </si>
  <si>
    <t>The error codes included at the bottom of the Setup sheet are displayed for information purposes only. These error codes are reflected in column Q on the Details sheet if there is a problem with the input in some of the user input columns on the Details sheet. Refer to the Error Codes section of these instructions for more information on the input errors that may be encountered.</t>
  </si>
  <si>
    <r>
      <t xml:space="preserve">A unique customer code needs to be created for each customer and the billing address and sales tax number of each customer needs to be entered on the Customers sheet. Customer codes are included in a list box on the Details sheet to simplify entering the appropriate quotation / invoice details. The customer billing address is automatically included on the quotation &amp; tax invoice based on the quotation / invoice number entered in cell H11 on the Quote or Invoice sheet and the customer code selected for the particular quotation or invoice on the Details sheet </t>
    </r>
    <r>
      <rPr>
        <i/>
        <sz val="10"/>
        <rFont val="Arial"/>
        <family val="2"/>
      </rPr>
      <t>(the appropriate sales tax number is also included on the Invoice sheet).</t>
    </r>
  </si>
  <si>
    <r>
      <t>Monthly</t>
    </r>
    <r>
      <rPr>
        <sz val="10"/>
        <rFont val="Arial"/>
        <family val="2"/>
      </rPr>
      <t xml:space="preserve"> - this sheet includes a 12 month sales analysis and monthly sales, receipts and debtor balance charts. The 12 month period included on this sheet is based on the start date specified in cell B4. Users can therefore compile a 12 month sales analysis for any 12 month period by simply specifying the appropriate start date.</t>
    </r>
  </si>
  <si>
    <r>
      <t>Details</t>
    </r>
    <r>
      <rPr>
        <sz val="10"/>
        <rFont val="Arial"/>
        <family val="2"/>
      </rPr>
      <t xml:space="preserve"> - the details which should be included on all quotations &amp; tax invoices should be entered on this sheet.</t>
    </r>
  </si>
  <si>
    <r>
      <t>Quote</t>
    </r>
    <r>
      <rPr>
        <sz val="10"/>
        <rFont val="Arial"/>
        <family val="2"/>
      </rPr>
      <t xml:space="preserve"> - this sheet includes an automated quotation. All the information entered on the other sheets is automatically included on this sheet after entering the appropriate quotation number in cell H11. The automated quotation accommodates 20 lines per quotation and you can add your own business logo or artwork in the space provided at the top of the sheet.</t>
    </r>
  </si>
  <si>
    <r>
      <t>Invoice</t>
    </r>
    <r>
      <rPr>
        <sz val="10"/>
        <rFont val="Arial"/>
        <family val="2"/>
      </rPr>
      <t xml:space="preserve"> - this sheet includes an automated tax invoice. All the information entered on the other sheets is automatically included on this sheet after simply specifying the appropriate invoice number in cell H11. The automated tax invoice accommodates 20 lines per invoice and you can add your own business logo or artwork in the space provided at the top of the sheet.</t>
    </r>
  </si>
  <si>
    <r>
      <t xml:space="preserve">Statement </t>
    </r>
    <r>
      <rPr>
        <sz val="10"/>
        <rFont val="Arial"/>
        <family val="2"/>
      </rPr>
      <t>- this sheet includes a customer account statement. All the appropriate information entered on the other sheets are automatically included on this sheet after selecting the appropriate customer code from the list box in cell J11 and entering the appropriate statement date in cell J12. Note that the customer account statement also includes an age analysis.</t>
    </r>
  </si>
  <si>
    <r>
      <t xml:space="preserve">Ageing - </t>
    </r>
    <r>
      <rPr>
        <sz val="10"/>
        <rFont val="Arial"/>
        <family val="2"/>
      </rPr>
      <t>this sheet includes an age analysis which is automatically compiled based on the statement date entered in cell B4 and the customer account selected from the list box in cell B6. All the calculations on this sheet are automated and you can also compile an age analysis for all debtors by simply clearing the customer account selection from the list box in cell B6.</t>
    </r>
  </si>
  <si>
    <r>
      <t>Balances</t>
    </r>
    <r>
      <rPr>
        <sz val="10"/>
        <rFont val="Arial"/>
        <family val="2"/>
      </rPr>
      <t xml:space="preserve"> - this sheet includes an age analysis for all customer accounts which is automatically compiled based on the statement date specified on the Ageing sheet. The age analysis includes the first 20 customer accounts by default but you can add additional accounts by simply extending the table.</t>
    </r>
  </si>
  <si>
    <t>All the transaction details which are included on the automated quotation (Quote sheet) and tax invoice (Invoice sheet) are compiled from the data entered on the Details sheet. The transaction details consists of the invoice number, quotation number, invoice date, description, invoice amount and the invoice due date. The customer code which is selected on the Details sheet is used in order to identify the appropriate customer and to include the customer's details on the quotation or invoice. The sales tax codes are used to calculate the sales tax applicable to the particular quotation or invoice.</t>
  </si>
  <si>
    <t>All the column headings contain a filter selection arrow - this feature indicates that a Filter has been applied to the table data. This Excel feature is very useful when you need to filter the data which forms part of a table based on one of the filter criteria available after clicking the selection arrow. The Filter feature can also be used to sort data based on a single column.</t>
  </si>
  <si>
    <t>Example: If you only want to display the invoices for a particular month, you can filter the data based on the Invoice Date column by selecting the appropriate date filter from the filter menu which is displayed after clicking the selection arrow. After reviewing the filtered data, simply select the "Clear filter" option in the filtered column in order to remove the filter and to display all the transactions on the sheet.</t>
  </si>
  <si>
    <t>You'll notice that there are totals included in the cells above all the amount columns (formatted in italic). These cells contain a Subtotal function which results in all filtered records being included in the total which is calculated. This means that after filtering data, only the transactions which are displayed on the sheet are included in the calculation (column total). If you therefore print the sheet while a filter is in effect, the totals above the column headings will be calculated accurately and only include the filtered transactions which have been printed.</t>
  </si>
  <si>
    <t>All the columns with a yellow column heading require user input while the columns with light blue column headings contain formulas which are automatically copied for all new transactions added to the sheet. The following information should be included in the user input columns:</t>
  </si>
  <si>
    <r>
      <t>Invoice Date</t>
    </r>
    <r>
      <rPr>
        <sz val="10"/>
        <rFont val="Arial"/>
        <family val="2"/>
      </rPr>
      <t xml:space="preserve"> - the date of the tax invoice should be entered in column C and is included in cell H11 on the automated quotation and tax invoice. When you enter multiple lines for the same quotation or invoice, the invoice date must be the same for all the entries. Note that if you enter different invoice dates, only the invoice date in the first row for the particular quotation or invoice number will be included on the automated quotation or tax invoice.</t>
    </r>
  </si>
  <si>
    <r>
      <t>Customer Code</t>
    </r>
    <r>
      <rPr>
        <sz val="10"/>
        <rFont val="Arial"/>
        <family val="2"/>
      </rPr>
      <t xml:space="preserve"> - select the appropriate customer code from the list boxes in column D. All the customer codes which have been added to the Customers sheet are included in the list boxes. You therefore need to create the appropriate customer code on the Customers sheet before it will be available for selection.</t>
    </r>
  </si>
  <si>
    <r>
      <rPr>
        <b/>
        <sz val="10"/>
        <rFont val="Arial"/>
        <family val="2"/>
      </rPr>
      <t>Tax 1 Code</t>
    </r>
    <r>
      <rPr>
        <sz val="10"/>
        <rFont val="Arial"/>
        <family val="2"/>
      </rPr>
      <t xml:space="preserve"> - select a tax code from the list box. All the sales tax codes which have been created on the Setup sheet will be available for selection and sales tax percentages are calculated based on the selected tax code. If your business is not registered for sales tax purposes, all transactions should be recorded by using the E tax code. The first sales tax code is for national or federal sales tax and should therefore be applicable in most countries.</t>
    </r>
  </si>
  <si>
    <r>
      <rPr>
        <b/>
        <sz val="10"/>
        <rFont val="Arial"/>
        <family val="2"/>
      </rPr>
      <t>Tax 2 Code</t>
    </r>
    <r>
      <rPr>
        <sz val="10"/>
        <rFont val="Arial"/>
        <family val="2"/>
      </rPr>
      <t xml:space="preserve"> - select a tax code from the list box. All the sales tax codes which have been created on the Setup sheet will be available for selection and sales tax percentages are calculated based on the selected tax code. The second sales tax code is for state sales tax - if you do not need two sales tax codes, this column can be deleted.</t>
    </r>
  </si>
  <si>
    <r>
      <rPr>
        <b/>
        <sz val="10"/>
        <rFont val="Arial"/>
        <family val="2"/>
      </rPr>
      <t>Sales Tax 1 Amount</t>
    </r>
    <r>
      <rPr>
        <sz val="10"/>
        <rFont val="Arial"/>
        <family val="2"/>
      </rPr>
      <t xml:space="preserve"> - the sales tax amounts in this column are calculated based on the tax 1 code selected in column G and the sales tax percentages specified on the Setup sheet. The tax 1 calculations are applicable for national or federal sales tax and should therefore apply to most countries. If no sales tax should be calculated, the E tax code can be selected in column G.</t>
    </r>
  </si>
  <si>
    <r>
      <rPr>
        <b/>
        <sz val="10"/>
        <rFont val="Arial"/>
        <family val="2"/>
      </rPr>
      <t>Sales Tax 2 Amount</t>
    </r>
    <r>
      <rPr>
        <sz val="10"/>
        <rFont val="Arial"/>
        <family val="2"/>
      </rPr>
      <t xml:space="preserve"> - the sales tax amounts in this column are calculated based on the tax 2 code selected in column H and the sales tax percentages specified on the Setup sheet. The tax 2 calculations are applicable for state sales tax and may therefore not apply in all countries. If you do not need state sales tax calculations, you can delete this column.</t>
    </r>
  </si>
  <si>
    <r>
      <rPr>
        <b/>
        <sz val="10"/>
        <rFont val="Arial"/>
        <family val="2"/>
      </rPr>
      <t>Exclusive Amount -</t>
    </r>
    <r>
      <rPr>
        <sz val="10"/>
        <rFont val="Arial"/>
        <family val="2"/>
      </rPr>
      <t xml:space="preserve"> the exclusive amounts in this column are calculated by deducting the sales tax amounts from the inclusive amounts entered in column F.</t>
    </r>
  </si>
  <si>
    <t>When the quotation is accepted by the customer, the date in column C should be changed to the invoice date, the appropriate invoice number should be entered in column A and the appropriate invoice due date should be entered in column I.</t>
  </si>
  <si>
    <t>This template allocates invoices and the payments that are received from customers to debtor balances based on an open item basis. What this means is that the user is not required to enter a payment amount but to simply specify the appropriate payment date which relates to each line included on a tax invoice.</t>
  </si>
  <si>
    <t>If a customer only pays part of an invoice, it means that the user will have to adjust the invoice details in order to record the payment accurately. The following procedure needs to be completed in order to adjust the payment amount to the amount received from the customer:</t>
  </si>
  <si>
    <t>■ Deduct the amount that has been paid by the customer from the unmatched invoice amount and enter this amount in column F for the new transaction just copied.</t>
  </si>
  <si>
    <t>■ Change the original invoice amount (or the amount in the copied line if the invoice consists of multiple items) to the amount that the customer has paid and enter the appropriate payment date in column J.</t>
  </si>
  <si>
    <t>■ E1 - this error code means that the payment date entered in column J on the Details sheet is before the invoice date in column C. These errors can be rectified by either amending the appropriate invoice date or amending the payment date.</t>
  </si>
  <si>
    <t>■ E2 - this error code means that the customer code selected in column D on the Details sheet is invalid. All the customer codes that have been entered on the Customers sheet will be included in the list boxes in column D and the error can therefore be rectified by simply selecting a valid customer code from the list box. New customer codes must be created on the Customers sheet before being available for selection.</t>
  </si>
  <si>
    <t>■ E3 - this error code means that a payment date has been entered in column J but an invoice number has not been entered in column A. An invoice number should be specified as soon as a quotation is accepted and it is therefore impossible for a customer to pay an invoice before an invoice number has been specified. If this error therefore occurs, the appropriate invoice number should simply be entered in column A in order to rectify the error.</t>
  </si>
  <si>
    <t>Removing Second Sales Tax Calculations</t>
  </si>
  <si>
    <t>We have included two sales tax types in the template to accommodate calculating sales tax on a national / federal basis and a state basis. If you do not need both sales tax types, you can delete the second sales tax type. You should not however delete both as this may result in template calculation errors.</t>
  </si>
  <si>
    <t xml:space="preserve">Note: If sales tax is not applicable to your business, we recommend using the "E" sales tax code when recording all entries. No sales tax will then be calculated as the sales tax percentage for this code is zero. </t>
  </si>
  <si>
    <t>The second sales tax type can be removed by deleting the Tax 2 Code column (column H) and the Sales Tax 2 Amount (column L) on the Details sheet.</t>
  </si>
  <si>
    <t>Note: No new columns should be added between the exclusive amount and sales tax amount columns on the Details sheet otherwise it may affect some of the sales tax calculations in this template. Also, if you delete the columns for the second sales tax type, the Sales Tax 1 Amount column may display validation warnings but these can safely be ignored as it has no effect on the template calculations. If you do not want to see these validation warnings, just keep both sales tax types and just don't select any tax codes in the second sales tax code column.</t>
  </si>
  <si>
    <t>An automated quotation has been included on the Quote sheet. You can create, view, print or reprint any quotation by simply copying or entering the appropriate quotation number into cell H11 on the Quote sheet. All the information that is included on the quotation should be entered on the Setup, Customers and Details sheets and the quotation is automatically updated based on the quotation number specified in cell H11.</t>
  </si>
  <si>
    <t>The business details (business name, business address, contact details, tax reference number and business registration number) are entered on the Setup sheet. The Customer information is looked up on the Customers sheet based on the customer code specified in column D on the Details sheet for the particular quotation.</t>
  </si>
  <si>
    <t>The invoice date is looked up on the Details sheet based on the quotation number specified in cell H11. The invoice date should be the same for all the lines that need to be included on the quotation. If different dates are entered for the same quotation in the Invoice Date column, only the first date will be displayed on the quotation.</t>
  </si>
  <si>
    <t>The descriptions and invoice (quotation) amounts are also looked up in column D and column F on the Details sheet respectively based on the quotation number in cell H11. The Quote sheet accommodates a maximum of 20 lines per quotation and the order in which items are included on the Quote sheet are determined by the order in which the items are included on the Details sheet.</t>
  </si>
  <si>
    <t>An automated tax invoice has been included on the Invoice sheet. You can create, view, print or reprint any tax invoice by simply copying or entering the appropriate invoice number into cell H11 on the Invoice sheet. All the information that is included on the tax invoice should be entered on the Setup, Customers and Details sheets and the tax invoice is automatically updated based on the invoice number specified in cell H11.</t>
  </si>
  <si>
    <t>The business details (business name, registration number, business address, contact details and tax reference number) are entered on the Setup sheet. The Customer information is looked up on the Customers sheet based on the customer code specified on the Details sheet for the particular invoice.</t>
  </si>
  <si>
    <t>Both the invoice date and invoice due date are looked up on the Details sheet based on the invoice number specified in cell H11. The invoice date should be the same for all the lines which need to be included on the invoice. If different dates are entered for the same invoice in the Invoice Date column, only the first invoice date will be displayed on the tax invoice.</t>
  </si>
  <si>
    <t>The banking details which are included at the bottom of the tax invoice are looked up on the Setup sheet. If you don't want to include the banking details on the tax invoice, simply delete the contents of this cell range and remove the borders around it.</t>
  </si>
  <si>
    <t>An automated account statement has been included on the Statement sheet. You can create, view, print or reprint any account statement by simply specifying the appropriate customer code and statement date in cells J11 and J12 respectively. All the other information on the account statement is automatically compiled based on the data which has been entered on the Setup, Customers and Details sheets.</t>
  </si>
  <si>
    <t>The business details (business name, registration number, business address, contact details and tax reference number) are entered on the Setup sheet. The Customer information is looked up on the Customers sheet based on the customer code selected from the list box in cell J11.</t>
  </si>
  <si>
    <t>The outstanding balance in cell J22, the ageing in the cell range from cell C24 to J25 and the list of outstanding invoices from row 30 downwards are all automatically calculated and displayed based on the customer code selected from the list box in cell J11 and the statement date entered in cell J12.</t>
  </si>
  <si>
    <t>If the statement date entered in cell J12 falls on a month end date, all the ageing calculations are based on calendar months but if the statement date falls on any other day of the month, the ageing calculations are based on the day component which forms part of the statement date.</t>
  </si>
  <si>
    <t>It is also important to note that only the invoices which are outstanding on the statement date are included on the customer account statement. Outstanding invoices are invoices dated before the statement date with payment dates after the statement date or blank (indicating that the invoices have not yet been paid).</t>
  </si>
  <si>
    <t>One potential complication with open item account statements is the matching of partial payments to invoices. This process could be complicated regardless of which accounting system is being used, but we suggest that you follow the procedure listed under the Recording Partial Payments section of these instructions in order to correctly match partial payments to the tax invoices listed on the Details sheet.</t>
  </si>
  <si>
    <t>As we've mentioned before, the outstanding invoices listed on the account statement include both invoices which have been paid after the statement date and invoices which have not yet been paid. If you therefore compile an account statement (especially for previous periods) and some of the invoices have been paid subsequent to the statement date, these invoices will still be included on the account statement. We recognise that the inclusion of these invoices could result in some confusion and we have therefore included functionality to display a "FP" next to the invoice amounts of all fully paid invoices and a "PP" next to the invoice amounts of all partially paid invoices in order to indicate that the affected invoices have already been paid.</t>
  </si>
  <si>
    <t>A monthly sales analysis and monthly sales, receipts and debtor balance charts have been included on the Monthly sheet. All the calculations on this sheet include a 12 month period which is calculated based on a user defined start date. Users can therefore amend the 12 month period which is included in the sales analysis by simply entering a new date in cell B4.</t>
  </si>
  <si>
    <t>A debtors age analysis, ageing chart and sales / debtors balance history chart have been included on the Ageing sheet. All the calculations on this sheet are automated and the only user input required is the statement date which needs to be entered in cell B4 and the customer code which needs to be selected from the list box in cell B6.</t>
  </si>
  <si>
    <t>A customer account balance report has been included on the Balances sheet and reflects all outstanding customer account balances as at the statement date which is specified in cell B4 on the Ageing sheet. The report also includes an age analysis of all customer account balances calculated based on the statement date. All the calculations on this sheet are automated and no user input is required.</t>
  </si>
  <si>
    <t>As we mentioned before, the customer account balance report is based on the statement date specified on the Ageing sheet. This functionality enables users to view an age analysis for all customer accounts by entering the appropriate statement date and clearing the customer code input cell on the Ageing sheet and to then view a breakdown of the age analysis amounts by customer account on the Balances 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</si>
</sst>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
    <numFmt numFmtId="165" formatCode="dd\ mmmm\ yyyy"/>
    <numFmt numFmtId="166" formatCode="mmmm\-yyyy"/>
    <numFmt numFmtId="167" formatCode="mmm\-yyyy"/>
    <numFmt numFmtId="168" formatCode="mm\-yyyy"/>
  </numFmts>
  <fonts count="28" x14ac:knownFonts="1">
    <font>
      <sz val="10"/>
      <name val="Century Gothic"/>
      <family val="2"/>
      <scheme val="minor"/>
    </font>
    <font>
      <sz val="10"/>
      <name val="Arial"/>
      <family val="2"/>
    </font>
    <font>
      <u/>
      <sz val="10"/>
      <color indexed="12"/>
      <name val="Arial"/>
      <family val="2"/>
    </font>
    <font>
      <sz val="8"/>
      <name val="Arial"/>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b/>
      <i/>
      <sz val="10"/>
      <name val="Century Gothic"/>
      <family val="2"/>
      <scheme val="minor"/>
    </font>
    <font>
      <b/>
      <sz val="10"/>
      <color indexed="8"/>
      <name val="Century Gothic"/>
      <family val="2"/>
      <scheme val="minor"/>
    </font>
    <font>
      <b/>
      <sz val="12"/>
      <name val="Century Gothic"/>
      <family val="2"/>
      <scheme val="minor"/>
    </font>
    <font>
      <b/>
      <u/>
      <sz val="10"/>
      <color indexed="17"/>
      <name val="Century Gothic"/>
      <family val="2"/>
      <scheme val="minor"/>
    </font>
    <font>
      <sz val="10"/>
      <color indexed="9"/>
      <name val="Century Gothic"/>
      <family val="2"/>
      <scheme val="minor"/>
    </font>
    <font>
      <b/>
      <sz val="10"/>
      <color theme="1"/>
      <name val="Century Gothic"/>
      <family val="2"/>
      <scheme val="minor"/>
    </font>
    <font>
      <sz val="10"/>
      <color indexed="53"/>
      <name val="Century Gothic"/>
      <family val="2"/>
      <scheme val="minor"/>
    </font>
    <font>
      <b/>
      <sz val="10"/>
      <color indexed="9"/>
      <name val="Century Gothic"/>
      <family val="2"/>
      <scheme val="minor"/>
    </font>
    <font>
      <b/>
      <u/>
      <sz val="10"/>
      <color indexed="12"/>
      <name val="Century Gothic"/>
      <family val="2"/>
      <scheme val="minor"/>
    </font>
    <font>
      <i/>
      <sz val="10"/>
      <color indexed="8"/>
      <name val="Century Gothic"/>
      <family val="2"/>
      <scheme val="minor"/>
    </font>
    <font>
      <u/>
      <sz val="10"/>
      <color indexed="12"/>
      <name val="Century Gothic"/>
      <family val="2"/>
      <scheme val="minor"/>
    </font>
    <font>
      <b/>
      <sz val="12"/>
      <name val="Arial"/>
      <family val="2"/>
    </font>
    <font>
      <i/>
      <sz val="10"/>
      <name val="Arial"/>
      <family val="2"/>
    </font>
    <font>
      <b/>
      <u/>
      <sz val="10"/>
      <color theme="4" tint="-0.249977111117893"/>
      <name val="Arial"/>
      <family val="2"/>
    </font>
    <font>
      <b/>
      <sz val="10"/>
      <name val="Arial"/>
      <family val="2"/>
    </font>
    <font>
      <b/>
      <i/>
      <sz val="10"/>
      <name val="Arial"/>
      <family val="2"/>
    </font>
    <font>
      <b/>
      <sz val="10"/>
      <color indexed="8"/>
      <name val="Arial"/>
      <family val="2"/>
    </font>
    <font>
      <b/>
      <sz val="10"/>
      <color theme="0"/>
      <name val="Century Gothic"/>
      <family val="2"/>
      <scheme val="minor"/>
    </font>
    <font>
      <sz val="10"/>
      <color theme="0"/>
      <name val="Century Gothic"/>
      <family val="2"/>
      <scheme val="minor"/>
    </font>
    <font>
      <sz val="10"/>
      <color indexed="8"/>
      <name val="Century Gothic"/>
      <family val="2"/>
      <scheme val="minor"/>
    </font>
  </fonts>
  <fills count="10">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CCFFFF"/>
        <bgColor indexed="64"/>
      </patternFill>
    </fill>
    <fill>
      <patternFill patternType="solid">
        <fgColor rgb="FF4D4D4D"/>
        <bgColor indexed="64"/>
      </patternFill>
    </fill>
    <fill>
      <patternFill patternType="solid">
        <fgColor theme="1"/>
        <bgColor indexed="64"/>
      </patternFill>
    </fill>
    <fill>
      <patternFill patternType="solid">
        <fgColor rgb="FFFFFFCC"/>
        <bgColor indexed="64"/>
      </patternFill>
    </fill>
    <fill>
      <patternFill patternType="solid">
        <fgColor rgb="FF000000"/>
        <bgColor indexed="64"/>
      </patternFill>
    </fill>
    <fill>
      <patternFill patternType="solid">
        <fgColor rgb="FFFFFF9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s>
  <cellStyleXfs count="4">
    <xf numFmtId="0" fontId="0" fillId="0" borderId="0"/>
    <xf numFmtId="43" fontId="1" fillId="0" borderId="0" applyFont="0" applyFill="0" applyBorder="0" applyAlignment="0" applyProtection="0"/>
    <xf numFmtId="0" fontId="2" fillId="0" borderId="0" applyNumberFormat="0" applyFill="0" applyBorder="0" applyAlignment="0" applyProtection="0">
      <alignment vertical="top"/>
      <protection locked="0"/>
    </xf>
    <xf numFmtId="9" fontId="1" fillId="0" borderId="0" applyFont="0" applyFill="0" applyBorder="0" applyAlignment="0" applyProtection="0"/>
  </cellStyleXfs>
  <cellXfs count="194">
    <xf numFmtId="0" fontId="0" fillId="0" borderId="0" xfId="0"/>
    <xf numFmtId="0" fontId="4" fillId="0" borderId="0" xfId="0" applyFont="1"/>
    <xf numFmtId="0" fontId="6" fillId="0" borderId="0" xfId="0" applyFont="1" applyProtection="1">
      <protection hidden="1"/>
    </xf>
    <xf numFmtId="0" fontId="6" fillId="0" borderId="0" xfId="0" applyFont="1" applyAlignment="1" applyProtection="1">
      <alignment vertical="center"/>
      <protection hidden="1"/>
    </xf>
    <xf numFmtId="0" fontId="5" fillId="0" borderId="0" xfId="0" applyFont="1" applyProtection="1">
      <protection hidden="1"/>
    </xf>
    <xf numFmtId="43" fontId="6" fillId="0" borderId="0" xfId="1" applyFont="1" applyProtection="1">
      <protection hidden="1"/>
    </xf>
    <xf numFmtId="168" fontId="6" fillId="0" borderId="0" xfId="0" applyNumberFormat="1" applyFont="1" applyAlignment="1" applyProtection="1">
      <alignment horizontal="left"/>
      <protection hidden="1"/>
    </xf>
    <xf numFmtId="0" fontId="7" fillId="0" borderId="0" xfId="0" applyFont="1" applyProtection="1">
      <protection hidden="1"/>
    </xf>
    <xf numFmtId="43" fontId="5" fillId="0" borderId="0" xfId="1" applyFont="1" applyProtection="1">
      <protection hidden="1"/>
    </xf>
    <xf numFmtId="168" fontId="5" fillId="0" borderId="0" xfId="0" applyNumberFormat="1" applyFont="1" applyAlignment="1" applyProtection="1">
      <alignment horizontal="left"/>
      <protection hidden="1"/>
    </xf>
    <xf numFmtId="43" fontId="6" fillId="0" borderId="0" xfId="1" applyFont="1" applyAlignment="1" applyProtection="1">
      <alignment horizontal="center"/>
      <protection hidden="1"/>
    </xf>
    <xf numFmtId="0" fontId="10" fillId="0" borderId="0" xfId="0" applyFont="1" applyProtection="1">
      <protection hidden="1"/>
    </xf>
    <xf numFmtId="14" fontId="6" fillId="0" borderId="0" xfId="1" applyNumberFormat="1" applyFont="1" applyAlignment="1" applyProtection="1">
      <alignment horizontal="center"/>
      <protection hidden="1"/>
    </xf>
    <xf numFmtId="43" fontId="5" fillId="0" borderId="0" xfId="1" applyFont="1" applyBorder="1" applyAlignment="1" applyProtection="1">
      <alignment horizontal="left"/>
      <protection hidden="1"/>
    </xf>
    <xf numFmtId="0" fontId="11" fillId="0" borderId="0" xfId="2" applyFont="1" applyAlignment="1" applyProtection="1">
      <alignment horizontal="right"/>
      <protection hidden="1"/>
    </xf>
    <xf numFmtId="43" fontId="12" fillId="0" borderId="0" xfId="1" applyFont="1" applyProtection="1">
      <protection hidden="1"/>
    </xf>
    <xf numFmtId="14" fontId="12" fillId="0" borderId="0" xfId="1" applyNumberFormat="1" applyFont="1" applyAlignment="1" applyProtection="1">
      <alignment horizontal="center"/>
      <protection hidden="1"/>
    </xf>
    <xf numFmtId="165" fontId="7" fillId="0" borderId="0" xfId="0" applyNumberFormat="1" applyFont="1" applyAlignment="1" applyProtection="1">
      <alignment horizontal="left"/>
      <protection hidden="1"/>
    </xf>
    <xf numFmtId="0" fontId="12" fillId="0" borderId="0" xfId="0" applyFont="1" applyProtection="1">
      <protection hidden="1"/>
    </xf>
    <xf numFmtId="43" fontId="7" fillId="0" borderId="0" xfId="1" applyFont="1" applyProtection="1">
      <protection hidden="1"/>
    </xf>
    <xf numFmtId="0" fontId="13" fillId="3" borderId="14" xfId="0" applyFont="1" applyFill="1" applyBorder="1" applyAlignment="1" applyProtection="1">
      <alignment vertical="center"/>
      <protection hidden="1"/>
    </xf>
    <xf numFmtId="43" fontId="13" fillId="3" borderId="14" xfId="1" applyFont="1" applyFill="1" applyBorder="1" applyAlignment="1" applyProtection="1">
      <alignment horizontal="center" vertical="center"/>
      <protection hidden="1"/>
    </xf>
    <xf numFmtId="0" fontId="13" fillId="0" borderId="0" xfId="0" applyFont="1" applyAlignment="1" applyProtection="1">
      <alignment vertical="center"/>
      <protection hidden="1"/>
    </xf>
    <xf numFmtId="0" fontId="5" fillId="0" borderId="0" xfId="0" applyFont="1" applyBorder="1" applyProtection="1">
      <protection hidden="1"/>
    </xf>
    <xf numFmtId="14" fontId="5" fillId="2" borderId="1" xfId="0" applyNumberFormat="1" applyFont="1" applyFill="1" applyBorder="1" applyAlignment="1" applyProtection="1">
      <alignment horizontal="center"/>
      <protection hidden="1"/>
    </xf>
    <xf numFmtId="0" fontId="14" fillId="0" borderId="0" xfId="0" applyFont="1" applyBorder="1" applyProtection="1">
      <protection hidden="1"/>
    </xf>
    <xf numFmtId="0" fontId="5" fillId="0" borderId="0" xfId="0" applyFont="1" applyBorder="1" applyAlignment="1" applyProtection="1">
      <alignment horizontal="left"/>
      <protection hidden="1"/>
    </xf>
    <xf numFmtId="0" fontId="6" fillId="0" borderId="0" xfId="0" applyFont="1" applyBorder="1" applyProtection="1">
      <protection hidden="1"/>
    </xf>
    <xf numFmtId="0" fontId="5" fillId="2" borderId="1" xfId="0" applyFont="1" applyFill="1" applyBorder="1" applyAlignment="1" applyProtection="1">
      <alignment horizontal="center"/>
      <protection hidden="1"/>
    </xf>
    <xf numFmtId="0" fontId="5" fillId="3" borderId="1" xfId="0" applyFont="1" applyFill="1" applyBorder="1" applyAlignment="1" applyProtection="1">
      <alignment horizontal="center"/>
      <protection hidden="1"/>
    </xf>
    <xf numFmtId="0" fontId="6" fillId="3" borderId="1" xfId="0" applyFont="1" applyFill="1" applyBorder="1" applyAlignment="1" applyProtection="1">
      <alignment horizontal="center"/>
      <protection hidden="1"/>
    </xf>
    <xf numFmtId="167" fontId="5" fillId="3" borderId="1" xfId="0" applyNumberFormat="1" applyFont="1" applyFill="1" applyBorder="1" applyAlignment="1" applyProtection="1">
      <alignment horizontal="center"/>
      <protection hidden="1"/>
    </xf>
    <xf numFmtId="167" fontId="15" fillId="0" borderId="0" xfId="0" applyNumberFormat="1" applyFont="1" applyFill="1" applyBorder="1" applyAlignment="1" applyProtection="1">
      <alignment horizontal="center"/>
      <protection hidden="1"/>
    </xf>
    <xf numFmtId="166" fontId="5" fillId="0" borderId="0" xfId="0" applyNumberFormat="1" applyFont="1" applyAlignment="1" applyProtection="1">
      <alignment horizontal="left"/>
      <protection hidden="1"/>
    </xf>
    <xf numFmtId="166" fontId="7" fillId="0" borderId="0" xfId="0" applyNumberFormat="1" applyFont="1" applyAlignment="1" applyProtection="1">
      <alignment horizontal="left"/>
      <protection hidden="1"/>
    </xf>
    <xf numFmtId="14" fontId="9" fillId="2" borderId="1" xfId="1" applyNumberFormat="1" applyFont="1" applyFill="1" applyBorder="1" applyAlignment="1" applyProtection="1">
      <alignment horizontal="center"/>
      <protection hidden="1"/>
    </xf>
    <xf numFmtId="43" fontId="5" fillId="0" borderId="0" xfId="1" applyFont="1" applyAlignment="1" applyProtection="1">
      <alignment horizontal="center"/>
      <protection hidden="1"/>
    </xf>
    <xf numFmtId="0" fontId="5" fillId="0" borderId="0" xfId="0" applyFont="1" applyAlignment="1" applyProtection="1">
      <alignment horizontal="center"/>
      <protection hidden="1"/>
    </xf>
    <xf numFmtId="166" fontId="6" fillId="0" borderId="0" xfId="0" applyNumberFormat="1" applyFont="1" applyAlignment="1" applyProtection="1">
      <alignment horizontal="left"/>
      <protection hidden="1"/>
    </xf>
    <xf numFmtId="43" fontId="5" fillId="0" borderId="10" xfId="1" applyFont="1" applyBorder="1" applyProtection="1">
      <protection hidden="1"/>
    </xf>
    <xf numFmtId="0" fontId="5" fillId="0" borderId="0" xfId="0" applyNumberFormat="1" applyFont="1" applyAlignment="1" applyProtection="1">
      <alignment horizontal="left"/>
      <protection hidden="1"/>
    </xf>
    <xf numFmtId="14" fontId="5" fillId="0" borderId="0" xfId="0" applyNumberFormat="1" applyFont="1" applyAlignment="1" applyProtection="1">
      <alignment horizontal="center"/>
      <protection hidden="1"/>
    </xf>
    <xf numFmtId="14" fontId="6" fillId="0" borderId="0" xfId="0" applyNumberFormat="1" applyFont="1" applyProtection="1">
      <protection hidden="1"/>
    </xf>
    <xf numFmtId="14" fontId="6" fillId="0" borderId="0" xfId="0" applyNumberFormat="1" applyFont="1" applyAlignment="1" applyProtection="1">
      <alignment horizontal="center"/>
      <protection hidden="1"/>
    </xf>
    <xf numFmtId="43" fontId="16" fillId="0" borderId="0" xfId="1" applyFont="1" applyAlignment="1" applyProtection="1">
      <alignment horizontal="right"/>
      <protection hidden="1"/>
    </xf>
    <xf numFmtId="0" fontId="6" fillId="0" borderId="0" xfId="0" applyFont="1" applyAlignment="1" applyProtection="1">
      <alignment horizontal="center"/>
      <protection hidden="1"/>
    </xf>
    <xf numFmtId="0" fontId="7" fillId="0" borderId="0" xfId="0" applyNumberFormat="1" applyFont="1" applyAlignment="1" applyProtection="1">
      <alignment horizontal="left"/>
      <protection hidden="1"/>
    </xf>
    <xf numFmtId="14" fontId="7" fillId="0" borderId="0" xfId="0" applyNumberFormat="1" applyFont="1" applyAlignment="1" applyProtection="1">
      <alignment horizontal="center"/>
      <protection hidden="1"/>
    </xf>
    <xf numFmtId="0" fontId="7" fillId="0" borderId="0" xfId="0" applyNumberFormat="1" applyFont="1" applyAlignment="1" applyProtection="1">
      <alignment horizontal="left" vertical="center"/>
      <protection hidden="1"/>
    </xf>
    <xf numFmtId="14" fontId="7" fillId="0" borderId="0" xfId="0" applyNumberFormat="1" applyFont="1" applyAlignment="1" applyProtection="1">
      <alignment horizontal="center" vertical="center"/>
      <protection hidden="1"/>
    </xf>
    <xf numFmtId="0" fontId="7" fillId="0" borderId="0" xfId="0" applyFont="1" applyAlignment="1" applyProtection="1">
      <alignment vertical="center"/>
      <protection hidden="1"/>
    </xf>
    <xf numFmtId="43" fontId="17" fillId="0" borderId="0" xfId="1" applyFont="1" applyAlignment="1" applyProtection="1">
      <alignment horizontal="center" vertical="center"/>
      <protection hidden="1"/>
    </xf>
    <xf numFmtId="43" fontId="7" fillId="0" borderId="0" xfId="1" applyFont="1" applyAlignment="1" applyProtection="1">
      <alignment horizontal="center" vertical="center"/>
      <protection hidden="1"/>
    </xf>
    <xf numFmtId="0" fontId="7" fillId="0" borderId="0" xfId="0" applyFont="1" applyAlignment="1" applyProtection="1">
      <alignment horizontal="center" vertical="center"/>
      <protection hidden="1"/>
    </xf>
    <xf numFmtId="0" fontId="13" fillId="2" borderId="14" xfId="0" applyNumberFormat="1" applyFont="1" applyFill="1" applyBorder="1" applyAlignment="1" applyProtection="1">
      <alignment horizontal="left" wrapText="1"/>
      <protection hidden="1"/>
    </xf>
    <xf numFmtId="14" fontId="13" fillId="2" borderId="14" xfId="0" applyNumberFormat="1" applyFont="1" applyFill="1" applyBorder="1" applyAlignment="1" applyProtection="1">
      <alignment horizontal="center" wrapText="1"/>
      <protection hidden="1"/>
    </xf>
    <xf numFmtId="0" fontId="13" fillId="2" borderId="14" xfId="0" applyFont="1" applyFill="1" applyBorder="1" applyAlignment="1" applyProtection="1">
      <alignment horizontal="left" wrapText="1"/>
      <protection hidden="1"/>
    </xf>
    <xf numFmtId="0" fontId="13" fillId="2" borderId="14" xfId="0" applyFont="1" applyFill="1" applyBorder="1" applyAlignment="1" applyProtection="1">
      <alignment wrapText="1"/>
      <protection hidden="1"/>
    </xf>
    <xf numFmtId="43" fontId="13" fillId="2" borderId="14" xfId="1" applyFont="1" applyFill="1" applyBorder="1" applyAlignment="1" applyProtection="1">
      <alignment horizontal="center" wrapText="1"/>
      <protection hidden="1"/>
    </xf>
    <xf numFmtId="43" fontId="13" fillId="3" borderId="14" xfId="1" applyFont="1" applyFill="1" applyBorder="1" applyAlignment="1" applyProtection="1">
      <alignment horizontal="center" wrapText="1"/>
      <protection hidden="1"/>
    </xf>
    <xf numFmtId="0" fontId="13" fillId="0" borderId="0" xfId="0" applyFont="1" applyAlignment="1" applyProtection="1">
      <alignment wrapText="1"/>
      <protection hidden="1"/>
    </xf>
    <xf numFmtId="0" fontId="6" fillId="0" borderId="0" xfId="0" applyNumberFormat="1" applyFont="1" applyAlignment="1" applyProtection="1">
      <alignment horizontal="left"/>
      <protection hidden="1"/>
    </xf>
    <xf numFmtId="0" fontId="6" fillId="0" borderId="0" xfId="0" applyFont="1" applyAlignment="1" applyProtection="1">
      <alignment horizontal="left"/>
      <protection hidden="1"/>
    </xf>
    <xf numFmtId="0" fontId="12" fillId="0" borderId="0" xfId="0" applyFont="1" applyAlignment="1" applyProtection="1">
      <alignment vertical="center"/>
      <protection hidden="1"/>
    </xf>
    <xf numFmtId="0" fontId="6" fillId="0" borderId="0" xfId="0" applyFont="1" applyAlignment="1" applyProtection="1">
      <alignment horizontal="left" vertical="center"/>
      <protection hidden="1"/>
    </xf>
    <xf numFmtId="0" fontId="13" fillId="2" borderId="14" xfId="0" applyFont="1" applyFill="1" applyBorder="1" applyAlignment="1" applyProtection="1">
      <alignment vertical="center"/>
      <protection hidden="1"/>
    </xf>
    <xf numFmtId="0" fontId="13" fillId="2" borderId="14" xfId="0" applyFont="1" applyFill="1" applyBorder="1" applyAlignment="1" applyProtection="1">
      <alignment horizontal="left" vertical="center"/>
      <protection hidden="1"/>
    </xf>
    <xf numFmtId="0" fontId="13" fillId="2" borderId="14" xfId="0" applyFont="1" applyFill="1" applyBorder="1" applyAlignment="1" applyProtection="1">
      <alignment horizontal="center" vertical="center"/>
      <protection hidden="1"/>
    </xf>
    <xf numFmtId="0" fontId="16" fillId="0" borderId="0" xfId="2" applyFont="1" applyAlignment="1" applyProtection="1">
      <alignment horizontal="right"/>
      <protection hidden="1"/>
    </xf>
    <xf numFmtId="0" fontId="6" fillId="2" borderId="1" xfId="0" applyFont="1" applyFill="1" applyBorder="1" applyProtection="1">
      <protection hidden="1"/>
    </xf>
    <xf numFmtId="0" fontId="6" fillId="2" borderId="1" xfId="0" applyFont="1" applyFill="1" applyBorder="1" applyAlignment="1" applyProtection="1">
      <alignment horizontal="left"/>
      <protection hidden="1"/>
    </xf>
    <xf numFmtId="0" fontId="6" fillId="2" borderId="1" xfId="0" quotePrefix="1" applyFont="1" applyFill="1" applyBorder="1" applyProtection="1">
      <protection hidden="1"/>
    </xf>
    <xf numFmtId="0" fontId="18" fillId="2" borderId="1" xfId="2" applyFont="1" applyFill="1" applyBorder="1" applyAlignment="1" applyProtection="1">
      <protection hidden="1"/>
    </xf>
    <xf numFmtId="0" fontId="8" fillId="0" borderId="0" xfId="0" applyFont="1" applyProtection="1">
      <protection hidden="1"/>
    </xf>
    <xf numFmtId="0" fontId="6" fillId="4" borderId="1" xfId="0" applyFont="1" applyFill="1" applyBorder="1" applyProtection="1">
      <protection hidden="1"/>
    </xf>
    <xf numFmtId="0" fontId="10" fillId="0" borderId="0" xfId="0" applyNumberFormat="1" applyFont="1" applyAlignment="1" applyProtection="1">
      <alignment horizontal="left"/>
      <protection hidden="1"/>
    </xf>
    <xf numFmtId="166" fontId="10" fillId="0" borderId="0" xfId="0" applyNumberFormat="1" applyFont="1" applyAlignment="1" applyProtection="1">
      <alignment horizontal="left"/>
      <protection hidden="1"/>
    </xf>
    <xf numFmtId="0" fontId="19" fillId="0" borderId="0" xfId="0" applyFont="1" applyAlignment="1" applyProtection="1">
      <alignment horizontal="left" wrapText="1"/>
      <protection hidden="1"/>
    </xf>
    <xf numFmtId="0" fontId="1" fillId="0" borderId="0" xfId="0" applyFont="1" applyProtection="1">
      <protection hidden="1"/>
    </xf>
    <xf numFmtId="0" fontId="20" fillId="0" borderId="0" xfId="0" applyFont="1" applyAlignment="1" applyProtection="1">
      <alignment horizontal="left" wrapText="1"/>
      <protection hidden="1"/>
    </xf>
    <xf numFmtId="0" fontId="1" fillId="0" borderId="0" xfId="0" applyFont="1" applyAlignment="1" applyProtection="1">
      <alignment horizontal="justify" wrapText="1"/>
      <protection hidden="1"/>
    </xf>
    <xf numFmtId="0" fontId="20" fillId="0" borderId="0" xfId="0" applyFont="1" applyAlignment="1" applyProtection="1">
      <alignment horizontal="justify" wrapText="1"/>
      <protection hidden="1"/>
    </xf>
    <xf numFmtId="0" fontId="22" fillId="0" borderId="0" xfId="0" applyFont="1" applyAlignment="1" applyProtection="1">
      <alignment horizontal="justify" wrapText="1"/>
      <protection hidden="1"/>
    </xf>
    <xf numFmtId="0" fontId="20" fillId="0" borderId="0" xfId="0" applyFont="1" applyAlignment="1" applyProtection="1">
      <alignment horizontal="justify" vertical="center" wrapText="1"/>
      <protection hidden="1"/>
    </xf>
    <xf numFmtId="0" fontId="1" fillId="0" borderId="0" xfId="0" applyFont="1" applyAlignment="1" applyProtection="1">
      <alignment horizontal="justify" vertical="center" wrapText="1"/>
      <protection hidden="1"/>
    </xf>
    <xf numFmtId="0" fontId="23" fillId="0" borderId="0" xfId="0" applyFont="1" applyAlignment="1" applyProtection="1">
      <alignment horizontal="justify" wrapText="1"/>
      <protection hidden="1"/>
    </xf>
    <xf numFmtId="0" fontId="1" fillId="0" borderId="0" xfId="0" applyFont="1" applyAlignment="1" applyProtection="1">
      <alignment vertical="center"/>
      <protection hidden="1"/>
    </xf>
    <xf numFmtId="0" fontId="24" fillId="0" borderId="0" xfId="0" applyFont="1" applyAlignment="1" applyProtection="1">
      <alignment horizontal="justify" wrapText="1"/>
      <protection hidden="1"/>
    </xf>
    <xf numFmtId="0" fontId="22" fillId="0" borderId="0" xfId="0" applyFont="1" applyAlignment="1">
      <alignment horizontal="justify" wrapText="1"/>
    </xf>
    <xf numFmtId="0" fontId="1" fillId="0" borderId="0" xfId="0" applyFont="1" applyAlignment="1">
      <alignment wrapText="1"/>
    </xf>
    <xf numFmtId="0" fontId="1" fillId="0" borderId="0" xfId="0" applyFont="1" applyAlignment="1">
      <alignment horizontal="justify" wrapText="1"/>
    </xf>
    <xf numFmtId="0" fontId="21" fillId="0" borderId="0" xfId="2" applyFont="1" applyAlignment="1" applyProtection="1">
      <alignment horizontal="left" wrapText="1"/>
      <protection hidden="1"/>
    </xf>
    <xf numFmtId="0" fontId="17" fillId="5" borderId="0" xfId="0" applyFont="1" applyFill="1" applyBorder="1" applyAlignment="1" applyProtection="1">
      <alignment horizontal="left" vertical="top"/>
      <protection hidden="1"/>
    </xf>
    <xf numFmtId="0" fontId="0" fillId="5" borderId="0" xfId="0" applyFont="1" applyFill="1" applyProtection="1">
      <protection hidden="1"/>
    </xf>
    <xf numFmtId="0" fontId="17" fillId="0" borderId="0" xfId="0" applyFont="1" applyFill="1" applyBorder="1" applyAlignment="1" applyProtection="1">
      <alignment horizontal="left" vertical="top"/>
      <protection hidden="1"/>
    </xf>
    <xf numFmtId="0" fontId="0" fillId="0" borderId="0" xfId="0" applyFont="1" applyProtection="1">
      <protection hidden="1"/>
    </xf>
    <xf numFmtId="0" fontId="0" fillId="0" borderId="0" xfId="1" applyNumberFormat="1" applyFont="1" applyAlignment="1" applyProtection="1">
      <alignment horizontal="center"/>
      <protection hidden="1"/>
    </xf>
    <xf numFmtId="0" fontId="0" fillId="0" borderId="0" xfId="0" applyFont="1" applyFill="1" applyProtection="1">
      <protection hidden="1"/>
    </xf>
    <xf numFmtId="0" fontId="5" fillId="0" borderId="0" xfId="1" applyNumberFormat="1" applyFont="1" applyAlignment="1" applyProtection="1">
      <alignment horizontal="right"/>
      <protection hidden="1"/>
    </xf>
    <xf numFmtId="0" fontId="5" fillId="0" borderId="0" xfId="1" applyNumberFormat="1" applyFont="1" applyAlignment="1" applyProtection="1">
      <alignment vertical="center"/>
      <protection hidden="1"/>
    </xf>
    <xf numFmtId="0" fontId="0" fillId="0" borderId="0" xfId="1" applyNumberFormat="1" applyFont="1" applyProtection="1">
      <protection hidden="1"/>
    </xf>
    <xf numFmtId="0" fontId="5" fillId="0" borderId="0" xfId="1" applyNumberFormat="1" applyFont="1" applyAlignment="1" applyProtection="1">
      <alignment horizontal="left"/>
      <protection hidden="1"/>
    </xf>
    <xf numFmtId="0" fontId="5" fillId="7" borderId="0" xfId="1" applyNumberFormat="1" applyFont="1" applyFill="1" applyBorder="1" applyAlignment="1" applyProtection="1">
      <alignment horizontal="center"/>
      <protection hidden="1"/>
    </xf>
    <xf numFmtId="14" fontId="0" fillId="0" borderId="0" xfId="1" applyNumberFormat="1" applyFont="1" applyAlignment="1" applyProtection="1">
      <alignment horizontal="center"/>
      <protection hidden="1"/>
    </xf>
    <xf numFmtId="0" fontId="0" fillId="0" borderId="0" xfId="0" applyFont="1" applyAlignment="1" applyProtection="1">
      <alignment horizontal="left"/>
      <protection hidden="1"/>
    </xf>
    <xf numFmtId="0" fontId="25" fillId="6" borderId="0" xfId="1" applyNumberFormat="1" applyFont="1" applyFill="1" applyAlignment="1" applyProtection="1">
      <alignment horizontal="left"/>
      <protection hidden="1"/>
    </xf>
    <xf numFmtId="0" fontId="26" fillId="6" borderId="0" xfId="1" applyNumberFormat="1" applyFont="1" applyFill="1" applyAlignment="1" applyProtection="1">
      <alignment horizontal="center"/>
      <protection hidden="1"/>
    </xf>
    <xf numFmtId="0" fontId="0" fillId="0" borderId="0" xfId="1" applyNumberFormat="1" applyFont="1" applyAlignment="1" applyProtection="1">
      <alignment horizontal="left"/>
      <protection hidden="1"/>
    </xf>
    <xf numFmtId="0" fontId="0" fillId="0" borderId="0" xfId="0" quotePrefix="1" applyFont="1" applyAlignment="1" applyProtection="1">
      <alignment horizontal="left"/>
      <protection hidden="1"/>
    </xf>
    <xf numFmtId="0" fontId="5" fillId="0" borderId="7" xfId="1" applyNumberFormat="1" applyFont="1" applyBorder="1" applyAlignment="1" applyProtection="1">
      <alignment horizontal="left"/>
      <protection hidden="1"/>
    </xf>
    <xf numFmtId="0" fontId="0" fillId="0" borderId="9" xfId="1" applyNumberFormat="1" applyFont="1" applyBorder="1" applyAlignment="1" applyProtection="1">
      <alignment horizontal="left" indent="1"/>
      <protection hidden="1"/>
    </xf>
    <xf numFmtId="0" fontId="0" fillId="0" borderId="0" xfId="0" applyFont="1" applyAlignment="1" applyProtection="1">
      <alignment vertical="center"/>
      <protection hidden="1"/>
    </xf>
    <xf numFmtId="0" fontId="25" fillId="6" borderId="0" xfId="0" applyFont="1" applyFill="1" applyAlignment="1" applyProtection="1">
      <alignment vertical="center"/>
      <protection hidden="1"/>
    </xf>
    <xf numFmtId="0" fontId="26" fillId="6" borderId="0" xfId="0" applyFont="1" applyFill="1" applyAlignment="1" applyProtection="1">
      <alignment vertical="center"/>
      <protection hidden="1"/>
    </xf>
    <xf numFmtId="0" fontId="0" fillId="5" borderId="0" xfId="0" applyFont="1" applyFill="1" applyAlignment="1" applyProtection="1">
      <alignment vertical="center"/>
      <protection hidden="1"/>
    </xf>
    <xf numFmtId="0" fontId="12" fillId="0" borderId="0" xfId="0" applyFont="1" applyAlignment="1" applyProtection="1">
      <alignment horizontal="center"/>
      <protection hidden="1"/>
    </xf>
    <xf numFmtId="14" fontId="0" fillId="0" borderId="0" xfId="1" applyNumberFormat="1" applyFont="1" applyAlignment="1" applyProtection="1">
      <alignment horizontal="left"/>
      <protection hidden="1"/>
    </xf>
    <xf numFmtId="43" fontId="0" fillId="0" borderId="0" xfId="1" applyFont="1" applyAlignment="1" applyProtection="1">
      <alignment horizontal="left"/>
      <protection hidden="1"/>
    </xf>
    <xf numFmtId="43" fontId="5" fillId="0" borderId="0" xfId="1" applyFont="1" applyBorder="1" applyProtection="1">
      <protection hidden="1"/>
    </xf>
    <xf numFmtId="0" fontId="5" fillId="5" borderId="0" xfId="0" applyFont="1" applyFill="1" applyProtection="1">
      <protection hidden="1"/>
    </xf>
    <xf numFmtId="0" fontId="0" fillId="5" borderId="0" xfId="1" applyNumberFormat="1" applyFont="1" applyFill="1" applyAlignment="1" applyProtection="1">
      <alignment horizontal="center"/>
      <protection hidden="1"/>
    </xf>
    <xf numFmtId="0" fontId="10" fillId="0" borderId="0" xfId="1" applyNumberFormat="1" applyFont="1" applyAlignment="1" applyProtection="1">
      <alignment horizontal="right"/>
      <protection hidden="1"/>
    </xf>
    <xf numFmtId="165" fontId="25" fillId="6" borderId="2" xfId="0" applyNumberFormat="1" applyFont="1" applyFill="1" applyBorder="1" applyAlignment="1" applyProtection="1">
      <alignment horizontal="left"/>
      <protection hidden="1"/>
    </xf>
    <xf numFmtId="0" fontId="26" fillId="6" borderId="4" xfId="0" applyFont="1" applyFill="1" applyBorder="1" applyProtection="1">
      <protection hidden="1"/>
    </xf>
    <xf numFmtId="0" fontId="25" fillId="6" borderId="0" xfId="1" applyNumberFormat="1" applyFont="1" applyFill="1" applyAlignment="1" applyProtection="1">
      <alignment horizontal="center"/>
      <protection hidden="1"/>
    </xf>
    <xf numFmtId="165" fontId="0" fillId="0" borderId="5" xfId="0" applyNumberFormat="1" applyFont="1" applyBorder="1" applyAlignment="1" applyProtection="1">
      <alignment horizontal="left"/>
      <protection hidden="1"/>
    </xf>
    <xf numFmtId="0" fontId="0" fillId="0" borderId="6" xfId="0" applyFont="1" applyBorder="1" applyProtection="1">
      <protection hidden="1"/>
    </xf>
    <xf numFmtId="0" fontId="0" fillId="0" borderId="5" xfId="1" applyNumberFormat="1" applyFont="1" applyBorder="1" applyAlignment="1" applyProtection="1">
      <alignment horizontal="left"/>
      <protection hidden="1"/>
    </xf>
    <xf numFmtId="0" fontId="5" fillId="0" borderId="6" xfId="1" applyNumberFormat="1" applyFont="1" applyBorder="1" applyAlignment="1" applyProtection="1">
      <alignment horizontal="center"/>
      <protection hidden="1"/>
    </xf>
    <xf numFmtId="14" fontId="0" fillId="0" borderId="6" xfId="1" applyNumberFormat="1" applyFont="1" applyBorder="1" applyAlignment="1" applyProtection="1">
      <alignment horizontal="center"/>
      <protection hidden="1"/>
    </xf>
    <xf numFmtId="0" fontId="0" fillId="0" borderId="7" xfId="1" applyNumberFormat="1" applyFont="1" applyBorder="1" applyAlignment="1" applyProtection="1">
      <alignment horizontal="left"/>
      <protection hidden="1"/>
    </xf>
    <xf numFmtId="14" fontId="0" fillId="0" borderId="9" xfId="1" applyNumberFormat="1" applyFont="1" applyBorder="1" applyAlignment="1" applyProtection="1">
      <alignment horizontal="center"/>
      <protection hidden="1"/>
    </xf>
    <xf numFmtId="0" fontId="0" fillId="0" borderId="7" xfId="0" applyFont="1" applyBorder="1" applyProtection="1">
      <protection hidden="1"/>
    </xf>
    <xf numFmtId="0" fontId="0" fillId="0" borderId="9" xfId="0" applyFont="1" applyBorder="1" applyProtection="1">
      <protection hidden="1"/>
    </xf>
    <xf numFmtId="0" fontId="0" fillId="0" borderId="0" xfId="0" applyFont="1" applyBorder="1" applyProtection="1">
      <protection hidden="1"/>
    </xf>
    <xf numFmtId="0" fontId="0" fillId="0" borderId="0" xfId="1" applyNumberFormat="1" applyFont="1" applyBorder="1" applyAlignment="1" applyProtection="1">
      <alignment horizontal="center"/>
      <protection hidden="1"/>
    </xf>
    <xf numFmtId="14" fontId="0" fillId="0" borderId="0" xfId="0" applyNumberFormat="1" applyFont="1" applyAlignment="1" applyProtection="1">
      <alignment horizontal="center"/>
      <protection hidden="1"/>
    </xf>
    <xf numFmtId="0" fontId="27" fillId="0" borderId="0" xfId="0" applyFont="1" applyProtection="1">
      <protection hidden="1"/>
    </xf>
    <xf numFmtId="0" fontId="5" fillId="0" borderId="0" xfId="1" applyNumberFormat="1" applyFont="1" applyProtection="1">
      <protection hidden="1"/>
    </xf>
    <xf numFmtId="0" fontId="9" fillId="7" borderId="15" xfId="1" applyNumberFormat="1" applyFont="1" applyFill="1" applyBorder="1" applyAlignment="1" applyProtection="1">
      <alignment horizontal="center"/>
      <protection hidden="1"/>
    </xf>
    <xf numFmtId="0" fontId="9" fillId="0" borderId="0" xfId="1" applyNumberFormat="1" applyFont="1" applyFill="1" applyBorder="1" applyAlignment="1" applyProtection="1">
      <alignment horizontal="center"/>
      <protection hidden="1"/>
    </xf>
    <xf numFmtId="14" fontId="0" fillId="7" borderId="15" xfId="1" applyNumberFormat="1" applyFont="1" applyFill="1" applyBorder="1" applyAlignment="1" applyProtection="1">
      <alignment horizontal="center"/>
      <protection hidden="1"/>
    </xf>
    <xf numFmtId="14" fontId="0" fillId="0" borderId="0" xfId="1" applyNumberFormat="1" applyFont="1" applyFill="1" applyBorder="1" applyAlignment="1" applyProtection="1">
      <alignment horizontal="center"/>
      <protection hidden="1"/>
    </xf>
    <xf numFmtId="14" fontId="26" fillId="6" borderId="0" xfId="1" applyNumberFormat="1" applyFont="1" applyFill="1" applyAlignment="1" applyProtection="1">
      <alignment horizontal="center"/>
      <protection hidden="1"/>
    </xf>
    <xf numFmtId="0" fontId="0" fillId="0" borderId="2" xfId="1" applyNumberFormat="1" applyFont="1" applyBorder="1" applyAlignment="1" applyProtection="1">
      <alignment horizontal="left"/>
      <protection hidden="1"/>
    </xf>
    <xf numFmtId="14" fontId="0" fillId="0" borderId="3" xfId="1" applyNumberFormat="1" applyFont="1" applyBorder="1" applyAlignment="1" applyProtection="1">
      <alignment horizontal="center"/>
      <protection hidden="1"/>
    </xf>
    <xf numFmtId="0" fontId="0" fillId="0" borderId="4" xfId="1" applyNumberFormat="1" applyFont="1" applyBorder="1" applyAlignment="1" applyProtection="1">
      <alignment horizontal="left"/>
      <protection hidden="1"/>
    </xf>
    <xf numFmtId="14" fontId="0" fillId="0" borderId="0" xfId="1" applyNumberFormat="1" applyFont="1" applyBorder="1" applyAlignment="1" applyProtection="1">
      <alignment horizontal="center"/>
      <protection hidden="1"/>
    </xf>
    <xf numFmtId="0" fontId="0" fillId="0" borderId="6" xfId="1" applyNumberFormat="1" applyFont="1" applyBorder="1" applyAlignment="1" applyProtection="1">
      <alignment horizontal="left"/>
      <protection hidden="1"/>
    </xf>
    <xf numFmtId="14" fontId="0" fillId="0" borderId="8" xfId="1" applyNumberFormat="1" applyFont="1" applyBorder="1" applyAlignment="1" applyProtection="1">
      <alignment horizontal="center"/>
      <protection hidden="1"/>
    </xf>
    <xf numFmtId="0" fontId="0" fillId="0" borderId="9" xfId="1" applyNumberFormat="1" applyFont="1" applyBorder="1" applyAlignment="1" applyProtection="1">
      <alignment horizontal="left"/>
      <protection hidden="1"/>
    </xf>
    <xf numFmtId="4" fontId="5" fillId="0" borderId="0" xfId="1" applyNumberFormat="1" applyFont="1" applyAlignment="1" applyProtection="1">
      <alignment horizontal="right"/>
      <protection hidden="1"/>
    </xf>
    <xf numFmtId="0" fontId="25" fillId="6" borderId="1" xfId="0" applyFont="1" applyFill="1" applyBorder="1" applyAlignment="1" applyProtection="1">
      <alignment horizontal="center"/>
      <protection hidden="1"/>
    </xf>
    <xf numFmtId="14" fontId="25" fillId="6" borderId="1" xfId="0" applyNumberFormat="1" applyFont="1" applyFill="1" applyBorder="1" applyAlignment="1" applyProtection="1">
      <alignment horizontal="center"/>
      <protection hidden="1"/>
    </xf>
    <xf numFmtId="0" fontId="25" fillId="6" borderId="1" xfId="1" quotePrefix="1" applyNumberFormat="1" applyFont="1" applyFill="1" applyBorder="1" applyAlignment="1" applyProtection="1">
      <alignment horizontal="center"/>
      <protection hidden="1"/>
    </xf>
    <xf numFmtId="0" fontId="5" fillId="0" borderId="0" xfId="1" applyNumberFormat="1" applyFont="1" applyAlignment="1" applyProtection="1">
      <alignment horizontal="center"/>
      <protection hidden="1"/>
    </xf>
    <xf numFmtId="14" fontId="12" fillId="0" borderId="0" xfId="0" applyNumberFormat="1" applyFont="1" applyProtection="1">
      <protection hidden="1"/>
    </xf>
    <xf numFmtId="14" fontId="12" fillId="5" borderId="0" xfId="0" applyNumberFormat="1" applyFont="1" applyFill="1" applyProtection="1">
      <protection hidden="1"/>
    </xf>
    <xf numFmtId="0" fontId="25" fillId="6" borderId="0" xfId="0" applyFont="1" applyFill="1" applyProtection="1">
      <protection hidden="1"/>
    </xf>
    <xf numFmtId="14" fontId="25" fillId="6" borderId="0" xfId="0" applyNumberFormat="1" applyFont="1" applyFill="1" applyAlignment="1" applyProtection="1">
      <alignment horizontal="center"/>
      <protection hidden="1"/>
    </xf>
    <xf numFmtId="43" fontId="0" fillId="0" borderId="0" xfId="1" applyFont="1" applyAlignment="1" applyProtection="1">
      <alignment horizontal="right"/>
      <protection hidden="1"/>
    </xf>
    <xf numFmtId="14" fontId="0" fillId="0" borderId="0" xfId="1" applyNumberFormat="1" applyFont="1" applyBorder="1" applyAlignment="1" applyProtection="1">
      <alignment horizontal="left"/>
      <protection hidden="1"/>
    </xf>
    <xf numFmtId="0" fontId="0" fillId="5" borderId="0" xfId="0" applyFont="1" applyFill="1" applyBorder="1" applyProtection="1">
      <protection hidden="1"/>
    </xf>
    <xf numFmtId="14" fontId="0" fillId="5" borderId="0" xfId="1" applyNumberFormat="1" applyFont="1" applyFill="1" applyBorder="1" applyAlignment="1" applyProtection="1">
      <alignment horizontal="left"/>
      <protection hidden="1"/>
    </xf>
    <xf numFmtId="14" fontId="0" fillId="5" borderId="0" xfId="0" applyNumberFormat="1" applyFont="1" applyFill="1" applyAlignment="1" applyProtection="1">
      <alignment horizontal="center"/>
      <protection hidden="1"/>
    </xf>
    <xf numFmtId="14" fontId="0" fillId="5" borderId="0" xfId="1" applyNumberFormat="1" applyFont="1" applyFill="1" applyBorder="1" applyAlignment="1" applyProtection="1">
      <alignment horizontal="center"/>
      <protection hidden="1"/>
    </xf>
    <xf numFmtId="43" fontId="0" fillId="5" borderId="0" xfId="1" applyFont="1" applyFill="1" applyAlignment="1" applyProtection="1">
      <alignment horizontal="right"/>
      <protection hidden="1"/>
    </xf>
    <xf numFmtId="43" fontId="0" fillId="5" borderId="0" xfId="1" applyFont="1" applyFill="1" applyBorder="1" applyAlignment="1" applyProtection="1">
      <alignment horizontal="left"/>
      <protection hidden="1"/>
    </xf>
    <xf numFmtId="43" fontId="0" fillId="5" borderId="0" xfId="1" applyFont="1" applyFill="1" applyAlignment="1" applyProtection="1">
      <alignment horizontal="center"/>
      <protection hidden="1"/>
    </xf>
    <xf numFmtId="0" fontId="7" fillId="0" borderId="0" xfId="0" applyFont="1" applyAlignment="1" applyProtection="1">
      <alignment horizontal="center"/>
      <protection hidden="1"/>
    </xf>
    <xf numFmtId="0" fontId="6" fillId="9" borderId="1" xfId="0" applyFont="1" applyFill="1" applyBorder="1" applyProtection="1">
      <protection hidden="1"/>
    </xf>
    <xf numFmtId="0" fontId="6" fillId="9" borderId="11" xfId="0" applyFont="1" applyFill="1" applyBorder="1" applyAlignment="1" applyProtection="1">
      <alignment horizontal="left"/>
      <protection hidden="1"/>
    </xf>
    <xf numFmtId="0" fontId="6" fillId="9" borderId="12" xfId="0" applyFont="1" applyFill="1" applyBorder="1" applyAlignment="1" applyProtection="1">
      <alignment horizontal="left"/>
      <protection hidden="1"/>
    </xf>
    <xf numFmtId="164" fontId="6" fillId="2" borderId="1" xfId="3" applyNumberFormat="1" applyFont="1" applyFill="1" applyBorder="1" applyAlignment="1" applyProtection="1">
      <alignment horizontal="center"/>
      <protection hidden="1"/>
    </xf>
    <xf numFmtId="164" fontId="6" fillId="0" borderId="0" xfId="3" applyNumberFormat="1" applyFont="1" applyFill="1" applyBorder="1" applyAlignment="1" applyProtection="1">
      <alignment horizontal="center"/>
      <protection hidden="1"/>
    </xf>
    <xf numFmtId="0" fontId="5" fillId="0" borderId="8" xfId="1" applyNumberFormat="1" applyFont="1" applyBorder="1" applyAlignment="1" applyProtection="1">
      <alignment horizontal="left"/>
      <protection hidden="1"/>
    </xf>
    <xf numFmtId="0" fontId="25" fillId="8" borderId="0" xfId="0" applyFont="1" applyFill="1" applyAlignment="1" applyProtection="1">
      <alignment horizontal="right" vertical="center" indent="1"/>
      <protection hidden="1"/>
    </xf>
    <xf numFmtId="0" fontId="25" fillId="8" borderId="0" xfId="1" applyNumberFormat="1" applyFont="1" applyFill="1" applyAlignment="1" applyProtection="1">
      <alignment horizontal="right" vertical="center" indent="1"/>
      <protection hidden="1"/>
    </xf>
    <xf numFmtId="0" fontId="0" fillId="0" borderId="0" xfId="1" applyNumberFormat="1" applyFont="1" applyFill="1" applyAlignment="1" applyProtection="1">
      <alignment horizontal="center"/>
      <protection hidden="1"/>
    </xf>
    <xf numFmtId="0" fontId="0" fillId="0" borderId="0" xfId="1" applyNumberFormat="1" applyFont="1" applyBorder="1" applyAlignment="1" applyProtection="1">
      <alignment horizontal="left"/>
      <protection hidden="1"/>
    </xf>
    <xf numFmtId="0" fontId="0" fillId="0" borderId="8" xfId="1" applyNumberFormat="1" applyFont="1" applyBorder="1" applyAlignment="1" applyProtection="1">
      <alignment horizontal="left"/>
      <protection hidden="1"/>
    </xf>
    <xf numFmtId="0" fontId="6" fillId="2" borderId="11" xfId="0" applyFont="1" applyFill="1" applyBorder="1" applyAlignment="1" applyProtection="1">
      <alignment horizontal="left"/>
      <protection hidden="1"/>
    </xf>
    <xf numFmtId="0" fontId="6" fillId="2" borderId="12" xfId="0" applyFont="1" applyFill="1" applyBorder="1" applyAlignment="1" applyProtection="1">
      <alignment horizontal="left"/>
      <protection hidden="1"/>
    </xf>
    <xf numFmtId="0" fontId="6" fillId="4" borderId="1" xfId="0" applyFont="1" applyFill="1" applyBorder="1" applyAlignment="1" applyProtection="1">
      <alignment horizontal="left"/>
      <protection hidden="1"/>
    </xf>
    <xf numFmtId="0" fontId="5" fillId="2" borderId="11" xfId="0" applyFont="1" applyFill="1" applyBorder="1" applyAlignment="1" applyProtection="1">
      <alignment horizontal="center" vertical="center"/>
      <protection hidden="1"/>
    </xf>
    <xf numFmtId="0" fontId="5" fillId="2" borderId="13" xfId="0" applyFont="1" applyFill="1" applyBorder="1" applyAlignment="1" applyProtection="1">
      <alignment horizontal="center" vertical="center"/>
      <protection hidden="1"/>
    </xf>
    <xf numFmtId="0" fontId="5" fillId="2" borderId="12" xfId="0" applyFont="1" applyFill="1" applyBorder="1" applyAlignment="1" applyProtection="1">
      <alignment horizontal="center" vertical="center"/>
      <protection hidden="1"/>
    </xf>
    <xf numFmtId="0" fontId="0" fillId="0" borderId="5" xfId="1" applyNumberFormat="1" applyFont="1" applyBorder="1" applyAlignment="1" applyProtection="1">
      <alignment horizontal="left"/>
      <protection hidden="1"/>
    </xf>
    <xf numFmtId="0" fontId="0" fillId="0" borderId="0" xfId="1" applyNumberFormat="1" applyFont="1" applyBorder="1" applyAlignment="1" applyProtection="1">
      <alignment horizontal="left"/>
      <protection hidden="1"/>
    </xf>
    <xf numFmtId="0" fontId="0" fillId="0" borderId="6" xfId="1" applyNumberFormat="1" applyFont="1" applyBorder="1" applyAlignment="1" applyProtection="1">
      <alignment horizontal="left"/>
      <protection hidden="1"/>
    </xf>
    <xf numFmtId="0" fontId="0" fillId="0" borderId="2" xfId="1" applyNumberFormat="1" applyFont="1" applyBorder="1" applyAlignment="1" applyProtection="1">
      <alignment horizontal="left"/>
      <protection hidden="1"/>
    </xf>
    <xf numFmtId="0" fontId="0" fillId="0" borderId="3" xfId="1" applyNumberFormat="1" applyFont="1" applyBorder="1" applyAlignment="1" applyProtection="1">
      <alignment horizontal="left"/>
      <protection hidden="1"/>
    </xf>
    <xf numFmtId="0" fontId="0" fillId="0" borderId="4" xfId="1" applyNumberFormat="1" applyFont="1" applyBorder="1" applyAlignment="1" applyProtection="1">
      <alignment horizontal="left"/>
      <protection hidden="1"/>
    </xf>
    <xf numFmtId="0" fontId="6" fillId="0" borderId="0" xfId="0" applyFont="1" applyBorder="1" applyAlignment="1" applyProtection="1">
      <alignment horizontal="left" vertical="top" wrapText="1"/>
      <protection hidden="1"/>
    </xf>
  </cellXfs>
  <cellStyles count="4">
    <cellStyle name="Comma" xfId="1" builtinId="3"/>
    <cellStyle name="Hyperlink" xfId="2" builtinId="8"/>
    <cellStyle name="Normal" xfId="0" builtinId="0" customBuiltin="1"/>
    <cellStyle name="Percent" xfId="3" builtinId="5"/>
  </cellStyles>
  <dxfs count="56">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fill>
        <patternFill patternType="solid">
          <fgColor indexed="64"/>
          <bgColor indexed="41"/>
        </patternFill>
      </fill>
      <alignment horizontal="center" vertical="center" textRotation="0" wrapText="0" 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ndense val="0"/>
        <extend val="0"/>
        <color indexed="9"/>
      </font>
      <fill>
        <patternFill>
          <bgColor indexed="53"/>
        </patternFill>
      </fill>
      <border>
        <left style="thin">
          <color indexed="22"/>
        </left>
        <right style="thin">
          <color indexed="22"/>
        </right>
        <top style="thin">
          <color indexed="22"/>
        </top>
        <bottom style="thin">
          <color indexed="22"/>
        </bottom>
      </border>
    </dxf>
    <dxf>
      <font>
        <b/>
        <i val="0"/>
        <condense val="0"/>
        <extend val="0"/>
        <color indexed="9"/>
      </font>
      <fill>
        <patternFill>
          <bgColor indexed="53"/>
        </patternFill>
      </fill>
      <border>
        <left style="thin">
          <color indexed="22"/>
        </left>
        <right style="thin">
          <color indexed="22"/>
        </right>
        <top style="thin">
          <color indexed="22"/>
        </top>
        <bottom style="thin">
          <color indexed="22"/>
        </bottom>
      </border>
    </dxf>
    <dxf>
      <font>
        <b/>
        <i val="0"/>
        <condense val="0"/>
        <extend val="0"/>
        <color indexed="9"/>
      </font>
      <fill>
        <patternFill>
          <bgColor indexed="53"/>
        </patternFill>
      </fill>
      <border>
        <left style="thin">
          <color indexed="22"/>
        </left>
        <right style="thin">
          <color indexed="22"/>
        </right>
        <top style="thin">
          <color indexed="22"/>
        </top>
        <bottom style="thin">
          <color indexed="22"/>
        </bottom>
      </border>
    </dxf>
    <dxf>
      <font>
        <b/>
        <i val="0"/>
        <color rgb="FFFF0000"/>
      </font>
    </dxf>
    <dxf>
      <font>
        <b/>
        <i val="0"/>
        <color rgb="FFFF0000"/>
      </font>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169"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9"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9"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left" vertical="bottom" textRotation="0" wrapText="0" indent="0" justifyLastLine="0" shrinkToFit="0" readingOrder="0"/>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fill>
        <patternFill patternType="solid">
          <fgColor indexed="64"/>
          <bgColor indexed="41"/>
        </patternFill>
      </fill>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val="0"/>
        <i val="0"/>
        <strike val="0"/>
        <condense val="0"/>
        <extend val="0"/>
        <outline val="0"/>
        <shadow val="0"/>
        <u val="none"/>
        <vertAlign val="baseline"/>
        <sz val="10"/>
        <color auto="1"/>
        <name val="Century Gothic"/>
        <family val="2"/>
        <scheme val="minor"/>
      </font>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alignment horizontal="left" vertical="bottom"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fill>
        <patternFill patternType="solid">
          <fgColor indexed="64"/>
          <bgColor indexed="43"/>
        </patternFill>
      </fill>
      <alignment horizontal="left" vertical="center" textRotation="0" wrapText="0" indent="0" justifyLastLine="0" shrinkToFit="0" readingOrder="0"/>
      <border diagonalUp="0" diagonalDown="0">
        <left style="thin">
          <color indexed="64"/>
        </left>
        <right style="thin">
          <color indexed="64"/>
        </right>
        <top/>
        <bottom/>
      </border>
      <protection locked="1" hidden="1"/>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ZA" sz="1200"/>
              <a:t> Monthly Sales       </a:t>
            </a:r>
          </a:p>
        </c:rich>
      </c:tx>
      <c:layout>
        <c:manualLayout>
          <c:xMode val="edge"/>
          <c:yMode val="edge"/>
          <c:x val="0.39890786875684253"/>
          <c:y val="2.5210084033613446E-2"/>
        </c:manualLayout>
      </c:layout>
      <c:overlay val="0"/>
      <c:spPr>
        <a:noFill/>
        <a:ln>
          <a:noFill/>
        </a:ln>
        <a:effectLst/>
      </c:spPr>
      <c:txPr>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8.7431849513051982E-2"/>
          <c:y val="8.8235475141714689E-2"/>
          <c:w val="0.88160448258994084"/>
          <c:h val="0.68487535467140448"/>
        </c:manualLayout>
      </c:layout>
      <c:barChart>
        <c:barDir val="col"/>
        <c:grouping val="clustered"/>
        <c:varyColors val="0"/>
        <c:ser>
          <c:idx val="0"/>
          <c:order val="0"/>
          <c:tx>
            <c:strRef>
              <c:f>Monthly!$B$6</c:f>
              <c:strCache>
                <c:ptCount val="1"/>
                <c:pt idx="0">
                  <c:v> Sales </c:v>
                </c:pt>
              </c:strCache>
            </c:strRef>
          </c:tx>
          <c:spPr>
            <a:solidFill>
              <a:schemeClr val="accent1"/>
            </a:solidFill>
            <a:ln>
              <a:noFill/>
            </a:ln>
            <a:effectLst>
              <a:innerShdw blurRad="63500" dist="25400" dir="13500000">
                <a:srgbClr val="000000">
                  <a:alpha val="75000"/>
                </a:srgbClr>
              </a:innerShdw>
            </a:effectLst>
          </c:spPr>
          <c:invertIfNegative val="0"/>
          <c:cat>
            <c:numRef>
              <c:f>Monthly!$A$7:$A$18</c:f>
              <c:numCache>
                <c:formatCode>mmmm\-yyyy</c:formatCode>
                <c:ptCount val="12"/>
                <c:pt idx="0">
                  <c:v>43921</c:v>
                </c:pt>
                <c:pt idx="1">
                  <c:v>43951</c:v>
                </c:pt>
                <c:pt idx="2">
                  <c:v>43982</c:v>
                </c:pt>
                <c:pt idx="3">
                  <c:v>44012</c:v>
                </c:pt>
                <c:pt idx="4">
                  <c:v>44043</c:v>
                </c:pt>
                <c:pt idx="5">
                  <c:v>44074</c:v>
                </c:pt>
                <c:pt idx="6">
                  <c:v>44104</c:v>
                </c:pt>
                <c:pt idx="7">
                  <c:v>44135</c:v>
                </c:pt>
                <c:pt idx="8">
                  <c:v>44165</c:v>
                </c:pt>
                <c:pt idx="9">
                  <c:v>44196</c:v>
                </c:pt>
                <c:pt idx="10">
                  <c:v>44227</c:v>
                </c:pt>
                <c:pt idx="11">
                  <c:v>44255</c:v>
                </c:pt>
              </c:numCache>
            </c:numRef>
          </c:cat>
          <c:val>
            <c:numRef>
              <c:f>Monthly!$B$7:$B$18</c:f>
              <c:numCache>
                <c:formatCode>_(* #,##0.00_);_(* \(#,##0.00\);_(* "-"??_);_(@_)</c:formatCode>
                <c:ptCount val="12"/>
                <c:pt idx="0">
                  <c:v>19350</c:v>
                </c:pt>
                <c:pt idx="1">
                  <c:v>67338</c:v>
                </c:pt>
                <c:pt idx="2">
                  <c:v>28720</c:v>
                </c:pt>
                <c:pt idx="3">
                  <c:v>27020</c:v>
                </c:pt>
                <c:pt idx="4">
                  <c:v>54000</c:v>
                </c:pt>
                <c:pt idx="5">
                  <c:v>35000</c:v>
                </c:pt>
                <c:pt idx="6">
                  <c:v>31500</c:v>
                </c:pt>
                <c:pt idx="7">
                  <c:v>29780</c:v>
                </c:pt>
                <c:pt idx="8">
                  <c:v>29900</c:v>
                </c:pt>
                <c:pt idx="9">
                  <c:v>21658</c:v>
                </c:pt>
                <c:pt idx="10">
                  <c:v>37200</c:v>
                </c:pt>
                <c:pt idx="11">
                  <c:v>67057</c:v>
                </c:pt>
              </c:numCache>
            </c:numRef>
          </c:val>
          <c:extLst>
            <c:ext xmlns:c16="http://schemas.microsoft.com/office/drawing/2014/chart" uri="{C3380CC4-5D6E-409C-BE32-E72D297353CC}">
              <c16:uniqueId val="{00000000-EB9A-4AF1-9A23-1E864C40CA4A}"/>
            </c:ext>
          </c:extLst>
        </c:ser>
        <c:dLbls>
          <c:showLegendKey val="0"/>
          <c:showVal val="0"/>
          <c:showCatName val="0"/>
          <c:showSerName val="0"/>
          <c:showPercent val="0"/>
          <c:showBubbleSize val="0"/>
        </c:dLbls>
        <c:gapWidth val="100"/>
        <c:overlap val="-24"/>
        <c:axId val="1033177104"/>
        <c:axId val="1033173576"/>
      </c:barChart>
      <c:dateAx>
        <c:axId val="1033177104"/>
        <c:scaling>
          <c:orientation val="minMax"/>
        </c:scaling>
        <c:delete val="0"/>
        <c:axPos val="b"/>
        <c:numFmt formatCode="mm\-yyyy" sourceLinked="0"/>
        <c:majorTickMark val="out"/>
        <c:minorTickMark val="none"/>
        <c:tickLblPos val="nextTo"/>
        <c:spPr>
          <a:noFill/>
          <a:ln w="12700" cap="flat" cmpd="sng" algn="ctr">
            <a:solidFill>
              <a:schemeClr val="lt1">
                <a:lumMod val="95000"/>
                <a:alpha val="54000"/>
              </a:schemeClr>
            </a:solidFill>
            <a:round/>
          </a:ln>
          <a:effectLst/>
        </c:spPr>
        <c:txPr>
          <a:bodyPr rot="-540000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033173576"/>
        <c:crosses val="autoZero"/>
        <c:auto val="1"/>
        <c:lblOffset val="100"/>
        <c:baseTimeUnit val="months"/>
        <c:majorUnit val="1"/>
        <c:majorTimeUnit val="months"/>
        <c:minorUnit val="1"/>
        <c:minorTimeUnit val="months"/>
      </c:dateAx>
      <c:valAx>
        <c:axId val="1033173576"/>
        <c:scaling>
          <c:orientation val="minMax"/>
        </c:scaling>
        <c:delete val="0"/>
        <c:axPos val="l"/>
        <c:majorGridlines>
          <c:spPr>
            <a:ln w="9525" cap="flat" cmpd="sng" algn="ctr">
              <a:solidFill>
                <a:schemeClr val="lt1">
                  <a:lumMod val="95000"/>
                  <a:alpha val="10000"/>
                </a:schemeClr>
              </a:solidFill>
              <a:round/>
            </a:ln>
            <a:effectLst/>
          </c:spPr>
        </c:majorGridlines>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033177104"/>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alignWithMargins="0">
      <c:oddFooter>Page &amp;P of &amp;N</c:oddFooter>
    </c:headerFooter>
    <c:pageMargins b="1" l="0.75" r="0.75" t="1" header="0.5" footer="0.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ZA" sz="1200"/>
              <a:t> Monthly Receipts       </a:t>
            </a:r>
          </a:p>
        </c:rich>
      </c:tx>
      <c:layout>
        <c:manualLayout>
          <c:xMode val="edge"/>
          <c:yMode val="edge"/>
          <c:x val="0.37636401813409687"/>
          <c:y val="2.553191489361702E-2"/>
        </c:manualLayout>
      </c:layout>
      <c:overlay val="0"/>
      <c:spPr>
        <a:noFill/>
        <a:ln>
          <a:noFill/>
        </a:ln>
        <a:effectLst/>
      </c:spPr>
      <c:txPr>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8.7272804752134905E-2"/>
          <c:y val="8.9361887803124596E-2"/>
          <c:w val="0.88545533154770206"/>
          <c:h val="0.68085247849999686"/>
        </c:manualLayout>
      </c:layout>
      <c:barChart>
        <c:barDir val="col"/>
        <c:grouping val="clustered"/>
        <c:varyColors val="0"/>
        <c:ser>
          <c:idx val="0"/>
          <c:order val="0"/>
          <c:tx>
            <c:strRef>
              <c:f>Monthly!$C$6</c:f>
              <c:strCache>
                <c:ptCount val="1"/>
                <c:pt idx="0">
                  <c:v> Receipts </c:v>
                </c:pt>
              </c:strCache>
            </c:strRef>
          </c:tx>
          <c:spPr>
            <a:solidFill>
              <a:schemeClr val="accent1"/>
            </a:solidFill>
            <a:ln>
              <a:noFill/>
            </a:ln>
            <a:effectLst>
              <a:innerShdw blurRad="63500" dist="25400" dir="13500000">
                <a:srgbClr val="000000">
                  <a:alpha val="75000"/>
                </a:srgbClr>
              </a:innerShdw>
            </a:effectLst>
          </c:spPr>
          <c:invertIfNegative val="0"/>
          <c:cat>
            <c:numRef>
              <c:f>Monthly!$A$7:$A$18</c:f>
              <c:numCache>
                <c:formatCode>mmmm\-yyyy</c:formatCode>
                <c:ptCount val="12"/>
                <c:pt idx="0">
                  <c:v>43921</c:v>
                </c:pt>
                <c:pt idx="1">
                  <c:v>43951</c:v>
                </c:pt>
                <c:pt idx="2">
                  <c:v>43982</c:v>
                </c:pt>
                <c:pt idx="3">
                  <c:v>44012</c:v>
                </c:pt>
                <c:pt idx="4">
                  <c:v>44043</c:v>
                </c:pt>
                <c:pt idx="5">
                  <c:v>44074</c:v>
                </c:pt>
                <c:pt idx="6">
                  <c:v>44104</c:v>
                </c:pt>
                <c:pt idx="7">
                  <c:v>44135</c:v>
                </c:pt>
                <c:pt idx="8">
                  <c:v>44165</c:v>
                </c:pt>
                <c:pt idx="9">
                  <c:v>44196</c:v>
                </c:pt>
                <c:pt idx="10">
                  <c:v>44227</c:v>
                </c:pt>
                <c:pt idx="11">
                  <c:v>44255</c:v>
                </c:pt>
              </c:numCache>
            </c:numRef>
          </c:cat>
          <c:val>
            <c:numRef>
              <c:f>Monthly!$C$7:$C$18</c:f>
              <c:numCache>
                <c:formatCode>_(* #,##0.00_);_(* \(#,##0.00\);_(* "-"??_);_(@_)</c:formatCode>
                <c:ptCount val="12"/>
                <c:pt idx="0">
                  <c:v>0</c:v>
                </c:pt>
                <c:pt idx="1">
                  <c:v>26200</c:v>
                </c:pt>
                <c:pt idx="2">
                  <c:v>52338</c:v>
                </c:pt>
                <c:pt idx="3">
                  <c:v>33220</c:v>
                </c:pt>
                <c:pt idx="4">
                  <c:v>22520</c:v>
                </c:pt>
                <c:pt idx="5">
                  <c:v>77000</c:v>
                </c:pt>
                <c:pt idx="6">
                  <c:v>30000</c:v>
                </c:pt>
                <c:pt idx="7">
                  <c:v>19850</c:v>
                </c:pt>
                <c:pt idx="8">
                  <c:v>38430</c:v>
                </c:pt>
                <c:pt idx="9">
                  <c:v>14900</c:v>
                </c:pt>
                <c:pt idx="10">
                  <c:v>31490</c:v>
                </c:pt>
                <c:pt idx="11">
                  <c:v>59617</c:v>
                </c:pt>
              </c:numCache>
            </c:numRef>
          </c:val>
          <c:extLst>
            <c:ext xmlns:c16="http://schemas.microsoft.com/office/drawing/2014/chart" uri="{C3380CC4-5D6E-409C-BE32-E72D297353CC}">
              <c16:uniqueId val="{00000000-E700-44E6-9660-0650BA0BD1B6}"/>
            </c:ext>
          </c:extLst>
        </c:ser>
        <c:dLbls>
          <c:showLegendKey val="0"/>
          <c:showVal val="0"/>
          <c:showCatName val="0"/>
          <c:showSerName val="0"/>
          <c:showPercent val="0"/>
          <c:showBubbleSize val="0"/>
        </c:dLbls>
        <c:gapWidth val="100"/>
        <c:overlap val="-24"/>
        <c:axId val="1033177496"/>
        <c:axId val="1033175144"/>
      </c:barChart>
      <c:dateAx>
        <c:axId val="1033177496"/>
        <c:scaling>
          <c:orientation val="minMax"/>
        </c:scaling>
        <c:delete val="0"/>
        <c:axPos val="b"/>
        <c:numFmt formatCode="mm\-yyyy" sourceLinked="0"/>
        <c:majorTickMark val="out"/>
        <c:minorTickMark val="none"/>
        <c:tickLblPos val="nextTo"/>
        <c:spPr>
          <a:noFill/>
          <a:ln w="12700" cap="flat" cmpd="sng" algn="ctr">
            <a:solidFill>
              <a:schemeClr val="lt1">
                <a:lumMod val="95000"/>
                <a:alpha val="54000"/>
              </a:schemeClr>
            </a:solidFill>
            <a:round/>
          </a:ln>
          <a:effectLst/>
        </c:spPr>
        <c:txPr>
          <a:bodyPr rot="-540000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033175144"/>
        <c:crosses val="autoZero"/>
        <c:auto val="1"/>
        <c:lblOffset val="100"/>
        <c:baseTimeUnit val="months"/>
        <c:majorUnit val="1"/>
        <c:majorTimeUnit val="months"/>
        <c:minorUnit val="1"/>
        <c:minorTimeUnit val="months"/>
      </c:dateAx>
      <c:valAx>
        <c:axId val="1033175144"/>
        <c:scaling>
          <c:orientation val="minMax"/>
        </c:scaling>
        <c:delete val="0"/>
        <c:axPos val="l"/>
        <c:majorGridlines>
          <c:spPr>
            <a:ln w="9525" cap="flat" cmpd="sng" algn="ctr">
              <a:solidFill>
                <a:schemeClr val="lt1">
                  <a:lumMod val="95000"/>
                  <a:alpha val="10000"/>
                </a:schemeClr>
              </a:solidFill>
              <a:round/>
            </a:ln>
            <a:effectLst/>
          </c:spPr>
        </c:majorGridlines>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033177496"/>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ZA" sz="1200"/>
              <a:t> Monthly Debtors       </a:t>
            </a:r>
          </a:p>
        </c:rich>
      </c:tx>
      <c:layout>
        <c:manualLayout>
          <c:xMode val="edge"/>
          <c:yMode val="edge"/>
          <c:x val="0.3818185635886423"/>
          <c:y val="2.564102564102564E-2"/>
        </c:manualLayout>
      </c:layout>
      <c:overlay val="0"/>
      <c:spPr>
        <a:noFill/>
        <a:ln>
          <a:noFill/>
        </a:ln>
        <a:effectLst/>
      </c:spPr>
      <c:txPr>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8.7272804752134905E-2"/>
          <c:y val="8.9743964276026128E-2"/>
          <c:w val="0.88545533154770206"/>
          <c:h val="0.6794900152327692"/>
        </c:manualLayout>
      </c:layout>
      <c:barChart>
        <c:barDir val="col"/>
        <c:grouping val="clustered"/>
        <c:varyColors val="0"/>
        <c:ser>
          <c:idx val="0"/>
          <c:order val="0"/>
          <c:tx>
            <c:strRef>
              <c:f>Monthly!$D$6</c:f>
              <c:strCache>
                <c:ptCount val="1"/>
                <c:pt idx="0">
                  <c:v> Debtors </c:v>
                </c:pt>
              </c:strCache>
            </c:strRef>
          </c:tx>
          <c:spPr>
            <a:solidFill>
              <a:schemeClr val="accent1"/>
            </a:solidFill>
            <a:ln>
              <a:noFill/>
            </a:ln>
            <a:effectLst>
              <a:innerShdw blurRad="63500" dist="25400" dir="13500000">
                <a:srgbClr val="000000">
                  <a:alpha val="75000"/>
                </a:srgbClr>
              </a:innerShdw>
            </a:effectLst>
          </c:spPr>
          <c:invertIfNegative val="0"/>
          <c:cat>
            <c:numRef>
              <c:f>Monthly!$A$7:$A$18</c:f>
              <c:numCache>
                <c:formatCode>mmmm\-yyyy</c:formatCode>
                <c:ptCount val="12"/>
                <c:pt idx="0">
                  <c:v>43921</c:v>
                </c:pt>
                <c:pt idx="1">
                  <c:v>43951</c:v>
                </c:pt>
                <c:pt idx="2">
                  <c:v>43982</c:v>
                </c:pt>
                <c:pt idx="3">
                  <c:v>44012</c:v>
                </c:pt>
                <c:pt idx="4">
                  <c:v>44043</c:v>
                </c:pt>
                <c:pt idx="5">
                  <c:v>44074</c:v>
                </c:pt>
                <c:pt idx="6">
                  <c:v>44104</c:v>
                </c:pt>
                <c:pt idx="7">
                  <c:v>44135</c:v>
                </c:pt>
                <c:pt idx="8">
                  <c:v>44165</c:v>
                </c:pt>
                <c:pt idx="9">
                  <c:v>44196</c:v>
                </c:pt>
                <c:pt idx="10">
                  <c:v>44227</c:v>
                </c:pt>
                <c:pt idx="11">
                  <c:v>44255</c:v>
                </c:pt>
              </c:numCache>
            </c:numRef>
          </c:cat>
          <c:val>
            <c:numRef>
              <c:f>Monthly!$D$7:$D$18</c:f>
              <c:numCache>
                <c:formatCode>_(* #,##0.00_);_(* \(#,##0.00\);_(* "-"??_);_(@_)</c:formatCode>
                <c:ptCount val="12"/>
                <c:pt idx="0">
                  <c:v>19350</c:v>
                </c:pt>
                <c:pt idx="1">
                  <c:v>60488</c:v>
                </c:pt>
                <c:pt idx="2">
                  <c:v>36870</c:v>
                </c:pt>
                <c:pt idx="3">
                  <c:v>30670</c:v>
                </c:pt>
                <c:pt idx="4">
                  <c:v>62150</c:v>
                </c:pt>
                <c:pt idx="5">
                  <c:v>20150</c:v>
                </c:pt>
                <c:pt idx="6">
                  <c:v>21650</c:v>
                </c:pt>
                <c:pt idx="7">
                  <c:v>31580</c:v>
                </c:pt>
                <c:pt idx="8">
                  <c:v>23050</c:v>
                </c:pt>
                <c:pt idx="9">
                  <c:v>29808</c:v>
                </c:pt>
                <c:pt idx="10">
                  <c:v>35518</c:v>
                </c:pt>
                <c:pt idx="11">
                  <c:v>42958</c:v>
                </c:pt>
              </c:numCache>
            </c:numRef>
          </c:val>
          <c:extLst>
            <c:ext xmlns:c16="http://schemas.microsoft.com/office/drawing/2014/chart" uri="{C3380CC4-5D6E-409C-BE32-E72D297353CC}">
              <c16:uniqueId val="{00000000-0C6F-45DF-A1E3-D6A9AA8EE0B1}"/>
            </c:ext>
          </c:extLst>
        </c:ser>
        <c:dLbls>
          <c:showLegendKey val="0"/>
          <c:showVal val="0"/>
          <c:showCatName val="0"/>
          <c:showSerName val="0"/>
          <c:showPercent val="0"/>
          <c:showBubbleSize val="0"/>
        </c:dLbls>
        <c:gapWidth val="100"/>
        <c:overlap val="-24"/>
        <c:axId val="1033178672"/>
        <c:axId val="1603600920"/>
      </c:barChart>
      <c:dateAx>
        <c:axId val="1033178672"/>
        <c:scaling>
          <c:orientation val="minMax"/>
        </c:scaling>
        <c:delete val="0"/>
        <c:axPos val="b"/>
        <c:numFmt formatCode="mm\-yyyy" sourceLinked="0"/>
        <c:majorTickMark val="out"/>
        <c:minorTickMark val="none"/>
        <c:tickLblPos val="nextTo"/>
        <c:spPr>
          <a:noFill/>
          <a:ln w="12700" cap="flat" cmpd="sng" algn="ctr">
            <a:solidFill>
              <a:schemeClr val="lt1">
                <a:lumMod val="95000"/>
                <a:alpha val="54000"/>
              </a:schemeClr>
            </a:solidFill>
            <a:round/>
          </a:ln>
          <a:effectLst/>
        </c:spPr>
        <c:txPr>
          <a:bodyPr rot="-540000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603600920"/>
        <c:crosses val="autoZero"/>
        <c:auto val="1"/>
        <c:lblOffset val="100"/>
        <c:baseTimeUnit val="months"/>
        <c:majorUnit val="1"/>
        <c:majorTimeUnit val="months"/>
        <c:minorUnit val="1"/>
        <c:minorTimeUnit val="months"/>
      </c:dateAx>
      <c:valAx>
        <c:axId val="1603600920"/>
        <c:scaling>
          <c:orientation val="minMax"/>
        </c:scaling>
        <c:delete val="0"/>
        <c:axPos val="l"/>
        <c:majorGridlines>
          <c:spPr>
            <a:ln w="9525" cap="flat" cmpd="sng" algn="ctr">
              <a:solidFill>
                <a:schemeClr val="lt1">
                  <a:lumMod val="95000"/>
                  <a:alpha val="10000"/>
                </a:schemeClr>
              </a:solidFill>
              <a:round/>
            </a:ln>
            <a:effectLst/>
          </c:spPr>
        </c:majorGridlines>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033178672"/>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alignWithMargins="0"/>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ZA" sz="1200"/>
              <a:t> Age Analysis       </a:t>
            </a:r>
          </a:p>
        </c:rich>
      </c:tx>
      <c:layout>
        <c:manualLayout>
          <c:xMode val="edge"/>
          <c:yMode val="edge"/>
          <c:x val="0.41839176999426791"/>
          <c:y val="2.3041474654377881E-2"/>
        </c:manualLayout>
      </c:layout>
      <c:overlay val="0"/>
      <c:spPr>
        <a:noFill/>
        <a:ln>
          <a:noFill/>
        </a:ln>
        <a:effectLst/>
      </c:spPr>
      <c:txPr>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0.1287359211923518"/>
          <c:y val="7.8341190103844383E-2"/>
          <c:w val="0.84597891069259767"/>
          <c:h val="0.61751291023030275"/>
        </c:manualLayout>
      </c:layout>
      <c:barChart>
        <c:barDir val="col"/>
        <c:grouping val="clustered"/>
        <c:varyColors val="0"/>
        <c:ser>
          <c:idx val="0"/>
          <c:order val="0"/>
          <c:tx>
            <c:strRef>
              <c:f>ChartInfo!$B$6</c:f>
              <c:strCache>
                <c:ptCount val="1"/>
                <c:pt idx="0">
                  <c:v> Balance </c:v>
                </c:pt>
              </c:strCache>
            </c:strRef>
          </c:tx>
          <c:spPr>
            <a:solidFill>
              <a:schemeClr val="accent1"/>
            </a:solidFill>
            <a:ln>
              <a:noFill/>
            </a:ln>
            <a:effectLst>
              <a:innerShdw blurRad="63500" dist="25400" dir="13500000">
                <a:srgbClr val="000000">
                  <a:alpha val="75000"/>
                </a:srgbClr>
              </a:innerShdw>
            </a:effectLst>
          </c:spPr>
          <c:invertIfNegative val="0"/>
          <c:cat>
            <c:strRef>
              <c:f>ChartInfo!$A$7:$A$19</c:f>
              <c:strCache>
                <c:ptCount val="13"/>
                <c:pt idx="0">
                  <c:v>Current</c:v>
                </c:pt>
                <c:pt idx="1">
                  <c:v>30 Days</c:v>
                </c:pt>
                <c:pt idx="2">
                  <c:v>60 Days</c:v>
                </c:pt>
                <c:pt idx="3">
                  <c:v>90 Days</c:v>
                </c:pt>
                <c:pt idx="4">
                  <c:v>120 Days</c:v>
                </c:pt>
                <c:pt idx="5">
                  <c:v>150 Days</c:v>
                </c:pt>
                <c:pt idx="6">
                  <c:v>180 Days</c:v>
                </c:pt>
                <c:pt idx="7">
                  <c:v>210 Days</c:v>
                </c:pt>
                <c:pt idx="8">
                  <c:v>240 Days</c:v>
                </c:pt>
                <c:pt idx="9">
                  <c:v>270 Days</c:v>
                </c:pt>
                <c:pt idx="10">
                  <c:v>300 Days</c:v>
                </c:pt>
                <c:pt idx="11">
                  <c:v>330 Days</c:v>
                </c:pt>
                <c:pt idx="12">
                  <c:v>360+ Days</c:v>
                </c:pt>
              </c:strCache>
            </c:strRef>
          </c:cat>
          <c:val>
            <c:numRef>
              <c:f>ChartInfo!$B$7:$B$19</c:f>
              <c:numCache>
                <c:formatCode>_(* #,##0.00_);_(* \(#,##0.00\);_(* "-"??_);_(@_)</c:formatCode>
                <c:ptCount val="13"/>
                <c:pt idx="0">
                  <c:v>26640</c:v>
                </c:pt>
                <c:pt idx="1">
                  <c:v>0</c:v>
                </c:pt>
                <c:pt idx="2">
                  <c:v>8168</c:v>
                </c:pt>
                <c:pt idx="3">
                  <c:v>0</c:v>
                </c:pt>
                <c:pt idx="4">
                  <c:v>0</c:v>
                </c:pt>
                <c:pt idx="5">
                  <c:v>0</c:v>
                </c:pt>
                <c:pt idx="6">
                  <c:v>0</c:v>
                </c:pt>
                <c:pt idx="7">
                  <c:v>0</c:v>
                </c:pt>
                <c:pt idx="8">
                  <c:v>0</c:v>
                </c:pt>
                <c:pt idx="9">
                  <c:v>0</c:v>
                </c:pt>
                <c:pt idx="10">
                  <c:v>0</c:v>
                </c:pt>
                <c:pt idx="11">
                  <c:v>8150</c:v>
                </c:pt>
                <c:pt idx="12">
                  <c:v>0</c:v>
                </c:pt>
              </c:numCache>
            </c:numRef>
          </c:val>
          <c:extLst>
            <c:ext xmlns:c16="http://schemas.microsoft.com/office/drawing/2014/chart" uri="{C3380CC4-5D6E-409C-BE32-E72D297353CC}">
              <c16:uniqueId val="{00000000-2855-4A90-89FC-5A109B245A92}"/>
            </c:ext>
          </c:extLst>
        </c:ser>
        <c:dLbls>
          <c:showLegendKey val="0"/>
          <c:showVal val="0"/>
          <c:showCatName val="0"/>
          <c:showSerName val="0"/>
          <c:showPercent val="0"/>
          <c:showBubbleSize val="0"/>
        </c:dLbls>
        <c:gapWidth val="100"/>
        <c:overlap val="-24"/>
        <c:axId val="1603598960"/>
        <c:axId val="1603600136"/>
      </c:barChart>
      <c:catAx>
        <c:axId val="1603598960"/>
        <c:scaling>
          <c:orientation val="minMax"/>
        </c:scaling>
        <c:delete val="0"/>
        <c:axPos val="b"/>
        <c:numFmt formatCode="[$-F800]dddd\,\ mmmm\ dd\,\ yyyy" sourceLinked="0"/>
        <c:majorTickMark val="none"/>
        <c:minorTickMark val="none"/>
        <c:tickLblPos val="nextTo"/>
        <c:spPr>
          <a:noFill/>
          <a:ln w="12700" cap="flat" cmpd="sng" algn="ctr">
            <a:solidFill>
              <a:schemeClr val="lt1">
                <a:lumMod val="95000"/>
                <a:alpha val="54000"/>
              </a:schemeClr>
            </a:solidFill>
            <a:round/>
          </a:ln>
          <a:effectLst/>
        </c:spPr>
        <c:txPr>
          <a:bodyPr rot="-540000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603600136"/>
        <c:crosses val="autoZero"/>
        <c:auto val="1"/>
        <c:lblAlgn val="ctr"/>
        <c:lblOffset val="100"/>
        <c:tickLblSkip val="1"/>
        <c:tickMarkSkip val="1"/>
        <c:noMultiLvlLbl val="0"/>
      </c:catAx>
      <c:valAx>
        <c:axId val="1603600136"/>
        <c:scaling>
          <c:orientation val="minMax"/>
        </c:scaling>
        <c:delete val="0"/>
        <c:axPos val="l"/>
        <c:majorGridlines>
          <c:spPr>
            <a:ln w="9525" cap="flat" cmpd="sng" algn="ctr">
              <a:solidFill>
                <a:schemeClr val="lt1">
                  <a:lumMod val="95000"/>
                  <a:alpha val="10000"/>
                </a:schemeClr>
              </a:solidFill>
              <a:round/>
            </a:ln>
            <a:effectLst/>
          </c:spPr>
        </c:majorGridlines>
        <c:numFmt formatCode="_(* #,##0_);_(* \(#,##0\);_(* &quot;-&quot;??_);_(@_)"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603598960"/>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alignWithMargins="0"/>
    <c:pageMargins b="1" l="0.75" r="0.75" t="1" header="0.5" footer="0.5"/>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ZA" sz="1200"/>
              <a:t> Sales / Balance History       </a:t>
            </a:r>
          </a:p>
        </c:rich>
      </c:tx>
      <c:layout>
        <c:manualLayout>
          <c:xMode val="edge"/>
          <c:yMode val="edge"/>
          <c:x val="0.26206944821552475"/>
          <c:y val="2.2321428571428572E-2"/>
        </c:manualLayout>
      </c:layout>
      <c:overlay val="0"/>
      <c:spPr>
        <a:noFill/>
        <a:ln>
          <a:noFill/>
        </a:ln>
        <a:effectLst/>
      </c:spPr>
      <c:txPr>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0.1287359211923518"/>
          <c:y val="6.6964285714285712E-2"/>
          <c:w val="0.83908234348586452"/>
          <c:h val="0.6919642857142857"/>
        </c:manualLayout>
      </c:layout>
      <c:barChart>
        <c:barDir val="col"/>
        <c:grouping val="clustered"/>
        <c:varyColors val="0"/>
        <c:ser>
          <c:idx val="0"/>
          <c:order val="0"/>
          <c:tx>
            <c:strRef>
              <c:f>ChartInfo!$E$6</c:f>
              <c:strCache>
                <c:ptCount val="1"/>
                <c:pt idx="0">
                  <c:v> Sales </c:v>
                </c:pt>
              </c:strCache>
            </c:strRef>
          </c:tx>
          <c:spPr>
            <a:solidFill>
              <a:schemeClr val="accent1"/>
            </a:solidFill>
            <a:ln>
              <a:noFill/>
            </a:ln>
            <a:effectLst>
              <a:innerShdw blurRad="63500" dist="25400" dir="13500000">
                <a:srgbClr val="000000">
                  <a:alpha val="75000"/>
                </a:srgbClr>
              </a:innerShdw>
            </a:effectLst>
          </c:spPr>
          <c:invertIfNegative val="0"/>
          <c:cat>
            <c:numRef>
              <c:f>ChartInfo!$D$7:$D$18</c:f>
              <c:numCache>
                <c:formatCode>mm\-yyyy</c:formatCode>
                <c:ptCount val="12"/>
                <c:pt idx="0">
                  <c:v>44255</c:v>
                </c:pt>
                <c:pt idx="1">
                  <c:v>44227</c:v>
                </c:pt>
                <c:pt idx="2">
                  <c:v>44196</c:v>
                </c:pt>
                <c:pt idx="3">
                  <c:v>44165</c:v>
                </c:pt>
                <c:pt idx="4">
                  <c:v>44135</c:v>
                </c:pt>
                <c:pt idx="5">
                  <c:v>44104</c:v>
                </c:pt>
                <c:pt idx="6">
                  <c:v>44074</c:v>
                </c:pt>
                <c:pt idx="7">
                  <c:v>44043</c:v>
                </c:pt>
                <c:pt idx="8">
                  <c:v>44012</c:v>
                </c:pt>
                <c:pt idx="9">
                  <c:v>43982</c:v>
                </c:pt>
                <c:pt idx="10">
                  <c:v>43951</c:v>
                </c:pt>
                <c:pt idx="11">
                  <c:v>43921</c:v>
                </c:pt>
              </c:numCache>
            </c:numRef>
          </c:cat>
          <c:val>
            <c:numRef>
              <c:f>ChartInfo!$E$7:$E$18</c:f>
              <c:numCache>
                <c:formatCode>_(* #,##0.00_);_(* \(#,##0.00\);_(* "-"??_);_(@_)</c:formatCode>
                <c:ptCount val="12"/>
                <c:pt idx="0">
                  <c:v>67057</c:v>
                </c:pt>
                <c:pt idx="1">
                  <c:v>37200</c:v>
                </c:pt>
                <c:pt idx="2">
                  <c:v>21658</c:v>
                </c:pt>
                <c:pt idx="3">
                  <c:v>29900</c:v>
                </c:pt>
                <c:pt idx="4">
                  <c:v>29780</c:v>
                </c:pt>
                <c:pt idx="5">
                  <c:v>31500</c:v>
                </c:pt>
                <c:pt idx="6">
                  <c:v>35000</c:v>
                </c:pt>
                <c:pt idx="7">
                  <c:v>54000</c:v>
                </c:pt>
                <c:pt idx="8">
                  <c:v>27020</c:v>
                </c:pt>
                <c:pt idx="9">
                  <c:v>28720</c:v>
                </c:pt>
                <c:pt idx="10">
                  <c:v>67338</c:v>
                </c:pt>
                <c:pt idx="11">
                  <c:v>19350</c:v>
                </c:pt>
              </c:numCache>
            </c:numRef>
          </c:val>
          <c:extLst>
            <c:ext xmlns:c16="http://schemas.microsoft.com/office/drawing/2014/chart" uri="{C3380CC4-5D6E-409C-BE32-E72D297353CC}">
              <c16:uniqueId val="{00000000-7B8C-455A-90B0-6B5DEC81A275}"/>
            </c:ext>
          </c:extLst>
        </c:ser>
        <c:dLbls>
          <c:showLegendKey val="0"/>
          <c:showVal val="0"/>
          <c:showCatName val="0"/>
          <c:showSerName val="0"/>
          <c:showPercent val="0"/>
          <c:showBubbleSize val="0"/>
        </c:dLbls>
        <c:gapWidth val="100"/>
        <c:axId val="1603601312"/>
        <c:axId val="1603598176"/>
      </c:barChart>
      <c:lineChart>
        <c:grouping val="stacked"/>
        <c:varyColors val="0"/>
        <c:ser>
          <c:idx val="1"/>
          <c:order val="1"/>
          <c:tx>
            <c:strRef>
              <c:f>ChartInfo!$F$6</c:f>
              <c:strCache>
                <c:ptCount val="1"/>
                <c:pt idx="0">
                  <c:v> Balance  </c:v>
                </c:pt>
              </c:strCache>
            </c:strRef>
          </c:tx>
          <c:spPr>
            <a:ln w="34925" cap="rnd">
              <a:solidFill>
                <a:schemeClr val="accent2"/>
              </a:solidFill>
              <a:round/>
            </a:ln>
            <a:effectLst>
              <a:innerShdw blurRad="63500" dist="25400" dir="13500000">
                <a:srgbClr val="000000">
                  <a:alpha val="75000"/>
                </a:srgbClr>
              </a:innerShdw>
            </a:effectLst>
          </c:spPr>
          <c:marker>
            <c:symbol val="none"/>
          </c:marker>
          <c:cat>
            <c:numRef>
              <c:f>ChartInfo!$D$7:$D$18</c:f>
              <c:numCache>
                <c:formatCode>mm\-yyyy</c:formatCode>
                <c:ptCount val="12"/>
                <c:pt idx="0">
                  <c:v>44255</c:v>
                </c:pt>
                <c:pt idx="1">
                  <c:v>44227</c:v>
                </c:pt>
                <c:pt idx="2">
                  <c:v>44196</c:v>
                </c:pt>
                <c:pt idx="3">
                  <c:v>44165</c:v>
                </c:pt>
                <c:pt idx="4">
                  <c:v>44135</c:v>
                </c:pt>
                <c:pt idx="5">
                  <c:v>44104</c:v>
                </c:pt>
                <c:pt idx="6">
                  <c:v>44074</c:v>
                </c:pt>
                <c:pt idx="7">
                  <c:v>44043</c:v>
                </c:pt>
                <c:pt idx="8">
                  <c:v>44012</c:v>
                </c:pt>
                <c:pt idx="9">
                  <c:v>43982</c:v>
                </c:pt>
                <c:pt idx="10">
                  <c:v>43951</c:v>
                </c:pt>
                <c:pt idx="11">
                  <c:v>43921</c:v>
                </c:pt>
              </c:numCache>
            </c:numRef>
          </c:cat>
          <c:val>
            <c:numRef>
              <c:f>ChartInfo!$F$7:$F$18</c:f>
              <c:numCache>
                <c:formatCode>_(* #,##0.00_);_(* \(#,##0.00\);_(* "-"??_);_(@_)</c:formatCode>
                <c:ptCount val="12"/>
                <c:pt idx="0">
                  <c:v>42958</c:v>
                </c:pt>
                <c:pt idx="1">
                  <c:v>35518</c:v>
                </c:pt>
                <c:pt idx="2">
                  <c:v>29808</c:v>
                </c:pt>
                <c:pt idx="3">
                  <c:v>23050</c:v>
                </c:pt>
                <c:pt idx="4">
                  <c:v>31580</c:v>
                </c:pt>
                <c:pt idx="5">
                  <c:v>21650</c:v>
                </c:pt>
                <c:pt idx="6">
                  <c:v>20150</c:v>
                </c:pt>
                <c:pt idx="7">
                  <c:v>62150</c:v>
                </c:pt>
                <c:pt idx="8">
                  <c:v>30670</c:v>
                </c:pt>
                <c:pt idx="9">
                  <c:v>36870</c:v>
                </c:pt>
                <c:pt idx="10">
                  <c:v>60488</c:v>
                </c:pt>
                <c:pt idx="11">
                  <c:v>19350</c:v>
                </c:pt>
              </c:numCache>
            </c:numRef>
          </c:val>
          <c:smooth val="1"/>
          <c:extLst>
            <c:ext xmlns:c16="http://schemas.microsoft.com/office/drawing/2014/chart" uri="{C3380CC4-5D6E-409C-BE32-E72D297353CC}">
              <c16:uniqueId val="{00000001-7B8C-455A-90B0-6B5DEC81A275}"/>
            </c:ext>
          </c:extLst>
        </c:ser>
        <c:dLbls>
          <c:showLegendKey val="0"/>
          <c:showVal val="0"/>
          <c:showCatName val="0"/>
          <c:showSerName val="0"/>
          <c:showPercent val="0"/>
          <c:showBubbleSize val="0"/>
        </c:dLbls>
        <c:marker val="1"/>
        <c:smooth val="0"/>
        <c:axId val="1603601312"/>
        <c:axId val="1603598176"/>
      </c:lineChart>
      <c:dateAx>
        <c:axId val="1603601312"/>
        <c:scaling>
          <c:orientation val="maxMin"/>
        </c:scaling>
        <c:delete val="0"/>
        <c:axPos val="b"/>
        <c:numFmt formatCode="mm\-yyyy" sourceLinked="0"/>
        <c:majorTickMark val="out"/>
        <c:minorTickMark val="none"/>
        <c:tickLblPos val="nextTo"/>
        <c:spPr>
          <a:noFill/>
          <a:ln w="12700" cap="flat" cmpd="sng" algn="ctr">
            <a:solidFill>
              <a:schemeClr val="lt1">
                <a:lumMod val="95000"/>
                <a:alpha val="54000"/>
              </a:schemeClr>
            </a:solidFill>
            <a:round/>
          </a:ln>
          <a:effectLst/>
        </c:spPr>
        <c:txPr>
          <a:bodyPr rot="-540000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603598176"/>
        <c:crosses val="autoZero"/>
        <c:auto val="1"/>
        <c:lblOffset val="100"/>
        <c:baseTimeUnit val="months"/>
        <c:majorUnit val="1"/>
        <c:majorTimeUnit val="months"/>
        <c:minorUnit val="1"/>
        <c:minorTimeUnit val="months"/>
      </c:dateAx>
      <c:valAx>
        <c:axId val="1603598176"/>
        <c:scaling>
          <c:orientation val="minMax"/>
          <c:min val="0"/>
        </c:scaling>
        <c:delete val="0"/>
        <c:axPos val="l"/>
        <c:majorGridlines>
          <c:spPr>
            <a:ln w="9525" cap="flat" cmpd="sng" algn="ctr">
              <a:solidFill>
                <a:schemeClr val="lt1">
                  <a:lumMod val="95000"/>
                  <a:alpha val="10000"/>
                </a:schemeClr>
              </a:solidFill>
              <a:round/>
            </a:ln>
            <a:effectLst/>
          </c:spPr>
        </c:majorGridlines>
        <c:numFmt formatCode="_(* #,##0_);_(* \(#,##0\);_(* &quot;-&quot;??_);_(@_)"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603601312"/>
        <c:crosses val="max"/>
        <c:crossBetween val="between"/>
      </c:valAx>
      <c:spPr>
        <a:noFill/>
        <a:ln>
          <a:noFill/>
        </a:ln>
        <a:effectLst/>
      </c:spPr>
    </c:plotArea>
    <c:legend>
      <c:legendPos val="b"/>
      <c:layout>
        <c:manualLayout>
          <c:xMode val="edge"/>
          <c:yMode val="edge"/>
          <c:x val="0.35900000360714357"/>
          <c:y val="0.11979096362954632"/>
          <c:w val="0.38583763284809236"/>
          <c:h val="0.1004471316085489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alignWithMargins="0"/>
    <c:pageMargins b="1" l="0.75" r="0.75" t="1" header="0.5" footer="0.5"/>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5.xml><?xml version="1.0" encoding="utf-8"?>
<cs:chartStyle xmlns:cs="http://schemas.microsoft.com/office/drawing/2012/chartStyle" xmlns:a="http://schemas.openxmlformats.org/drawingml/2006/main" id="32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gradFill>
        <a:gsLst>
          <a:gs pos="100000">
            <a:schemeClr val="dk1">
              <a:lumMod val="95000"/>
              <a:lumOff val="5000"/>
            </a:schemeClr>
          </a:gs>
          <a:gs pos="0">
            <a:schemeClr val="dk1">
              <a:lumMod val="75000"/>
              <a:lumOff val="25000"/>
            </a:schemeClr>
          </a:gs>
        </a:gsLst>
        <a:path path="circle">
          <a:fillToRect l="50000" t="50000" r="50000" b="50000"/>
        </a:path>
      </a:gradFill>
      <a:ln w="9525">
        <a:solidFill>
          <a:schemeClr val="dk1">
            <a:lumMod val="75000"/>
            <a:lumOff val="25000"/>
          </a:schemeClr>
        </a:solidFill>
      </a:ln>
    </cs:spPr>
  </cs:downBar>
  <cs:dropLine>
    <cs:lnRef idx="0"/>
    <cs:fillRef idx="0"/>
    <cs:effectRef idx="0"/>
    <cs:fontRef idx="minor">
      <a:schemeClr val="tx1"/>
    </cs:fontRef>
    <cs:spPr>
      <a:ln w="9525" cap="flat" cmpd="sng" algn="ctr">
        <a:solidFill>
          <a:schemeClr val="lt1"/>
        </a:solidFill>
        <a:round/>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cap="flat" cmpd="sng" algn="ctr">
        <a:solidFill>
          <a:schemeClr val="lt1"/>
        </a:solidFill>
        <a:round/>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gradFill>
        <a:gsLst>
          <a:gs pos="100000">
            <a:schemeClr val="lt1">
              <a:lumMod val="85000"/>
            </a:schemeClr>
          </a:gs>
          <a:gs pos="0">
            <a:schemeClr val="lt1"/>
          </a:gs>
        </a:gsLst>
        <a:path path="circle">
          <a:fillToRect l="50000" t="50000" r="50000" b="50000"/>
        </a:path>
      </a:gradFill>
      <a:ln w="9525" cap="flat" cmpd="sng" algn="ctr">
        <a:solidFill>
          <a:schemeClr val="lt1"/>
        </a:solidFill>
        <a:round/>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17" TargetMode="External"/></Relationships>
</file>

<file path=xl/drawings/_rels/drawing10.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invoice-template-in-excel.php" TargetMode="External"/></Relationships>
</file>

<file path=xl/drawings/drawing1.xml><?xml version="1.0" encoding="utf-8"?>
<xdr:wsDr xmlns:xdr="http://schemas.openxmlformats.org/drawingml/2006/spreadsheetDrawing" xmlns:a="http://schemas.openxmlformats.org/drawingml/2006/main">
  <xdr:twoCellAnchor>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EE65142B-EFC0-487F-B36D-F758B6F72D40}"/>
            </a:ext>
          </a:extLst>
        </xdr:cNvPr>
        <xdr:cNvGrpSpPr/>
      </xdr:nvGrpSpPr>
      <xdr:grpSpPr>
        <a:xfrm>
          <a:off x="22860" y="22860"/>
          <a:ext cx="9038640" cy="4391700"/>
          <a:chOff x="17134" y="17145"/>
          <a:chExt cx="9252000" cy="3671610"/>
        </a:xfrm>
      </xdr:grpSpPr>
      <xdr:sp macro="" textlink="" fLocksText="0">
        <xdr:nvSpPr>
          <xdr:cNvPr id="5" name="Rectangle 1">
            <a:extLst>
              <a:ext uri="{FF2B5EF4-FFF2-40B4-BE49-F238E27FC236}">
                <a16:creationId xmlns:a16="http://schemas.microsoft.com/office/drawing/2014/main" id="{83CCF292-A1A3-4838-A8C8-29B3F8F328BC}"/>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E3C7EA3B-0E1F-42D4-B8BF-8B7A70002E3D}"/>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506582A2-3975-4635-919A-D7CB929143AA}"/>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absolute">
    <xdr:from>
      <xdr:col>5</xdr:col>
      <xdr:colOff>89232</xdr:colOff>
      <xdr:row>0</xdr:row>
      <xdr:rowOff>34591</xdr:rowOff>
    </xdr:from>
    <xdr:to>
      <xdr:col>10</xdr:col>
      <xdr:colOff>475127</xdr:colOff>
      <xdr:row>11</xdr:row>
      <xdr:rowOff>96802</xdr:rowOff>
    </xdr:to>
    <xdr:graphicFrame macro="">
      <xdr:nvGraphicFramePr>
        <xdr:cNvPr id="7595" name="Chart 1">
          <a:extLst>
            <a:ext uri="{FF2B5EF4-FFF2-40B4-BE49-F238E27FC236}">
              <a16:creationId xmlns:a16="http://schemas.microsoft.com/office/drawing/2014/main" id="{00000000-0008-0000-0A00-0000AB1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5</xdr:col>
      <xdr:colOff>89233</xdr:colOff>
      <xdr:row>11</xdr:row>
      <xdr:rowOff>109789</xdr:rowOff>
    </xdr:from>
    <xdr:to>
      <xdr:col>10</xdr:col>
      <xdr:colOff>475128</xdr:colOff>
      <xdr:row>22</xdr:row>
      <xdr:rowOff>171999</xdr:rowOff>
    </xdr:to>
    <xdr:graphicFrame macro="">
      <xdr:nvGraphicFramePr>
        <xdr:cNvPr id="7596" name="Chart 4">
          <a:extLst>
            <a:ext uri="{FF2B5EF4-FFF2-40B4-BE49-F238E27FC236}">
              <a16:creationId xmlns:a16="http://schemas.microsoft.com/office/drawing/2014/main" id="{00000000-0008-0000-0A00-0000AC1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5</xdr:col>
      <xdr:colOff>89233</xdr:colOff>
      <xdr:row>22</xdr:row>
      <xdr:rowOff>189999</xdr:rowOff>
    </xdr:from>
    <xdr:to>
      <xdr:col>10</xdr:col>
      <xdr:colOff>475128</xdr:colOff>
      <xdr:row>34</xdr:row>
      <xdr:rowOff>51683</xdr:rowOff>
    </xdr:to>
    <xdr:graphicFrame macro="">
      <xdr:nvGraphicFramePr>
        <xdr:cNvPr id="7597" name="Chart 5">
          <a:extLst>
            <a:ext uri="{FF2B5EF4-FFF2-40B4-BE49-F238E27FC236}">
              <a16:creationId xmlns:a16="http://schemas.microsoft.com/office/drawing/2014/main" id="{00000000-0008-0000-0A00-0000AD1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208547</xdr:colOff>
      <xdr:row>19</xdr:row>
      <xdr:rowOff>96107</xdr:rowOff>
    </xdr:from>
    <xdr:ext cx="4924926" cy="1308261"/>
    <xdr:sp macro="" textlink="">
      <xdr:nvSpPr>
        <xdr:cNvPr id="6" name="Rectangle 17">
          <a:extLst>
            <a:ext uri="{FF2B5EF4-FFF2-40B4-BE49-F238E27FC236}">
              <a16:creationId xmlns:a16="http://schemas.microsoft.com/office/drawing/2014/main" id="{899E3B41-56EE-40F2-871A-0A0CEE7F9BFB}"/>
            </a:ext>
          </a:extLst>
        </xdr:cNvPr>
        <xdr:cNvSpPr>
          <a:spLocks noChangeArrowheads="1"/>
        </xdr:cNvSpPr>
      </xdr:nvSpPr>
      <xdr:spPr bwMode="auto">
        <a:xfrm>
          <a:off x="208547" y="3906107"/>
          <a:ext cx="4924926"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includes a 12 month review of sales, receipts and debtor balances. All the calculations on this sheet are automated and based on the start date specified in cell B4. All three charts are also automatically updated when the start date is amended.</a:t>
          </a:r>
        </a:p>
      </xdr:txBody>
    </xdr:sp>
    <xdr:clientData fLocksWithSheet="0" fPrintsWithSheet="0"/>
  </xdr:oneCellAnchor>
</xdr:wsDr>
</file>

<file path=xl/drawings/drawing11.xml><?xml version="1.0" encoding="utf-8"?>
<xdr:wsDr xmlns:xdr="http://schemas.openxmlformats.org/drawingml/2006/spreadsheetDrawing" xmlns:a="http://schemas.openxmlformats.org/drawingml/2006/main">
  <xdr:twoCellAnchor editAs="absolute">
    <xdr:from>
      <xdr:col>7</xdr:col>
      <xdr:colOff>44617</xdr:colOff>
      <xdr:row>0</xdr:row>
      <xdr:rowOff>127835</xdr:rowOff>
    </xdr:from>
    <xdr:to>
      <xdr:col>11</xdr:col>
      <xdr:colOff>785333</xdr:colOff>
      <xdr:row>11</xdr:row>
      <xdr:rowOff>190046</xdr:rowOff>
    </xdr:to>
    <xdr:graphicFrame macro="">
      <xdr:nvGraphicFramePr>
        <xdr:cNvPr id="8535" name="Chart 10">
          <a:extLst>
            <a:ext uri="{FF2B5EF4-FFF2-40B4-BE49-F238E27FC236}">
              <a16:creationId xmlns:a16="http://schemas.microsoft.com/office/drawing/2014/main" id="{00000000-0008-0000-0B00-0000572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7</xdr:col>
      <xdr:colOff>44617</xdr:colOff>
      <xdr:row>12</xdr:row>
      <xdr:rowOff>1002</xdr:rowOff>
    </xdr:from>
    <xdr:to>
      <xdr:col>11</xdr:col>
      <xdr:colOff>785333</xdr:colOff>
      <xdr:row>23</xdr:row>
      <xdr:rowOff>63213</xdr:rowOff>
    </xdr:to>
    <xdr:graphicFrame macro="">
      <xdr:nvGraphicFramePr>
        <xdr:cNvPr id="8536" name="Chart 11">
          <a:extLst>
            <a:ext uri="{FF2B5EF4-FFF2-40B4-BE49-F238E27FC236}">
              <a16:creationId xmlns:a16="http://schemas.microsoft.com/office/drawing/2014/main" id="{00000000-0008-0000-0B00-0000582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xdr:col>
      <xdr:colOff>40104</xdr:colOff>
      <xdr:row>13</xdr:row>
      <xdr:rowOff>64241</xdr:rowOff>
    </xdr:from>
    <xdr:ext cx="5831306" cy="1692982"/>
    <xdr:sp macro="" textlink="">
      <xdr:nvSpPr>
        <xdr:cNvPr id="5" name="Rectangle 17">
          <a:extLst>
            <a:ext uri="{FF2B5EF4-FFF2-40B4-BE49-F238E27FC236}">
              <a16:creationId xmlns:a16="http://schemas.microsoft.com/office/drawing/2014/main" id="{2A0441BA-05C8-455A-9462-A84372D1078C}"/>
            </a:ext>
          </a:extLst>
        </xdr:cNvPr>
        <xdr:cNvSpPr>
          <a:spLocks noChangeArrowheads="1"/>
        </xdr:cNvSpPr>
      </xdr:nvSpPr>
      <xdr:spPr bwMode="auto">
        <a:xfrm>
          <a:off x="1251283" y="2671083"/>
          <a:ext cx="5831306"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includes a 12 month age analysis and sales &amp; debtor balance history. All the calculations on this sheet are automated and based on the statement date specified in cell B4 and the customer code selected from the list box in cell B6. The age analysis can be compiled for individual customer accounts or you can compile an age analysis for all customer accounts by simply clearing the customer code from the list box in cell B6.</a:t>
          </a:r>
        </a:p>
      </xdr:txBody>
    </xdr:sp>
    <xdr:clientData fLocksWithSheet="0" fPrintsWithSheet="0"/>
  </xdr:oneCellAnchor>
</xdr:wsDr>
</file>

<file path=xl/drawings/drawing12.xml><?xml version="1.0" encoding="utf-8"?>
<xdr:wsDr xmlns:xdr="http://schemas.openxmlformats.org/drawingml/2006/spreadsheetDrawing" xmlns:a="http://schemas.openxmlformats.org/drawingml/2006/main">
  <xdr:oneCellAnchor>
    <xdr:from>
      <xdr:col>1</xdr:col>
      <xdr:colOff>1556085</xdr:colOff>
      <xdr:row>11</xdr:row>
      <xdr:rowOff>32084</xdr:rowOff>
    </xdr:from>
    <xdr:ext cx="5205663" cy="1500622"/>
    <xdr:sp macro="" textlink="">
      <xdr:nvSpPr>
        <xdr:cNvPr id="3" name="Rectangle 17">
          <a:extLst>
            <a:ext uri="{FF2B5EF4-FFF2-40B4-BE49-F238E27FC236}">
              <a16:creationId xmlns:a16="http://schemas.microsoft.com/office/drawing/2014/main" id="{A77BD225-D4B0-4D7C-BA38-34A8C38F7283}"/>
            </a:ext>
          </a:extLst>
        </xdr:cNvPr>
        <xdr:cNvSpPr>
          <a:spLocks noChangeArrowheads="1"/>
        </xdr:cNvSpPr>
      </xdr:nvSpPr>
      <xdr:spPr bwMode="auto">
        <a:xfrm>
          <a:off x="2358190" y="2269958"/>
          <a:ext cx="5205663"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includes a customer account balance and age analysis report. All the calculations on this sheet are automated. The report is compiled based on the statement date specified on the "Ageing" sheet and includes the first 20 customer accounts - you can add additional accounts by simply extending the table.</a:t>
          </a:r>
        </a:p>
      </xdr:txBody>
    </xdr:sp>
    <xdr:clientData fLocksWithSheet="0" fPrintsWithSheet="0"/>
  </xdr:one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F1C44F0E-0A20-4F12-AEB4-12B6A20AC122}"/>
            </a:ext>
          </a:extLst>
        </xdr:cNvPr>
        <xdr:cNvGrpSpPr/>
      </xdr:nvGrpSpPr>
      <xdr:grpSpPr>
        <a:xfrm>
          <a:off x="22860" y="22860"/>
          <a:ext cx="9038640" cy="4391700"/>
          <a:chOff x="17134" y="17145"/>
          <a:chExt cx="9252000" cy="3671610"/>
        </a:xfrm>
      </xdr:grpSpPr>
      <xdr:sp macro="" textlink="" fLocksText="0">
        <xdr:nvSpPr>
          <xdr:cNvPr id="5" name="Rectangle 1">
            <a:extLst>
              <a:ext uri="{FF2B5EF4-FFF2-40B4-BE49-F238E27FC236}">
                <a16:creationId xmlns:a16="http://schemas.microsoft.com/office/drawing/2014/main" id="{27A4FBC6-CB2D-4450-8406-3DAFC099F34A}"/>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INVOICE &amp; DEBTORS - SERVICE BASED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template enables users to create an automated quotation and tax invoice based on the business details, banking details, customer information and quotation &amp; invoice details that are recorded on the appropriate sheets. The template also facilitates creating automated customer account statements, reviewing monthly sales over any 12 month period, compiling an age analysis for individual or all customer accounts and compiling a customer account balance report based on a user defined statement date. Refer to the Trade Based Invoice template if you require stock codes to be included on your tax invoices.</a:t>
            </a:r>
          </a:p>
          <a:p>
            <a:pPr marL="1800000" algn="just" rtl="0">
              <a:lnSpc>
                <a:spcPct val="100000"/>
              </a:lnSpc>
              <a:spcBef>
                <a:spcPts val="12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243A6427-947F-48F7-859F-709DCD9CBB0B}"/>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3D8C03CA-D5A0-45C6-8C24-F176E41FBF35}"/>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5946AA07-86B0-4608-A388-8FBF6BAD4BC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83820</xdr:colOff>
      <xdr:row>4</xdr:row>
      <xdr:rowOff>157140</xdr:rowOff>
    </xdr:from>
    <xdr:ext cx="2788920" cy="1114490"/>
    <xdr:sp macro="" textlink="">
      <xdr:nvSpPr>
        <xdr:cNvPr id="10" name="Rectangle 17">
          <a:extLst>
            <a:ext uri="{FF2B5EF4-FFF2-40B4-BE49-F238E27FC236}">
              <a16:creationId xmlns:a16="http://schemas.microsoft.com/office/drawing/2014/main" id="{CD787617-D308-42EE-B0EA-82608A915968}"/>
            </a:ext>
          </a:extLst>
        </xdr:cNvPr>
        <xdr:cNvSpPr>
          <a:spLocks noChangeArrowheads="1"/>
        </xdr:cNvSpPr>
      </xdr:nvSpPr>
      <xdr:spPr bwMode="auto">
        <a:xfrm>
          <a:off x="7612380" y="903900"/>
          <a:ext cx="278892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3</xdr:col>
      <xdr:colOff>80209</xdr:colOff>
      <xdr:row>6</xdr:row>
      <xdr:rowOff>56219</xdr:rowOff>
    </xdr:from>
    <xdr:ext cx="5871412" cy="1500622"/>
    <xdr:sp macro="" textlink="">
      <xdr:nvSpPr>
        <xdr:cNvPr id="3" name="Rectangle 17">
          <a:extLst>
            <a:ext uri="{FF2B5EF4-FFF2-40B4-BE49-F238E27FC236}">
              <a16:creationId xmlns:a16="http://schemas.microsoft.com/office/drawing/2014/main" id="{7D8607A1-AA8B-4BD9-B682-DA423132D618}"/>
            </a:ext>
          </a:extLst>
        </xdr:cNvPr>
        <xdr:cNvSpPr>
          <a:spLocks noChangeArrowheads="1"/>
        </xdr:cNvSpPr>
      </xdr:nvSpPr>
      <xdr:spPr bwMode="auto">
        <a:xfrm>
          <a:off x="3850104" y="1259377"/>
          <a:ext cx="5871412"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information on this sheet needs to be completed in order to customize the template for your business. The business name, business address, contact details, banking details, sales tax reference number and business registration number are included on the tax invoice. The sales tax percentages are used to calculate the appropriate sales tax amounts on the Details sheet.</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1</xdr:col>
      <xdr:colOff>1604209</xdr:colOff>
      <xdr:row>12</xdr:row>
      <xdr:rowOff>56221</xdr:rowOff>
    </xdr:from>
    <xdr:ext cx="6376738" cy="1692982"/>
    <xdr:sp macro="" textlink="">
      <xdr:nvSpPr>
        <xdr:cNvPr id="3" name="Rectangle 17">
          <a:extLst>
            <a:ext uri="{FF2B5EF4-FFF2-40B4-BE49-F238E27FC236}">
              <a16:creationId xmlns:a16="http://schemas.microsoft.com/office/drawing/2014/main" id="{39551330-1BCF-4F9E-90D8-DAEDCD6CEDFF}"/>
            </a:ext>
          </a:extLst>
        </xdr:cNvPr>
        <xdr:cNvSpPr>
          <a:spLocks noChangeArrowheads="1"/>
        </xdr:cNvSpPr>
      </xdr:nvSpPr>
      <xdr:spPr bwMode="auto">
        <a:xfrm>
          <a:off x="2334125" y="2526705"/>
          <a:ext cx="6376738"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Create unique customer codes for all customers and enter the customer information in the other columns on this sheet. The customer codes created on this sheet are included in a list box in the Customer column on the Details sheet and the customer information is included on the tax invoice and quotation based on the customer code selected on the Details sheet. We recommend using an abbreviated version of the customer name as the customer code.</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0</xdr:col>
      <xdr:colOff>489285</xdr:colOff>
      <xdr:row>11</xdr:row>
      <xdr:rowOff>32156</xdr:rowOff>
    </xdr:from>
    <xdr:ext cx="7259052" cy="1692982"/>
    <xdr:sp macro="" textlink="">
      <xdr:nvSpPr>
        <xdr:cNvPr id="3" name="Rectangle 17">
          <a:extLst>
            <a:ext uri="{FF2B5EF4-FFF2-40B4-BE49-F238E27FC236}">
              <a16:creationId xmlns:a16="http://schemas.microsoft.com/office/drawing/2014/main" id="{434A6EC3-71B0-4DCE-B177-442DB96669D9}"/>
            </a:ext>
          </a:extLst>
        </xdr:cNvPr>
        <xdr:cNvSpPr>
          <a:spLocks noChangeArrowheads="1"/>
        </xdr:cNvSpPr>
      </xdr:nvSpPr>
      <xdr:spPr bwMode="auto">
        <a:xfrm>
          <a:off x="489285" y="2358261"/>
          <a:ext cx="7259052"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All tax invoices should be recorded on this sheet. The invoice and quotation details entered on this sheet are automatically included on the tax invoice based on the invoice number specified on the Invoice sheet and on the quotation based on the quotation number specified on the Quotation sheet. All the columns with yellow column headings require user input, while the columns with light blue column headings contain formulas which are automatically copied for all new invoices or quotations added to the table.</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twoCellAnchor editAs="absolute">
    <xdr:from>
      <xdr:col>9</xdr:col>
      <xdr:colOff>90235</xdr:colOff>
      <xdr:row>0</xdr:row>
      <xdr:rowOff>109789</xdr:rowOff>
    </xdr:from>
    <xdr:to>
      <xdr:col>14</xdr:col>
      <xdr:colOff>465221</xdr:colOff>
      <xdr:row>10</xdr:row>
      <xdr:rowOff>168443</xdr:rowOff>
    </xdr:to>
    <xdr:sp macro="" textlink="">
      <xdr:nvSpPr>
        <xdr:cNvPr id="2" name="Rectangle 1">
          <a:extLst>
            <a:ext uri="{FF2B5EF4-FFF2-40B4-BE49-F238E27FC236}">
              <a16:creationId xmlns:a16="http://schemas.microsoft.com/office/drawing/2014/main" id="{00000000-0008-0000-0700-000002000000}"/>
            </a:ext>
          </a:extLst>
        </xdr:cNvPr>
        <xdr:cNvSpPr>
          <a:spLocks noChangeArrowheads="1"/>
        </xdr:cNvSpPr>
      </xdr:nvSpPr>
      <xdr:spPr bwMode="auto">
        <a:xfrm>
          <a:off x="7044488" y="109789"/>
          <a:ext cx="5749091" cy="2063917"/>
        </a:xfrm>
        <a:prstGeom prst="rect">
          <a:avLst/>
        </a:prstGeom>
        <a:solidFill>
          <a:schemeClr val="bg1"/>
        </a:solidFill>
        <a:ln w="9525">
          <a:no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ctr" upright="1"/>
        <a:lstStyle/>
        <a:p>
          <a:pPr algn="ctr" rtl="0">
            <a:defRPr sz="1000"/>
          </a:pPr>
          <a:endParaRPr lang="en-ZA" sz="1050" b="1" i="0" u="none" strike="noStrike" baseline="0">
            <a:solidFill>
              <a:srgbClr val="FFFFFF"/>
            </a:solidFill>
            <a:latin typeface="Arial"/>
            <a:cs typeface="Arial"/>
          </a:endParaRPr>
        </a:p>
      </xdr:txBody>
    </xdr:sp>
    <xdr:clientData fLocksWithSheet="0" fPrintsWithSheet="0"/>
  </xdr:twoCellAnchor>
  <xdr:twoCellAnchor editAs="absolute">
    <xdr:from>
      <xdr:col>1</xdr:col>
      <xdr:colOff>181477</xdr:colOff>
      <xdr:row>1</xdr:row>
      <xdr:rowOff>189999</xdr:rowOff>
    </xdr:from>
    <xdr:to>
      <xdr:col>8</xdr:col>
      <xdr:colOff>0</xdr:colOff>
      <xdr:row>6</xdr:row>
      <xdr:rowOff>198522</xdr:rowOff>
    </xdr:to>
    <xdr:sp macro="" textlink="">
      <xdr:nvSpPr>
        <xdr:cNvPr id="4" name="Rectangle 1">
          <a:extLst>
            <a:ext uri="{FF2B5EF4-FFF2-40B4-BE49-F238E27FC236}">
              <a16:creationId xmlns:a16="http://schemas.microsoft.com/office/drawing/2014/main" id="{00000000-0008-0000-0700-000004000000}"/>
            </a:ext>
          </a:extLst>
        </xdr:cNvPr>
        <xdr:cNvSpPr>
          <a:spLocks noChangeArrowheads="1"/>
        </xdr:cNvSpPr>
      </xdr:nvSpPr>
      <xdr:spPr bwMode="auto">
        <a:xfrm>
          <a:off x="293772" y="390525"/>
          <a:ext cx="6475996" cy="1011155"/>
        </a:xfrm>
        <a:prstGeom prst="rect">
          <a:avLst/>
        </a:prstGeom>
        <a:solidFill>
          <a:schemeClr val="bg1"/>
        </a:solidFill>
        <a:ln w="6350">
          <a:solidFill>
            <a:schemeClr val="tx1"/>
          </a:solid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t" upright="1"/>
        <a:lstStyle/>
        <a:p>
          <a:pPr algn="l" rtl="0">
            <a:defRPr sz="1000"/>
          </a:pPr>
          <a:r>
            <a:rPr lang="en-ZA" sz="900" b="0" i="1" u="none" strike="noStrike" baseline="0">
              <a:solidFill>
                <a:sysClr val="windowText" lastClr="000000"/>
              </a:solidFill>
              <a:latin typeface="Arial"/>
              <a:cs typeface="Arial"/>
            </a:rPr>
            <a:t>Insert business logo in this section...</a:t>
          </a:r>
        </a:p>
      </xdr:txBody>
    </xdr:sp>
    <xdr:clientData fLocksWithSheet="0"/>
  </xdr:twoCellAnchor>
  <xdr:oneCellAnchor>
    <xdr:from>
      <xdr:col>9</xdr:col>
      <xdr:colOff>162827</xdr:colOff>
      <xdr:row>1</xdr:row>
      <xdr:rowOff>2553</xdr:rowOff>
    </xdr:from>
    <xdr:ext cx="5596289" cy="1885342"/>
    <xdr:sp macro="" textlink="">
      <xdr:nvSpPr>
        <xdr:cNvPr id="5" name="Rectangle 17">
          <a:extLst>
            <a:ext uri="{FF2B5EF4-FFF2-40B4-BE49-F238E27FC236}">
              <a16:creationId xmlns:a16="http://schemas.microsoft.com/office/drawing/2014/main" id="{5171822E-857B-4924-BA52-68F18223C655}"/>
            </a:ext>
          </a:extLst>
        </xdr:cNvPr>
        <xdr:cNvSpPr>
          <a:spLocks noChangeArrowheads="1"/>
        </xdr:cNvSpPr>
      </xdr:nvSpPr>
      <xdr:spPr bwMode="auto">
        <a:xfrm>
          <a:off x="6732069" y="203079"/>
          <a:ext cx="5596289" cy="188534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quotation on this sheet can be used to view, print or reprint any of the quotations recorded on the Details sheet by simply entering or copying the appropriate quotation number into cell H11. All business details, customer information and quotation details are automatically updated based on the information entered on the other sheets.  The sheet accommodates 20 lines per quotation and you can customize the design of the quotation by including your own logo or artwork at the top of the sheet.</a:t>
          </a:r>
        </a:p>
      </xdr:txBody>
    </xdr:sp>
    <xdr:clientData fLocksWithSheet="0" fPrintsWithSheet="0"/>
  </xdr:oneCellAnchor>
</xdr:wsDr>
</file>

<file path=xl/drawings/drawing8.xml><?xml version="1.0" encoding="utf-8"?>
<xdr:wsDr xmlns:xdr="http://schemas.openxmlformats.org/drawingml/2006/spreadsheetDrawing" xmlns:a="http://schemas.openxmlformats.org/drawingml/2006/main">
  <xdr:twoCellAnchor editAs="absolute">
    <xdr:from>
      <xdr:col>1</xdr:col>
      <xdr:colOff>181476</xdr:colOff>
      <xdr:row>1</xdr:row>
      <xdr:rowOff>189999</xdr:rowOff>
    </xdr:from>
    <xdr:to>
      <xdr:col>8</xdr:col>
      <xdr:colOff>8021</xdr:colOff>
      <xdr:row>6</xdr:row>
      <xdr:rowOff>198522</xdr:rowOff>
    </xdr:to>
    <xdr:sp macro="" textlink="">
      <xdr:nvSpPr>
        <xdr:cNvPr id="3" name="Rectangle 1">
          <a:extLst>
            <a:ext uri="{FF2B5EF4-FFF2-40B4-BE49-F238E27FC236}">
              <a16:creationId xmlns:a16="http://schemas.microsoft.com/office/drawing/2014/main" id="{00000000-0008-0000-0800-000003000000}"/>
            </a:ext>
          </a:extLst>
        </xdr:cNvPr>
        <xdr:cNvSpPr>
          <a:spLocks noChangeArrowheads="1"/>
        </xdr:cNvSpPr>
      </xdr:nvSpPr>
      <xdr:spPr bwMode="auto">
        <a:xfrm>
          <a:off x="293771" y="390525"/>
          <a:ext cx="6772776" cy="1011155"/>
        </a:xfrm>
        <a:prstGeom prst="rect">
          <a:avLst/>
        </a:prstGeom>
        <a:solidFill>
          <a:schemeClr val="bg1"/>
        </a:solidFill>
        <a:ln w="6350">
          <a:solidFill>
            <a:schemeClr val="tx1"/>
          </a:solid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t" upright="1"/>
        <a:lstStyle/>
        <a:p>
          <a:pPr algn="l" rtl="0">
            <a:defRPr sz="1000"/>
          </a:pPr>
          <a:r>
            <a:rPr lang="en-ZA" sz="900" b="0" i="1" u="none" strike="noStrike" baseline="0">
              <a:solidFill>
                <a:sysClr val="windowText" lastClr="000000"/>
              </a:solidFill>
              <a:latin typeface="Arial"/>
              <a:cs typeface="Arial"/>
            </a:rPr>
            <a:t>Insert business logo in this section...</a:t>
          </a:r>
        </a:p>
      </xdr:txBody>
    </xdr:sp>
    <xdr:clientData fLocksWithSheet="0"/>
  </xdr:twoCellAnchor>
  <xdr:twoCellAnchor editAs="absolute">
    <xdr:from>
      <xdr:col>9</xdr:col>
      <xdr:colOff>88224</xdr:colOff>
      <xdr:row>0</xdr:row>
      <xdr:rowOff>112294</xdr:rowOff>
    </xdr:from>
    <xdr:to>
      <xdr:col>14</xdr:col>
      <xdr:colOff>954501</xdr:colOff>
      <xdr:row>10</xdr:row>
      <xdr:rowOff>170948</xdr:rowOff>
    </xdr:to>
    <xdr:sp macro="" textlink="">
      <xdr:nvSpPr>
        <xdr:cNvPr id="5" name="Rectangle 4">
          <a:extLst>
            <a:ext uri="{FF2B5EF4-FFF2-40B4-BE49-F238E27FC236}">
              <a16:creationId xmlns:a16="http://schemas.microsoft.com/office/drawing/2014/main" id="{E7A352C8-1BC5-4E4B-9B61-9ABBF08F0466}"/>
            </a:ext>
          </a:extLst>
        </xdr:cNvPr>
        <xdr:cNvSpPr>
          <a:spLocks noChangeArrowheads="1"/>
        </xdr:cNvSpPr>
      </xdr:nvSpPr>
      <xdr:spPr bwMode="auto">
        <a:xfrm>
          <a:off x="7331235" y="112294"/>
          <a:ext cx="6240382" cy="2063917"/>
        </a:xfrm>
        <a:prstGeom prst="rect">
          <a:avLst/>
        </a:prstGeom>
        <a:solidFill>
          <a:schemeClr val="bg1"/>
        </a:solidFill>
        <a:ln w="9525">
          <a:no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ctr" upright="1"/>
        <a:lstStyle/>
        <a:p>
          <a:pPr algn="ctr" rtl="0">
            <a:defRPr sz="1000"/>
          </a:pPr>
          <a:endParaRPr lang="en-ZA" sz="1050" b="1" i="0" u="none" strike="noStrike" baseline="0">
            <a:solidFill>
              <a:srgbClr val="FFFFFF"/>
            </a:solidFill>
            <a:latin typeface="Arial"/>
            <a:cs typeface="Arial"/>
          </a:endParaRPr>
        </a:p>
      </xdr:txBody>
    </xdr:sp>
    <xdr:clientData fLocksWithSheet="0" fPrintsWithSheet="0"/>
  </xdr:twoCellAnchor>
  <xdr:oneCellAnchor>
    <xdr:from>
      <xdr:col>9</xdr:col>
      <xdr:colOff>184884</xdr:colOff>
      <xdr:row>0</xdr:row>
      <xdr:rowOff>197563</xdr:rowOff>
    </xdr:from>
    <xdr:ext cx="6047474" cy="1885342"/>
    <xdr:sp macro="" textlink="">
      <xdr:nvSpPr>
        <xdr:cNvPr id="6" name="Rectangle 17">
          <a:extLst>
            <a:ext uri="{FF2B5EF4-FFF2-40B4-BE49-F238E27FC236}">
              <a16:creationId xmlns:a16="http://schemas.microsoft.com/office/drawing/2014/main" id="{F2E6CBE9-35D4-4670-858F-AA8EF487C2CD}"/>
            </a:ext>
          </a:extLst>
        </xdr:cNvPr>
        <xdr:cNvSpPr>
          <a:spLocks noChangeArrowheads="1"/>
        </xdr:cNvSpPr>
      </xdr:nvSpPr>
      <xdr:spPr bwMode="auto">
        <a:xfrm>
          <a:off x="6754126" y="197563"/>
          <a:ext cx="6047474" cy="188534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tax invoice on this sheet can be used to view, print or reprint any of the invoices recorded on the Details sheet by simply entering or copying the appropriate invoice number into cell H11. All business details, customer information, invoice details and banking details are automatically updated based on the information entered on the other sheets. The sheet accommodates 20 lines per invoice and you can customize the design of the invoice by including your own logo or artwork at the top of the sheet.</a:t>
          </a:r>
        </a:p>
      </xdr:txBody>
    </xdr:sp>
    <xdr:clientData fLocksWithSheet="0" fPrintsWithSheet="0"/>
  </xdr:oneCellAnchor>
</xdr:wsDr>
</file>

<file path=xl/drawings/drawing9.xml><?xml version="1.0" encoding="utf-8"?>
<xdr:wsDr xmlns:xdr="http://schemas.openxmlformats.org/drawingml/2006/spreadsheetDrawing" xmlns:a="http://schemas.openxmlformats.org/drawingml/2006/main">
  <xdr:twoCellAnchor editAs="absolute">
    <xdr:from>
      <xdr:col>1</xdr:col>
      <xdr:colOff>187993</xdr:colOff>
      <xdr:row>1</xdr:row>
      <xdr:rowOff>196515</xdr:rowOff>
    </xdr:from>
    <xdr:to>
      <xdr:col>9</xdr:col>
      <xdr:colOff>465721</xdr:colOff>
      <xdr:row>7</xdr:row>
      <xdr:rowOff>4512</xdr:rowOff>
    </xdr:to>
    <xdr:sp macro="" textlink="">
      <xdr:nvSpPr>
        <xdr:cNvPr id="4" name="Rectangle 1">
          <a:extLst>
            <a:ext uri="{FF2B5EF4-FFF2-40B4-BE49-F238E27FC236}">
              <a16:creationId xmlns:a16="http://schemas.microsoft.com/office/drawing/2014/main" id="{00000000-0008-0000-0900-000004000000}"/>
            </a:ext>
          </a:extLst>
        </xdr:cNvPr>
        <xdr:cNvSpPr>
          <a:spLocks noChangeArrowheads="1"/>
        </xdr:cNvSpPr>
      </xdr:nvSpPr>
      <xdr:spPr bwMode="auto">
        <a:xfrm>
          <a:off x="300288" y="397041"/>
          <a:ext cx="6646444" cy="1011155"/>
        </a:xfrm>
        <a:prstGeom prst="rect">
          <a:avLst/>
        </a:prstGeom>
        <a:solidFill>
          <a:schemeClr val="bg1"/>
        </a:solidFill>
        <a:ln w="6350">
          <a:solidFill>
            <a:schemeClr val="tx1"/>
          </a:solid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t" upright="1"/>
        <a:lstStyle/>
        <a:p>
          <a:pPr algn="l" rtl="0">
            <a:defRPr sz="1000"/>
          </a:pPr>
          <a:r>
            <a:rPr lang="en-ZA" sz="900" b="0" i="1" u="none" strike="noStrike" baseline="0">
              <a:solidFill>
                <a:sysClr val="windowText" lastClr="000000"/>
              </a:solidFill>
              <a:latin typeface="Arial"/>
              <a:cs typeface="Arial"/>
            </a:rPr>
            <a:t>Insert business logo in this section...</a:t>
          </a:r>
        </a:p>
      </xdr:txBody>
    </xdr:sp>
    <xdr:clientData fLocksWithSheet="0"/>
  </xdr:twoCellAnchor>
  <xdr:twoCellAnchor editAs="absolute">
    <xdr:from>
      <xdr:col>11</xdr:col>
      <xdr:colOff>104270</xdr:colOff>
      <xdr:row>0</xdr:row>
      <xdr:rowOff>120316</xdr:rowOff>
    </xdr:from>
    <xdr:to>
      <xdr:col>16</xdr:col>
      <xdr:colOff>601579</xdr:colOff>
      <xdr:row>10</xdr:row>
      <xdr:rowOff>16042</xdr:rowOff>
    </xdr:to>
    <xdr:sp macro="" textlink="">
      <xdr:nvSpPr>
        <xdr:cNvPr id="5" name="Rectangle 4">
          <a:extLst>
            <a:ext uri="{FF2B5EF4-FFF2-40B4-BE49-F238E27FC236}">
              <a16:creationId xmlns:a16="http://schemas.microsoft.com/office/drawing/2014/main" id="{BCA485D7-0CDB-40FD-A4A5-0411A28551F0}"/>
            </a:ext>
          </a:extLst>
        </xdr:cNvPr>
        <xdr:cNvSpPr>
          <a:spLocks noChangeArrowheads="1"/>
        </xdr:cNvSpPr>
      </xdr:nvSpPr>
      <xdr:spPr bwMode="auto">
        <a:xfrm>
          <a:off x="7708228" y="120316"/>
          <a:ext cx="5871414" cy="1900989"/>
        </a:xfrm>
        <a:prstGeom prst="rect">
          <a:avLst/>
        </a:prstGeom>
        <a:solidFill>
          <a:schemeClr val="bg1"/>
        </a:solidFill>
        <a:ln w="9525">
          <a:no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ctr" upright="1"/>
        <a:lstStyle/>
        <a:p>
          <a:pPr algn="ctr" rtl="0">
            <a:defRPr sz="1000"/>
          </a:pPr>
          <a:endParaRPr lang="en-ZA" sz="1050" b="1" i="0" u="none" strike="noStrike" baseline="0">
            <a:solidFill>
              <a:srgbClr val="FFFFFF"/>
            </a:solidFill>
            <a:latin typeface="Arial"/>
            <a:cs typeface="Arial"/>
          </a:endParaRPr>
        </a:p>
      </xdr:txBody>
    </xdr:sp>
    <xdr:clientData fLocksWithSheet="0" fPrintsWithSheet="0"/>
  </xdr:twoCellAnchor>
  <xdr:oneCellAnchor>
    <xdr:from>
      <xdr:col>11</xdr:col>
      <xdr:colOff>184885</xdr:colOff>
      <xdr:row>1</xdr:row>
      <xdr:rowOff>13007</xdr:rowOff>
    </xdr:from>
    <xdr:ext cx="5702568" cy="1692982"/>
    <xdr:sp macro="" textlink="">
      <xdr:nvSpPr>
        <xdr:cNvPr id="6" name="Rectangle 17">
          <a:extLst>
            <a:ext uri="{FF2B5EF4-FFF2-40B4-BE49-F238E27FC236}">
              <a16:creationId xmlns:a16="http://schemas.microsoft.com/office/drawing/2014/main" id="{A2CB8DA9-3FD0-4F31-9CBD-DAFA33840692}"/>
            </a:ext>
          </a:extLst>
        </xdr:cNvPr>
        <xdr:cNvSpPr>
          <a:spLocks noChangeArrowheads="1"/>
        </xdr:cNvSpPr>
      </xdr:nvSpPr>
      <xdr:spPr bwMode="auto">
        <a:xfrm>
          <a:off x="7788843" y="213533"/>
          <a:ext cx="5702568"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customer account statement is automatically compiled based on the customer code selected in cell J11 and the statement date entered in cell J12. All the other calculations on this sheet are automated. The account statement accommodates 30 outstanding invoices but additional rows can be added by simply copying the formulas in the last row and pasting them into the required number of rows.</a:t>
          </a:r>
        </a:p>
      </xdr:txBody>
    </xdr:sp>
    <xdr:clientData fLocksWithSheet="0" fPrint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Customer" displayName="Customer" ref="A5:H25" totalsRowShown="0" headerRowDxfId="55" dataDxfId="53" headerRowBorderDxfId="54" tableBorderDxfId="52">
  <autoFilter ref="A5:H25" xr:uid="{00000000-0009-0000-0100-000001000000}"/>
  <tableColumns count="8">
    <tableColumn id="1" xr3:uid="{00000000-0010-0000-0000-000001000000}" name="Code" dataDxfId="51"/>
    <tableColumn id="2" xr3:uid="{00000000-0010-0000-0000-000002000000}" name="Billing Name" dataDxfId="50"/>
    <tableColumn id="3" xr3:uid="{00000000-0010-0000-0000-000003000000}" name="Line 1" dataDxfId="49"/>
    <tableColumn id="4" xr3:uid="{00000000-0010-0000-0000-000004000000}" name="Line 2" dataDxfId="48"/>
    <tableColumn id="5" xr3:uid="{00000000-0010-0000-0000-000005000000}" name="Line 3" dataDxfId="47"/>
    <tableColumn id="6" xr3:uid="{00000000-0010-0000-0000-000006000000}" name="Line 4" dataDxfId="46"/>
    <tableColumn id="7" xr3:uid="{00000000-0010-0000-0000-000007000000}" name="Line 5" dataDxfId="45"/>
    <tableColumn id="8" xr3:uid="{00000000-0010-0000-0000-000008000000}" name="Tax Number" dataDxfId="44"/>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etails" displayName="Details" ref="A4:Q39" totalsRowShown="0" headerRowDxfId="41" dataDxfId="39" headerRowBorderDxfId="40" tableBorderDxfId="38" headerRowCellStyle="Comma">
  <autoFilter ref="A4:Q39" xr:uid="{00000000-0009-0000-0100-000002000000}"/>
  <tableColumns count="17">
    <tableColumn id="1" xr3:uid="{00000000-0010-0000-0100-000001000000}" name="Invoice Number" dataDxfId="37"/>
    <tableColumn id="2" xr3:uid="{00000000-0010-0000-0100-000002000000}" name="Quotation Number" dataDxfId="36"/>
    <tableColumn id="3" xr3:uid="{00000000-0010-0000-0100-000003000000}" name="Invoice Date" dataDxfId="35"/>
    <tableColumn id="4" xr3:uid="{00000000-0010-0000-0100-000004000000}" name="Customer Code" dataDxfId="34"/>
    <tableColumn id="5" xr3:uid="{00000000-0010-0000-0100-000005000000}" name="Description" dataDxfId="33"/>
    <tableColumn id="6" xr3:uid="{00000000-0010-0000-0100-000006000000}" name="Tax Inclusive Amount" dataDxfId="32" dataCellStyle="Comma"/>
    <tableColumn id="7" xr3:uid="{00000000-0010-0000-0100-000007000000}" name="Tax 1 Code" dataDxfId="31" dataCellStyle="Comma"/>
    <tableColumn id="16" xr3:uid="{1FFA7A7C-2DF0-406F-9E0C-B3BB5ABFB075}" name="Tax 2 Code" dataDxfId="30" dataCellStyle="Comma"/>
    <tableColumn id="8" xr3:uid="{00000000-0010-0000-0100-000008000000}" name="Invoice Due Date" dataDxfId="29"/>
    <tableColumn id="9" xr3:uid="{00000000-0010-0000-0100-000009000000}" name="Payment Date" dataDxfId="28"/>
    <tableColumn id="10" xr3:uid="{00000000-0010-0000-0100-00000A000000}" name="Sales Tax 1 Amount" dataDxfId="27" dataCellStyle="Comma">
      <calculatedColumnFormula>$F5/(1+IF(ISERROR($G5),0,IF(ISNA(MATCH($G5,TaxCode,0)),0,OFFSET(Setup!$D$22,MATCH($G5,TaxCode,0),0,1,1)))+IF(ISERROR($H5),0,IF(ISNA(MATCH($H5,TaxCode,0)),0,OFFSET(Setup!$D$22,MATCH($H5,TaxCode,0),0,1,1))))*IF(ISERROR($G5),0,IF(ISNA(MATCH($G5,TaxCode,0)),0,OFFSET(Setup!$D$22,MATCH($G5,TaxCode,0),0,1,1)))</calculatedColumnFormula>
    </tableColumn>
    <tableColumn id="17" xr3:uid="{A4CCD72A-EAB5-4A3D-BCA2-E312F2523694}" name="Sales Tax 2 Amount" dataDxfId="26" dataCellStyle="Comma">
      <calculatedColumnFormula>$F5/(1+IF(ISERROR($G5),0,IF(ISNA(MATCH($G5,TaxCode,0)),0,OFFSET(Setup!$D$22,MATCH($G5,TaxCode,0),0,1,1)))+IF(ISERROR($H5),0,IF(ISNA(MATCH($H5,TaxCode,0)),0,OFFSET(Setup!$D$22,MATCH($H5,TaxCode,0),0,1,1))))*IF(ISERROR($H5),0,IF(ISNA(MATCH($H5,TaxCode,0)),0,OFFSET(Setup!$D$22,MATCH($H5,TaxCode,0),0,1,1)))</calculatedColumnFormula>
    </tableColumn>
    <tableColumn id="11" xr3:uid="{00000000-0010-0000-0100-00000B000000}" name="Exclusive Amount" dataDxfId="25" dataCellStyle="Comma">
      <calculatedColumnFormula array="1">F5-IF(TaxCount=2,SUM($K5:$L5),$K5:$K5)</calculatedColumnFormula>
    </tableColumn>
    <tableColumn id="12" xr3:uid="{00000000-0010-0000-0100-00000C000000}" name="SC1" dataDxfId="24">
      <calculatedColumnFormula>IF(AND(ISBLANK($A5)=FALSE,$C5&lt;=Statement!$J$12,$D5=Statement!$J$11,$J5&gt;Statement!$J$12)=TRUE,1,IF(AND(ISBLANK($A5)=FALSE,$C5&lt;=Statement!$J$12,$D5=Statement!$J$11,ISBLANK($J5)=TRUE)=TRUE,1,0))</calculatedColumnFormula>
    </tableColumn>
    <tableColumn id="13" xr3:uid="{00000000-0010-0000-0100-00000D000000}" name="State Ref" dataDxfId="23">
      <calculatedColumnFormula>IF(ISBLANK(A5)=FALSE,N5&amp;"-"&amp;A5,"-")</calculatedColumnFormula>
    </tableColumn>
    <tableColumn id="14" xr3:uid="{00000000-0010-0000-0100-00000E000000}" name="SC2" dataDxfId="22">
      <calculatedColumnFormula>IF(AND(LEFT($O5,1)="1",COUNTIF(OFFSET($O$4,1,0,ROW($O5)-ROW($O$4),1),$O5)=1)=TRUE,1,0)</calculatedColumnFormula>
    </tableColumn>
    <tableColumn id="15" xr3:uid="{00000000-0010-0000-0100-00000F000000}" name="Error Code" dataDxfId="21">
      <calculatedColumnFormula>IF(AND($J5&lt;$C5,ISBLANK($J5)=FALSE)=TRUE,"E1",IF(ISNA(VLOOKUP($D5,Customer_Code,1,0))=TRUE,"E2",IF(AND(ISBLANK(J5)=FALSE,ISBLANK(A5)=TRUE)=TRUE,"E3","-")))</calculatedColumn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Balance" displayName="Balance" ref="A5:K25" totalsRowShown="0" headerRowDxfId="14" dataDxfId="12" headerRowBorderDxfId="13" tableBorderDxfId="11" headerRowCellStyle="Comma" dataCellStyle="Comma">
  <autoFilter ref="A5:K25" xr:uid="{00000000-0009-0000-0100-000003000000}"/>
  <tableColumns count="11">
    <tableColumn id="1" xr3:uid="{00000000-0010-0000-0200-000001000000}" name="Code" dataDxfId="10">
      <calculatedColumnFormula>IF(OR(ISBLANK(OFFSET(Customers!$A$5,ROW(Balances!B6)-ROW(Balances!$B$5),0,1,1))=TRUE,OFFSET(Customers!$A$5,ROW(Balances!B6)-ROW(Balances!$B$5),0,1,1)="ZZZ")=TRUE,"",OFFSET(Customers!$A$5,ROW(Balances!B6)-ROW(Balances!$B$5),0,1,1))</calculatedColumnFormula>
    </tableColumn>
    <tableColumn id="2" xr3:uid="{00000000-0010-0000-0200-000002000000}" name="Billing Name" dataDxfId="9">
      <calculatedColumnFormula>IF(LEN($A6)=0,"",OFFSET(Customers!$B$5,ROW(Balances!C6)-ROW(Balances!$B$5),0,1,1))</calculatedColumnFormula>
    </tableColumn>
    <tableColumn id="3" xr3:uid="{00000000-0010-0000-0200-000003000000}" name="Balance" dataDxfId="8" dataCellStyle="Comma">
      <calculatedColumnFormula>IF(LEN($A6)=0,"",SUMPRODUCT((ISBLANK(Invoice_Number)=FALSE)*(InvoiceDate&lt;=$B$3)*(PayDate&gt;$B$3)*(InvoiceCus=$A6)*(InvoiceAmount))+SUMPRODUCT((ISBLANK(Invoice_Number)=FALSE)*(InvoiceDate&lt;=$B$3)*(ISBLANK(PayDate)=TRUE)*(InvoiceCus=$A6)*(InvoiceAmount)))</calculatedColumnFormula>
    </tableColumn>
    <tableColumn id="4" xr3:uid="{00000000-0010-0000-0200-000004000000}" name="Current" dataDxfId="7" dataCellStyle="Comma">
      <calculatedColumnFormula>IF(LEN($A6)=0,"",SUMPRODUCT((ISBLANK(Invoice_Number)=FALSE)*(InvoiceDate&lt;=D$2)*(InvoiceDate&gt;D$3)*(PayDate&gt;$B$3)*(InvoiceCus=$A6)*(InvoiceAmount))+SUMPRODUCT((ISBLANK(Invoice_Number)=FALSE)*(InvoiceDate&lt;=D$2)*(InvoiceDate&gt;D$3)*(ISBLANK(PayDate)=TRUE)*(InvoiceCus=$A6)*(InvoiceAmount)))</calculatedColumnFormula>
    </tableColumn>
    <tableColumn id="5" xr3:uid="{00000000-0010-0000-0200-000005000000}" name="30 Days" dataDxfId="6" dataCellStyle="Comma">
      <calculatedColumnFormula>IF(LEN($A6)=0,"",SUMPRODUCT((ISBLANK(Invoice_Number)=FALSE)*(InvoiceDate&lt;=E$2)*(InvoiceDate&gt;E$3)*(PayDate&gt;$B$3)*(InvoiceCus=$A6)*(InvoiceAmount))+SUMPRODUCT((ISBLANK(Invoice_Number)=FALSE)*(InvoiceDate&lt;=E$2)*(InvoiceDate&gt;E$3)*(ISBLANK(PayDate)=TRUE)*(InvoiceCus=$A6)*(InvoiceAmount)))</calculatedColumnFormula>
    </tableColumn>
    <tableColumn id="6" xr3:uid="{00000000-0010-0000-0200-000006000000}" name="60 Days" dataDxfId="5" dataCellStyle="Comma">
      <calculatedColumnFormula>IF(LEN($A6)=0,"",SUMPRODUCT((ISBLANK(Invoice_Number)=FALSE)*(InvoiceDate&lt;=F$2)*(InvoiceDate&gt;F$3)*(PayDate&gt;$B$3)*(InvoiceCus=$A6)*(InvoiceAmount))+SUMPRODUCT((ISBLANK(Invoice_Number)=FALSE)*(InvoiceDate&lt;=F$2)*(InvoiceDate&gt;F$3)*(ISBLANK(PayDate)=TRUE)*(InvoiceCus=$A6)*(InvoiceAmount)))</calculatedColumnFormula>
    </tableColumn>
    <tableColumn id="7" xr3:uid="{00000000-0010-0000-0200-000007000000}" name="90 Days" dataDxfId="4" dataCellStyle="Comma">
      <calculatedColumnFormula>IF(LEN($A6)=0,"",SUMPRODUCT((ISBLANK(Invoice_Number)=FALSE)*(InvoiceDate&lt;=G$2)*(InvoiceDate&gt;G$3)*(PayDate&gt;$B$3)*(InvoiceCus=$A6)*(InvoiceAmount))+SUMPRODUCT((ISBLANK(Invoice_Number)=FALSE)*(InvoiceDate&lt;=G$2)*(InvoiceDate&gt;G$3)*(ISBLANK(PayDate)=TRUE)*(InvoiceCus=$A6)*(InvoiceAmount)))</calculatedColumnFormula>
    </tableColumn>
    <tableColumn id="8" xr3:uid="{00000000-0010-0000-0200-000008000000}" name="120 Days" dataDxfId="3" dataCellStyle="Comma">
      <calculatedColumnFormula>IF(LEN($A6)=0,"",SUMPRODUCT((ISBLANK(Invoice_Number)=FALSE)*(InvoiceDate&lt;=H$2)*(InvoiceDate&gt;H$3)*(PayDate&gt;$B$3)*(InvoiceCus=$A6)*(InvoiceAmount))+SUMPRODUCT((ISBLANK(Invoice_Number)=FALSE)*(InvoiceDate&lt;=H$2)*(InvoiceDate&gt;H$3)*(ISBLANK(PayDate)=TRUE)*(InvoiceCus=$A6)*(InvoiceAmount)))</calculatedColumnFormula>
    </tableColumn>
    <tableColumn id="9" xr3:uid="{00000000-0010-0000-0200-000009000000}" name="150 Days" dataDxfId="2" dataCellStyle="Comma">
      <calculatedColumnFormula>IF(LEN($A6)=0,"",SUMPRODUCT((ISBLANK(Invoice_Number)=FALSE)*(InvoiceDate&lt;=I$2)*(InvoiceDate&gt;I$3)*(PayDate&gt;$B$3)*(InvoiceCus=$A6)*(InvoiceAmount))+SUMPRODUCT((ISBLANK(Invoice_Number)=FALSE)*(InvoiceDate&lt;=I$2)*(InvoiceDate&gt;I$3)*(ISBLANK(PayDate)=TRUE)*(InvoiceCus=$A6)*(InvoiceAmount)))</calculatedColumnFormula>
    </tableColumn>
    <tableColumn id="10" xr3:uid="{00000000-0010-0000-0200-00000A000000}" name="180 Days" dataDxfId="1" dataCellStyle="Comma">
      <calculatedColumnFormula>IF(LEN($A6)=0,"",SUMPRODUCT((ISBLANK(Invoice_Number)=FALSE)*(InvoiceDate&lt;=J$2)*(InvoiceDate&gt;J$3)*(PayDate&gt;$B$3)*(InvoiceCus=$A6)*(InvoiceAmount))+SUMPRODUCT((ISBLANK(Invoice_Number)=FALSE)*(InvoiceDate&lt;=J$2)*(InvoiceDate&gt;J$3)*(ISBLANK(PayDate)=TRUE)*(InvoiceCus=$A6)*(InvoiceAmount)))</calculatedColumnFormula>
    </tableColumn>
    <tableColumn id="11" xr3:uid="{00000000-0010-0000-0200-00000B000000}" name="+180 Days" dataDxfId="0" dataCellStyle="Comma">
      <calculatedColumnFormula>IF(LEN($A6)=0,"",SUMPRODUCT((ISBLANK(Invoice_Number)=FALSE)*(InvoiceDate&lt;=K$2)*(PayDate&gt;$B$3)*(InvoiceCus=$A6)*(InvoiceAmount))+SUMPRODUCT((ISBLANK(Invoice_Number)=FALSE)*(InvoiceDate&lt;=K$2)*(ISBLANK(PayDate)=TRUE)*(InvoiceCus=$A6)*(InvoiceAmount)))</calculatedColumnFormula>
    </tableColumn>
  </tableColumns>
  <tableStyleInfo name="TableStyleLight9" showFirstColumn="0" showLastColumn="0" showRowStripes="1" showColumnStripes="0"/>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example.com/" TargetMode="External"/><Relationship Id="rId1" Type="http://schemas.openxmlformats.org/officeDocument/2006/relationships/hyperlink" Target="mailto:info@example.com"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85546875" defaultRowHeight="16.5" x14ac:dyDescent="0.3"/>
  <cols>
    <col min="1" max="14" width="15.7109375" style="1" customWidth="1"/>
    <col min="15" max="16384" width="8.85546875" style="1"/>
  </cols>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E20"/>
  <sheetViews>
    <sheetView zoomScale="95" workbookViewId="0">
      <selection activeCell="B4" sqref="B4"/>
    </sheetView>
  </sheetViews>
  <sheetFormatPr defaultColWidth="9.140625" defaultRowHeight="16.149999999999999" customHeight="1" x14ac:dyDescent="0.25"/>
  <cols>
    <col min="1" max="1" width="16.7109375" style="38" customWidth="1"/>
    <col min="2" max="2" width="15.7109375" style="5" customWidth="1"/>
    <col min="3" max="3" width="15.7109375" style="10" customWidth="1"/>
    <col min="4" max="4" width="15.7109375" style="5" customWidth="1"/>
    <col min="5" max="17" width="15.7109375" style="2" customWidth="1"/>
    <col min="18" max="16384" width="9.140625" style="2"/>
  </cols>
  <sheetData>
    <row r="1" spans="1:5" ht="16.149999999999999" customHeight="1" x14ac:dyDescent="0.25">
      <c r="A1" s="76" t="str">
        <f>Setup!$C$5</f>
        <v>Example (Pty) Ltd</v>
      </c>
    </row>
    <row r="2" spans="1:5" ht="16.149999999999999" customHeight="1" x14ac:dyDescent="0.25">
      <c r="A2" s="34" t="s">
        <v>198</v>
      </c>
    </row>
    <row r="3" spans="1:5" ht="16.149999999999999" customHeight="1" x14ac:dyDescent="0.25">
      <c r="A3" s="18" t="s">
        <v>14</v>
      </c>
    </row>
    <row r="4" spans="1:5" ht="16.149999999999999" customHeight="1" x14ac:dyDescent="0.25">
      <c r="A4" s="33" t="s">
        <v>199</v>
      </c>
      <c r="B4" s="35">
        <v>43891</v>
      </c>
    </row>
    <row r="6" spans="1:5" s="4" customFormat="1" ht="16.149999999999999" customHeight="1" x14ac:dyDescent="0.2">
      <c r="A6" s="33" t="s">
        <v>200</v>
      </c>
      <c r="B6" s="36" t="s">
        <v>201</v>
      </c>
      <c r="C6" s="36" t="s">
        <v>204</v>
      </c>
      <c r="D6" s="36" t="s">
        <v>205</v>
      </c>
      <c r="E6" s="37" t="s">
        <v>299</v>
      </c>
    </row>
    <row r="7" spans="1:5" ht="16.149999999999999" customHeight="1" x14ac:dyDescent="0.25">
      <c r="A7" s="38">
        <f>DATE(YEAR(B4),MONTH(B4)+1,0)</f>
        <v>43921</v>
      </c>
      <c r="B7" s="5">
        <f t="shared" ref="B7:B18" si="0">SUMPRODUCT((ISBLANK(Invoice_Number)=FALSE)*(InvoiceDate&gt;=DATE(YEAR($A7),MONTH($A7),1))*(InvoiceDate&lt;=$A7)*(InvoiceAmount))</f>
        <v>19350</v>
      </c>
      <c r="C7" s="5">
        <f t="shared" ref="C7:C18" si="1">SUMPRODUCT((ISBLANK(Invoice_Number)=FALSE)*(PayDate&gt;=DATE(YEAR($A7),MONTH($A7),1))*(PayDate&lt;=$A7)*(InvoiceAmount))</f>
        <v>0</v>
      </c>
      <c r="D7" s="5">
        <f t="shared" ref="D7:D18" si="2">SUMPRODUCT((ISBLANK(Invoice_Number)=FALSE)*(InvoiceDate&lt;=A7)*(PayDate&gt;$A7)*(InvoiceAmount))+SUMPRODUCT((ISBLANK(Invoice_Number)=FALSE)*(InvoiceDate&lt;=A7)*(ISBLANK(PayDate)=TRUE)*(InvoiceAmount))</f>
        <v>19350</v>
      </c>
      <c r="E7" s="5">
        <f t="shared" ref="E7:E18" si="3">SUMPRODUCT((ISBLANK(Invoice_Number)=TRUE)*(InvoiceDate&lt;=A7)*(InvoiceAmount))</f>
        <v>0</v>
      </c>
    </row>
    <row r="8" spans="1:5" ht="16.149999999999999" customHeight="1" x14ac:dyDescent="0.25">
      <c r="A8" s="38">
        <f>DATE(YEAR(A7),MONTH(A7)+2,0)</f>
        <v>43951</v>
      </c>
      <c r="B8" s="5">
        <f t="shared" si="0"/>
        <v>67338</v>
      </c>
      <c r="C8" s="5">
        <f t="shared" si="1"/>
        <v>26200</v>
      </c>
      <c r="D8" s="5">
        <f t="shared" si="2"/>
        <v>60488</v>
      </c>
      <c r="E8" s="5">
        <f t="shared" si="3"/>
        <v>0</v>
      </c>
    </row>
    <row r="9" spans="1:5" ht="16.149999999999999" customHeight="1" x14ac:dyDescent="0.25">
      <c r="A9" s="38">
        <f t="shared" ref="A9:A18" si="4">DATE(YEAR(A8),MONTH(A8)+2,0)</f>
        <v>43982</v>
      </c>
      <c r="B9" s="5">
        <f t="shared" si="0"/>
        <v>28720</v>
      </c>
      <c r="C9" s="5">
        <f t="shared" si="1"/>
        <v>52338</v>
      </c>
      <c r="D9" s="5">
        <f t="shared" si="2"/>
        <v>36870</v>
      </c>
      <c r="E9" s="5">
        <f t="shared" si="3"/>
        <v>0</v>
      </c>
    </row>
    <row r="10" spans="1:5" ht="16.149999999999999" customHeight="1" x14ac:dyDescent="0.25">
      <c r="A10" s="38">
        <f t="shared" si="4"/>
        <v>44012</v>
      </c>
      <c r="B10" s="5">
        <f t="shared" si="0"/>
        <v>27020</v>
      </c>
      <c r="C10" s="5">
        <f t="shared" si="1"/>
        <v>33220</v>
      </c>
      <c r="D10" s="5">
        <f t="shared" si="2"/>
        <v>30670</v>
      </c>
      <c r="E10" s="5">
        <f t="shared" si="3"/>
        <v>0</v>
      </c>
    </row>
    <row r="11" spans="1:5" ht="16.149999999999999" customHeight="1" x14ac:dyDescent="0.25">
      <c r="A11" s="38">
        <f t="shared" si="4"/>
        <v>44043</v>
      </c>
      <c r="B11" s="5">
        <f t="shared" si="0"/>
        <v>54000</v>
      </c>
      <c r="C11" s="5">
        <f t="shared" si="1"/>
        <v>22520</v>
      </c>
      <c r="D11" s="5">
        <f t="shared" si="2"/>
        <v>62150</v>
      </c>
      <c r="E11" s="5">
        <f t="shared" si="3"/>
        <v>0</v>
      </c>
    </row>
    <row r="12" spans="1:5" ht="16.149999999999999" customHeight="1" x14ac:dyDescent="0.25">
      <c r="A12" s="38">
        <f t="shared" si="4"/>
        <v>44074</v>
      </c>
      <c r="B12" s="5">
        <f t="shared" si="0"/>
        <v>35000</v>
      </c>
      <c r="C12" s="5">
        <f t="shared" si="1"/>
        <v>77000</v>
      </c>
      <c r="D12" s="5">
        <f t="shared" si="2"/>
        <v>20150</v>
      </c>
      <c r="E12" s="5">
        <f t="shared" si="3"/>
        <v>0</v>
      </c>
    </row>
    <row r="13" spans="1:5" ht="16.149999999999999" customHeight="1" x14ac:dyDescent="0.25">
      <c r="A13" s="38">
        <f t="shared" si="4"/>
        <v>44104</v>
      </c>
      <c r="B13" s="5">
        <f t="shared" si="0"/>
        <v>31500</v>
      </c>
      <c r="C13" s="5">
        <f t="shared" si="1"/>
        <v>30000</v>
      </c>
      <c r="D13" s="5">
        <f t="shared" si="2"/>
        <v>21650</v>
      </c>
      <c r="E13" s="5">
        <f t="shared" si="3"/>
        <v>0</v>
      </c>
    </row>
    <row r="14" spans="1:5" ht="16.149999999999999" customHeight="1" x14ac:dyDescent="0.25">
      <c r="A14" s="38">
        <f t="shared" si="4"/>
        <v>44135</v>
      </c>
      <c r="B14" s="5">
        <f t="shared" si="0"/>
        <v>29780</v>
      </c>
      <c r="C14" s="5">
        <f t="shared" si="1"/>
        <v>19850</v>
      </c>
      <c r="D14" s="5">
        <f t="shared" si="2"/>
        <v>31580</v>
      </c>
      <c r="E14" s="5">
        <f t="shared" si="3"/>
        <v>0</v>
      </c>
    </row>
    <row r="15" spans="1:5" ht="16.149999999999999" customHeight="1" x14ac:dyDescent="0.25">
      <c r="A15" s="38">
        <f t="shared" si="4"/>
        <v>44165</v>
      </c>
      <c r="B15" s="5">
        <f t="shared" si="0"/>
        <v>29900</v>
      </c>
      <c r="C15" s="5">
        <f t="shared" si="1"/>
        <v>38430</v>
      </c>
      <c r="D15" s="5">
        <f t="shared" si="2"/>
        <v>23050</v>
      </c>
      <c r="E15" s="5">
        <f t="shared" si="3"/>
        <v>0</v>
      </c>
    </row>
    <row r="16" spans="1:5" ht="16.149999999999999" customHeight="1" x14ac:dyDescent="0.25">
      <c r="A16" s="38">
        <f t="shared" si="4"/>
        <v>44196</v>
      </c>
      <c r="B16" s="5">
        <f t="shared" si="0"/>
        <v>21658</v>
      </c>
      <c r="C16" s="5">
        <f t="shared" si="1"/>
        <v>14900</v>
      </c>
      <c r="D16" s="5">
        <f t="shared" si="2"/>
        <v>29808</v>
      </c>
      <c r="E16" s="5">
        <f t="shared" si="3"/>
        <v>0</v>
      </c>
    </row>
    <row r="17" spans="1:5" ht="16.149999999999999" customHeight="1" x14ac:dyDescent="0.25">
      <c r="A17" s="38">
        <f t="shared" si="4"/>
        <v>44227</v>
      </c>
      <c r="B17" s="5">
        <f t="shared" si="0"/>
        <v>37200</v>
      </c>
      <c r="C17" s="5">
        <f t="shared" si="1"/>
        <v>31490</v>
      </c>
      <c r="D17" s="5">
        <f t="shared" si="2"/>
        <v>35518</v>
      </c>
      <c r="E17" s="5">
        <f t="shared" si="3"/>
        <v>0</v>
      </c>
    </row>
    <row r="18" spans="1:5" ht="16.149999999999999" customHeight="1" x14ac:dyDescent="0.25">
      <c r="A18" s="38">
        <f t="shared" si="4"/>
        <v>44255</v>
      </c>
      <c r="B18" s="5">
        <f t="shared" si="0"/>
        <v>67057</v>
      </c>
      <c r="C18" s="5">
        <f t="shared" si="1"/>
        <v>59617</v>
      </c>
      <c r="D18" s="5">
        <f t="shared" si="2"/>
        <v>42958</v>
      </c>
      <c r="E18" s="5">
        <f t="shared" si="3"/>
        <v>11400</v>
      </c>
    </row>
    <row r="19" spans="1:5" s="4" customFormat="1" ht="16.149999999999999" customHeight="1" thickBot="1" x14ac:dyDescent="0.25">
      <c r="A19" s="33"/>
      <c r="B19" s="39">
        <f>SUM(B7:B18)</f>
        <v>448523</v>
      </c>
      <c r="C19" s="39">
        <f>SUM(C7:C18)</f>
        <v>405565</v>
      </c>
      <c r="D19" s="8"/>
    </row>
    <row r="20" spans="1:5" ht="16.149999999999999" customHeight="1" thickTop="1" x14ac:dyDescent="0.25"/>
  </sheetData>
  <sheetProtection formatCells="0" formatColumns="0" formatRows="0"/>
  <phoneticPr fontId="3" type="noConversion"/>
  <conditionalFormatting sqref="B4">
    <cfRule type="expression" dxfId="17" priority="1" stopIfTrue="1">
      <formula>ISBLANK($B$4)=TRUE</formula>
    </cfRule>
  </conditionalFormatting>
  <dataValidations count="1">
    <dataValidation type="date" operator="greaterThan" allowBlank="1" showInputMessage="1" showErrorMessage="1" errorTitle="Invalid Date" error="The date that you entered is invalid. Enter a valid date in accordance with the Regional Settings that have been specified in the System Control Panel." sqref="B4" xr:uid="{00000000-0002-0000-0A00-000000000000}">
      <formula1>36526</formula1>
    </dataValidation>
  </dataValidations>
  <pageMargins left="0.55118110236220474" right="0.55118110236220474" top="0.59055118110236227" bottom="0.59055118110236227" header="0.39370078740157483" footer="0.39370078740157483"/>
  <pageSetup paperSize="9" scale="79" orientation="landscape" r:id="rId1"/>
  <headerFooter alignWithMargins="0">
    <oddFooter>&amp;C&amp;9Page &amp;P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K27"/>
  <sheetViews>
    <sheetView zoomScale="95" workbookViewId="0">
      <selection activeCell="B4" sqref="B4"/>
    </sheetView>
  </sheetViews>
  <sheetFormatPr defaultColWidth="9.140625" defaultRowHeight="16.149999999999999" customHeight="1" x14ac:dyDescent="0.25"/>
  <cols>
    <col min="1" max="1" width="17.7109375" style="2" customWidth="1"/>
    <col min="2" max="19" width="15.7109375" style="2" customWidth="1"/>
    <col min="20" max="16384" width="9.140625" style="2"/>
  </cols>
  <sheetData>
    <row r="1" spans="1:11" ht="16.149999999999999" customHeight="1" x14ac:dyDescent="0.25">
      <c r="A1" s="11" t="str">
        <f>Setup!C5</f>
        <v>Example (Pty) Ltd</v>
      </c>
      <c r="K1" s="14"/>
    </row>
    <row r="2" spans="1:11" ht="16.149999999999999" customHeight="1" x14ac:dyDescent="0.25">
      <c r="A2" s="7" t="s">
        <v>206</v>
      </c>
    </row>
    <row r="3" spans="1:11" ht="16.149999999999999" customHeight="1" x14ac:dyDescent="0.25">
      <c r="A3" s="18" t="s">
        <v>14</v>
      </c>
    </row>
    <row r="4" spans="1:11" ht="16.149999999999999" customHeight="1" x14ac:dyDescent="0.25">
      <c r="A4" s="23" t="s">
        <v>207</v>
      </c>
      <c r="B4" s="24">
        <v>44255</v>
      </c>
      <c r="C4" s="25" t="str">
        <f>IF(ISBLANK(B4)=TRUE,"enter date!","")</f>
        <v/>
      </c>
      <c r="D4" s="26" t="str">
        <f>IF(ISBLANK($B$6)=TRUE,"All Customers",IF(ISBLANK(VLOOKUP($B$6,Customers,2,0))=TRUE,"",VLOOKUP($B$6,Customers,2,0)))</f>
        <v>All Customers</v>
      </c>
      <c r="E4" s="27"/>
      <c r="F4" s="27"/>
      <c r="G4" s="27"/>
    </row>
    <row r="5" spans="1:11" ht="16.149999999999999" customHeight="1" x14ac:dyDescent="0.25">
      <c r="A5" s="27"/>
      <c r="B5" s="27"/>
      <c r="C5" s="27"/>
      <c r="D5" s="193" t="str">
        <f>IF(ISBLANK($B$6)=TRUE,"",IF(ISNA(VLOOKUP($B$6,Customers,3,0))=TRUE,"",IF(ISBLANK(VLOOKUP($B$6,Customers,3,0))=TRUE,"",VLOOKUP($B$6,Customers,3,0)&amp;", ")&amp;IF(ISBLANK(VLOOKUP($B$6,Customers,4,0))=TRUE,"",VLOOKUP($B$6,Customers,4,0)&amp;", "))&amp;IF(ISBLANK(VLOOKUP($B$6,Customers,5,0))=TRUE,"",VLOOKUP($B$6,Customers,5,0)&amp;", ")&amp;IF(ISBLANK(VLOOKUP($B$6,Customers,6,0))=TRUE,"",VLOOKUP($B$6,Customers,6,0)&amp;", ")&amp;IF(ISBLANK(VLOOKUP($B$6,Customers,7,0))=TRUE,"",VLOOKUP($B$6,Customers,7,0)))</f>
        <v/>
      </c>
      <c r="E5" s="193"/>
      <c r="F5" s="193"/>
      <c r="G5" s="193"/>
    </row>
    <row r="6" spans="1:11" ht="16.149999999999999" customHeight="1" x14ac:dyDescent="0.25">
      <c r="A6" s="23" t="s">
        <v>208</v>
      </c>
      <c r="B6" s="28"/>
      <c r="C6" s="27"/>
      <c r="D6" s="193"/>
      <c r="E6" s="193"/>
      <c r="F6" s="193"/>
      <c r="G6" s="193"/>
    </row>
    <row r="7" spans="1:11" ht="16.149999999999999" customHeight="1" x14ac:dyDescent="0.25">
      <c r="A7" s="27"/>
      <c r="B7" s="27"/>
      <c r="C7" s="27"/>
      <c r="D7" s="27"/>
      <c r="E7" s="27"/>
      <c r="F7" s="27"/>
      <c r="G7" s="27"/>
    </row>
    <row r="8" spans="1:11" ht="16.149999999999999" customHeight="1" x14ac:dyDescent="0.25">
      <c r="A8" s="4" t="s">
        <v>209</v>
      </c>
    </row>
    <row r="10" spans="1:11" ht="16.149999999999999" customHeight="1" x14ac:dyDescent="0.25">
      <c r="A10" s="29" t="s">
        <v>210</v>
      </c>
      <c r="B10" s="30" t="s">
        <v>211</v>
      </c>
      <c r="C10" s="30" t="s">
        <v>212</v>
      </c>
      <c r="D10" s="30" t="s">
        <v>213</v>
      </c>
      <c r="E10" s="30" t="s">
        <v>214</v>
      </c>
      <c r="F10" s="30" t="s">
        <v>215</v>
      </c>
      <c r="G10" s="30" t="s">
        <v>216</v>
      </c>
    </row>
    <row r="11" spans="1:11" ht="16.149999999999999" customHeight="1" x14ac:dyDescent="0.25">
      <c r="A11" s="5">
        <f>IF(ISBLANK($B$6)=TRUE,SUMPRODUCT((ISBLANK(Invoice_Number)=FALSE)*(InvoiceDate&lt;=$B$4)*(PayDate&gt;$B$4)*(InvoiceAmount))+SUMPRODUCT((ISBLANK(Invoice_Number)=FALSE)*(InvoiceDate&lt;=$B$4)*(ISBLANK(PayDate)=TRUE)*(InvoiceAmount)),SUMPRODUCT((ISBLANK(Invoice_Number)=FALSE)*(InvoiceDate&lt;=$B$4)*(PayDate&gt;$B$4)*(InvoiceCus=$B$6)*(InvoiceAmount))+SUMPRODUCT((ISBLANK(Invoice_Number)=FALSE)*(InvoiceDate&lt;=$B$4)*(ISBLANK(PayDate)=TRUE)*(InvoiceCus=$B$6)*(InvoiceAmount)))</f>
        <v>42958</v>
      </c>
      <c r="B11" s="5">
        <f>IF(ISBLANK($B$6)=TRUE,SUMPRODUCT((ISBLANK(Invoice_Number)=FALSE)*(InvoiceDate&lt;=A17)*(InvoiceDate&gt;B17)*(PayDate&gt;$B$4)*(InvoiceAmount))+SUMPRODUCT((ISBLANK(Invoice_Number)=FALSE)*(InvoiceDate&lt;=A17)*(InvoiceDate&gt;B17)*(ISBLANK(PayDate)=TRUE)*(InvoiceAmount)),SUMPRODUCT((ISBLANK(Invoice_Number)=FALSE)*(InvoiceDate&lt;=A17)*(InvoiceDate&gt;B17)*(PayDate&gt;$B$4)*(InvoiceCus=$B$6)*(InvoiceAmount))+SUMPRODUCT((ISBLANK(Invoice_Number)=FALSE)*(InvoiceDate&lt;=A17)*(InvoiceDate&gt;B17)*(ISBLANK(PayDate)=TRUE)*(InvoiceCus=$B$6)*(InvoiceAmount)))</f>
        <v>26640</v>
      </c>
      <c r="C11" s="5">
        <f>IF(ISBLANK($B$6)=TRUE,SUMPRODUCT((ISBLANK(Invoice_Number)=FALSE)*(InvoiceDate&lt;=B17)*(InvoiceDate&gt;C17)*(PayDate&gt;$B$4)*(InvoiceAmount))+SUMPRODUCT((ISBLANK(Invoice_Number)=FALSE)*(InvoiceDate&lt;=B17)*(InvoiceDate&gt;C17)*(ISBLANK(PayDate)=TRUE)*(InvoiceAmount)),SUMPRODUCT((ISBLANK(Invoice_Number)=FALSE)*(InvoiceDate&lt;=B17)*(InvoiceDate&gt;C17)*(PayDate&gt;$B$4)*(InvoiceCus=$B$6)*(InvoiceAmount))+SUMPRODUCT((ISBLANK(Invoice_Number)=FALSE)*(InvoiceDate&lt;=B17)*(InvoiceDate&gt;C17)*(ISBLANK(PayDate)=TRUE)*(InvoiceCus=$B$6)*(InvoiceAmount)))</f>
        <v>0</v>
      </c>
      <c r="D11" s="5">
        <f>IF(ISBLANK($B$6)=TRUE,SUMPRODUCT((ISBLANK(Invoice_Number)=FALSE)*(InvoiceDate&lt;=C17)*(InvoiceDate&gt;D17)*(PayDate&gt;$B$4)*(InvoiceAmount))+SUMPRODUCT((ISBLANK(Invoice_Number)=FALSE)*(InvoiceDate&lt;=C17)*(InvoiceDate&gt;D17)*(ISBLANK(PayDate)=TRUE)*(InvoiceAmount)),SUMPRODUCT((ISBLANK(Invoice_Number)=FALSE)*(InvoiceDate&lt;=C17)*(InvoiceDate&gt;D17)*(PayDate&gt;$B$4)*(InvoiceCus=$B$6)*(InvoiceAmount))+SUMPRODUCT((ISBLANK(Invoice_Number)=FALSE)*(InvoiceDate&lt;=C17)*(InvoiceDate&gt;D17)*(ISBLANK(PayDate)=TRUE)*(InvoiceCus=$B$6)*(InvoiceAmount)))</f>
        <v>8168</v>
      </c>
      <c r="E11" s="5">
        <f>IF(ISBLANK($B$6)=TRUE,SUMPRODUCT((ISBLANK(Invoice_Number)=FALSE)*(InvoiceDate&lt;=D17)*(InvoiceDate&gt;E17)*(PayDate&gt;$B$4)*(InvoiceAmount))+SUMPRODUCT((ISBLANK(Invoice_Number)=FALSE)*(InvoiceDate&lt;=D17)*(InvoiceDate&gt;E17)*(ISBLANK(PayDate)=TRUE)*(InvoiceAmount)),SUMPRODUCT((ISBLANK(Invoice_Number)=FALSE)*(InvoiceDate&lt;=D17)*(InvoiceDate&gt;E17)*(PayDate&gt;$B$4)*(InvoiceCus=$B$6)*(InvoiceAmount))+SUMPRODUCT((ISBLANK(Invoice_Number)=FALSE)*(InvoiceDate&lt;=D17)*(InvoiceDate&gt;E17)*(ISBLANK(PayDate)=TRUE)*(InvoiceCus=$B$6)*(InvoiceAmount)))</f>
        <v>0</v>
      </c>
      <c r="F11" s="5">
        <f>IF(ISBLANK($B$6)=TRUE,SUMPRODUCT((ISBLANK(Invoice_Number)=FALSE)*(InvoiceDate&lt;=E17)*(InvoiceDate&gt;F17)*(PayDate&gt;$B$4)*(InvoiceAmount))+SUMPRODUCT((ISBLANK(Invoice_Number)=FALSE)*(InvoiceDate&lt;=E17)*(InvoiceDate&gt;F17)*(ISBLANK(PayDate)=TRUE)*(InvoiceAmount)),SUMPRODUCT((ISBLANK(Invoice_Number)=FALSE)*(InvoiceDate&lt;=E17)*(InvoiceDate&gt;F17)*(PayDate&gt;$B$4)*(InvoiceCus=$B$6)*(InvoiceAmount))+SUMPRODUCT((ISBLANK(Invoice_Number)=FALSE)*(InvoiceDate&lt;=E17)*(InvoiceDate&gt;F17)*(ISBLANK(PayDate)=TRUE)*(InvoiceCus=$B$6)*(InvoiceAmount)))</f>
        <v>0</v>
      </c>
      <c r="G11" s="5">
        <f>IF(ISBLANK($B$6)=TRUE,SUMPRODUCT((ISBLANK(Invoice_Number)=FALSE)*(InvoiceDate&lt;=F17)*(InvoiceDate&gt;A19)*(PayDate&gt;$B$4)*(InvoiceAmount))+SUMPRODUCT((ISBLANK(Invoice_Number)=FALSE)*(InvoiceDate&lt;=F17)*(InvoiceDate&gt;A19)*(ISBLANK(PayDate)=TRUE)*(InvoiceAmount)),SUMPRODUCT((ISBLANK(Invoice_Number)=FALSE)*(InvoiceDate&lt;=F17)*(InvoiceDate&gt;A19)*(PayDate&gt;$B$4)*(InvoiceCus=$B$6)*(InvoiceAmount))+SUMPRODUCT((ISBLANK(Invoice_Number)=FALSE)*(InvoiceDate&lt;=F17)*(InvoiceDate&gt;A19)*(ISBLANK(PayDate)=TRUE)*(InvoiceCus=$B$6)*(InvoiceAmount)))</f>
        <v>0</v>
      </c>
    </row>
    <row r="12" spans="1:11" ht="16.149999999999999" customHeight="1" x14ac:dyDescent="0.25">
      <c r="A12" s="30" t="s">
        <v>217</v>
      </c>
      <c r="B12" s="30" t="s">
        <v>218</v>
      </c>
      <c r="C12" s="30" t="s">
        <v>219</v>
      </c>
      <c r="D12" s="30" t="s">
        <v>220</v>
      </c>
      <c r="E12" s="30" t="s">
        <v>221</v>
      </c>
      <c r="F12" s="30" t="s">
        <v>222</v>
      </c>
      <c r="G12" s="30" t="s">
        <v>226</v>
      </c>
    </row>
    <row r="13" spans="1:11" ht="16.149999999999999" customHeight="1" x14ac:dyDescent="0.25">
      <c r="A13" s="5">
        <f t="shared" ref="A13:F13" si="0">IF(ISBLANK($B$6)=TRUE,SUMPRODUCT((ISBLANK(Invoice_Number)=FALSE)*(InvoiceDate&lt;=A19)*(InvoiceDate&gt;B19)*(PayDate&gt;$B$4)*(InvoiceAmount))+SUMPRODUCT((ISBLANK(Invoice_Number)=FALSE)*(InvoiceDate&lt;=A19)*(InvoiceDate&gt;B19)*(ISBLANK(PayDate)=TRUE)*(InvoiceAmount)),SUMPRODUCT((ISBLANK(Invoice_Number)=FALSE)*(InvoiceDate&lt;=A19)*(InvoiceDate&gt;B19)*(PayDate&gt;$B$4)*(InvoiceCus=$B$6)*(InvoiceAmount))+SUMPRODUCT((ISBLANK(Invoice_Number)=FALSE)*(InvoiceDate&lt;=A19)*(InvoiceDate&gt;B19)*(ISBLANK(PayDate)=TRUE)*(InvoiceCus=$B$6)*(InvoiceAmount)))</f>
        <v>0</v>
      </c>
      <c r="B13" s="5">
        <f t="shared" si="0"/>
        <v>0</v>
      </c>
      <c r="C13" s="5">
        <f t="shared" si="0"/>
        <v>0</v>
      </c>
      <c r="D13" s="5">
        <f t="shared" si="0"/>
        <v>0</v>
      </c>
      <c r="E13" s="5">
        <f t="shared" si="0"/>
        <v>0</v>
      </c>
      <c r="F13" s="5">
        <f t="shared" si="0"/>
        <v>8150</v>
      </c>
      <c r="G13" s="5">
        <f>IF(ISBLANK($B$6)=TRUE,SUMPRODUCT((ISBLANK(Invoice_Number)=FALSE)*(InvoiceDate&lt;=G19)*(PayDate&gt;$B$4)*(InvoiceAmount))+SUMPRODUCT((ISBLANK(Invoice_Number)=FALSE)*(InvoiceDate&lt;=G19)*(ISBLANK(PayDate)=TRUE)*(InvoiceAmount)),SUMPRODUCT((ISBLANK(Invoice_Number)=FALSE)*(InvoiceDate&lt;=G19)*(PayDate&gt;$B$4)*(InvoiceCus=$B$6)*(InvoiceAmount))+SUMPRODUCT((ISBLANK(Invoice_Number)=FALSE)*(InvoiceDate&lt;=G19)*(ISBLANK(PayDate)=TRUE)*(InvoiceCus=$B$6)*(InvoiceAmount)))</f>
        <v>0</v>
      </c>
    </row>
    <row r="15" spans="1:11" ht="16.149999999999999" customHeight="1" x14ac:dyDescent="0.25">
      <c r="A15" s="4" t="s">
        <v>223</v>
      </c>
    </row>
    <row r="17" spans="1:7" ht="16.149999999999999" customHeight="1" x14ac:dyDescent="0.25">
      <c r="A17" s="31">
        <f>IF(DATE(YEAR($B$4),MONTH($B$4),DAY($B$4))=DATE(YEAR($B$4),MONTH($B$4)+1,0),DATE(YEAR($B$4),MONTH($B$4)+1,0),DATE(YEAR($B$4),MONTH($B$4),DAY($B$4)))</f>
        <v>44255</v>
      </c>
      <c r="B17" s="31">
        <f>IF(DATE(YEAR($B$4),MONTH($B$4),DAY($B$4))=DATE(YEAR($B$4),MONTH($B$4)+1,0),DATE(YEAR(A17),MONTH(A17),0),IF(AND(MONTH(DATE(YEAR(A17),MONTH(A17),0))=2,DAY($B$4)&gt;DAY(DATE(YEAR(A17),MONTH(A17),0)))=TRUE,DATE(YEAR(A17),MONTH(A17),0),IF(AND(MONTH(A17)=2,DAY($B$4)&gt;DAY(A17))=TRUE,DATE(YEAR(A17),MONTH(A17)-1,DAY($B$4)),DATE(YEAR(A17),MONTH(A17)-1,DAY(A17)))))</f>
        <v>44227</v>
      </c>
      <c r="C17" s="31">
        <f>IF(DATE(YEAR($B$4),MONTH($B$4),DAY($B$4))=DATE(YEAR($B$4),MONTH($B$4)+1,0),DATE(YEAR(B17),MONTH(B17),0),IF(AND(MONTH(DATE(YEAR(B17),MONTH(B17),0))=2,DAY($B$4)&gt;DAY(DATE(YEAR(B17),MONTH(B17),0)))=TRUE,DATE(YEAR(B17),MONTH(B17),0),IF(AND(MONTH(B17)=2,DAY($B$4)&gt;DAY(B17))=TRUE,DATE(YEAR(B17),MONTH(B17)-1,DAY($B$4)),DATE(YEAR(B17),MONTH(B17)-1,DAY(B17)))))</f>
        <v>44196</v>
      </c>
      <c r="D17" s="31">
        <f>IF(DATE(YEAR($B$4),MONTH($B$4),DAY($B$4))=DATE(YEAR($B$4),MONTH($B$4)+1,0),DATE(YEAR(C17),MONTH(C17),0),IF(AND(MONTH(DATE(YEAR(C17),MONTH(C17),0))=2,DAY($B$4)&gt;DAY(DATE(YEAR(C17),MONTH(C17),0)))=TRUE,DATE(YEAR(C17),MONTH(C17),0),IF(AND(MONTH(C17)=2,DAY($B$4)&gt;DAY(C17))=TRUE,DATE(YEAR(C17),MONTH(C17)-1,DAY($B$4)),DATE(YEAR(C17),MONTH(C17)-1,DAY(C17)))))</f>
        <v>44165</v>
      </c>
      <c r="E17" s="31">
        <f>IF(DATE(YEAR($B$4),MONTH($B$4),DAY($B$4))=DATE(YEAR($B$4),MONTH($B$4)+1,0),DATE(YEAR(D17),MONTH(D17),0),IF(AND(MONTH(DATE(YEAR(D17),MONTH(D17),0))=2,DAY($B$4)&gt;DAY(DATE(YEAR(D17),MONTH(D17),0)))=TRUE,DATE(YEAR(D17),MONTH(D17),0),IF(AND(MONTH(D17)=2,DAY($B$4)&gt;DAY(D17))=TRUE,DATE(YEAR(D17),MONTH(D17)-1,DAY($B$4)),DATE(YEAR(D17),MONTH(D17)-1,DAY(D17)))))</f>
        <v>44135</v>
      </c>
      <c r="F17" s="31">
        <f>IF(DATE(YEAR($B$4),MONTH($B$4),DAY($B$4))=DATE(YEAR($B$4),MONTH($B$4)+1,0),DATE(YEAR(E17),MONTH(E17),0),IF(AND(MONTH(DATE(YEAR(E17),MONTH(E17),0))=2,DAY($B$4)&gt;DAY(DATE(YEAR(E17),MONTH(E17),0)))=TRUE,DATE(YEAR(E17),MONTH(E17),0),IF(AND(MONTH(E17)=2,DAY($B$4)&gt;DAY(E17))=TRUE,DATE(YEAR(E17),MONTH(E17)-1,DAY($B$4)),DATE(YEAR(E17),MONTH(E17)-1,DAY(E17)))))</f>
        <v>44104</v>
      </c>
    </row>
    <row r="18" spans="1:7" s="5" customFormat="1" ht="16.149999999999999" customHeight="1" x14ac:dyDescent="0.25">
      <c r="A18" s="5">
        <f t="shared" ref="A18:F18" si="1">IF(DATE(YEAR($B$4),MONTH($B$4),DAY($B$4))=DATE(YEAR($B$4),MONTH($B$4)+1,0),IF(ISBLANK($B$6)=TRUE,SUMPRODUCT((ISBLANK(Invoice_Number)=FALSE)*(InvoiceDate&gt;=DATE(YEAR(A17),MONTH(A17),1))*(InvoiceDate&lt;=A17)*(InvoiceAmount)),SUMPRODUCT((ISBLANK(Invoice_Number)=FALSE)*(InvoiceDate&gt;=DATE(YEAR(A17),MONTH(A17),1))*(InvoiceDate&lt;=A17)*(InvoiceCus=$B$6)*(InvoiceAmount))),IF(ISBLANK($B$6)=TRUE,SUMPRODUCT((ISBLANK(Invoice_Number)=FALSE)*(InvoiceDate&gt;DATE(YEAR(A17),MONTH(A17)-1,DAY(A17)))*(InvoiceDate&lt;=A17)*(InvoiceAmount)),SUMPRODUCT((ISBLANK(Invoice_Number)=FALSE)*(InvoiceDate&gt;DATE(YEAR(A17),MONTH(A17)-1,DAY(A17)))*(InvoiceDate&lt;=A17)*(InvoiceCus=$B$6)*(InvoiceAmount))))</f>
        <v>67057</v>
      </c>
      <c r="B18" s="5">
        <f t="shared" si="1"/>
        <v>37200</v>
      </c>
      <c r="C18" s="5">
        <f t="shared" si="1"/>
        <v>21658</v>
      </c>
      <c r="D18" s="5">
        <f t="shared" si="1"/>
        <v>29900</v>
      </c>
      <c r="E18" s="5">
        <f t="shared" si="1"/>
        <v>29780</v>
      </c>
      <c r="F18" s="5">
        <f t="shared" si="1"/>
        <v>31500</v>
      </c>
    </row>
    <row r="19" spans="1:7" ht="16.149999999999999" customHeight="1" x14ac:dyDescent="0.25">
      <c r="A19" s="31">
        <f>IF(DATE(YEAR($B$4),MONTH($B$4),DAY($B$4))=DATE(YEAR($B$4),MONTH($B$4)+1,0),DATE(YEAR(F17),MONTH(F17),0),IF(AND(MONTH(DATE(YEAR(F17),MONTH(F17),0))=2,DAY($B$4)&gt;DAY(DATE(YEAR(F17),MONTH(F17),0)))=TRUE,DATE(YEAR(F17),MONTH(F17),0),IF(AND(MONTH(F17)=2,DAY($B$4)&gt;DAY(F17))=TRUE,DATE(YEAR(F17),MONTH(F17)-1,DAY($B$4)),DATE(YEAR(F17),MONTH(F17)-1,DAY(F17)))))</f>
        <v>44074</v>
      </c>
      <c r="B19" s="31">
        <f>IF(DATE(YEAR($B$4),MONTH($B$4),DAY($B$4))=DATE(YEAR($B$4),MONTH($B$4)+1,0),DATE(YEAR(A19),MONTH(A19),0),IF(AND(MONTH(DATE(YEAR(A19),MONTH(A19),0))=2,DAY($B$4)&gt;DAY(DATE(YEAR(A19),MONTH(A19),0)))=TRUE,DATE(YEAR(A19),MONTH(A19),0),IF(AND(MONTH(A19)=2,DAY($B$4)&gt;DAY(A19))=TRUE,DATE(YEAR(A19),MONTH(A19)-1,DAY($B$4)),DATE(YEAR(A19),MONTH(A19)-1,DAY(A19)))))</f>
        <v>44043</v>
      </c>
      <c r="C19" s="31">
        <f>IF(DATE(YEAR($B$4),MONTH($B$4),DAY($B$4))=DATE(YEAR($B$4),MONTH($B$4)+1,0),DATE(YEAR(B19),MONTH(B19),0),IF(AND(MONTH(DATE(YEAR(B19),MONTH(B19),0))=2,DAY($B$4)&gt;DAY(DATE(YEAR(B19),MONTH(B19),0)))=TRUE,DATE(YEAR(B19),MONTH(B19),0),IF(AND(MONTH(B19)=2,DAY($B$4)&gt;DAY(B19))=TRUE,DATE(YEAR(B19),MONTH(B19)-1,DAY($B$4)),DATE(YEAR(B19),MONTH(B19)-1,DAY(B19)))))</f>
        <v>44012</v>
      </c>
      <c r="D19" s="31">
        <f>IF(DATE(YEAR($B$4),MONTH($B$4),DAY($B$4))=DATE(YEAR($B$4),MONTH($B$4)+1,0),DATE(YEAR(C19),MONTH(C19),0),IF(AND(MONTH(DATE(YEAR(C19),MONTH(C19),0))=2,DAY($B$4)&gt;DAY(DATE(YEAR(C19),MONTH(C19),0)))=TRUE,DATE(YEAR(C19),MONTH(C19),0),IF(AND(MONTH(C19)=2,DAY($B$4)&gt;DAY(C19))=TRUE,DATE(YEAR(C19),MONTH(C19)-1,DAY($B$4)),DATE(YEAR(C19),MONTH(C19)-1,DAY(C19)))))</f>
        <v>43982</v>
      </c>
      <c r="E19" s="31">
        <f>IF(DATE(YEAR($B$4),MONTH($B$4),DAY($B$4))=DATE(YEAR($B$4),MONTH($B$4)+1,0),DATE(YEAR(D19),MONTH(D19),0),IF(AND(MONTH(DATE(YEAR(D19),MONTH(D19),0))=2,DAY($B$4)&gt;DAY(DATE(YEAR(D19),MONTH(D19),0)))=TRUE,DATE(YEAR(D19),MONTH(D19),0),IF(AND(MONTH(D19)=2,DAY($B$4)&gt;DAY(D19))=TRUE,DATE(YEAR(D19),MONTH(D19)-1,DAY($B$4)),DATE(YEAR(D19),MONTH(D19)-1,DAY(D19)))))</f>
        <v>43951</v>
      </c>
      <c r="F19" s="31">
        <f>IF(DATE(YEAR($B$4),MONTH($B$4),DAY($B$4))=DATE(YEAR($B$4),MONTH($B$4)+1,0),DATE(YEAR(E19),MONTH(E19),0),IF(AND(MONTH(DATE(YEAR(E19),MONTH(E19),0))=2,DAY($B$4)&gt;DAY(DATE(YEAR(E19),MONTH(E19),0)))=TRUE,DATE(YEAR(E19),MONTH(E19),0),IF(AND(MONTH(E19)=2,DAY($B$4)&gt;DAY(E19))=TRUE,DATE(YEAR(E19),MONTH(E19)-1,DAY($B$4)),DATE(YEAR(E19),MONTH(E19)-1,DAY(E19)))))</f>
        <v>43921</v>
      </c>
      <c r="G19" s="32">
        <f>IF(DATE(YEAR($B$4),MONTH($B$4),DAY($B$4))=DATE(YEAR($B$4),MONTH($B$4)+1,0),DATE(YEAR(F19),MONTH(F19),0),DATE(YEAR(F19),MONTH(F19)-1,DAY(F19)))</f>
        <v>43890</v>
      </c>
    </row>
    <row r="20" spans="1:7" s="5" customFormat="1" ht="16.149999999999999" customHeight="1" x14ac:dyDescent="0.25">
      <c r="A20" s="5">
        <f t="shared" ref="A20:F20" si="2">IF(DATE(YEAR($B$4),MONTH($B$4),DAY($B$4))=DATE(YEAR($B$4),MONTH($B$4)+1,0),IF(ISBLANK($B$6)=TRUE,SUMPRODUCT((ISBLANK(Invoice_Number)=FALSE)*(InvoiceDate&gt;=DATE(YEAR(A19),MONTH(A19),1))*(InvoiceDate&lt;=A19)*(InvoiceAmount)),SUMPRODUCT((ISBLANK(Invoice_Number)=FALSE)*(InvoiceDate&gt;=DATE(YEAR(A19),MONTH(A19),1))*(InvoiceDate&lt;=A19)*(InvoiceCus=$B$6)*(InvoiceAmount))),IF(ISBLANK($B$6)=TRUE,SUMPRODUCT((ISBLANK(Invoice_Number)=FALSE)*(InvoiceDate&gt;DATE(YEAR(A19),MONTH(A19)-1,DAY(A19)))*(InvoiceDate&lt;=A19)*(InvoiceAmount)),SUMPRODUCT((ISBLANK(Invoice_Number)=FALSE)*(InvoiceDate&gt;DATE(YEAR(A19),MONTH(A19)-1,DAY(A19)))*(InvoiceDate&lt;=A19)*(InvoiceCus=$B$6)*(InvoiceAmount))))</f>
        <v>35000</v>
      </c>
      <c r="B20" s="5">
        <f t="shared" si="2"/>
        <v>54000</v>
      </c>
      <c r="C20" s="5">
        <f t="shared" si="2"/>
        <v>27020</v>
      </c>
      <c r="D20" s="5">
        <f t="shared" si="2"/>
        <v>28720</v>
      </c>
      <c r="E20" s="5">
        <f t="shared" si="2"/>
        <v>67338</v>
      </c>
      <c r="F20" s="5">
        <f t="shared" si="2"/>
        <v>19350</v>
      </c>
    </row>
    <row r="22" spans="1:7" ht="16.149999999999999" customHeight="1" x14ac:dyDescent="0.25">
      <c r="A22" s="4" t="s">
        <v>224</v>
      </c>
    </row>
    <row r="24" spans="1:7" ht="16.149999999999999" customHeight="1" x14ac:dyDescent="0.25">
      <c r="A24" s="31">
        <f>IF(DATE(YEAR($B$4),MONTH($B$4),DAY($B$4))=DATE(YEAR($B$4),MONTH($B$4)+1,0),DATE(YEAR($B$4),MONTH($B$4)+1,0),DATE(YEAR($B$4),MONTH($B$4),DAY($B$4)))</f>
        <v>44255</v>
      </c>
      <c r="B24" s="31">
        <f>IF(DATE(YEAR($B$4),MONTH($B$4),DAY($B$4))=DATE(YEAR($B$4),MONTH($B$4)+1,0),DATE(YEAR(A24),MONTH(A24),0),IF(AND(MONTH(DATE(YEAR(A24),MONTH(A24),0))=2,DAY($B$4)&gt;DAY(DATE(YEAR(A24),MONTH(A24),0)))=TRUE,DATE(YEAR(A24),MONTH(A24),0),IF(AND(MONTH(A24)=2,DAY($B$4)&gt;DAY(A24))=TRUE,DATE(YEAR(A24),MONTH(A24)-1,DAY($B$4)),DATE(YEAR(A24),MONTH(A24)-1,DAY(A24)))))</f>
        <v>44227</v>
      </c>
      <c r="C24" s="31">
        <f>IF(DATE(YEAR($B$4),MONTH($B$4),DAY($B$4))=DATE(YEAR($B$4),MONTH($B$4)+1,0),DATE(YEAR(B24),MONTH(B24),0),IF(AND(MONTH(DATE(YEAR(B24),MONTH(B24),0))=2,DAY($B$4)&gt;DAY(DATE(YEAR(B24),MONTH(B24),0)))=TRUE,DATE(YEAR(B24),MONTH(B24),0),IF(AND(MONTH(B24)=2,DAY($B$4)&gt;DAY(B24))=TRUE,DATE(YEAR(B24),MONTH(B24)-1,DAY($B$4)),DATE(YEAR(B24),MONTH(B24)-1,DAY(B24)))))</f>
        <v>44196</v>
      </c>
      <c r="D24" s="31">
        <f>IF(DATE(YEAR($B$4),MONTH($B$4),DAY($B$4))=DATE(YEAR($B$4),MONTH($B$4)+1,0),DATE(YEAR(C24),MONTH(C24),0),IF(AND(MONTH(DATE(YEAR(C24),MONTH(C24),0))=2,DAY($B$4)&gt;DAY(DATE(YEAR(C24),MONTH(C24),0)))=TRUE,DATE(YEAR(C24),MONTH(C24),0),IF(AND(MONTH(C24)=2,DAY($B$4)&gt;DAY(C24))=TRUE,DATE(YEAR(C24),MONTH(C24)-1,DAY($B$4)),DATE(YEAR(C24),MONTH(C24)-1,DAY(C24)))))</f>
        <v>44165</v>
      </c>
      <c r="E24" s="31">
        <f>IF(DATE(YEAR($B$4),MONTH($B$4),DAY($B$4))=DATE(YEAR($B$4),MONTH($B$4)+1,0),DATE(YEAR(D24),MONTH(D24),0),IF(AND(MONTH(DATE(YEAR(D24),MONTH(D24),0))=2,DAY($B$4)&gt;DAY(DATE(YEAR(D24),MONTH(D24),0)))=TRUE,DATE(YEAR(D24),MONTH(D24),0),IF(AND(MONTH(D24)=2,DAY($B$4)&gt;DAY(D24))=TRUE,DATE(YEAR(D24),MONTH(D24)-1,DAY($B$4)),DATE(YEAR(D24),MONTH(D24)-1,DAY(D24)))))</f>
        <v>44135</v>
      </c>
      <c r="F24" s="31">
        <f>IF(DATE(YEAR($B$4),MONTH($B$4),DAY($B$4))=DATE(YEAR($B$4),MONTH($B$4)+1,0),DATE(YEAR(E24),MONTH(E24),0),IF(AND(MONTH(DATE(YEAR(E24),MONTH(E24),0))=2,DAY($B$4)&gt;DAY(DATE(YEAR(E24),MONTH(E24),0)))=TRUE,DATE(YEAR(E24),MONTH(E24),0),IF(AND(MONTH(E24)=2,DAY($B$4)&gt;DAY(E24))=TRUE,DATE(YEAR(E24),MONTH(E24)-1,DAY($B$4)),DATE(YEAR(E24),MONTH(E24)-1,DAY(E24)))))</f>
        <v>44104</v>
      </c>
    </row>
    <row r="25" spans="1:7" ht="16.149999999999999" customHeight="1" x14ac:dyDescent="0.25">
      <c r="A25" s="5">
        <f t="shared" ref="A25:F25" si="3">IF(ISBLANK($B$6)=TRUE,SUMPRODUCT((ISBLANK(Invoice_Number)=FALSE)*(InvoiceDate&lt;=A24)*(PayDate&gt;A24)*(InvoiceAmount))+SUMPRODUCT((ISBLANK(Invoice_Number)=FALSE)*(InvoiceDate&lt;=A24)*(ISBLANK(PayDate)=TRUE)*(InvoiceAmount)),SUMPRODUCT((ISBLANK(Invoice_Number)=FALSE)*(InvoiceDate&lt;=A24)*(PayDate&gt;A24)*(InvoiceCus=$B$6)*(InvoiceAmount))+SUMPRODUCT((ISBLANK(Invoice_Number)=FALSE)*(InvoiceDate&lt;=A24)*(ISBLANK(PayDate)=TRUE)*(InvoiceCus=$B$6)*(InvoiceAmount)))</f>
        <v>42958</v>
      </c>
      <c r="B25" s="5">
        <f t="shared" si="3"/>
        <v>35518</v>
      </c>
      <c r="C25" s="5">
        <f t="shared" si="3"/>
        <v>29808</v>
      </c>
      <c r="D25" s="5">
        <f t="shared" si="3"/>
        <v>23050</v>
      </c>
      <c r="E25" s="5">
        <f t="shared" si="3"/>
        <v>31580</v>
      </c>
      <c r="F25" s="5">
        <f t="shared" si="3"/>
        <v>21650</v>
      </c>
    </row>
    <row r="26" spans="1:7" ht="16.149999999999999" customHeight="1" x14ac:dyDescent="0.25">
      <c r="A26" s="31">
        <f>IF(DATE(YEAR($B$4),MONTH($B$4),DAY($B$4))=DATE(YEAR($B$4),MONTH($B$4)+1,0),DATE(YEAR(F24),MONTH(F24),0),IF(AND(MONTH(DATE(YEAR(F24),MONTH(F24),0))=2,DAY($B$4)&gt;DAY(DATE(YEAR(F24),MONTH(F24),0)))=TRUE,DATE(YEAR(F24),MONTH(F24),0),IF(AND(MONTH(F24)=2,DAY($B$4)&gt;DAY(F24))=TRUE,DATE(YEAR(F24),MONTH(F24)-1,DAY($B$4)),DATE(YEAR(F24),MONTH(F24)-1,DAY(F24)))))</f>
        <v>44074</v>
      </c>
      <c r="B26" s="31">
        <f>IF(DATE(YEAR($B$4),MONTH($B$4),DAY($B$4))=DATE(YEAR($B$4),MONTH($B$4)+1,0),DATE(YEAR(A26),MONTH(A26),0),IF(AND(MONTH(DATE(YEAR(A26),MONTH(A26),0))=2,DAY($B$4)&gt;DAY(DATE(YEAR(A26),MONTH(A26),0)))=TRUE,DATE(YEAR(A26),MONTH(A26),0),IF(AND(MONTH(A26)=2,DAY($B$4)&gt;DAY(A26))=TRUE,DATE(YEAR(A26),MONTH(A26)-1,DAY($B$4)),DATE(YEAR(A26),MONTH(A26)-1,DAY(A26)))))</f>
        <v>44043</v>
      </c>
      <c r="C26" s="31">
        <f>IF(DATE(YEAR($B$4),MONTH($B$4),DAY($B$4))=DATE(YEAR($B$4),MONTH($B$4)+1,0),DATE(YEAR(B26),MONTH(B26),0),IF(AND(MONTH(DATE(YEAR(B26),MONTH(B26),0))=2,DAY($B$4)&gt;DAY(DATE(YEAR(B26),MONTH(B26),0)))=TRUE,DATE(YEAR(B26),MONTH(B26),0),IF(AND(MONTH(B26)=2,DAY($B$4)&gt;DAY(B26))=TRUE,DATE(YEAR(B26),MONTH(B26)-1,DAY($B$4)),DATE(YEAR(B26),MONTH(B26)-1,DAY(B26)))))</f>
        <v>44012</v>
      </c>
      <c r="D26" s="31">
        <f>IF(DATE(YEAR($B$4),MONTH($B$4),DAY($B$4))=DATE(YEAR($B$4),MONTH($B$4)+1,0),DATE(YEAR(C26),MONTH(C26),0),IF(AND(MONTH(DATE(YEAR(C26),MONTH(C26),0))=2,DAY($B$4)&gt;DAY(DATE(YEAR(C26),MONTH(C26),0)))=TRUE,DATE(YEAR(C26),MONTH(C26),0),IF(AND(MONTH(C26)=2,DAY($B$4)&gt;DAY(C26))=TRUE,DATE(YEAR(C26),MONTH(C26)-1,DAY($B$4)),DATE(YEAR(C26),MONTH(C26)-1,DAY(C26)))))</f>
        <v>43982</v>
      </c>
      <c r="E26" s="31">
        <f>IF(DATE(YEAR($B$4),MONTH($B$4),DAY($B$4))=DATE(YEAR($B$4),MONTH($B$4)+1,0),DATE(YEAR(D26),MONTH(D26),0),IF(AND(MONTH(DATE(YEAR(D26),MONTH(D26),0))=2,DAY($B$4)&gt;DAY(DATE(YEAR(D26),MONTH(D26),0)))=TRUE,DATE(YEAR(D26),MONTH(D26),0),IF(AND(MONTH(D26)=2,DAY($B$4)&gt;DAY(D26))=TRUE,DATE(YEAR(D26),MONTH(D26)-1,DAY($B$4)),DATE(YEAR(D26),MONTH(D26)-1,DAY(D26)))))</f>
        <v>43951</v>
      </c>
      <c r="F26" s="31">
        <f>IF(DATE(YEAR($B$4),MONTH($B$4),DAY($B$4))=DATE(YEAR($B$4),MONTH($B$4)+1,0),DATE(YEAR(E26),MONTH(E26),0),IF(AND(MONTH(DATE(YEAR(E26),MONTH(E26),0))=2,DAY($B$4)&gt;DAY(DATE(YEAR(E26),MONTH(E26),0)))=TRUE,DATE(YEAR(E26),MONTH(E26),0),IF(AND(MONTH(E26)=2,DAY($B$4)&gt;DAY(E26))=TRUE,DATE(YEAR(E26),MONTH(E26)-1,DAY($B$4)),DATE(YEAR(E26),MONTH(E26)-1,DAY(E26)))))</f>
        <v>43921</v>
      </c>
    </row>
    <row r="27" spans="1:7" ht="16.149999999999999" customHeight="1" x14ac:dyDescent="0.25">
      <c r="A27" s="5">
        <f t="shared" ref="A27:F27" si="4">IF(ISBLANK($B$6)=TRUE,SUMPRODUCT((ISBLANK(Invoice_Number)=FALSE)*(InvoiceDate&lt;=A26)*(PayDate&gt;A26)*(InvoiceAmount))+SUMPRODUCT((ISBLANK(Invoice_Number)=FALSE)*(InvoiceDate&lt;=A26)*(ISBLANK(PayDate)=TRUE)*(InvoiceAmount)),SUMPRODUCT((ISBLANK(Invoice_Number)=FALSE)*(InvoiceDate&lt;=A26)*(PayDate&gt;A26)*(InvoiceCus=$B$6)*(InvoiceAmount))+SUMPRODUCT((ISBLANK(Invoice_Number)=FALSE)*(InvoiceDate&lt;=A26)*(ISBLANK(PayDate)=TRUE)*(InvoiceCus=$B$6)*(InvoiceAmount)))</f>
        <v>20150</v>
      </c>
      <c r="B27" s="5">
        <f t="shared" si="4"/>
        <v>62150</v>
      </c>
      <c r="C27" s="5">
        <f t="shared" si="4"/>
        <v>30670</v>
      </c>
      <c r="D27" s="5">
        <f t="shared" si="4"/>
        <v>36870</v>
      </c>
      <c r="E27" s="5">
        <f t="shared" si="4"/>
        <v>60488</v>
      </c>
      <c r="F27" s="5">
        <f t="shared" si="4"/>
        <v>19350</v>
      </c>
    </row>
  </sheetData>
  <sheetProtection formatCells="0" formatColumns="0" formatRows="0"/>
  <mergeCells count="1">
    <mergeCell ref="D5:G6"/>
  </mergeCells>
  <phoneticPr fontId="3" type="noConversion"/>
  <conditionalFormatting sqref="B4">
    <cfRule type="expression" dxfId="16" priority="1" stopIfTrue="1">
      <formula>ISBLANK($B$4)=TRUE</formula>
    </cfRule>
  </conditionalFormatting>
  <dataValidations count="2">
    <dataValidation type="list" allowBlank="1" showInputMessage="1" showErrorMessage="1" errorTitle="Invalid Customer Code" error="Select a customer code from the list box or clear the cell contents to display the balances for all customers." sqref="B6" xr:uid="{00000000-0002-0000-0B00-000000000000}">
      <formula1>Customer_Code</formula1>
    </dataValidation>
    <dataValidation type="date" operator="greaterThan" showInputMessage="1" showErrorMessage="1" errorTitle="Invalid Date" error="The date that you entered is invalid. Enter a valid date in accordance with the Regional Settings that have been specified in the System Control Panel." sqref="B4" xr:uid="{00000000-0002-0000-0B00-000001000000}">
      <formula1>36526</formula1>
    </dataValidation>
  </dataValidations>
  <pageMargins left="0.55118110236220474" right="0.55118110236220474" top="0.59055118110236227" bottom="0.59055118110236227" header="0.39370078740157483" footer="0.39370078740157483"/>
  <pageSetup paperSize="9" scale="78" orientation="landscape" r:id="rId1"/>
  <headerFooter alignWithMargins="0">
    <oddFooter>&amp;C&amp;9Page &amp;P of &amp;N</oddFooter>
  </headerFooter>
  <ignoredErrors>
    <ignoredError sqref="A19 A26 B26:F26 B19:F19 B18:F18 B25:F25" formula="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K25"/>
  <sheetViews>
    <sheetView zoomScale="95" workbookViewId="0">
      <pane ySplit="5" topLeftCell="A6" activePane="bottomLeft" state="frozen"/>
      <selection pane="bottomLeft" activeCell="A5" sqref="A5"/>
    </sheetView>
  </sheetViews>
  <sheetFormatPr defaultColWidth="9.140625" defaultRowHeight="16.149999999999999" customHeight="1" x14ac:dyDescent="0.25"/>
  <cols>
    <col min="1" max="1" width="11.7109375" style="2" customWidth="1"/>
    <col min="2" max="2" width="27.28515625" style="2" customWidth="1"/>
    <col min="3" max="11" width="15.7109375" style="5" customWidth="1"/>
    <col min="12" max="29" width="14.7109375" style="2" customWidth="1"/>
    <col min="30" max="16384" width="9.140625" style="2"/>
  </cols>
  <sheetData>
    <row r="1" spans="1:11" ht="16.149999999999999" customHeight="1" x14ac:dyDescent="0.25">
      <c r="A1" s="11" t="str">
        <f>Setup!A1</f>
        <v>Example (Pty) Ltd</v>
      </c>
      <c r="C1" s="12"/>
      <c r="J1" s="13"/>
      <c r="K1" s="14"/>
    </row>
    <row r="2" spans="1:11" ht="16.149999999999999" customHeight="1" x14ac:dyDescent="0.25">
      <c r="A2" s="7" t="s">
        <v>0</v>
      </c>
      <c r="C2" s="15"/>
      <c r="D2" s="16">
        <f ca="1">IF($B$3=DATE(YEAR($B$3),MONTH($B$3)+1,0)=TRUE,DATE(YEAR($B$3),MONTH($B$3)+1-COLUMN(D5)+COLUMN($D5),0),IF(AND(MONTH(DATE(YEAR($B$3),MONTH($B$3)+1-COLUMN(D5)+COLUMN($D5),0))=2,DAY($B$3)&gt;DAY(DATE(YEAR($B$3),MONTH($B$3)+1-COLUMN(D5)+COLUMN($D5),0)))=TRUE,DATE(YEAR($B$3),MONTH($B$3)+1-COLUMN(D5)+COLUMN($D5),0),DATE(YEAR($B$3),MONTH($B$3)-COLUMN(D5)+COLUMN($D5),DAY($B$3))))</f>
        <v>44255</v>
      </c>
      <c r="E2" s="16">
        <f t="shared" ref="E2:K2" ca="1" si="0">IF($B$3=DATE(YEAR($B$3),MONTH($B$3)+1,0)=TRUE,DATE(YEAR($B$3),MONTH($B$3)+1-COLUMN(E5)+COLUMN($D5),0),IF(AND(MONTH(DATE(YEAR($B$3),MONTH($B$3)+1-COLUMN(E5)+COLUMN($D5),0))=2,DAY($B$3)&gt;DAY(DATE(YEAR($B$3),MONTH($B$3)+1-COLUMN(E5)+COLUMN($D5),0)))=TRUE,DATE(YEAR($B$3),MONTH($B$3)+1-COLUMN(E5)+COLUMN($D5),0),DATE(YEAR($B$3),MONTH($B$3)-COLUMN(E5)+COLUMN($D5),DAY($B$3))))</f>
        <v>44227</v>
      </c>
      <c r="F2" s="16">
        <f t="shared" ca="1" si="0"/>
        <v>44196</v>
      </c>
      <c r="G2" s="16">
        <f t="shared" ca="1" si="0"/>
        <v>44165</v>
      </c>
      <c r="H2" s="16">
        <f t="shared" ca="1" si="0"/>
        <v>44135</v>
      </c>
      <c r="I2" s="16">
        <f t="shared" ca="1" si="0"/>
        <v>44104</v>
      </c>
      <c r="J2" s="16">
        <f t="shared" ca="1" si="0"/>
        <v>44074</v>
      </c>
      <c r="K2" s="16">
        <f t="shared" ca="1" si="0"/>
        <v>44043</v>
      </c>
    </row>
    <row r="3" spans="1:11" ht="16.149999999999999" customHeight="1" x14ac:dyDescent="0.25">
      <c r="A3" s="7" t="s">
        <v>1</v>
      </c>
      <c r="B3" s="17">
        <f ca="1">IF(ISBLANK(Ageing!$B$4)=TRUE,TODAY(),Ageing!$B$4)</f>
        <v>44255</v>
      </c>
      <c r="C3" s="15"/>
      <c r="D3" s="16">
        <f ca="1">IF($B$3=DATE(YEAR($B$3),MONTH($B$3)+1,0)=TRUE,DATE(YEAR($B$3),MONTH($B$3)+1-COLUMN(D5)+COLUMN($C5),0),IF(AND(MONTH(DATE(YEAR($B$3),MONTH($B$3)+1-COLUMN(D5)+COLUMN($C5),0))=2,DAY($B$3)&gt;DAY(DATE(YEAR($B$3),MONTH($B$3)+1-COLUMN(D5)+COLUMN($C5),0)))=TRUE,DATE(YEAR($B$3),MONTH($B$3)+1-COLUMN(D5)+COLUMN($C5),0),DATE(YEAR($B$3),MONTH($B$3)-COLUMN(D5)+COLUMN($C5),DAY($B$3))))</f>
        <v>44227</v>
      </c>
      <c r="E3" s="16">
        <f t="shared" ref="E3:K3" ca="1" si="1">IF($B$3=DATE(YEAR($B$3),MONTH($B$3)+1,0)=TRUE,DATE(YEAR($B$3),MONTH($B$3)+1-COLUMN(E5)+COLUMN($C5),0),IF(AND(MONTH(DATE(YEAR($B$3),MONTH($B$3)+1-COLUMN(E5)+COLUMN($C5),0))=2,DAY($B$3)&gt;DAY(DATE(YEAR($B$3),MONTH($B$3)+1-COLUMN(E5)+COLUMN($C5),0)))=TRUE,DATE(YEAR($B$3),MONTH($B$3)+1-COLUMN(E5)+COLUMN($C5),0),DATE(YEAR($B$3),MONTH($B$3)-COLUMN(E5)+COLUMN($C5),DAY($B$3))))</f>
        <v>44196</v>
      </c>
      <c r="F3" s="16">
        <f t="shared" ca="1" si="1"/>
        <v>44165</v>
      </c>
      <c r="G3" s="16">
        <f t="shared" ca="1" si="1"/>
        <v>44135</v>
      </c>
      <c r="H3" s="16">
        <f t="shared" ca="1" si="1"/>
        <v>44104</v>
      </c>
      <c r="I3" s="16">
        <f t="shared" ca="1" si="1"/>
        <v>44074</v>
      </c>
      <c r="J3" s="16">
        <f t="shared" ca="1" si="1"/>
        <v>44043</v>
      </c>
      <c r="K3" s="16">
        <f t="shared" ca="1" si="1"/>
        <v>44012</v>
      </c>
    </row>
    <row r="4" spans="1:11" s="7" customFormat="1" ht="16.149999999999999" customHeight="1" x14ac:dyDescent="0.25">
      <c r="A4" s="18" t="s">
        <v>14</v>
      </c>
      <c r="C4" s="19">
        <f ca="1">SUBTOTAL(109,Balance[[#Data],[Balance]])</f>
        <v>42958</v>
      </c>
      <c r="D4" s="19">
        <f ca="1">SUBTOTAL(109,Balance[[#Data],[Current]])</f>
        <v>26640</v>
      </c>
      <c r="E4" s="19">
        <f ca="1">SUBTOTAL(109,Balance[[#Data],[30 Days]])</f>
        <v>0</v>
      </c>
      <c r="F4" s="19">
        <f ca="1">SUBTOTAL(109,Balance[[#Data],[60 Days]])</f>
        <v>8168</v>
      </c>
      <c r="G4" s="19">
        <f ca="1">SUBTOTAL(109,Balance[[#Data],[90 Days]])</f>
        <v>0</v>
      </c>
      <c r="H4" s="19">
        <f ca="1">SUBTOTAL(109,Balance[[#Data],[120 Days]])</f>
        <v>0</v>
      </c>
      <c r="I4" s="19">
        <f ca="1">SUBTOTAL(109,Balance[[#Data],[150 Days]])</f>
        <v>0</v>
      </c>
      <c r="J4" s="19">
        <f ca="1">SUBTOTAL(109,Balance[[#Data],[180 Days]])</f>
        <v>0</v>
      </c>
      <c r="K4" s="19">
        <f ca="1">SUBTOTAL(109,Balance[[#Data],[+180 Days]])</f>
        <v>8150</v>
      </c>
    </row>
    <row r="5" spans="1:11" s="22" customFormat="1" ht="18" customHeight="1" x14ac:dyDescent="0.25">
      <c r="A5" s="20" t="s">
        <v>28</v>
      </c>
      <c r="B5" s="20" t="s">
        <v>29</v>
      </c>
      <c r="C5" s="21" t="s">
        <v>210</v>
      </c>
      <c r="D5" s="21" t="s">
        <v>211</v>
      </c>
      <c r="E5" s="21" t="s">
        <v>212</v>
      </c>
      <c r="F5" s="21" t="s">
        <v>213</v>
      </c>
      <c r="G5" s="21" t="s">
        <v>214</v>
      </c>
      <c r="H5" s="21" t="s">
        <v>215</v>
      </c>
      <c r="I5" s="21" t="s">
        <v>216</v>
      </c>
      <c r="J5" s="21" t="s">
        <v>217</v>
      </c>
      <c r="K5" s="21" t="s">
        <v>235</v>
      </c>
    </row>
    <row r="6" spans="1:11" ht="16.149999999999999" customHeight="1" x14ac:dyDescent="0.25">
      <c r="A6" s="2" t="str">
        <f ca="1">IF(OR(ISBLANK(OFFSET(Customers!$A$5,ROW(Balances!B6)-ROW(Balances!$B$5),0,1,1))=TRUE,OFFSET(Customers!$A$5,ROW(Balances!B6)-ROW(Balances!$B$5),0,1,1)="ZZZ")=TRUE,"",OFFSET(Customers!$A$5,ROW(Balances!B6)-ROW(Balances!$B$5),0,1,1))</f>
        <v>ABC01</v>
      </c>
      <c r="B6" s="2" t="str">
        <f ca="1">IF(LEN($A6)=0,"",OFFSET(Customers!$B$5,ROW(Balances!C6)-ROW(Balances!$B$5),0,1,1))</f>
        <v>ABC Limited</v>
      </c>
      <c r="C6" s="5">
        <f t="shared" ref="C6:C24" ca="1" si="2">IF(LEN($A6)=0,"",SUMPRODUCT((ISBLANK(Invoice_Number)=FALSE)*(InvoiceDate&lt;=$B$3)*(PayDate&gt;$B$3)*(InvoiceCus=$A6)*(InvoiceAmount))+SUMPRODUCT((ISBLANK(Invoice_Number)=FALSE)*(InvoiceDate&lt;=$B$3)*(ISBLANK(PayDate)=TRUE)*(InvoiceCus=$A6)*(InvoiceAmount)))</f>
        <v>0</v>
      </c>
      <c r="D6" s="5">
        <f t="shared" ref="D6:J14" ca="1" si="3">IF(LEN($A6)=0,"",SUMPRODUCT((ISBLANK(Invoice_Number)=FALSE)*(InvoiceDate&lt;=D$2)*(InvoiceDate&gt;D$3)*(PayDate&gt;$B$3)*(InvoiceCus=$A6)*(InvoiceAmount))+SUMPRODUCT((ISBLANK(Invoice_Number)=FALSE)*(InvoiceDate&lt;=D$2)*(InvoiceDate&gt;D$3)*(ISBLANK(PayDate)=TRUE)*(InvoiceCus=$A6)*(InvoiceAmount)))</f>
        <v>0</v>
      </c>
      <c r="E6" s="5">
        <f t="shared" ca="1" si="3"/>
        <v>0</v>
      </c>
      <c r="F6" s="5">
        <f t="shared" ca="1" si="3"/>
        <v>0</v>
      </c>
      <c r="G6" s="5">
        <f t="shared" ca="1" si="3"/>
        <v>0</v>
      </c>
      <c r="H6" s="5">
        <f t="shared" ca="1" si="3"/>
        <v>0</v>
      </c>
      <c r="I6" s="5">
        <f t="shared" ca="1" si="3"/>
        <v>0</v>
      </c>
      <c r="J6" s="5">
        <f t="shared" ca="1" si="3"/>
        <v>0</v>
      </c>
      <c r="K6" s="5">
        <f t="shared" ref="K6:K24" ca="1" si="4">IF(LEN($A6)=0,"",SUMPRODUCT((ISBLANK(Invoice_Number)=FALSE)*(InvoiceDate&lt;=K$2)*(PayDate&gt;$B$3)*(InvoiceCus=$A6)*(InvoiceAmount))+SUMPRODUCT((ISBLANK(Invoice_Number)=FALSE)*(InvoiceDate&lt;=K$2)*(ISBLANK(PayDate)=TRUE)*(InvoiceCus=$A6)*(InvoiceAmount)))</f>
        <v>0</v>
      </c>
    </row>
    <row r="7" spans="1:11" ht="16.149999999999999" customHeight="1" x14ac:dyDescent="0.25">
      <c r="A7" s="2" t="str">
        <f ca="1">IF(OR(ISBLANK(OFFSET(Customers!$A$5,ROW(Balances!B7)-ROW(Balances!$B$5),0,1,1))=TRUE,OFFSET(Customers!$A$5,ROW(Balances!B7)-ROW(Balances!$B$5),0,1,1)="ZZZ")=TRUE,"",OFFSET(Customers!$A$5,ROW(Balances!B7)-ROW(Balances!$B$5),0,1,1))</f>
        <v>CCS01</v>
      </c>
      <c r="B7" s="2" t="str">
        <f ca="1">IF(LEN($A7)=0,"",OFFSET(Customers!$B$5,ROW(Balances!C7)-ROW(Balances!$B$5),0,1,1))</f>
        <v>CC Supplies</v>
      </c>
      <c r="C7" s="5">
        <f t="shared" ca="1" si="2"/>
        <v>13850</v>
      </c>
      <c r="D7" s="5">
        <f t="shared" ca="1" si="3"/>
        <v>13850</v>
      </c>
      <c r="E7" s="5">
        <f t="shared" ca="1" si="3"/>
        <v>0</v>
      </c>
      <c r="F7" s="5">
        <f t="shared" ca="1" si="3"/>
        <v>0</v>
      </c>
      <c r="G7" s="5">
        <f t="shared" ca="1" si="3"/>
        <v>0</v>
      </c>
      <c r="H7" s="5">
        <f t="shared" ca="1" si="3"/>
        <v>0</v>
      </c>
      <c r="I7" s="5">
        <f t="shared" ca="1" si="3"/>
        <v>0</v>
      </c>
      <c r="J7" s="5">
        <f t="shared" ca="1" si="3"/>
        <v>0</v>
      </c>
      <c r="K7" s="5">
        <f t="shared" ca="1" si="4"/>
        <v>0</v>
      </c>
    </row>
    <row r="8" spans="1:11" ht="16.149999999999999" customHeight="1" x14ac:dyDescent="0.25">
      <c r="A8" s="2" t="str">
        <f ca="1">IF(OR(ISBLANK(OFFSET(Customers!$A$5,ROW(Balances!B8)-ROW(Balances!$B$5),0,1,1))=TRUE,OFFSET(Customers!$A$5,ROW(Balances!B8)-ROW(Balances!$B$5),0,1,1)="ZZZ")=TRUE,"",OFFSET(Customers!$A$5,ROW(Balances!B8)-ROW(Balances!$B$5),0,1,1))</f>
        <v>DFM01</v>
      </c>
      <c r="B8" s="2" t="str">
        <f ca="1">IF(LEN($A8)=0,"",OFFSET(Customers!$B$5,ROW(Balances!C8)-ROW(Balances!$B$5),0,1,1))</f>
        <v>DF Manufacturing</v>
      </c>
      <c r="C8" s="5">
        <f t="shared" ca="1" si="2"/>
        <v>0</v>
      </c>
      <c r="D8" s="5">
        <f t="shared" ca="1" si="3"/>
        <v>0</v>
      </c>
      <c r="E8" s="5">
        <f t="shared" ca="1" si="3"/>
        <v>0</v>
      </c>
      <c r="F8" s="5">
        <f t="shared" ca="1" si="3"/>
        <v>0</v>
      </c>
      <c r="G8" s="5">
        <f t="shared" ca="1" si="3"/>
        <v>0</v>
      </c>
      <c r="H8" s="5">
        <f t="shared" ca="1" si="3"/>
        <v>0</v>
      </c>
      <c r="I8" s="5">
        <f t="shared" ca="1" si="3"/>
        <v>0</v>
      </c>
      <c r="J8" s="5">
        <f t="shared" ca="1" si="3"/>
        <v>0</v>
      </c>
      <c r="K8" s="5">
        <f t="shared" ca="1" si="4"/>
        <v>0</v>
      </c>
    </row>
    <row r="9" spans="1:11" ht="16.149999999999999" customHeight="1" x14ac:dyDescent="0.25">
      <c r="A9" s="2" t="str">
        <f ca="1">IF(OR(ISBLANK(OFFSET(Customers!$A$5,ROW(Balances!B9)-ROW(Balances!$B$5),0,1,1))=TRUE,OFFSET(Customers!$A$5,ROW(Balances!B9)-ROW(Balances!$B$5),0,1,1)="ZZZ")=TRUE,"",OFFSET(Customers!$A$5,ROW(Balances!B9)-ROW(Balances!$B$5),0,1,1))</f>
        <v>DIG01</v>
      </c>
      <c r="B9" s="2" t="str">
        <f ca="1">IF(LEN($A9)=0,"",OFFSET(Customers!$B$5,ROW(Balances!C9)-ROW(Balances!$B$5),0,1,1))</f>
        <v>Digicom</v>
      </c>
      <c r="C9" s="5">
        <f t="shared" ca="1" si="2"/>
        <v>0</v>
      </c>
      <c r="D9" s="5">
        <f t="shared" ca="1" si="3"/>
        <v>0</v>
      </c>
      <c r="E9" s="5">
        <f t="shared" ca="1" si="3"/>
        <v>0</v>
      </c>
      <c r="F9" s="5">
        <f t="shared" ca="1" si="3"/>
        <v>0</v>
      </c>
      <c r="G9" s="5">
        <f t="shared" ca="1" si="3"/>
        <v>0</v>
      </c>
      <c r="H9" s="5">
        <f t="shared" ca="1" si="3"/>
        <v>0</v>
      </c>
      <c r="I9" s="5">
        <f t="shared" ca="1" si="3"/>
        <v>0</v>
      </c>
      <c r="J9" s="5">
        <f t="shared" ca="1" si="3"/>
        <v>0</v>
      </c>
      <c r="K9" s="5">
        <f t="shared" ca="1" si="4"/>
        <v>0</v>
      </c>
    </row>
    <row r="10" spans="1:11" ht="16.149999999999999" customHeight="1" x14ac:dyDescent="0.25">
      <c r="A10" s="2" t="str">
        <f ca="1">IF(OR(ISBLANK(OFFSET(Customers!$A$5,ROW(Balances!B10)-ROW(Balances!$B$5),0,1,1))=TRUE,OFFSET(Customers!$A$5,ROW(Balances!B10)-ROW(Balances!$B$5),0,1,1)="ZZZ")=TRUE,"",OFFSET(Customers!$A$5,ROW(Balances!B10)-ROW(Balances!$B$5),0,1,1))</f>
        <v>ECE01</v>
      </c>
      <c r="B10" s="2" t="str">
        <f ca="1">IF(LEN($A10)=0,"",OFFSET(Customers!$B$5,ROW(Balances!C10)-ROW(Balances!$B$5),0,1,1))</f>
        <v>EC Estate Agents</v>
      </c>
      <c r="C10" s="5">
        <f t="shared" ca="1" si="2"/>
        <v>8168</v>
      </c>
      <c r="D10" s="5">
        <f t="shared" ca="1" si="3"/>
        <v>0</v>
      </c>
      <c r="E10" s="5">
        <f t="shared" ca="1" si="3"/>
        <v>0</v>
      </c>
      <c r="F10" s="5">
        <f t="shared" ca="1" si="3"/>
        <v>8168</v>
      </c>
      <c r="G10" s="5">
        <f t="shared" ca="1" si="3"/>
        <v>0</v>
      </c>
      <c r="H10" s="5">
        <f t="shared" ca="1" si="3"/>
        <v>0</v>
      </c>
      <c r="I10" s="5">
        <f t="shared" ca="1" si="3"/>
        <v>0</v>
      </c>
      <c r="J10" s="5">
        <f t="shared" ca="1" si="3"/>
        <v>0</v>
      </c>
      <c r="K10" s="5">
        <f t="shared" ca="1" si="4"/>
        <v>0</v>
      </c>
    </row>
    <row r="11" spans="1:11" ht="16.149999999999999" customHeight="1" x14ac:dyDescent="0.25">
      <c r="A11" s="2" t="str">
        <f ca="1">IF(OR(ISBLANK(OFFSET(Customers!$A$5,ROW(Balances!B11)-ROW(Balances!$B$5),0,1,1))=TRUE,OFFSET(Customers!$A$5,ROW(Balances!B11)-ROW(Balances!$B$5),0,1,1)="ZZZ")=TRUE,"",OFFSET(Customers!$A$5,ROW(Balances!B11)-ROW(Balances!$B$5),0,1,1))</f>
        <v>ENE01</v>
      </c>
      <c r="B11" s="2" t="str">
        <f ca="1">IF(LEN($A11)=0,"",OFFSET(Customers!$B$5,ROW(Balances!C11)-ROW(Balances!$B$5),0,1,1))</f>
        <v>Energy Incorporated</v>
      </c>
      <c r="C11" s="5">
        <f t="shared" ca="1" si="2"/>
        <v>0</v>
      </c>
      <c r="D11" s="5">
        <f t="shared" ca="1" si="3"/>
        <v>0</v>
      </c>
      <c r="E11" s="5">
        <f t="shared" ca="1" si="3"/>
        <v>0</v>
      </c>
      <c r="F11" s="5">
        <f t="shared" ca="1" si="3"/>
        <v>0</v>
      </c>
      <c r="G11" s="5">
        <f t="shared" ca="1" si="3"/>
        <v>0</v>
      </c>
      <c r="H11" s="5">
        <f t="shared" ca="1" si="3"/>
        <v>0</v>
      </c>
      <c r="I11" s="5">
        <f t="shared" ca="1" si="3"/>
        <v>0</v>
      </c>
      <c r="J11" s="5">
        <f t="shared" ca="1" si="3"/>
        <v>0</v>
      </c>
      <c r="K11" s="5">
        <f t="shared" ca="1" si="4"/>
        <v>0</v>
      </c>
    </row>
    <row r="12" spans="1:11" ht="16.149999999999999" customHeight="1" x14ac:dyDescent="0.25">
      <c r="A12" s="2" t="str">
        <f ca="1">IF(OR(ISBLANK(OFFSET(Customers!$A$5,ROW(Balances!B12)-ROW(Balances!$B$5),0,1,1))=TRUE,OFFSET(Customers!$A$5,ROW(Balances!B12)-ROW(Balances!$B$5),0,1,1)="ZZZ")=TRUE,"",OFFSET(Customers!$A$5,ROW(Balances!B12)-ROW(Balances!$B$5),0,1,1))</f>
        <v>FSF01</v>
      </c>
      <c r="B12" s="2" t="str">
        <f ca="1">IF(LEN($A12)=0,"",OFFSET(Customers!$B$5,ROW(Balances!C12)-ROW(Balances!$B$5),0,1,1))</f>
        <v>FS Financial Services</v>
      </c>
      <c r="C12" s="5">
        <f t="shared" ca="1" si="2"/>
        <v>0</v>
      </c>
      <c r="D12" s="5">
        <f t="shared" ca="1" si="3"/>
        <v>0</v>
      </c>
      <c r="E12" s="5">
        <f t="shared" ca="1" si="3"/>
        <v>0</v>
      </c>
      <c r="F12" s="5">
        <f t="shared" ca="1" si="3"/>
        <v>0</v>
      </c>
      <c r="G12" s="5">
        <f t="shared" ca="1" si="3"/>
        <v>0</v>
      </c>
      <c r="H12" s="5">
        <f t="shared" ca="1" si="3"/>
        <v>0</v>
      </c>
      <c r="I12" s="5">
        <f t="shared" ca="1" si="3"/>
        <v>0</v>
      </c>
      <c r="J12" s="5">
        <f t="shared" ca="1" si="3"/>
        <v>0</v>
      </c>
      <c r="K12" s="5">
        <f t="shared" ca="1" si="4"/>
        <v>0</v>
      </c>
    </row>
    <row r="13" spans="1:11" ht="16.149999999999999" customHeight="1" x14ac:dyDescent="0.25">
      <c r="A13" s="2" t="str">
        <f ca="1">IF(OR(ISBLANK(OFFSET(Customers!$A$5,ROW(Balances!B13)-ROW(Balances!$B$5),0,1,1))=TRUE,OFFSET(Customers!$A$5,ROW(Balances!B13)-ROW(Balances!$B$5),0,1,1)="ZZZ")=TRUE,"",OFFSET(Customers!$A$5,ROW(Balances!B13)-ROW(Balances!$B$5),0,1,1))</f>
        <v>GPA01</v>
      </c>
      <c r="B13" s="2" t="str">
        <f ca="1">IF(LEN($A13)=0,"",OFFSET(Customers!$B$5,ROW(Balances!C13)-ROW(Balances!$B$5),0,1,1))</f>
        <v>GP Accountants</v>
      </c>
      <c r="C13" s="5">
        <f t="shared" ca="1" si="2"/>
        <v>0</v>
      </c>
      <c r="D13" s="5">
        <f t="shared" ca="1" si="3"/>
        <v>0</v>
      </c>
      <c r="E13" s="5">
        <f t="shared" ca="1" si="3"/>
        <v>0</v>
      </c>
      <c r="F13" s="5">
        <f t="shared" ca="1" si="3"/>
        <v>0</v>
      </c>
      <c r="G13" s="5">
        <f t="shared" ca="1" si="3"/>
        <v>0</v>
      </c>
      <c r="H13" s="5">
        <f t="shared" ca="1" si="3"/>
        <v>0</v>
      </c>
      <c r="I13" s="5">
        <f t="shared" ca="1" si="3"/>
        <v>0</v>
      </c>
      <c r="J13" s="5">
        <f t="shared" ca="1" si="3"/>
        <v>0</v>
      </c>
      <c r="K13" s="5">
        <f t="shared" ca="1" si="4"/>
        <v>0</v>
      </c>
    </row>
    <row r="14" spans="1:11" ht="16.149999999999999" customHeight="1" x14ac:dyDescent="0.25">
      <c r="A14" s="2" t="str">
        <f ca="1">IF(OR(ISBLANK(OFFSET(Customers!$A$5,ROW(Balances!B14)-ROW(Balances!$B$5),0,1,1))=TRUE,OFFSET(Customers!$A$5,ROW(Balances!B14)-ROW(Balances!$B$5),0,1,1)="ZZZ")=TRUE,"",OFFSET(Customers!$A$5,ROW(Balances!B14)-ROW(Balances!$B$5),0,1,1))</f>
        <v>INS01</v>
      </c>
      <c r="B14" s="2" t="str">
        <f ca="1">IF(LEN($A14)=0,"",OFFSET(Customers!$B$5,ROW(Balances!C14)-ROW(Balances!$B$5),0,1,1))</f>
        <v>Insurance Solutions</v>
      </c>
      <c r="C14" s="5">
        <f t="shared" ca="1" si="2"/>
        <v>0</v>
      </c>
      <c r="D14" s="5">
        <f t="shared" ca="1" si="3"/>
        <v>0</v>
      </c>
      <c r="E14" s="5">
        <f t="shared" ca="1" si="3"/>
        <v>0</v>
      </c>
      <c r="F14" s="5">
        <f t="shared" ca="1" si="3"/>
        <v>0</v>
      </c>
      <c r="G14" s="5">
        <f t="shared" ca="1" si="3"/>
        <v>0</v>
      </c>
      <c r="H14" s="5">
        <f t="shared" ca="1" si="3"/>
        <v>0</v>
      </c>
      <c r="I14" s="5">
        <f t="shared" ca="1" si="3"/>
        <v>0</v>
      </c>
      <c r="J14" s="5">
        <f t="shared" ca="1" si="3"/>
        <v>0</v>
      </c>
      <c r="K14" s="5">
        <f t="shared" ca="1" si="4"/>
        <v>0</v>
      </c>
    </row>
    <row r="15" spans="1:11" ht="16.149999999999999" customHeight="1" x14ac:dyDescent="0.25">
      <c r="A15" s="2" t="str">
        <f ca="1">IF(OR(ISBLANK(OFFSET(Customers!$A$5,ROW(Balances!B15)-ROW(Balances!$B$5),0,1,1))=TRUE,OFFSET(Customers!$A$5,ROW(Balances!B15)-ROW(Balances!$B$5),0,1,1)="ZZZ")=TRUE,"",OFFSET(Customers!$A$5,ROW(Balances!B15)-ROW(Balances!$B$5),0,1,1))</f>
        <v>ITS01</v>
      </c>
      <c r="B15" s="2" t="str">
        <f ca="1">IF(LEN($A15)=0,"",OFFSET(Customers!$B$5,ROW(Balances!C15)-ROW(Balances!$B$5),0,1,1))</f>
        <v>IT Solutions</v>
      </c>
      <c r="C15" s="5">
        <f t="shared" ca="1" si="2"/>
        <v>0</v>
      </c>
      <c r="D15" s="5">
        <f t="shared" ref="D15:J24" ca="1" si="5">IF(LEN($A15)=0,"",SUMPRODUCT((ISBLANK(Invoice_Number)=FALSE)*(InvoiceDate&lt;=D$2)*(InvoiceDate&gt;D$3)*(PayDate&gt;$B$3)*(InvoiceCus=$A15)*(InvoiceAmount))+SUMPRODUCT((ISBLANK(Invoice_Number)=FALSE)*(InvoiceDate&lt;=D$2)*(InvoiceDate&gt;D$3)*(ISBLANK(PayDate)=TRUE)*(InvoiceCus=$A15)*(InvoiceAmount)))</f>
        <v>0</v>
      </c>
      <c r="E15" s="5">
        <f t="shared" ca="1" si="5"/>
        <v>0</v>
      </c>
      <c r="F15" s="5">
        <f t="shared" ca="1" si="5"/>
        <v>0</v>
      </c>
      <c r="G15" s="5">
        <f t="shared" ca="1" si="5"/>
        <v>0</v>
      </c>
      <c r="H15" s="5">
        <f t="shared" ca="1" si="5"/>
        <v>0</v>
      </c>
      <c r="I15" s="5">
        <f t="shared" ca="1" si="5"/>
        <v>0</v>
      </c>
      <c r="J15" s="5">
        <f t="shared" ca="1" si="5"/>
        <v>0</v>
      </c>
      <c r="K15" s="5">
        <f t="shared" ca="1" si="4"/>
        <v>0</v>
      </c>
    </row>
    <row r="16" spans="1:11" ht="16.149999999999999" customHeight="1" x14ac:dyDescent="0.25">
      <c r="A16" s="2" t="str">
        <f ca="1">IF(OR(ISBLANK(OFFSET(Customers!$A$5,ROW(Balances!B16)-ROW(Balances!$B$5),0,1,1))=TRUE,OFFSET(Customers!$A$5,ROW(Balances!B16)-ROW(Balances!$B$5),0,1,1)="ZZZ")=TRUE,"",OFFSET(Customers!$A$5,ROW(Balances!B16)-ROW(Balances!$B$5),0,1,1))</f>
        <v>KZB01</v>
      </c>
      <c r="B16" s="2" t="str">
        <f ca="1">IF(LEN($A16)=0,"",OFFSET(Customers!$B$5,ROW(Balances!C16)-ROW(Balances!$B$5),0,1,1))</f>
        <v>KZN Bonds</v>
      </c>
      <c r="C16" s="5">
        <f t="shared" ca="1" si="2"/>
        <v>0</v>
      </c>
      <c r="D16" s="5">
        <f t="shared" ca="1" si="5"/>
        <v>0</v>
      </c>
      <c r="E16" s="5">
        <f t="shared" ca="1" si="5"/>
        <v>0</v>
      </c>
      <c r="F16" s="5">
        <f t="shared" ca="1" si="5"/>
        <v>0</v>
      </c>
      <c r="G16" s="5">
        <f t="shared" ca="1" si="5"/>
        <v>0</v>
      </c>
      <c r="H16" s="5">
        <f t="shared" ca="1" si="5"/>
        <v>0</v>
      </c>
      <c r="I16" s="5">
        <f t="shared" ca="1" si="5"/>
        <v>0</v>
      </c>
      <c r="J16" s="5">
        <f t="shared" ca="1" si="5"/>
        <v>0</v>
      </c>
      <c r="K16" s="5">
        <f t="shared" ca="1" si="4"/>
        <v>0</v>
      </c>
    </row>
    <row r="17" spans="1:11" ht="16.149999999999999" customHeight="1" x14ac:dyDescent="0.25">
      <c r="A17" s="2" t="str">
        <f ca="1">IF(OR(ISBLANK(OFFSET(Customers!$A$5,ROW(Balances!B17)-ROW(Balances!$B$5),0,1,1))=TRUE,OFFSET(Customers!$A$5,ROW(Balances!B17)-ROW(Balances!$B$5),0,1,1)="ZZZ")=TRUE,"",OFFSET(Customers!$A$5,ROW(Balances!B17)-ROW(Balances!$B$5),0,1,1))</f>
        <v>PTY01</v>
      </c>
      <c r="B17" s="2" t="str">
        <f ca="1">IF(LEN($A17)=0,"",OFFSET(Customers!$B$5,ROW(Balances!C17)-ROW(Balances!$B$5),0,1,1))</f>
        <v>PTY Consultants</v>
      </c>
      <c r="C17" s="5">
        <f t="shared" ca="1" si="2"/>
        <v>0</v>
      </c>
      <c r="D17" s="5">
        <f t="shared" ca="1" si="5"/>
        <v>0</v>
      </c>
      <c r="E17" s="5">
        <f t="shared" ca="1" si="5"/>
        <v>0</v>
      </c>
      <c r="F17" s="5">
        <f t="shared" ca="1" si="5"/>
        <v>0</v>
      </c>
      <c r="G17" s="5">
        <f t="shared" ca="1" si="5"/>
        <v>0</v>
      </c>
      <c r="H17" s="5">
        <f t="shared" ca="1" si="5"/>
        <v>0</v>
      </c>
      <c r="I17" s="5">
        <f t="shared" ca="1" si="5"/>
        <v>0</v>
      </c>
      <c r="J17" s="5">
        <f t="shared" ca="1" si="5"/>
        <v>0</v>
      </c>
      <c r="K17" s="5">
        <f t="shared" ca="1" si="4"/>
        <v>0</v>
      </c>
    </row>
    <row r="18" spans="1:11" ht="16.149999999999999" customHeight="1" x14ac:dyDescent="0.25">
      <c r="A18" s="2" t="str">
        <f ca="1">IF(OR(ISBLANK(OFFSET(Customers!$A$5,ROW(Balances!B18)-ROW(Balances!$B$5),0,1,1))=TRUE,OFFSET(Customers!$A$5,ROW(Balances!B18)-ROW(Balances!$B$5),0,1,1)="ZZZ")=TRUE,"",OFFSET(Customers!$A$5,ROW(Balances!B18)-ROW(Balances!$B$5),0,1,1))</f>
        <v>SAB01</v>
      </c>
      <c r="B18" s="2" t="str">
        <f ca="1">IF(LEN($A18)=0,"",OFFSET(Customers!$B$5,ROW(Balances!C18)-ROW(Balances!$B$5),0,1,1))</f>
        <v>SA Bonds</v>
      </c>
      <c r="C18" s="5">
        <f t="shared" ca="1" si="2"/>
        <v>0</v>
      </c>
      <c r="D18" s="5">
        <f t="shared" ca="1" si="5"/>
        <v>0</v>
      </c>
      <c r="E18" s="5">
        <f t="shared" ca="1" si="5"/>
        <v>0</v>
      </c>
      <c r="F18" s="5">
        <f t="shared" ca="1" si="5"/>
        <v>0</v>
      </c>
      <c r="G18" s="5">
        <f t="shared" ca="1" si="5"/>
        <v>0</v>
      </c>
      <c r="H18" s="5">
        <f t="shared" ca="1" si="5"/>
        <v>0</v>
      </c>
      <c r="I18" s="5">
        <f t="shared" ca="1" si="5"/>
        <v>0</v>
      </c>
      <c r="J18" s="5">
        <f t="shared" ca="1" si="5"/>
        <v>0</v>
      </c>
      <c r="K18" s="5">
        <f t="shared" ca="1" si="4"/>
        <v>0</v>
      </c>
    </row>
    <row r="19" spans="1:11" ht="16.149999999999999" customHeight="1" x14ac:dyDescent="0.25">
      <c r="A19" s="2" t="str">
        <f ca="1">IF(OR(ISBLANK(OFFSET(Customers!$A$5,ROW(Balances!B19)-ROW(Balances!$B$5),0,1,1))=TRUE,OFFSET(Customers!$A$5,ROW(Balances!B19)-ROW(Balances!$B$5),0,1,1)="ZZZ")=TRUE,"",OFFSET(Customers!$A$5,ROW(Balances!B19)-ROW(Balances!$B$5),0,1,1))</f>
        <v>TPS01</v>
      </c>
      <c r="B19" s="2" t="str">
        <f ca="1">IF(LEN($A19)=0,"",OFFSET(Customers!$B$5,ROW(Balances!C19)-ROW(Balances!$B$5),0,1,1))</f>
        <v>The Paint Shop</v>
      </c>
      <c r="C19" s="5">
        <f t="shared" ca="1" si="2"/>
        <v>0</v>
      </c>
      <c r="D19" s="5">
        <f t="shared" ca="1" si="5"/>
        <v>0</v>
      </c>
      <c r="E19" s="5">
        <f t="shared" ca="1" si="5"/>
        <v>0</v>
      </c>
      <c r="F19" s="5">
        <f t="shared" ca="1" si="5"/>
        <v>0</v>
      </c>
      <c r="G19" s="5">
        <f t="shared" ca="1" si="5"/>
        <v>0</v>
      </c>
      <c r="H19" s="5">
        <f t="shared" ca="1" si="5"/>
        <v>0</v>
      </c>
      <c r="I19" s="5">
        <f t="shared" ca="1" si="5"/>
        <v>0</v>
      </c>
      <c r="J19" s="5">
        <f t="shared" ca="1" si="5"/>
        <v>0</v>
      </c>
      <c r="K19" s="5">
        <f t="shared" ca="1" si="4"/>
        <v>0</v>
      </c>
    </row>
    <row r="20" spans="1:11" ht="16.149999999999999" customHeight="1" x14ac:dyDescent="0.25">
      <c r="A20" s="2" t="str">
        <f ca="1">IF(OR(ISBLANK(OFFSET(Customers!$A$5,ROW(Balances!B20)-ROW(Balances!$B$5),0,1,1))=TRUE,OFFSET(Customers!$A$5,ROW(Balances!B20)-ROW(Balances!$B$5),0,1,1)="ZZZ")=TRUE,"",OFFSET(Customers!$A$5,ROW(Balances!B20)-ROW(Balances!$B$5),0,1,1))</f>
        <v>TRF01</v>
      </c>
      <c r="B20" s="2" t="str">
        <f ca="1">IF(LEN($A20)=0,"",OFFSET(Customers!$B$5,ROW(Balances!C20)-ROW(Balances!$B$5),0,1,1))</f>
        <v>TRF Solutions</v>
      </c>
      <c r="C20" s="5">
        <f t="shared" ca="1" si="2"/>
        <v>8150</v>
      </c>
      <c r="D20" s="5">
        <f t="shared" ca="1" si="5"/>
        <v>0</v>
      </c>
      <c r="E20" s="5">
        <f t="shared" ca="1" si="5"/>
        <v>0</v>
      </c>
      <c r="F20" s="5">
        <f t="shared" ca="1" si="5"/>
        <v>0</v>
      </c>
      <c r="G20" s="5">
        <f t="shared" ca="1" si="5"/>
        <v>0</v>
      </c>
      <c r="H20" s="5">
        <f t="shared" ca="1" si="5"/>
        <v>0</v>
      </c>
      <c r="I20" s="5">
        <f t="shared" ca="1" si="5"/>
        <v>0</v>
      </c>
      <c r="J20" s="5">
        <f t="shared" ca="1" si="5"/>
        <v>0</v>
      </c>
      <c r="K20" s="5">
        <f t="shared" ca="1" si="4"/>
        <v>8150</v>
      </c>
    </row>
    <row r="21" spans="1:11" ht="16.149999999999999" customHeight="1" x14ac:dyDescent="0.25">
      <c r="A21" s="2" t="str">
        <f ca="1">IF(OR(ISBLANK(OFFSET(Customers!$A$5,ROW(Balances!B21)-ROW(Balances!$B$5),0,1,1))=TRUE,OFFSET(Customers!$A$5,ROW(Balances!B21)-ROW(Balances!$B$5),0,1,1)="ZZZ")=TRUE,"",OFFSET(Customers!$A$5,ROW(Balances!B21)-ROW(Balances!$B$5),0,1,1))</f>
        <v>WCA01</v>
      </c>
      <c r="B21" s="2" t="str">
        <f ca="1">IF(LEN($A21)=0,"",OFFSET(Customers!$B$5,ROW(Balances!C21)-ROW(Balances!$B$5),0,1,1))</f>
        <v>WC Financial Advisors</v>
      </c>
      <c r="C21" s="5">
        <f t="shared" ca="1" si="2"/>
        <v>12790</v>
      </c>
      <c r="D21" s="5">
        <f t="shared" ca="1" si="5"/>
        <v>12790</v>
      </c>
      <c r="E21" s="5">
        <f t="shared" ca="1" si="5"/>
        <v>0</v>
      </c>
      <c r="F21" s="5">
        <f t="shared" ca="1" si="5"/>
        <v>0</v>
      </c>
      <c r="G21" s="5">
        <f t="shared" ca="1" si="5"/>
        <v>0</v>
      </c>
      <c r="H21" s="5">
        <f t="shared" ca="1" si="5"/>
        <v>0</v>
      </c>
      <c r="I21" s="5">
        <f t="shared" ca="1" si="5"/>
        <v>0</v>
      </c>
      <c r="J21" s="5">
        <f t="shared" ca="1" si="5"/>
        <v>0</v>
      </c>
      <c r="K21" s="5">
        <f t="shared" ca="1" si="4"/>
        <v>0</v>
      </c>
    </row>
    <row r="22" spans="1:11" ht="16.149999999999999" customHeight="1" x14ac:dyDescent="0.25">
      <c r="A22" s="2" t="str">
        <f ca="1">IF(OR(ISBLANK(OFFSET(Customers!$A$5,ROW(Balances!B22)-ROW(Balances!$B$5),0,1,1))=TRUE,OFFSET(Customers!$A$5,ROW(Balances!B22)-ROW(Balances!$B$5),0,1,1)="ZZZ")=TRUE,"",OFFSET(Customers!$A$5,ROW(Balances!B22)-ROW(Balances!$B$5),0,1,1))</f>
        <v>WWR01</v>
      </c>
      <c r="B22" s="2" t="str">
        <f ca="1">IF(LEN($A22)=0,"",OFFSET(Customers!$B$5,ROW(Balances!C22)-ROW(Balances!$B$5),0,1,1))</f>
        <v>WW Retail</v>
      </c>
      <c r="C22" s="5">
        <f t="shared" ca="1" si="2"/>
        <v>0</v>
      </c>
      <c r="D22" s="5">
        <f t="shared" ca="1" si="5"/>
        <v>0</v>
      </c>
      <c r="E22" s="5">
        <f t="shared" ca="1" si="5"/>
        <v>0</v>
      </c>
      <c r="F22" s="5">
        <f t="shared" ca="1" si="5"/>
        <v>0</v>
      </c>
      <c r="G22" s="5">
        <f t="shared" ca="1" si="5"/>
        <v>0</v>
      </c>
      <c r="H22" s="5">
        <f t="shared" ca="1" si="5"/>
        <v>0</v>
      </c>
      <c r="I22" s="5">
        <f t="shared" ca="1" si="5"/>
        <v>0</v>
      </c>
      <c r="J22" s="5">
        <f t="shared" ca="1" si="5"/>
        <v>0</v>
      </c>
      <c r="K22" s="5">
        <f t="shared" ca="1" si="4"/>
        <v>0</v>
      </c>
    </row>
    <row r="23" spans="1:11" ht="16.149999999999999" customHeight="1" x14ac:dyDescent="0.25">
      <c r="A23" s="2" t="str">
        <f ca="1">IF(OR(ISBLANK(OFFSET(Customers!$A$5,ROW(Balances!B23)-ROW(Balances!$B$5),0,1,1))=TRUE,OFFSET(Customers!$A$5,ROW(Balances!B23)-ROW(Balances!$B$5),0,1,1)="ZZZ")=TRUE,"",OFFSET(Customers!$A$5,ROW(Balances!B23)-ROW(Balances!$B$5),0,1,1))</f>
        <v>XXB01</v>
      </c>
      <c r="B23" s="2" t="str">
        <f ca="1">IF(LEN($A23)=0,"",OFFSET(Customers!$B$5,ROW(Balances!C23)-ROW(Balances!$B$5),0,1,1))</f>
        <v>XX Building Supplies</v>
      </c>
      <c r="C23" s="5">
        <f t="shared" ca="1" si="2"/>
        <v>0</v>
      </c>
      <c r="D23" s="5">
        <f t="shared" ca="1" si="5"/>
        <v>0</v>
      </c>
      <c r="E23" s="5">
        <f t="shared" ca="1" si="5"/>
        <v>0</v>
      </c>
      <c r="F23" s="5">
        <f t="shared" ca="1" si="5"/>
        <v>0</v>
      </c>
      <c r="G23" s="5">
        <f t="shared" ca="1" si="5"/>
        <v>0</v>
      </c>
      <c r="H23" s="5">
        <f t="shared" ca="1" si="5"/>
        <v>0</v>
      </c>
      <c r="I23" s="5">
        <f t="shared" ca="1" si="5"/>
        <v>0</v>
      </c>
      <c r="J23" s="5">
        <f t="shared" ca="1" si="5"/>
        <v>0</v>
      </c>
      <c r="K23" s="5">
        <f t="shared" ca="1" si="4"/>
        <v>0</v>
      </c>
    </row>
    <row r="24" spans="1:11" ht="16.149999999999999" customHeight="1" x14ac:dyDescent="0.25">
      <c r="A24" s="2" t="str">
        <f ca="1">IF(OR(ISBLANK(OFFSET(Customers!$A$5,ROW(Balances!B24)-ROW(Balances!$B$5),0,1,1))=TRUE,OFFSET(Customers!$A$5,ROW(Balances!B24)-ROW(Balances!$B$5),0,1,1)="ZZZ")=TRUE,"",OFFSET(Customers!$A$5,ROW(Balances!B24)-ROW(Balances!$B$5),0,1,1))</f>
        <v>XYS01</v>
      </c>
      <c r="B24" s="2" t="str">
        <f ca="1">IF(LEN($A24)=0,"",OFFSET(Customers!$B$5,ROW(Balances!C24)-ROW(Balances!$B$5),0,1,1))</f>
        <v>XY Services</v>
      </c>
      <c r="C24" s="5">
        <f t="shared" ca="1" si="2"/>
        <v>0</v>
      </c>
      <c r="D24" s="5">
        <f t="shared" ca="1" si="5"/>
        <v>0</v>
      </c>
      <c r="E24" s="5">
        <f t="shared" ca="1" si="5"/>
        <v>0</v>
      </c>
      <c r="F24" s="5">
        <f t="shared" ca="1" si="5"/>
        <v>0</v>
      </c>
      <c r="G24" s="5">
        <f t="shared" ca="1" si="5"/>
        <v>0</v>
      </c>
      <c r="H24" s="5">
        <f t="shared" ca="1" si="5"/>
        <v>0</v>
      </c>
      <c r="I24" s="5">
        <f t="shared" ca="1" si="5"/>
        <v>0</v>
      </c>
      <c r="J24" s="5">
        <f t="shared" ca="1" si="5"/>
        <v>0</v>
      </c>
      <c r="K24" s="5">
        <f t="shared" ca="1" si="4"/>
        <v>0</v>
      </c>
    </row>
    <row r="25" spans="1:11" ht="16.149999999999999" customHeight="1" x14ac:dyDescent="0.25">
      <c r="A25" s="2" t="str">
        <f ca="1">IF(OR(ISBLANK(OFFSET(Customers!$A$5,ROW(Balances!B25)-ROW(Balances!$B$5),0,1,1))=TRUE,OFFSET(Customers!$A$5,ROW(Balances!B25)-ROW(Balances!$B$5),0,1,1)="ZZZ")=TRUE,"",OFFSET(Customers!$A$5,ROW(Balances!B25)-ROW(Balances!$B$5),0,1,1))</f>
        <v>XXX01</v>
      </c>
      <c r="B25" s="2" t="str">
        <f ca="1">IF(LEN($A25)=0,"",OFFSET(Customers!$B$5,ROW(Balances!C25)-ROW(Balances!$B$5),0,1,1))</f>
        <v>General Customer Code</v>
      </c>
      <c r="C25" s="5">
        <f ca="1">IF(LEN($A25)=0,"",SUMPRODUCT((ISBLANK(Invoice_Number)=FALSE)*(InvoiceDate&lt;=$B$3)*(PayDate&gt;$B$3)*(InvoiceCus=$A25)*(InvoiceAmount))+SUMPRODUCT((ISBLANK(Invoice_Number)=FALSE)*(InvoiceDate&lt;=$B$3)*(ISBLANK(PayDate)=TRUE)*(InvoiceCus=$A25)*(InvoiceAmount)))</f>
        <v>0</v>
      </c>
      <c r="D25" s="5">
        <f t="shared" ref="D25:J25" ca="1" si="6">IF(LEN($A25)=0,"",SUMPRODUCT((ISBLANK(Invoice_Number)=FALSE)*(InvoiceDate&lt;=D$2)*(InvoiceDate&gt;D$3)*(PayDate&gt;$B$3)*(InvoiceCus=$A25)*(InvoiceAmount))+SUMPRODUCT((ISBLANK(Invoice_Number)=FALSE)*(InvoiceDate&lt;=D$2)*(InvoiceDate&gt;D$3)*(ISBLANK(PayDate)=TRUE)*(InvoiceCus=$A25)*(InvoiceAmount)))</f>
        <v>0</v>
      </c>
      <c r="E25" s="5">
        <f t="shared" ca="1" si="6"/>
        <v>0</v>
      </c>
      <c r="F25" s="5">
        <f t="shared" ca="1" si="6"/>
        <v>0</v>
      </c>
      <c r="G25" s="5">
        <f t="shared" ca="1" si="6"/>
        <v>0</v>
      </c>
      <c r="H25" s="5">
        <f t="shared" ca="1" si="6"/>
        <v>0</v>
      </c>
      <c r="I25" s="5">
        <f t="shared" ca="1" si="6"/>
        <v>0</v>
      </c>
      <c r="J25" s="5">
        <f t="shared" ca="1" si="6"/>
        <v>0</v>
      </c>
      <c r="K25" s="5">
        <f ca="1">IF(LEN($A25)=0,"",SUMPRODUCT((ISBLANK(Invoice_Number)=FALSE)*(InvoiceDate&lt;=K$2)*(PayDate&gt;$B$3)*(InvoiceCus=$A25)*(InvoiceAmount))+SUMPRODUCT((ISBLANK(Invoice_Number)=FALSE)*(InvoiceDate&lt;=K$2)*(ISBLANK(PayDate)=TRUE)*(InvoiceCus=$A25)*(InvoiceAmount)))</f>
        <v>0</v>
      </c>
    </row>
  </sheetData>
  <sheetProtection formatCells="0" formatColumns="0" formatRows="0"/>
  <phoneticPr fontId="3" type="noConversion"/>
  <conditionalFormatting sqref="A5">
    <cfRule type="expression" dxfId="15" priority="1" stopIfTrue="1">
      <formula>BalCount&lt;CusCount</formula>
    </cfRule>
  </conditionalFormatting>
  <pageMargins left="0.55118110236220474" right="0.55118110236220474" top="0.59055118110236227" bottom="0.59055118110236227" header="0.39370078740157483" footer="0.39370078740157483"/>
  <pageSetup paperSize="9" scale="89" fitToHeight="0" orientation="landscape" r:id="rId1"/>
  <headerFooter alignWithMargins="0">
    <oddFooter>&amp;C&amp;9Page &amp;P of &amp;N</oddFooter>
  </headerFooter>
  <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F19"/>
  <sheetViews>
    <sheetView zoomScale="95" workbookViewId="0"/>
  </sheetViews>
  <sheetFormatPr defaultColWidth="9.140625" defaultRowHeight="15" customHeight="1" x14ac:dyDescent="0.25"/>
  <cols>
    <col min="1" max="1" width="15.7109375" style="2" customWidth="1"/>
    <col min="2" max="2" width="15.7109375" style="5" customWidth="1"/>
    <col min="3" max="3" width="15.7109375" style="2" customWidth="1"/>
    <col min="4" max="4" width="15.7109375" style="6" customWidth="1"/>
    <col min="5" max="6" width="15.7109375" style="5" customWidth="1"/>
    <col min="7" max="18" width="15.7109375" style="2" customWidth="1"/>
    <col min="19" max="16384" width="9.140625" style="2"/>
  </cols>
  <sheetData>
    <row r="1" spans="1:6" ht="15.75" x14ac:dyDescent="0.25">
      <c r="A1" s="11" t="str">
        <f>Setup!C5</f>
        <v>Example (Pty) Ltd</v>
      </c>
    </row>
    <row r="2" spans="1:6" ht="15" customHeight="1" x14ac:dyDescent="0.25">
      <c r="A2" s="7" t="s">
        <v>227</v>
      </c>
    </row>
    <row r="4" spans="1:6" s="4" customFormat="1" ht="15" customHeight="1" x14ac:dyDescent="0.2">
      <c r="A4" s="4" t="s">
        <v>332</v>
      </c>
      <c r="B4" s="8"/>
      <c r="D4" s="9" t="s">
        <v>228</v>
      </c>
      <c r="E4" s="8"/>
      <c r="F4" s="8"/>
    </row>
    <row r="6" spans="1:6" ht="15" customHeight="1" x14ac:dyDescent="0.25">
      <c r="A6" s="2" t="s">
        <v>230</v>
      </c>
      <c r="B6" s="10" t="s">
        <v>210</v>
      </c>
      <c r="D6" s="6" t="s">
        <v>229</v>
      </c>
      <c r="E6" s="10" t="s">
        <v>201</v>
      </c>
      <c r="F6" s="10" t="s">
        <v>231</v>
      </c>
    </row>
    <row r="7" spans="1:6" ht="15" customHeight="1" x14ac:dyDescent="0.25">
      <c r="A7" s="2" t="s">
        <v>211</v>
      </c>
      <c r="B7" s="5">
        <f>Ageing!$B$11</f>
        <v>26640</v>
      </c>
      <c r="D7" s="6">
        <f>Ageing!$A$17</f>
        <v>44255</v>
      </c>
      <c r="E7" s="5">
        <f>Ageing!$A$18</f>
        <v>67057</v>
      </c>
      <c r="F7" s="5">
        <f>Ageing!$A$25</f>
        <v>42958</v>
      </c>
    </row>
    <row r="8" spans="1:6" ht="15" customHeight="1" x14ac:dyDescent="0.25">
      <c r="A8" s="2" t="s">
        <v>212</v>
      </c>
      <c r="B8" s="5">
        <f>Ageing!$C$11</f>
        <v>0</v>
      </c>
      <c r="D8" s="6">
        <f>Ageing!$B$17</f>
        <v>44227</v>
      </c>
      <c r="E8" s="5">
        <f>Ageing!$B$18</f>
        <v>37200</v>
      </c>
      <c r="F8" s="5">
        <f>Ageing!$B$25</f>
        <v>35518</v>
      </c>
    </row>
    <row r="9" spans="1:6" ht="15" customHeight="1" x14ac:dyDescent="0.25">
      <c r="A9" s="2" t="s">
        <v>213</v>
      </c>
      <c r="B9" s="5">
        <f>Ageing!$D$11</f>
        <v>8168</v>
      </c>
      <c r="D9" s="6">
        <f>Ageing!$C$17</f>
        <v>44196</v>
      </c>
      <c r="E9" s="5">
        <f>Ageing!$C$18</f>
        <v>21658</v>
      </c>
      <c r="F9" s="5">
        <f>Ageing!$C$25</f>
        <v>29808</v>
      </c>
    </row>
    <row r="10" spans="1:6" ht="15" customHeight="1" x14ac:dyDescent="0.25">
      <c r="A10" s="2" t="s">
        <v>214</v>
      </c>
      <c r="B10" s="5">
        <f>Ageing!$E$11</f>
        <v>0</v>
      </c>
      <c r="D10" s="6">
        <f>Ageing!$D$17</f>
        <v>44165</v>
      </c>
      <c r="E10" s="5">
        <f>Ageing!$D$18</f>
        <v>29900</v>
      </c>
      <c r="F10" s="5">
        <f>Ageing!$D$25</f>
        <v>23050</v>
      </c>
    </row>
    <row r="11" spans="1:6" ht="15" customHeight="1" x14ac:dyDescent="0.25">
      <c r="A11" s="2" t="s">
        <v>215</v>
      </c>
      <c r="B11" s="5">
        <f>Ageing!$F$11</f>
        <v>0</v>
      </c>
      <c r="D11" s="6">
        <f>Ageing!$E$17</f>
        <v>44135</v>
      </c>
      <c r="E11" s="5">
        <f>Ageing!$E$18</f>
        <v>29780</v>
      </c>
      <c r="F11" s="5">
        <f>Ageing!$E$25</f>
        <v>31580</v>
      </c>
    </row>
    <row r="12" spans="1:6" ht="15" customHeight="1" x14ac:dyDescent="0.25">
      <c r="A12" s="2" t="s">
        <v>216</v>
      </c>
      <c r="B12" s="5">
        <f>Ageing!$G$11</f>
        <v>0</v>
      </c>
      <c r="D12" s="6">
        <f>Ageing!$F$17</f>
        <v>44104</v>
      </c>
      <c r="E12" s="5">
        <f>Ageing!$F$18</f>
        <v>31500</v>
      </c>
      <c r="F12" s="5">
        <f>Ageing!$F$25</f>
        <v>21650</v>
      </c>
    </row>
    <row r="13" spans="1:6" ht="15" customHeight="1" x14ac:dyDescent="0.25">
      <c r="A13" s="2" t="s">
        <v>217</v>
      </c>
      <c r="B13" s="5">
        <f>Ageing!$A$13</f>
        <v>0</v>
      </c>
      <c r="D13" s="6">
        <f>Ageing!$A$19</f>
        <v>44074</v>
      </c>
      <c r="E13" s="5">
        <f>Ageing!$A$20</f>
        <v>35000</v>
      </c>
      <c r="F13" s="5">
        <f>Ageing!$A$27</f>
        <v>20150</v>
      </c>
    </row>
    <row r="14" spans="1:6" ht="15" customHeight="1" x14ac:dyDescent="0.25">
      <c r="A14" s="2" t="s">
        <v>218</v>
      </c>
      <c r="B14" s="5">
        <f>Ageing!$B$13</f>
        <v>0</v>
      </c>
      <c r="D14" s="6">
        <f>Ageing!$B$19</f>
        <v>44043</v>
      </c>
      <c r="E14" s="5">
        <f>Ageing!$B$20</f>
        <v>54000</v>
      </c>
      <c r="F14" s="5">
        <f>Ageing!$B$27</f>
        <v>62150</v>
      </c>
    </row>
    <row r="15" spans="1:6" ht="15" customHeight="1" x14ac:dyDescent="0.25">
      <c r="A15" s="2" t="s">
        <v>219</v>
      </c>
      <c r="B15" s="5">
        <f>Ageing!$C$13</f>
        <v>0</v>
      </c>
      <c r="D15" s="6">
        <f>Ageing!$C$19</f>
        <v>44012</v>
      </c>
      <c r="E15" s="5">
        <f>Ageing!$C$20</f>
        <v>27020</v>
      </c>
      <c r="F15" s="5">
        <f>Ageing!$C$27</f>
        <v>30670</v>
      </c>
    </row>
    <row r="16" spans="1:6" ht="15" customHeight="1" x14ac:dyDescent="0.25">
      <c r="A16" s="2" t="s">
        <v>220</v>
      </c>
      <c r="B16" s="5">
        <f>Ageing!$D$13</f>
        <v>0</v>
      </c>
      <c r="D16" s="6">
        <f>Ageing!$D$19</f>
        <v>43982</v>
      </c>
      <c r="E16" s="5">
        <f>Ageing!$D$20</f>
        <v>28720</v>
      </c>
      <c r="F16" s="5">
        <f>Ageing!$D$27</f>
        <v>36870</v>
      </c>
    </row>
    <row r="17" spans="1:6" ht="15" customHeight="1" x14ac:dyDescent="0.25">
      <c r="A17" s="2" t="s">
        <v>221</v>
      </c>
      <c r="B17" s="5">
        <f>Ageing!$E$13</f>
        <v>0</v>
      </c>
      <c r="D17" s="6">
        <f>Ageing!$E$19</f>
        <v>43951</v>
      </c>
      <c r="E17" s="5">
        <f>Ageing!$E$20</f>
        <v>67338</v>
      </c>
      <c r="F17" s="5">
        <f>Ageing!$E$27</f>
        <v>60488</v>
      </c>
    </row>
    <row r="18" spans="1:6" ht="15" customHeight="1" x14ac:dyDescent="0.25">
      <c r="A18" s="2" t="s">
        <v>222</v>
      </c>
      <c r="B18" s="5">
        <f>Ageing!$F$13</f>
        <v>8150</v>
      </c>
      <c r="D18" s="6">
        <f>Ageing!$F$19</f>
        <v>43921</v>
      </c>
      <c r="E18" s="5">
        <f>Ageing!$F$20</f>
        <v>19350</v>
      </c>
      <c r="F18" s="5">
        <f>Ageing!$F$27</f>
        <v>19350</v>
      </c>
    </row>
    <row r="19" spans="1:6" ht="15" customHeight="1" x14ac:dyDescent="0.25">
      <c r="A19" s="2" t="s">
        <v>226</v>
      </c>
      <c r="B19" s="5">
        <f>Ageing!$G$13</f>
        <v>0</v>
      </c>
    </row>
  </sheetData>
  <phoneticPr fontId="3" type="noConversion"/>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85546875" defaultRowHeight="16.5" x14ac:dyDescent="0.3"/>
  <cols>
    <col min="1" max="14" width="15.7109375" style="1" customWidth="1"/>
    <col min="15" max="16384" width="8.8554687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200"/>
  <sheetViews>
    <sheetView zoomScaleNormal="100" workbookViewId="0">
      <pane ySplit="3" topLeftCell="A4" activePane="bottomLeft" state="frozen"/>
      <selection pane="bottomLeft"/>
    </sheetView>
  </sheetViews>
  <sheetFormatPr defaultColWidth="9.140625" defaultRowHeight="12.75" x14ac:dyDescent="0.2"/>
  <cols>
    <col min="1" max="1" width="109.7109375" style="80" customWidth="1"/>
    <col min="2" max="2" width="50.7109375" style="78" customWidth="1"/>
    <col min="3" max="16" width="15.7109375" style="78" customWidth="1"/>
    <col min="17" max="16384" width="9.140625" style="78"/>
  </cols>
  <sheetData>
    <row r="1" spans="1:1" ht="15.75" x14ac:dyDescent="0.25">
      <c r="A1" s="77" t="s">
        <v>7</v>
      </c>
    </row>
    <row r="2" spans="1:1" ht="15" customHeight="1" x14ac:dyDescent="0.2">
      <c r="A2" s="79" t="s">
        <v>63</v>
      </c>
    </row>
    <row r="3" spans="1:1" ht="15" customHeight="1" x14ac:dyDescent="0.2">
      <c r="A3" s="91" t="s">
        <v>64</v>
      </c>
    </row>
    <row r="5" spans="1:1" ht="51" x14ac:dyDescent="0.2">
      <c r="A5" s="80" t="s">
        <v>364</v>
      </c>
    </row>
    <row r="7" spans="1:1" ht="25.5" x14ac:dyDescent="0.2">
      <c r="A7" s="81" t="s">
        <v>303</v>
      </c>
    </row>
    <row r="9" spans="1:1" x14ac:dyDescent="0.2">
      <c r="A9" s="80" t="s">
        <v>247</v>
      </c>
    </row>
    <row r="10" spans="1:1" ht="25.5" x14ac:dyDescent="0.2">
      <c r="A10" s="80" t="s">
        <v>361</v>
      </c>
    </row>
    <row r="11" spans="1:1" ht="25.5" x14ac:dyDescent="0.2">
      <c r="A11" s="82" t="s">
        <v>333</v>
      </c>
    </row>
    <row r="12" spans="1:1" x14ac:dyDescent="0.2">
      <c r="A12" s="82" t="s">
        <v>370</v>
      </c>
    </row>
    <row r="13" spans="1:1" ht="38.25" x14ac:dyDescent="0.2">
      <c r="A13" s="82" t="s">
        <v>371</v>
      </c>
    </row>
    <row r="14" spans="1:1" ht="38.25" x14ac:dyDescent="0.2">
      <c r="A14" s="82" t="s">
        <v>372</v>
      </c>
    </row>
    <row r="15" spans="1:1" ht="38.25" x14ac:dyDescent="0.2">
      <c r="A15" s="82" t="s">
        <v>373</v>
      </c>
    </row>
    <row r="16" spans="1:1" ht="38.25" x14ac:dyDescent="0.2">
      <c r="A16" s="82" t="s">
        <v>369</v>
      </c>
    </row>
    <row r="17" spans="1:1" ht="38.25" x14ac:dyDescent="0.2">
      <c r="A17" s="82" t="s">
        <v>374</v>
      </c>
    </row>
    <row r="18" spans="1:1" ht="38.25" x14ac:dyDescent="0.2">
      <c r="A18" s="82" t="s">
        <v>375</v>
      </c>
    </row>
    <row r="20" spans="1:1" x14ac:dyDescent="0.2">
      <c r="A20" s="82" t="s">
        <v>360</v>
      </c>
    </row>
    <row r="22" spans="1:1" ht="51" x14ac:dyDescent="0.2">
      <c r="A22" s="80" t="s">
        <v>366</v>
      </c>
    </row>
    <row r="24" spans="1:1" ht="25.5" x14ac:dyDescent="0.2">
      <c r="A24" s="80" t="s">
        <v>365</v>
      </c>
    </row>
    <row r="26" spans="1:1" ht="38.25" x14ac:dyDescent="0.2">
      <c r="A26" s="80" t="s">
        <v>367</v>
      </c>
    </row>
    <row r="28" spans="1:1" x14ac:dyDescent="0.2">
      <c r="A28" s="82" t="s">
        <v>65</v>
      </c>
    </row>
    <row r="30" spans="1:1" ht="76.5" x14ac:dyDescent="0.2">
      <c r="A30" s="80" t="s">
        <v>368</v>
      </c>
    </row>
    <row r="32" spans="1:1" ht="38.25" x14ac:dyDescent="0.2">
      <c r="A32" s="81" t="s">
        <v>304</v>
      </c>
    </row>
    <row r="34" spans="1:1" ht="38.25" x14ac:dyDescent="0.2">
      <c r="A34" s="80" t="s">
        <v>2</v>
      </c>
    </row>
    <row r="36" spans="1:1" ht="38.25" x14ac:dyDescent="0.2">
      <c r="A36" s="83" t="s">
        <v>325</v>
      </c>
    </row>
    <row r="37" spans="1:1" x14ac:dyDescent="0.2">
      <c r="A37" s="81"/>
    </row>
    <row r="38" spans="1:1" ht="51" x14ac:dyDescent="0.2">
      <c r="A38" s="80" t="s">
        <v>305</v>
      </c>
    </row>
    <row r="40" spans="1:1" x14ac:dyDescent="0.2">
      <c r="A40" s="82" t="s">
        <v>306</v>
      </c>
    </row>
    <row r="42" spans="1:1" ht="63.75" x14ac:dyDescent="0.2">
      <c r="A42" s="80" t="s">
        <v>376</v>
      </c>
    </row>
    <row r="44" spans="1:1" ht="38.25" x14ac:dyDescent="0.2">
      <c r="A44" s="84" t="s">
        <v>377</v>
      </c>
    </row>
    <row r="46" spans="1:1" ht="51" x14ac:dyDescent="0.2">
      <c r="A46" s="83" t="s">
        <v>378</v>
      </c>
    </row>
    <row r="48" spans="1:1" ht="63.75" x14ac:dyDescent="0.2">
      <c r="A48" s="80" t="s">
        <v>379</v>
      </c>
    </row>
    <row r="50" spans="1:1" ht="63.75" x14ac:dyDescent="0.2">
      <c r="A50" s="83" t="s">
        <v>326</v>
      </c>
    </row>
    <row r="52" spans="1:1" ht="38.25" x14ac:dyDescent="0.2">
      <c r="A52" s="80" t="s">
        <v>380</v>
      </c>
    </row>
    <row r="53" spans="1:1" ht="25.5" x14ac:dyDescent="0.2">
      <c r="A53" s="82" t="s">
        <v>334</v>
      </c>
    </row>
    <row r="54" spans="1:1" ht="25.5" x14ac:dyDescent="0.2">
      <c r="A54" s="82" t="s">
        <v>335</v>
      </c>
    </row>
    <row r="55" spans="1:1" ht="51" x14ac:dyDescent="0.2">
      <c r="A55" s="82" t="s">
        <v>381</v>
      </c>
    </row>
    <row r="56" spans="1:1" ht="38.25" x14ac:dyDescent="0.2">
      <c r="A56" s="82" t="s">
        <v>382</v>
      </c>
    </row>
    <row r="57" spans="1:1" x14ac:dyDescent="0.2">
      <c r="A57" s="82" t="s">
        <v>336</v>
      </c>
    </row>
    <row r="58" spans="1:1" x14ac:dyDescent="0.2">
      <c r="A58" s="82" t="s">
        <v>337</v>
      </c>
    </row>
    <row r="59" spans="1:1" ht="51" x14ac:dyDescent="0.2">
      <c r="A59" s="80" t="s">
        <v>383</v>
      </c>
    </row>
    <row r="60" spans="1:1" ht="38.25" x14ac:dyDescent="0.2">
      <c r="A60" s="80" t="s">
        <v>384</v>
      </c>
    </row>
    <row r="61" spans="1:1" ht="25.5" x14ac:dyDescent="0.2">
      <c r="A61" s="82" t="s">
        <v>338</v>
      </c>
    </row>
    <row r="62" spans="1:1" ht="51" x14ac:dyDescent="0.2">
      <c r="A62" s="82" t="s">
        <v>339</v>
      </c>
    </row>
    <row r="63" spans="1:1" x14ac:dyDescent="0.2">
      <c r="A63" s="82"/>
    </row>
    <row r="64" spans="1:1" x14ac:dyDescent="0.2">
      <c r="A64" s="80" t="s">
        <v>307</v>
      </c>
    </row>
    <row r="65" spans="1:1" ht="38.25" x14ac:dyDescent="0.2">
      <c r="A65" s="80" t="s">
        <v>385</v>
      </c>
    </row>
    <row r="66" spans="1:1" ht="38.25" x14ac:dyDescent="0.2">
      <c r="A66" s="80" t="s">
        <v>386</v>
      </c>
    </row>
    <row r="67" spans="1:1" ht="25.5" x14ac:dyDescent="0.2">
      <c r="A67" s="80" t="s">
        <v>387</v>
      </c>
    </row>
    <row r="68" spans="1:1" ht="25.5" x14ac:dyDescent="0.2">
      <c r="A68" s="80" t="s">
        <v>340</v>
      </c>
    </row>
    <row r="69" spans="1:1" ht="38.25" x14ac:dyDescent="0.2">
      <c r="A69" s="80" t="s">
        <v>341</v>
      </c>
    </row>
    <row r="71" spans="1:1" x14ac:dyDescent="0.2">
      <c r="A71" s="85" t="s">
        <v>308</v>
      </c>
    </row>
    <row r="72" spans="1:1" x14ac:dyDescent="0.2">
      <c r="A72" s="81"/>
    </row>
    <row r="73" spans="1:1" ht="51" x14ac:dyDescent="0.2">
      <c r="A73" s="80" t="s">
        <v>309</v>
      </c>
    </row>
    <row r="74" spans="1:1" x14ac:dyDescent="0.2">
      <c r="A74" s="81"/>
    </row>
    <row r="75" spans="1:1" ht="25.5" x14ac:dyDescent="0.2">
      <c r="A75" s="80" t="s">
        <v>388</v>
      </c>
    </row>
    <row r="77" spans="1:1" ht="38.25" x14ac:dyDescent="0.2">
      <c r="A77" s="81" t="s">
        <v>310</v>
      </c>
    </row>
    <row r="79" spans="1:1" x14ac:dyDescent="0.2">
      <c r="A79" s="85" t="s">
        <v>311</v>
      </c>
    </row>
    <row r="81" spans="1:1" ht="38.25" x14ac:dyDescent="0.2">
      <c r="A81" s="80" t="s">
        <v>389</v>
      </c>
    </row>
    <row r="83" spans="1:1" ht="38.25" x14ac:dyDescent="0.2">
      <c r="A83" s="80" t="s">
        <v>390</v>
      </c>
    </row>
    <row r="84" spans="1:1" x14ac:dyDescent="0.2">
      <c r="A84" s="80" t="s">
        <v>312</v>
      </c>
    </row>
    <row r="85" spans="1:1" x14ac:dyDescent="0.2">
      <c r="A85" s="80" t="s">
        <v>313</v>
      </c>
    </row>
    <row r="86" spans="1:1" ht="25.5" x14ac:dyDescent="0.2">
      <c r="A86" s="80" t="s">
        <v>391</v>
      </c>
    </row>
    <row r="87" spans="1:1" ht="25.5" x14ac:dyDescent="0.2">
      <c r="A87" s="80" t="s">
        <v>392</v>
      </c>
    </row>
    <row r="88" spans="1:1" ht="25.5" x14ac:dyDescent="0.2">
      <c r="A88" s="80" t="s">
        <v>314</v>
      </c>
    </row>
    <row r="90" spans="1:1" x14ac:dyDescent="0.2">
      <c r="A90" s="85" t="s">
        <v>396</v>
      </c>
    </row>
    <row r="92" spans="1:1" ht="38.25" x14ac:dyDescent="0.2">
      <c r="A92" s="80" t="s">
        <v>397</v>
      </c>
    </row>
    <row r="94" spans="1:1" ht="25.5" x14ac:dyDescent="0.2">
      <c r="A94" s="81" t="s">
        <v>398</v>
      </c>
    </row>
    <row r="96" spans="1:1" ht="25.5" x14ac:dyDescent="0.2">
      <c r="A96" s="80" t="s">
        <v>399</v>
      </c>
    </row>
    <row r="98" spans="1:1" ht="63.75" x14ac:dyDescent="0.2">
      <c r="A98" s="81" t="s">
        <v>400</v>
      </c>
    </row>
    <row r="100" spans="1:1" x14ac:dyDescent="0.2">
      <c r="A100" s="85" t="s">
        <v>315</v>
      </c>
    </row>
    <row r="102" spans="1:1" s="86" customFormat="1" ht="25.5" x14ac:dyDescent="0.2">
      <c r="A102" s="80" t="s">
        <v>316</v>
      </c>
    </row>
    <row r="103" spans="1:1" s="86" customFormat="1" x14ac:dyDescent="0.2">
      <c r="A103" s="81"/>
    </row>
    <row r="104" spans="1:1" s="86" customFormat="1" ht="25.5" x14ac:dyDescent="0.2">
      <c r="A104" s="81" t="s">
        <v>393</v>
      </c>
    </row>
    <row r="105" spans="1:1" s="86" customFormat="1" ht="51" x14ac:dyDescent="0.2">
      <c r="A105" s="81" t="s">
        <v>394</v>
      </c>
    </row>
    <row r="106" spans="1:1" s="86" customFormat="1" ht="51" x14ac:dyDescent="0.2">
      <c r="A106" s="81" t="s">
        <v>395</v>
      </c>
    </row>
    <row r="107" spans="1:1" s="86" customFormat="1" x14ac:dyDescent="0.2">
      <c r="A107" s="81"/>
    </row>
    <row r="108" spans="1:1" s="86" customFormat="1" ht="25.5" x14ac:dyDescent="0.2">
      <c r="A108" s="81" t="s">
        <v>317</v>
      </c>
    </row>
    <row r="110" spans="1:1" x14ac:dyDescent="0.2">
      <c r="A110" s="82" t="s">
        <v>299</v>
      </c>
    </row>
    <row r="112" spans="1:1" ht="51" x14ac:dyDescent="0.2">
      <c r="A112" s="80" t="s">
        <v>401</v>
      </c>
    </row>
    <row r="114" spans="1:1" ht="38.25" x14ac:dyDescent="0.2">
      <c r="A114" s="80" t="s">
        <v>402</v>
      </c>
    </row>
    <row r="116" spans="1:1" ht="38.25" x14ac:dyDescent="0.2">
      <c r="A116" s="80" t="s">
        <v>403</v>
      </c>
    </row>
    <row r="118" spans="1:1" ht="51" x14ac:dyDescent="0.2">
      <c r="A118" s="80" t="s">
        <v>404</v>
      </c>
    </row>
    <row r="120" spans="1:1" ht="38.25" x14ac:dyDescent="0.2">
      <c r="A120" s="80" t="s">
        <v>318</v>
      </c>
    </row>
    <row r="122" spans="1:1" x14ac:dyDescent="0.2">
      <c r="A122" s="82" t="s">
        <v>319</v>
      </c>
    </row>
    <row r="124" spans="1:1" ht="51" x14ac:dyDescent="0.2">
      <c r="A124" s="80" t="s">
        <v>405</v>
      </c>
    </row>
    <row r="126" spans="1:1" ht="38.25" x14ac:dyDescent="0.2">
      <c r="A126" s="80" t="s">
        <v>406</v>
      </c>
    </row>
    <row r="128" spans="1:1" ht="38.25" x14ac:dyDescent="0.2">
      <c r="A128" s="80" t="s">
        <v>407</v>
      </c>
    </row>
    <row r="130" spans="1:1" ht="38.25" x14ac:dyDescent="0.2">
      <c r="A130" s="80" t="s">
        <v>342</v>
      </c>
    </row>
    <row r="132" spans="1:1" ht="25.5" x14ac:dyDescent="0.2">
      <c r="A132" s="80" t="s">
        <v>408</v>
      </c>
    </row>
    <row r="134" spans="1:1" ht="51" x14ac:dyDescent="0.2">
      <c r="A134" s="80" t="s">
        <v>343</v>
      </c>
    </row>
    <row r="136" spans="1:1" ht="51" x14ac:dyDescent="0.2">
      <c r="A136" s="80" t="s">
        <v>320</v>
      </c>
    </row>
    <row r="138" spans="1:1" x14ac:dyDescent="0.2">
      <c r="A138" s="82" t="s">
        <v>232</v>
      </c>
    </row>
    <row r="140" spans="1:1" ht="51" x14ac:dyDescent="0.2">
      <c r="A140" s="80" t="s">
        <v>409</v>
      </c>
    </row>
    <row r="142" spans="1:1" ht="38.25" x14ac:dyDescent="0.2">
      <c r="A142" s="80" t="s">
        <v>410</v>
      </c>
    </row>
    <row r="144" spans="1:1" ht="38.25" x14ac:dyDescent="0.2">
      <c r="A144" s="80" t="s">
        <v>411</v>
      </c>
    </row>
    <row r="146" spans="1:1" ht="38.25" x14ac:dyDescent="0.2">
      <c r="A146" s="80" t="s">
        <v>412</v>
      </c>
    </row>
    <row r="148" spans="1:1" ht="38.25" x14ac:dyDescent="0.2">
      <c r="A148" s="81" t="s">
        <v>321</v>
      </c>
    </row>
    <row r="150" spans="1:1" ht="38.25" x14ac:dyDescent="0.2">
      <c r="A150" s="81" t="s">
        <v>327</v>
      </c>
    </row>
    <row r="152" spans="1:1" ht="38.25" x14ac:dyDescent="0.2">
      <c r="A152" s="80" t="s">
        <v>413</v>
      </c>
    </row>
    <row r="154" spans="1:1" ht="51" x14ac:dyDescent="0.2">
      <c r="A154" s="80" t="s">
        <v>3</v>
      </c>
    </row>
    <row r="156" spans="1:1" ht="51" x14ac:dyDescent="0.2">
      <c r="A156" s="80" t="s">
        <v>414</v>
      </c>
    </row>
    <row r="158" spans="1:1" ht="76.5" x14ac:dyDescent="0.2">
      <c r="A158" s="80" t="s">
        <v>415</v>
      </c>
    </row>
    <row r="160" spans="1:1" ht="38.25" x14ac:dyDescent="0.2">
      <c r="A160" s="81" t="s">
        <v>8</v>
      </c>
    </row>
    <row r="161" spans="1:1" x14ac:dyDescent="0.2">
      <c r="A161" s="81"/>
    </row>
    <row r="162" spans="1:1" ht="25.5" x14ac:dyDescent="0.2">
      <c r="A162" s="81" t="s">
        <v>4</v>
      </c>
    </row>
    <row r="164" spans="1:1" ht="38.25" x14ac:dyDescent="0.2">
      <c r="A164" s="80" t="s">
        <v>322</v>
      </c>
    </row>
    <row r="166" spans="1:1" x14ac:dyDescent="0.2">
      <c r="A166" s="82" t="s">
        <v>15</v>
      </c>
    </row>
    <row r="168" spans="1:1" ht="38.25" x14ac:dyDescent="0.2">
      <c r="A168" s="80" t="s">
        <v>416</v>
      </c>
    </row>
    <row r="170" spans="1:1" ht="51" x14ac:dyDescent="0.2">
      <c r="A170" s="81" t="s">
        <v>344</v>
      </c>
    </row>
    <row r="172" spans="1:1" x14ac:dyDescent="0.2">
      <c r="A172" s="82" t="s">
        <v>206</v>
      </c>
    </row>
    <row r="174" spans="1:1" ht="38.25" x14ac:dyDescent="0.2">
      <c r="A174" s="80" t="s">
        <v>417</v>
      </c>
    </row>
    <row r="176" spans="1:1" ht="38.25" x14ac:dyDescent="0.2">
      <c r="A176" s="80" t="s">
        <v>5</v>
      </c>
    </row>
    <row r="178" spans="1:1" ht="25.5" x14ac:dyDescent="0.2">
      <c r="A178" s="80" t="s">
        <v>324</v>
      </c>
    </row>
    <row r="180" spans="1:1" ht="51" x14ac:dyDescent="0.2">
      <c r="A180" s="81" t="s">
        <v>345</v>
      </c>
    </row>
    <row r="181" spans="1:1" x14ac:dyDescent="0.2">
      <c r="A181" s="81"/>
    </row>
    <row r="182" spans="1:1" ht="51" x14ac:dyDescent="0.2">
      <c r="A182" s="81" t="s">
        <v>6</v>
      </c>
    </row>
    <row r="183" spans="1:1" x14ac:dyDescent="0.2">
      <c r="A183" s="81"/>
    </row>
    <row r="184" spans="1:1" x14ac:dyDescent="0.2">
      <c r="A184" s="82" t="s">
        <v>0</v>
      </c>
    </row>
    <row r="185" spans="1:1" x14ac:dyDescent="0.2">
      <c r="A185" s="81"/>
    </row>
    <row r="186" spans="1:1" ht="51" x14ac:dyDescent="0.2">
      <c r="A186" s="80" t="s">
        <v>418</v>
      </c>
    </row>
    <row r="188" spans="1:1" ht="63.75" x14ac:dyDescent="0.2">
      <c r="A188" s="81" t="s">
        <v>328</v>
      </c>
    </row>
    <row r="189" spans="1:1" x14ac:dyDescent="0.2">
      <c r="A189" s="81"/>
    </row>
    <row r="190" spans="1:1" ht="38.25" x14ac:dyDescent="0.2">
      <c r="A190" s="81" t="s">
        <v>323</v>
      </c>
    </row>
    <row r="192" spans="1:1" ht="51" x14ac:dyDescent="0.2">
      <c r="A192" s="80" t="s">
        <v>419</v>
      </c>
    </row>
    <row r="194" spans="1:1" x14ac:dyDescent="0.2">
      <c r="A194" s="87" t="s">
        <v>66</v>
      </c>
    </row>
    <row r="196" spans="1:1" ht="63.75" x14ac:dyDescent="0.2">
      <c r="A196" s="80" t="s">
        <v>68</v>
      </c>
    </row>
    <row r="198" spans="1:1" s="89" customFormat="1" x14ac:dyDescent="0.2">
      <c r="A198" s="88" t="s">
        <v>329</v>
      </c>
    </row>
    <row r="199" spans="1:1" s="89" customFormat="1" x14ac:dyDescent="0.2">
      <c r="A199" s="88"/>
    </row>
    <row r="200" spans="1:1" s="89" customFormat="1" ht="76.5" x14ac:dyDescent="0.2">
      <c r="A200" s="90" t="s">
        <v>330</v>
      </c>
    </row>
  </sheetData>
  <sheetProtection selectLockedCells="1"/>
  <phoneticPr fontId="3" type="noConversion"/>
  <hyperlinks>
    <hyperlink ref="A3" r:id="rId1" xr:uid="{00000000-0004-0000-0300-000000000000}"/>
  </hyperlinks>
  <pageMargins left="0.74803149606299213" right="0.74803149606299213" top="0.98425196850393704" bottom="0.98425196850393704" header="0.51181102362204722" footer="0.51181102362204722"/>
  <pageSetup paperSize="9" scale="80" fitToHeight="0" orientation="portrait" r:id="rId2"/>
  <headerFooter alignWithMargins="0">
    <oddFooter>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F40"/>
  <sheetViews>
    <sheetView zoomScale="95" workbookViewId="0">
      <selection activeCell="C5" sqref="C5:D5"/>
    </sheetView>
  </sheetViews>
  <sheetFormatPr defaultColWidth="9.140625" defaultRowHeight="16.149999999999999" customHeight="1" x14ac:dyDescent="0.25"/>
  <cols>
    <col min="1" max="1" width="8.7109375" style="2" customWidth="1"/>
    <col min="2" max="2" width="20.7109375" style="2" customWidth="1"/>
    <col min="3" max="4" width="25.7109375" style="2" customWidth="1"/>
    <col min="5" max="13" width="15.7109375" style="2" customWidth="1"/>
    <col min="14" max="16384" width="9.140625" style="2"/>
  </cols>
  <sheetData>
    <row r="1" spans="1:6" ht="16.149999999999999" customHeight="1" x14ac:dyDescent="0.25">
      <c r="A1" s="11" t="str">
        <f>$C$5</f>
        <v>Example (Pty) Ltd</v>
      </c>
      <c r="B1" s="4"/>
      <c r="D1" s="68"/>
    </row>
    <row r="2" spans="1:6" ht="16.149999999999999" customHeight="1" x14ac:dyDescent="0.25">
      <c r="A2" s="7" t="s">
        <v>38</v>
      </c>
      <c r="B2" s="7"/>
    </row>
    <row r="3" spans="1:6" ht="16.149999999999999" customHeight="1" x14ac:dyDescent="0.25">
      <c r="A3" s="18" t="s">
        <v>14</v>
      </c>
      <c r="F3" s="68"/>
    </row>
    <row r="4" spans="1:6" ht="16.149999999999999" customHeight="1" x14ac:dyDescent="0.25">
      <c r="A4" s="4" t="s">
        <v>39</v>
      </c>
      <c r="B4" s="4"/>
    </row>
    <row r="5" spans="1:6" ht="16.149999999999999" customHeight="1" x14ac:dyDescent="0.25">
      <c r="A5" s="2" t="s">
        <v>40</v>
      </c>
      <c r="C5" s="181" t="s">
        <v>69</v>
      </c>
      <c r="D5" s="182"/>
    </row>
    <row r="6" spans="1:6" ht="16.149999999999999" customHeight="1" x14ac:dyDescent="0.25">
      <c r="A6" s="2" t="s">
        <v>255</v>
      </c>
    </row>
    <row r="7" spans="1:6" ht="16.149999999999999" customHeight="1" x14ac:dyDescent="0.25">
      <c r="A7" s="2" t="s">
        <v>30</v>
      </c>
      <c r="C7" s="69" t="s">
        <v>41</v>
      </c>
    </row>
    <row r="8" spans="1:6" ht="16.149999999999999" customHeight="1" x14ac:dyDescent="0.25">
      <c r="A8" s="2" t="s">
        <v>31</v>
      </c>
      <c r="C8" s="69" t="s">
        <v>36</v>
      </c>
    </row>
    <row r="9" spans="1:6" ht="16.149999999999999" customHeight="1" x14ac:dyDescent="0.25">
      <c r="A9" s="2" t="s">
        <v>32</v>
      </c>
      <c r="C9" s="69" t="s">
        <v>37</v>
      </c>
    </row>
    <row r="10" spans="1:6" ht="16.149999999999999" customHeight="1" x14ac:dyDescent="0.25">
      <c r="A10" s="2" t="s">
        <v>33</v>
      </c>
      <c r="C10" s="69" t="s">
        <v>60</v>
      </c>
    </row>
    <row r="11" spans="1:6" ht="16.149999999999999" customHeight="1" x14ac:dyDescent="0.25">
      <c r="A11" s="2" t="s">
        <v>34</v>
      </c>
      <c r="C11" s="70">
        <v>9999</v>
      </c>
    </row>
    <row r="13" spans="1:6" ht="16.149999999999999" customHeight="1" x14ac:dyDescent="0.25">
      <c r="A13" s="2" t="s">
        <v>42</v>
      </c>
      <c r="C13" s="71" t="s">
        <v>43</v>
      </c>
    </row>
    <row r="14" spans="1:6" ht="16.149999999999999" customHeight="1" x14ac:dyDescent="0.25">
      <c r="A14" s="2" t="s">
        <v>44</v>
      </c>
      <c r="C14" s="71" t="s">
        <v>45</v>
      </c>
    </row>
    <row r="15" spans="1:6" ht="16.149999999999999" customHeight="1" x14ac:dyDescent="0.25">
      <c r="A15" s="2" t="s">
        <v>238</v>
      </c>
      <c r="C15" s="72" t="s">
        <v>46</v>
      </c>
    </row>
    <row r="16" spans="1:6" ht="16.149999999999999" customHeight="1" x14ac:dyDescent="0.25">
      <c r="A16" s="2" t="s">
        <v>47</v>
      </c>
      <c r="C16" s="72" t="s">
        <v>48</v>
      </c>
    </row>
    <row r="18" spans="1:5" ht="16.149999999999999" customHeight="1" x14ac:dyDescent="0.25">
      <c r="A18" s="2" t="s">
        <v>49</v>
      </c>
      <c r="C18" s="69" t="s">
        <v>50</v>
      </c>
    </row>
    <row r="19" spans="1:5" ht="16.149999999999999" customHeight="1" x14ac:dyDescent="0.25">
      <c r="A19" s="2" t="s">
        <v>239</v>
      </c>
      <c r="C19" s="69" t="s">
        <v>256</v>
      </c>
    </row>
    <row r="21" spans="1:5" ht="16.149999999999999" customHeight="1" x14ac:dyDescent="0.25">
      <c r="A21" s="4" t="s">
        <v>346</v>
      </c>
    </row>
    <row r="22" spans="1:5" s="73" customFormat="1" ht="16.149999999999999" customHeight="1" x14ac:dyDescent="0.25">
      <c r="A22" s="7" t="s">
        <v>28</v>
      </c>
      <c r="B22" s="7" t="s">
        <v>20</v>
      </c>
      <c r="D22" s="169" t="s">
        <v>347</v>
      </c>
      <c r="E22" s="2"/>
    </row>
    <row r="23" spans="1:5" ht="16.149999999999999" customHeight="1" x14ac:dyDescent="0.25">
      <c r="A23" s="170" t="s">
        <v>25</v>
      </c>
      <c r="B23" s="171" t="s">
        <v>348</v>
      </c>
      <c r="C23" s="172"/>
      <c r="D23" s="173">
        <v>0.15</v>
      </c>
    </row>
    <row r="24" spans="1:5" ht="16.149999999999999" customHeight="1" x14ac:dyDescent="0.25">
      <c r="A24" s="170" t="s">
        <v>331</v>
      </c>
      <c r="B24" s="171" t="s">
        <v>349</v>
      </c>
      <c r="C24" s="172"/>
      <c r="D24" s="173">
        <v>0</v>
      </c>
    </row>
    <row r="25" spans="1:5" ht="16.149999999999999" customHeight="1" x14ac:dyDescent="0.25">
      <c r="A25" s="170" t="s">
        <v>350</v>
      </c>
      <c r="B25" s="171" t="s">
        <v>351</v>
      </c>
      <c r="C25" s="172"/>
      <c r="D25" s="173">
        <v>0</v>
      </c>
    </row>
    <row r="26" spans="1:5" ht="16.149999999999999" customHeight="1" x14ac:dyDescent="0.25">
      <c r="A26" s="170" t="s">
        <v>171</v>
      </c>
      <c r="B26" s="171" t="s">
        <v>352</v>
      </c>
      <c r="C26" s="172"/>
      <c r="D26" s="173">
        <v>0</v>
      </c>
    </row>
    <row r="27" spans="1:5" ht="16.149999999999999" customHeight="1" x14ac:dyDescent="0.25">
      <c r="A27" s="170" t="s">
        <v>353</v>
      </c>
      <c r="B27" s="171" t="s">
        <v>354</v>
      </c>
      <c r="C27" s="172"/>
      <c r="D27" s="173">
        <v>0</v>
      </c>
    </row>
    <row r="28" spans="1:5" ht="16.149999999999999" customHeight="1" x14ac:dyDescent="0.25">
      <c r="A28" s="7" t="s">
        <v>355</v>
      </c>
      <c r="B28" s="62"/>
      <c r="C28" s="62"/>
      <c r="D28" s="174"/>
    </row>
    <row r="30" spans="1:5" ht="16.149999999999999" customHeight="1" x14ac:dyDescent="0.25">
      <c r="A30" s="4" t="s">
        <v>22</v>
      </c>
      <c r="B30" s="4"/>
    </row>
    <row r="31" spans="1:5" ht="16.149999999999999" customHeight="1" x14ac:dyDescent="0.25">
      <c r="A31" s="2" t="s">
        <v>51</v>
      </c>
      <c r="C31" s="69" t="s">
        <v>52</v>
      </c>
    </row>
    <row r="32" spans="1:5" ht="16.149999999999999" customHeight="1" x14ac:dyDescent="0.25">
      <c r="A32" s="2" t="s">
        <v>53</v>
      </c>
      <c r="C32" s="69" t="s">
        <v>54</v>
      </c>
    </row>
    <row r="33" spans="1:3" ht="16.149999999999999" customHeight="1" x14ac:dyDescent="0.25">
      <c r="A33" s="2" t="s">
        <v>55</v>
      </c>
      <c r="C33" s="69" t="s">
        <v>56</v>
      </c>
    </row>
    <row r="34" spans="1:3" ht="16.149999999999999" customHeight="1" x14ac:dyDescent="0.25">
      <c r="A34" s="2" t="s">
        <v>57</v>
      </c>
      <c r="C34" s="69" t="s">
        <v>58</v>
      </c>
    </row>
    <row r="36" spans="1:3" ht="16.149999999999999" customHeight="1" x14ac:dyDescent="0.25">
      <c r="A36" s="4" t="s">
        <v>249</v>
      </c>
      <c r="B36" s="4"/>
    </row>
    <row r="37" spans="1:3" ht="16.149999999999999" customHeight="1" x14ac:dyDescent="0.25">
      <c r="A37" s="7" t="s">
        <v>28</v>
      </c>
      <c r="B37" s="7" t="s">
        <v>250</v>
      </c>
      <c r="C37" s="7"/>
    </row>
    <row r="38" spans="1:3" ht="16.149999999999999" customHeight="1" x14ac:dyDescent="0.25">
      <c r="A38" s="74" t="s">
        <v>251</v>
      </c>
      <c r="B38" s="183" t="s">
        <v>253</v>
      </c>
      <c r="C38" s="183"/>
    </row>
    <row r="39" spans="1:3" ht="16.149999999999999" customHeight="1" x14ac:dyDescent="0.25">
      <c r="A39" s="74" t="s">
        <v>252</v>
      </c>
      <c r="B39" s="183" t="s">
        <v>254</v>
      </c>
      <c r="C39" s="183"/>
    </row>
    <row r="40" spans="1:3" ht="16.149999999999999" customHeight="1" x14ac:dyDescent="0.25">
      <c r="A40" s="74" t="s">
        <v>300</v>
      </c>
      <c r="B40" s="183" t="s">
        <v>301</v>
      </c>
      <c r="C40" s="183"/>
    </row>
  </sheetData>
  <sheetProtection autoFilter="0"/>
  <mergeCells count="4">
    <mergeCell ref="C5:D5"/>
    <mergeCell ref="B38:C38"/>
    <mergeCell ref="B39:C39"/>
    <mergeCell ref="B40:C40"/>
  </mergeCells>
  <phoneticPr fontId="3" type="noConversion"/>
  <dataValidations count="1">
    <dataValidation type="decimal" allowBlank="1" showInputMessage="1" showErrorMessage="1" errorTitle="Invalid Tax %" error="The applicable tax percentage needs to be entered as a percentage value - only values between 0 and 1 are therefore accepted." sqref="D23:D24 C25:D28" xr:uid="{00000000-0002-0000-0400-000000000000}">
      <formula1>0</formula1>
      <formula2>1</formula2>
    </dataValidation>
  </dataValidations>
  <hyperlinks>
    <hyperlink ref="C16" r:id="rId1" xr:uid="{00000000-0004-0000-0400-000000000000}"/>
    <hyperlink ref="C15" r:id="rId2" xr:uid="{00000000-0004-0000-0400-000001000000}"/>
  </hyperlinks>
  <pageMargins left="0.55118110236220474" right="0.55118110236220474" top="0.59055118110236227" bottom="0.59055118110236227" header="0.39370078740157483" footer="0.39370078740157483"/>
  <pageSetup paperSize="9" orientation="portrait" r:id="rId3"/>
  <headerFooter alignWithMargins="0">
    <oddFooter>&amp;C&amp;9Page &amp;P of &amp;N</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H25"/>
  <sheetViews>
    <sheetView zoomScale="95" zoomScaleNormal="95" workbookViewId="0">
      <pane ySplit="5" topLeftCell="A6" activePane="bottomLeft" state="frozen"/>
      <selection pane="bottomLeft" activeCell="A5" sqref="A5"/>
    </sheetView>
  </sheetViews>
  <sheetFormatPr defaultColWidth="9.140625" defaultRowHeight="16.149999999999999" customHeight="1" x14ac:dyDescent="0.25"/>
  <cols>
    <col min="1" max="1" width="10.7109375" style="2" customWidth="1"/>
    <col min="2" max="2" width="29" style="2" customWidth="1"/>
    <col min="3" max="4" width="25.7109375" style="62" customWidth="1"/>
    <col min="5" max="5" width="21.28515625" style="62" bestFit="1" customWidth="1"/>
    <col min="6" max="6" width="20.7109375" style="62" customWidth="1"/>
    <col min="7" max="7" width="15.7109375" style="62" customWidth="1"/>
    <col min="8" max="8" width="25.7109375" style="62" customWidth="1"/>
    <col min="9" max="23" width="25.7109375" style="2" customWidth="1"/>
    <col min="24" max="16384" width="9.140625" style="2"/>
  </cols>
  <sheetData>
    <row r="1" spans="1:8" ht="16.149999999999999" customHeight="1" x14ac:dyDescent="0.25">
      <c r="A1" s="11" t="str">
        <f>Setup!$C$5</f>
        <v>Example (Pty) Ltd</v>
      </c>
      <c r="D1" s="2"/>
      <c r="E1" s="2"/>
    </row>
    <row r="2" spans="1:8" ht="16.149999999999999" customHeight="1" x14ac:dyDescent="0.25">
      <c r="A2" s="7" t="s">
        <v>26</v>
      </c>
      <c r="D2" s="2"/>
      <c r="E2" s="2"/>
    </row>
    <row r="4" spans="1:8" s="3" customFormat="1" ht="18" customHeight="1" x14ac:dyDescent="0.25">
      <c r="A4" s="63" t="s">
        <v>14</v>
      </c>
      <c r="C4" s="184" t="s">
        <v>27</v>
      </c>
      <c r="D4" s="185"/>
      <c r="E4" s="185"/>
      <c r="F4" s="185"/>
      <c r="G4" s="186"/>
      <c r="H4" s="64"/>
    </row>
    <row r="5" spans="1:8" s="22" customFormat="1" ht="18" customHeight="1" x14ac:dyDescent="0.25">
      <c r="A5" s="65" t="s">
        <v>28</v>
      </c>
      <c r="B5" s="65" t="s">
        <v>29</v>
      </c>
      <c r="C5" s="66" t="s">
        <v>30</v>
      </c>
      <c r="D5" s="66" t="s">
        <v>31</v>
      </c>
      <c r="E5" s="66" t="s">
        <v>32</v>
      </c>
      <c r="F5" s="66" t="s">
        <v>33</v>
      </c>
      <c r="G5" s="66" t="s">
        <v>34</v>
      </c>
      <c r="H5" s="67" t="s">
        <v>35</v>
      </c>
    </row>
    <row r="6" spans="1:8" ht="16.149999999999999" customHeight="1" x14ac:dyDescent="0.25">
      <c r="A6" s="2" t="s">
        <v>70</v>
      </c>
      <c r="B6" s="2" t="s">
        <v>71</v>
      </c>
      <c r="C6" s="62" t="s">
        <v>72</v>
      </c>
      <c r="D6" s="62" t="s">
        <v>73</v>
      </c>
      <c r="E6" s="62" t="s">
        <v>225</v>
      </c>
      <c r="F6" s="62" t="s">
        <v>74</v>
      </c>
      <c r="G6" s="62">
        <v>15120</v>
      </c>
      <c r="H6" s="62" t="s">
        <v>75</v>
      </c>
    </row>
    <row r="7" spans="1:8" ht="16.149999999999999" customHeight="1" x14ac:dyDescent="0.25">
      <c r="A7" s="2" t="s">
        <v>76</v>
      </c>
      <c r="B7" s="2" t="s">
        <v>77</v>
      </c>
      <c r="C7" s="62" t="s">
        <v>78</v>
      </c>
      <c r="D7" s="62" t="s">
        <v>79</v>
      </c>
      <c r="E7" s="62" t="s">
        <v>80</v>
      </c>
      <c r="G7" s="62">
        <v>7200</v>
      </c>
      <c r="H7" s="62" t="s">
        <v>81</v>
      </c>
    </row>
    <row r="8" spans="1:8" ht="16.149999999999999" customHeight="1" x14ac:dyDescent="0.25">
      <c r="A8" s="2" t="s">
        <v>82</v>
      </c>
      <c r="B8" s="2" t="s">
        <v>83</v>
      </c>
      <c r="C8" s="62" t="s">
        <v>84</v>
      </c>
      <c r="D8" s="62" t="s">
        <v>85</v>
      </c>
      <c r="E8" s="62" t="s">
        <v>86</v>
      </c>
      <c r="F8" s="62" t="s">
        <v>87</v>
      </c>
      <c r="G8" s="62">
        <v>3200</v>
      </c>
      <c r="H8" s="62" t="s">
        <v>88</v>
      </c>
    </row>
    <row r="9" spans="1:8" ht="16.149999999999999" customHeight="1" x14ac:dyDescent="0.25">
      <c r="A9" s="2" t="s">
        <v>89</v>
      </c>
      <c r="B9" s="2" t="s">
        <v>90</v>
      </c>
      <c r="C9" s="62" t="s">
        <v>13</v>
      </c>
      <c r="D9" s="62" t="s">
        <v>91</v>
      </c>
      <c r="E9" s="62" t="s">
        <v>92</v>
      </c>
      <c r="G9" s="62">
        <v>1000</v>
      </c>
      <c r="H9" s="62" t="s">
        <v>93</v>
      </c>
    </row>
    <row r="10" spans="1:8" ht="16.149999999999999" customHeight="1" x14ac:dyDescent="0.25">
      <c r="A10" s="2" t="s">
        <v>94</v>
      </c>
      <c r="B10" s="2" t="s">
        <v>95</v>
      </c>
      <c r="C10" s="62" t="s">
        <v>96</v>
      </c>
      <c r="D10" s="62" t="s">
        <v>97</v>
      </c>
      <c r="E10" s="62" t="s">
        <v>80</v>
      </c>
      <c r="G10" s="62">
        <v>7005</v>
      </c>
      <c r="H10" s="62" t="s">
        <v>75</v>
      </c>
    </row>
    <row r="11" spans="1:8" ht="16.149999999999999" customHeight="1" x14ac:dyDescent="0.25">
      <c r="A11" s="2" t="s">
        <v>98</v>
      </c>
      <c r="B11" s="2" t="s">
        <v>99</v>
      </c>
      <c r="C11" s="62" t="s">
        <v>100</v>
      </c>
      <c r="D11" s="62" t="s">
        <v>101</v>
      </c>
      <c r="E11" s="62" t="s">
        <v>102</v>
      </c>
      <c r="G11" s="62">
        <v>9300</v>
      </c>
      <c r="H11" s="62" t="s">
        <v>103</v>
      </c>
    </row>
    <row r="12" spans="1:8" ht="16.149999999999999" customHeight="1" x14ac:dyDescent="0.25">
      <c r="A12" s="2" t="s">
        <v>104</v>
      </c>
      <c r="B12" s="2" t="s">
        <v>105</v>
      </c>
      <c r="C12" s="62" t="s">
        <v>106</v>
      </c>
      <c r="D12" s="62" t="s">
        <v>107</v>
      </c>
      <c r="E12" s="62" t="s">
        <v>87</v>
      </c>
      <c r="G12" s="62">
        <v>3250</v>
      </c>
      <c r="H12" s="62" t="s">
        <v>108</v>
      </c>
    </row>
    <row r="13" spans="1:8" ht="16.149999999999999" customHeight="1" x14ac:dyDescent="0.25">
      <c r="A13" s="2" t="s">
        <v>109</v>
      </c>
      <c r="B13" s="2" t="s">
        <v>110</v>
      </c>
      <c r="C13" s="62" t="s">
        <v>111</v>
      </c>
      <c r="D13" s="62" t="s">
        <v>112</v>
      </c>
      <c r="E13" s="62" t="s">
        <v>80</v>
      </c>
      <c r="G13" s="62">
        <v>7002</v>
      </c>
      <c r="H13" s="62" t="s">
        <v>113</v>
      </c>
    </row>
    <row r="14" spans="1:8" ht="16.149999999999999" customHeight="1" x14ac:dyDescent="0.25">
      <c r="A14" s="2" t="s">
        <v>114</v>
      </c>
      <c r="B14" s="2" t="s">
        <v>115</v>
      </c>
      <c r="C14" s="62" t="s">
        <v>9</v>
      </c>
      <c r="D14" s="62" t="s">
        <v>116</v>
      </c>
      <c r="E14" s="62" t="s">
        <v>92</v>
      </c>
      <c r="G14" s="62">
        <v>1005</v>
      </c>
      <c r="H14" s="62" t="s">
        <v>117</v>
      </c>
    </row>
    <row r="15" spans="1:8" ht="16.149999999999999" customHeight="1" x14ac:dyDescent="0.25">
      <c r="A15" s="2" t="s">
        <v>118</v>
      </c>
      <c r="B15" s="2" t="s">
        <v>119</v>
      </c>
      <c r="C15" s="62" t="s">
        <v>120</v>
      </c>
      <c r="D15" s="62" t="s">
        <v>121</v>
      </c>
      <c r="E15" s="62" t="s">
        <v>122</v>
      </c>
      <c r="F15" s="62" t="s">
        <v>123</v>
      </c>
      <c r="G15" s="62" t="s">
        <v>124</v>
      </c>
      <c r="H15" s="62" t="s">
        <v>75</v>
      </c>
    </row>
    <row r="16" spans="1:8" ht="16.149999999999999" customHeight="1" x14ac:dyDescent="0.25">
      <c r="A16" s="2" t="s">
        <v>125</v>
      </c>
      <c r="B16" s="2" t="s">
        <v>126</v>
      </c>
      <c r="C16" s="62" t="s">
        <v>10</v>
      </c>
      <c r="D16" s="62" t="s">
        <v>11</v>
      </c>
      <c r="E16" s="62" t="s">
        <v>127</v>
      </c>
      <c r="G16" s="62">
        <v>4200</v>
      </c>
      <c r="H16" s="62" t="s">
        <v>128</v>
      </c>
    </row>
    <row r="17" spans="1:8" ht="16.149999999999999" customHeight="1" x14ac:dyDescent="0.25">
      <c r="A17" s="2" t="s">
        <v>129</v>
      </c>
      <c r="B17" s="2" t="s">
        <v>130</v>
      </c>
      <c r="C17" s="62" t="s">
        <v>131</v>
      </c>
      <c r="D17" s="62" t="s">
        <v>132</v>
      </c>
      <c r="E17" s="62" t="s">
        <v>133</v>
      </c>
      <c r="F17" s="62" t="s">
        <v>92</v>
      </c>
      <c r="G17" s="62">
        <v>1008</v>
      </c>
      <c r="H17" s="62" t="s">
        <v>75</v>
      </c>
    </row>
    <row r="18" spans="1:8" ht="16.149999999999999" customHeight="1" x14ac:dyDescent="0.25">
      <c r="A18" s="2" t="s">
        <v>134</v>
      </c>
      <c r="B18" s="2" t="s">
        <v>135</v>
      </c>
      <c r="C18" s="62" t="s">
        <v>136</v>
      </c>
      <c r="D18" s="62" t="s">
        <v>137</v>
      </c>
      <c r="E18" s="62" t="s">
        <v>138</v>
      </c>
      <c r="G18" s="62">
        <v>2005</v>
      </c>
      <c r="H18" s="62" t="s">
        <v>139</v>
      </c>
    </row>
    <row r="19" spans="1:8" ht="16.149999999999999" customHeight="1" x14ac:dyDescent="0.25">
      <c r="A19" s="2" t="s">
        <v>140</v>
      </c>
      <c r="B19" s="2" t="s">
        <v>141</v>
      </c>
      <c r="C19" s="62" t="s">
        <v>142</v>
      </c>
      <c r="D19" s="62" t="s">
        <v>143</v>
      </c>
      <c r="E19" s="62" t="s">
        <v>80</v>
      </c>
      <c r="G19" s="62">
        <v>7100</v>
      </c>
      <c r="H19" s="62" t="s">
        <v>144</v>
      </c>
    </row>
    <row r="20" spans="1:8" ht="16.149999999999999" customHeight="1" x14ac:dyDescent="0.25">
      <c r="A20" s="2" t="s">
        <v>145</v>
      </c>
      <c r="B20" s="2" t="s">
        <v>146</v>
      </c>
      <c r="C20" s="62" t="s">
        <v>12</v>
      </c>
      <c r="D20" s="62" t="s">
        <v>147</v>
      </c>
      <c r="E20" s="62" t="s">
        <v>92</v>
      </c>
      <c r="G20" s="62">
        <v>1020</v>
      </c>
      <c r="H20" s="62" t="s">
        <v>148</v>
      </c>
    </row>
    <row r="21" spans="1:8" ht="16.149999999999999" customHeight="1" x14ac:dyDescent="0.25">
      <c r="A21" s="2" t="s">
        <v>149</v>
      </c>
      <c r="B21" s="2" t="s">
        <v>150</v>
      </c>
      <c r="C21" s="62" t="s">
        <v>151</v>
      </c>
      <c r="D21" s="62" t="s">
        <v>152</v>
      </c>
      <c r="E21" s="62" t="s">
        <v>153</v>
      </c>
      <c r="G21" s="62">
        <v>4320</v>
      </c>
      <c r="H21" s="62" t="s">
        <v>154</v>
      </c>
    </row>
    <row r="22" spans="1:8" ht="16.149999999999999" customHeight="1" x14ac:dyDescent="0.25">
      <c r="A22" s="2" t="s">
        <v>155</v>
      </c>
      <c r="B22" s="2" t="s">
        <v>156</v>
      </c>
      <c r="C22" s="62" t="s">
        <v>157</v>
      </c>
      <c r="D22" s="62" t="s">
        <v>133</v>
      </c>
      <c r="E22" s="62" t="s">
        <v>92</v>
      </c>
      <c r="G22" s="62">
        <v>1080</v>
      </c>
      <c r="H22" s="62" t="s">
        <v>75</v>
      </c>
    </row>
    <row r="23" spans="1:8" ht="16.149999999999999" customHeight="1" x14ac:dyDescent="0.25">
      <c r="A23" s="2" t="s">
        <v>158</v>
      </c>
      <c r="B23" s="2" t="s">
        <v>159</v>
      </c>
      <c r="C23" s="62" t="s">
        <v>160</v>
      </c>
      <c r="D23" s="62" t="s">
        <v>161</v>
      </c>
      <c r="E23" s="62" t="s">
        <v>80</v>
      </c>
      <c r="G23" s="62">
        <v>7500</v>
      </c>
      <c r="H23" s="62" t="s">
        <v>162</v>
      </c>
    </row>
    <row r="24" spans="1:8" ht="16.149999999999999" customHeight="1" x14ac:dyDescent="0.25">
      <c r="A24" s="2" t="s">
        <v>163</v>
      </c>
      <c r="B24" s="2" t="s">
        <v>164</v>
      </c>
      <c r="C24" s="62" t="s">
        <v>165</v>
      </c>
      <c r="D24" s="62" t="s">
        <v>166</v>
      </c>
      <c r="E24" s="62" t="s">
        <v>92</v>
      </c>
      <c r="G24" s="62">
        <v>1005</v>
      </c>
      <c r="H24" s="62" t="s">
        <v>167</v>
      </c>
    </row>
    <row r="25" spans="1:8" ht="16.149999999999999" customHeight="1" x14ac:dyDescent="0.25">
      <c r="A25" s="2" t="s">
        <v>168</v>
      </c>
      <c r="B25" s="2" t="s">
        <v>169</v>
      </c>
      <c r="H25" s="62" t="s">
        <v>75</v>
      </c>
    </row>
  </sheetData>
  <mergeCells count="1">
    <mergeCell ref="C4:G4"/>
  </mergeCells>
  <phoneticPr fontId="3" type="noConversion"/>
  <pageMargins left="0.55118110236220474" right="0.55118110236220474" top="0.59055118110236227" bottom="0.59055118110236227" header="0.39370078740157483" footer="0.39370078740157483"/>
  <pageSetup paperSize="9" scale="79" orientation="landscape" r:id="rId1"/>
  <headerFooter alignWithMargins="0">
    <oddFooter>&amp;C&amp;9Page &amp;P of &amp;N</odd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Q39"/>
  <sheetViews>
    <sheetView zoomScale="95" workbookViewId="0">
      <pane ySplit="4" topLeftCell="A5" activePane="bottomLeft" state="frozen"/>
      <selection pane="bottomLeft" activeCell="A4" sqref="A4"/>
    </sheetView>
  </sheetViews>
  <sheetFormatPr defaultColWidth="9.140625" defaultRowHeight="16.149999999999999" customHeight="1" x14ac:dyDescent="0.25"/>
  <cols>
    <col min="1" max="2" width="12.7109375" style="61" customWidth="1"/>
    <col min="3" max="3" width="11.7109375" style="43" customWidth="1"/>
    <col min="4" max="4" width="12.7109375" style="2" customWidth="1"/>
    <col min="5" max="5" width="30.7109375" style="2" customWidth="1"/>
    <col min="6" max="6" width="15.7109375" style="5" customWidth="1"/>
    <col min="7" max="8" width="9.7109375" style="10" customWidth="1"/>
    <col min="9" max="10" width="12.7109375" style="43" customWidth="1"/>
    <col min="11" max="13" width="14.7109375" style="5" customWidth="1"/>
    <col min="14" max="14" width="8.7109375" style="45" customWidth="1"/>
    <col min="15" max="15" width="12.7109375" style="45" customWidth="1"/>
    <col min="16" max="17" width="8.7109375" style="45" customWidth="1"/>
    <col min="18" max="16384" width="9.140625" style="2"/>
  </cols>
  <sheetData>
    <row r="1" spans="1:17" ht="16.149999999999999" customHeight="1" x14ac:dyDescent="0.25">
      <c r="A1" s="75" t="str">
        <f>Setup!$C$5</f>
        <v>Example (Pty) Ltd</v>
      </c>
      <c r="B1" s="40"/>
      <c r="C1" s="41"/>
      <c r="G1" s="2"/>
      <c r="H1" s="2"/>
      <c r="I1" s="42"/>
      <c r="M1" s="44"/>
    </row>
    <row r="2" spans="1:17" ht="16.149999999999999" customHeight="1" x14ac:dyDescent="0.25">
      <c r="A2" s="46" t="s">
        <v>59</v>
      </c>
      <c r="B2" s="46"/>
      <c r="C2" s="47"/>
      <c r="G2" s="2"/>
      <c r="H2" s="2"/>
      <c r="I2" s="42"/>
    </row>
    <row r="3" spans="1:17" s="50" customFormat="1" ht="16.149999999999999" customHeight="1" x14ac:dyDescent="0.25">
      <c r="A3" s="18" t="s">
        <v>14</v>
      </c>
      <c r="B3" s="48"/>
      <c r="C3" s="49"/>
      <c r="F3" s="51">
        <f>SUBTOTAL(109,Details[[#Data],[Tax Inclusive Amount]])</f>
        <v>459923</v>
      </c>
      <c r="G3" s="52"/>
      <c r="H3" s="52"/>
      <c r="I3" s="49"/>
      <c r="J3" s="43"/>
      <c r="K3" s="51">
        <f ca="1">SUBTOTAL(109,Details[[#Data],[Sales Tax 1 Amount]])</f>
        <v>52951.224080267544</v>
      </c>
      <c r="L3" s="51">
        <f ca="1">SUBTOTAL(109,Details[[#Data],[Sales Tax 2 Amount]])</f>
        <v>3823.6153846153848</v>
      </c>
      <c r="M3" s="51">
        <f ca="1">SUBTOTAL(109,Details[[#Data],[Exclusive Amount]])</f>
        <v>403148.16053511703</v>
      </c>
      <c r="N3" s="53"/>
      <c r="O3" s="53"/>
      <c r="P3" s="53"/>
      <c r="Q3" s="53"/>
    </row>
    <row r="4" spans="1:17" s="60" customFormat="1" ht="25.5" x14ac:dyDescent="0.2">
      <c r="A4" s="54" t="s">
        <v>17</v>
      </c>
      <c r="B4" s="54" t="s">
        <v>262</v>
      </c>
      <c r="C4" s="55" t="s">
        <v>18</v>
      </c>
      <c r="D4" s="56" t="s">
        <v>202</v>
      </c>
      <c r="E4" s="57" t="s">
        <v>20</v>
      </c>
      <c r="F4" s="58" t="s">
        <v>23</v>
      </c>
      <c r="G4" s="58" t="s">
        <v>356</v>
      </c>
      <c r="H4" s="58" t="s">
        <v>357</v>
      </c>
      <c r="I4" s="55" t="s">
        <v>62</v>
      </c>
      <c r="J4" s="55" t="s">
        <v>203</v>
      </c>
      <c r="K4" s="59" t="s">
        <v>358</v>
      </c>
      <c r="L4" s="59" t="s">
        <v>359</v>
      </c>
      <c r="M4" s="59" t="s">
        <v>24</v>
      </c>
      <c r="N4" s="59" t="s">
        <v>296</v>
      </c>
      <c r="O4" s="59" t="s">
        <v>297</v>
      </c>
      <c r="P4" s="59" t="s">
        <v>298</v>
      </c>
      <c r="Q4" s="59" t="s">
        <v>248</v>
      </c>
    </row>
    <row r="5" spans="1:17" ht="16.149999999999999" customHeight="1" x14ac:dyDescent="0.25">
      <c r="A5" s="61" t="s">
        <v>174</v>
      </c>
      <c r="B5" s="61" t="s">
        <v>265</v>
      </c>
      <c r="C5" s="43">
        <v>43905</v>
      </c>
      <c r="D5" s="2" t="s">
        <v>109</v>
      </c>
      <c r="E5" s="2" t="s">
        <v>170</v>
      </c>
      <c r="F5" s="5">
        <v>11200</v>
      </c>
      <c r="G5" s="10" t="s">
        <v>25</v>
      </c>
      <c r="H5" s="10" t="s">
        <v>171</v>
      </c>
      <c r="I5" s="43">
        <v>43935</v>
      </c>
      <c r="J5" s="43">
        <v>43935</v>
      </c>
      <c r="K5" s="5">
        <f ca="1">$F5/(1+IF(ISERROR($G5),0,IF(ISNA(MATCH($G5,TaxCode,0)),0,OFFSET(Setup!$D$22,MATCH($G5,TaxCode,0),0,1,1)))+IF(ISERROR($H5),0,IF(ISNA(MATCH($H5,TaxCode,0)),0,OFFSET(Setup!$D$22,MATCH($H5,TaxCode,0),0,1,1))))*IF(ISERROR($G5),0,IF(ISNA(MATCH($G5,TaxCode,0)),0,OFFSET(Setup!$D$22,MATCH($G5,TaxCode,0),0,1,1)))</f>
        <v>1460.8695652173915</v>
      </c>
      <c r="L5" s="5">
        <f ca="1">$F5/(1+IF(ISERROR($G5),0,IF(ISNA(MATCH($G5,TaxCode,0)),0,OFFSET(Setup!$D$22,MATCH($G5,TaxCode,0),0,1,1)))+IF(ISERROR($H5),0,IF(ISNA(MATCH($H5,TaxCode,0)),0,OFFSET(Setup!$D$22,MATCH($H5,TaxCode,0),0,1,1))))*IF(ISERROR($H5),0,IF(ISNA(MATCH($H5,TaxCode,0)),0,OFFSET(Setup!$D$22,MATCH($H5,TaxCode,0),0,1,1)))</f>
        <v>0</v>
      </c>
      <c r="M5" s="5" cm="1">
        <f t="array" aca="1" ref="M5" ca="1">F5-IF(TaxCount=2,SUM($K5:$L5),$K5:$K5)</f>
        <v>9739.1304347826081</v>
      </c>
      <c r="N5" s="45">
        <f>IF(AND(ISBLANK($A5)=FALSE,$C5&lt;=Statement!$J$12,$D5=Statement!$J$11,$J5&gt;Statement!$J$12)=TRUE,1,IF(AND(ISBLANK($A5)=FALSE,$C5&lt;=Statement!$J$12,$D5=Statement!$J$11,ISBLANK($J5)=TRUE)=TRUE,1,0))</f>
        <v>0</v>
      </c>
      <c r="O5" s="45" t="str">
        <f t="shared" ref="O5:O39" si="0">IF(ISBLANK(A5)=FALSE,N5&amp;"-"&amp;A5,"-")</f>
        <v>0-INV0001</v>
      </c>
      <c r="P5" s="45">
        <f t="shared" ref="P5:P39" ca="1" si="1">IF(AND(LEFT($O5,1)="1",COUNTIF(OFFSET($O$4,1,0,ROW($O5)-ROW($O$4),1),$O5)=1)=TRUE,1,0)</f>
        <v>0</v>
      </c>
      <c r="Q5" s="45" t="str">
        <f t="shared" ref="Q5:Q39" si="2">IF(AND($J5&lt;$C5,ISBLANK($J5)=FALSE)=TRUE,"E1",IF(ISNA(VLOOKUP($D5,Customer_Code,1,0))=TRUE,"E2",IF(AND(ISBLANK(J5)=FALSE,ISBLANK(A5)=TRUE)=TRUE,"E3","-")))</f>
        <v>-</v>
      </c>
    </row>
    <row r="6" spans="1:17" ht="16.149999999999999" customHeight="1" x14ac:dyDescent="0.25">
      <c r="A6" s="61" t="s">
        <v>175</v>
      </c>
      <c r="B6" s="61" t="s">
        <v>266</v>
      </c>
      <c r="C6" s="43">
        <v>43912</v>
      </c>
      <c r="D6" s="2" t="s">
        <v>145</v>
      </c>
      <c r="E6" s="2" t="s">
        <v>170</v>
      </c>
      <c r="F6" s="5">
        <v>8150</v>
      </c>
      <c r="G6" s="10" t="s">
        <v>25</v>
      </c>
      <c r="H6" s="10" t="s">
        <v>171</v>
      </c>
      <c r="I6" s="43">
        <v>43942</v>
      </c>
      <c r="K6" s="5">
        <f ca="1">$F6/(1+IF(ISERROR($G6),0,IF(ISNA(MATCH($G6,TaxCode,0)),0,OFFSET(Setup!$D$22,MATCH($G6,TaxCode,0),0,1,1)))+IF(ISERROR($H6),0,IF(ISNA(MATCH($H6,TaxCode,0)),0,OFFSET(Setup!$D$22,MATCH($H6,TaxCode,0),0,1,1))))*IF(ISERROR($G6),0,IF(ISNA(MATCH($G6,TaxCode,0)),0,OFFSET(Setup!$D$22,MATCH($G6,TaxCode,0),0,1,1)))</f>
        <v>1063.0434782608695</v>
      </c>
      <c r="L6" s="5">
        <f ca="1">$F6/(1+IF(ISERROR($G6),0,IF(ISNA(MATCH($G6,TaxCode,0)),0,OFFSET(Setup!$D$22,MATCH($G6,TaxCode,0),0,1,1)))+IF(ISERROR($H6),0,IF(ISNA(MATCH($H6,TaxCode,0)),0,OFFSET(Setup!$D$22,MATCH($H6,TaxCode,0),0,1,1))))*IF(ISERROR($H6),0,IF(ISNA(MATCH($H6,TaxCode,0)),0,OFFSET(Setup!$D$22,MATCH($H6,TaxCode,0),0,1,1)))</f>
        <v>0</v>
      </c>
      <c r="M6" s="5" cm="1">
        <f t="array" aca="1" ref="M6" ca="1">F6-IF(TaxCount=2,SUM($K6:$L6),$K6:$K6)</f>
        <v>7086.95652173913</v>
      </c>
      <c r="N6" s="45">
        <f>IF(AND(ISBLANK($A6)=FALSE,$C6&lt;=Statement!$J$12,$D6=Statement!$J$11,$J6&gt;Statement!$J$12)=TRUE,1,IF(AND(ISBLANK($A6)=FALSE,$C6&lt;=Statement!$J$12,$D6=Statement!$J$11,ISBLANK($J6)=TRUE)=TRUE,1,0))</f>
        <v>0</v>
      </c>
      <c r="O6" s="45" t="str">
        <f t="shared" si="0"/>
        <v>0-INV0002</v>
      </c>
      <c r="P6" s="45">
        <f t="shared" ca="1" si="1"/>
        <v>0</v>
      </c>
      <c r="Q6" s="45" t="str">
        <f t="shared" si="2"/>
        <v>-</v>
      </c>
    </row>
    <row r="7" spans="1:17" ht="16.149999999999999" customHeight="1" x14ac:dyDescent="0.25">
      <c r="A7" s="61" t="s">
        <v>176</v>
      </c>
      <c r="B7" s="61" t="s">
        <v>267</v>
      </c>
      <c r="C7" s="43">
        <v>43929</v>
      </c>
      <c r="D7" s="2" t="s">
        <v>70</v>
      </c>
      <c r="E7" s="2" t="s">
        <v>61</v>
      </c>
      <c r="F7" s="5">
        <v>15000</v>
      </c>
      <c r="G7" s="10" t="s">
        <v>171</v>
      </c>
      <c r="H7" s="10" t="s">
        <v>171</v>
      </c>
      <c r="I7" s="43">
        <v>43959</v>
      </c>
      <c r="J7" s="43">
        <v>43949</v>
      </c>
      <c r="K7" s="5">
        <f ca="1">$F7/(1+IF(ISERROR($G7),0,IF(ISNA(MATCH($G7,TaxCode,0)),0,OFFSET(Setup!$D$22,MATCH($G7,TaxCode,0),0,1,1)))+IF(ISERROR($H7),0,IF(ISNA(MATCH($H7,TaxCode,0)),0,OFFSET(Setup!$D$22,MATCH($H7,TaxCode,0),0,1,1))))*IF(ISERROR($G7),0,IF(ISNA(MATCH($G7,TaxCode,0)),0,OFFSET(Setup!$D$22,MATCH($G7,TaxCode,0),0,1,1)))</f>
        <v>0</v>
      </c>
      <c r="L7" s="5">
        <f ca="1">$F7/(1+IF(ISERROR($G7),0,IF(ISNA(MATCH($G7,TaxCode,0)),0,OFFSET(Setup!$D$22,MATCH($G7,TaxCode,0),0,1,1)))+IF(ISERROR($H7),0,IF(ISNA(MATCH($H7,TaxCode,0)),0,OFFSET(Setup!$D$22,MATCH($H7,TaxCode,0),0,1,1))))*IF(ISERROR($H7),0,IF(ISNA(MATCH($H7,TaxCode,0)),0,OFFSET(Setup!$D$22,MATCH($H7,TaxCode,0),0,1,1)))</f>
        <v>0</v>
      </c>
      <c r="M7" s="5" cm="1">
        <f t="array" aca="1" ref="M7" ca="1">F7-IF(TaxCount=2,SUM($K7:$L7),$K7:$K7)</f>
        <v>15000</v>
      </c>
      <c r="N7" s="45">
        <f>IF(AND(ISBLANK($A7)=FALSE,$C7&lt;=Statement!$J$12,$D7=Statement!$J$11,$J7&gt;Statement!$J$12)=TRUE,1,IF(AND(ISBLANK($A7)=FALSE,$C7&lt;=Statement!$J$12,$D7=Statement!$J$11,ISBLANK($J7)=TRUE)=TRUE,1,0))</f>
        <v>0</v>
      </c>
      <c r="O7" s="45" t="str">
        <f t="shared" si="0"/>
        <v>0-INV0003</v>
      </c>
      <c r="P7" s="45">
        <f t="shared" ca="1" si="1"/>
        <v>0</v>
      </c>
      <c r="Q7" s="45" t="str">
        <f t="shared" si="2"/>
        <v>-</v>
      </c>
    </row>
    <row r="8" spans="1:17" ht="16.149999999999999" customHeight="1" x14ac:dyDescent="0.25">
      <c r="A8" s="61" t="s">
        <v>177</v>
      </c>
      <c r="B8" s="61" t="s">
        <v>268</v>
      </c>
      <c r="C8" s="43">
        <v>43938</v>
      </c>
      <c r="D8" s="2" t="s">
        <v>149</v>
      </c>
      <c r="E8" s="2" t="s">
        <v>61</v>
      </c>
      <c r="F8" s="5">
        <v>12200</v>
      </c>
      <c r="G8" s="10" t="s">
        <v>25</v>
      </c>
      <c r="H8" s="10" t="s">
        <v>171</v>
      </c>
      <c r="I8" s="43">
        <v>43968</v>
      </c>
      <c r="J8" s="43">
        <v>43971</v>
      </c>
      <c r="K8" s="5">
        <f ca="1">$F8/(1+IF(ISERROR($G8),0,IF(ISNA(MATCH($G8,TaxCode,0)),0,OFFSET(Setup!$D$22,MATCH($G8,TaxCode,0),0,1,1)))+IF(ISERROR($H8),0,IF(ISNA(MATCH($H8,TaxCode,0)),0,OFFSET(Setup!$D$22,MATCH($H8,TaxCode,0),0,1,1))))*IF(ISERROR($G8),0,IF(ISNA(MATCH($G8,TaxCode,0)),0,OFFSET(Setup!$D$22,MATCH($G8,TaxCode,0),0,1,1)))</f>
        <v>1591.304347826087</v>
      </c>
      <c r="L8" s="5">
        <f ca="1">$F8/(1+IF(ISERROR($G8),0,IF(ISNA(MATCH($G8,TaxCode,0)),0,OFFSET(Setup!$D$22,MATCH($G8,TaxCode,0),0,1,1)))+IF(ISERROR($H8),0,IF(ISNA(MATCH($H8,TaxCode,0)),0,OFFSET(Setup!$D$22,MATCH($H8,TaxCode,0),0,1,1))))*IF(ISERROR($H8),0,IF(ISNA(MATCH($H8,TaxCode,0)),0,OFFSET(Setup!$D$22,MATCH($H8,TaxCode,0),0,1,1)))</f>
        <v>0</v>
      </c>
      <c r="M8" s="5" cm="1">
        <f t="array" aca="1" ref="M8" ca="1">F8-IF(TaxCount=2,SUM($K8:$L8),$K8:$K8)</f>
        <v>10608.695652173912</v>
      </c>
      <c r="N8" s="45">
        <f>IF(AND(ISBLANK($A8)=FALSE,$C8&lt;=Statement!$J$12,$D8=Statement!$J$11,$J8&gt;Statement!$J$12)=TRUE,1,IF(AND(ISBLANK($A8)=FALSE,$C8&lt;=Statement!$J$12,$D8=Statement!$J$11,ISBLANK($J8)=TRUE)=TRUE,1,0))</f>
        <v>0</v>
      </c>
      <c r="O8" s="45" t="str">
        <f t="shared" si="0"/>
        <v>0-INV0004</v>
      </c>
      <c r="P8" s="45">
        <f t="shared" ca="1" si="1"/>
        <v>0</v>
      </c>
      <c r="Q8" s="45" t="str">
        <f t="shared" si="2"/>
        <v>-</v>
      </c>
    </row>
    <row r="9" spans="1:17" ht="16.149999999999999" customHeight="1" x14ac:dyDescent="0.25">
      <c r="A9" s="61" t="s">
        <v>177</v>
      </c>
      <c r="B9" s="61" t="s">
        <v>268</v>
      </c>
      <c r="C9" s="43">
        <v>43938</v>
      </c>
      <c r="D9" s="2" t="s">
        <v>149</v>
      </c>
      <c r="E9" s="2" t="s">
        <v>170</v>
      </c>
      <c r="F9" s="5">
        <v>33138</v>
      </c>
      <c r="G9" s="10" t="s">
        <v>25</v>
      </c>
      <c r="H9" s="10" t="s">
        <v>25</v>
      </c>
      <c r="I9" s="43">
        <v>43968</v>
      </c>
      <c r="J9" s="43">
        <v>43971</v>
      </c>
      <c r="K9" s="5">
        <f ca="1">$F9/(1+IF(ISERROR($G9),0,IF(ISNA(MATCH($G9,TaxCode,0)),0,OFFSET(Setup!$D$22,MATCH($G9,TaxCode,0),0,1,1)))+IF(ISERROR($H9),0,IF(ISNA(MATCH($H9,TaxCode,0)),0,OFFSET(Setup!$D$22,MATCH($H9,TaxCode,0),0,1,1))))*IF(ISERROR($G9),0,IF(ISNA(MATCH($G9,TaxCode,0)),0,OFFSET(Setup!$D$22,MATCH($G9,TaxCode,0),0,1,1)))</f>
        <v>3823.6153846153848</v>
      </c>
      <c r="L9" s="5">
        <f ca="1">$F9/(1+IF(ISERROR($G9),0,IF(ISNA(MATCH($G9,TaxCode,0)),0,OFFSET(Setup!$D$22,MATCH($G9,TaxCode,0),0,1,1)))+IF(ISERROR($H9),0,IF(ISNA(MATCH($H9,TaxCode,0)),0,OFFSET(Setup!$D$22,MATCH($H9,TaxCode,0),0,1,1))))*IF(ISERROR($H9),0,IF(ISNA(MATCH($H9,TaxCode,0)),0,OFFSET(Setup!$D$22,MATCH($H9,TaxCode,0),0,1,1)))</f>
        <v>3823.6153846153848</v>
      </c>
      <c r="M9" s="5" cm="1">
        <f t="array" aca="1" ref="M9" ca="1">F9-IF(TaxCount=2,SUM($K9:$L9),$K9:$K9)</f>
        <v>25490.76923076923</v>
      </c>
      <c r="N9" s="45">
        <f>IF(AND(ISBLANK($A9)=FALSE,$C9&lt;=Statement!$J$12,$D9=Statement!$J$11,$J9&gt;Statement!$J$12)=TRUE,1,IF(AND(ISBLANK($A9)=FALSE,$C9&lt;=Statement!$J$12,$D9=Statement!$J$11,ISBLANK($J9)=TRUE)=TRUE,1,0))</f>
        <v>0</v>
      </c>
      <c r="O9" s="45" t="str">
        <f t="shared" si="0"/>
        <v>0-INV0004</v>
      </c>
      <c r="P9" s="45">
        <f t="shared" ca="1" si="1"/>
        <v>0</v>
      </c>
      <c r="Q9" s="45" t="str">
        <f t="shared" si="2"/>
        <v>-</v>
      </c>
    </row>
    <row r="10" spans="1:17" ht="16.149999999999999" customHeight="1" x14ac:dyDescent="0.25">
      <c r="A10" s="61" t="s">
        <v>177</v>
      </c>
      <c r="B10" s="61" t="s">
        <v>268</v>
      </c>
      <c r="C10" s="43">
        <v>43938</v>
      </c>
      <c r="D10" s="2" t="s">
        <v>149</v>
      </c>
      <c r="E10" s="2" t="s">
        <v>172</v>
      </c>
      <c r="F10" s="5">
        <v>7000</v>
      </c>
      <c r="G10" s="10" t="s">
        <v>25</v>
      </c>
      <c r="H10" s="10" t="s">
        <v>171</v>
      </c>
      <c r="I10" s="43">
        <v>43968</v>
      </c>
      <c r="J10" s="43">
        <v>43971</v>
      </c>
      <c r="K10" s="5">
        <f ca="1">$F10/(1+IF(ISERROR($G10),0,IF(ISNA(MATCH($G10,TaxCode,0)),0,OFFSET(Setup!$D$22,MATCH($G10,TaxCode,0),0,1,1)))+IF(ISERROR($H10),0,IF(ISNA(MATCH($H10,TaxCode,0)),0,OFFSET(Setup!$D$22,MATCH($H10,TaxCode,0),0,1,1))))*IF(ISERROR($G10),0,IF(ISNA(MATCH($G10,TaxCode,0)),0,OFFSET(Setup!$D$22,MATCH($G10,TaxCode,0),0,1,1)))</f>
        <v>913.04347826086962</v>
      </c>
      <c r="L10" s="5">
        <f ca="1">$F10/(1+IF(ISERROR($G10),0,IF(ISNA(MATCH($G10,TaxCode,0)),0,OFFSET(Setup!$D$22,MATCH($G10,TaxCode,0),0,1,1)))+IF(ISERROR($H10),0,IF(ISNA(MATCH($H10,TaxCode,0)),0,OFFSET(Setup!$D$22,MATCH($H10,TaxCode,0),0,1,1))))*IF(ISERROR($H10),0,IF(ISNA(MATCH($H10,TaxCode,0)),0,OFFSET(Setup!$D$22,MATCH($H10,TaxCode,0),0,1,1)))</f>
        <v>0</v>
      </c>
      <c r="M10" s="5" cm="1">
        <f t="array" aca="1" ref="M10" ca="1">F10-IF(TaxCount=2,SUM($K10:$L10),$K10:$K10)</f>
        <v>6086.95652173913</v>
      </c>
      <c r="N10" s="45">
        <f>IF(AND(ISBLANK($A10)=FALSE,$C10&lt;=Statement!$J$12,$D10=Statement!$J$11,$J10&gt;Statement!$J$12)=TRUE,1,IF(AND(ISBLANK($A10)=FALSE,$C10&lt;=Statement!$J$12,$D10=Statement!$J$11,ISBLANK($J10)=TRUE)=TRUE,1,0))</f>
        <v>0</v>
      </c>
      <c r="O10" s="45" t="str">
        <f t="shared" si="0"/>
        <v>0-INV0004</v>
      </c>
      <c r="P10" s="45">
        <f t="shared" ca="1" si="1"/>
        <v>0</v>
      </c>
      <c r="Q10" s="45" t="str">
        <f t="shared" si="2"/>
        <v>-</v>
      </c>
    </row>
    <row r="11" spans="1:17" ht="16.149999999999999" customHeight="1" x14ac:dyDescent="0.25">
      <c r="A11" s="61" t="s">
        <v>178</v>
      </c>
      <c r="B11" s="61" t="s">
        <v>269</v>
      </c>
      <c r="C11" s="43">
        <v>43963</v>
      </c>
      <c r="D11" s="2" t="s">
        <v>158</v>
      </c>
      <c r="E11" s="2" t="s">
        <v>61</v>
      </c>
      <c r="F11" s="5">
        <v>15320</v>
      </c>
      <c r="G11" s="10" t="s">
        <v>25</v>
      </c>
      <c r="H11" s="10" t="s">
        <v>171</v>
      </c>
      <c r="I11" s="43">
        <v>43993</v>
      </c>
      <c r="J11" s="43">
        <v>43983</v>
      </c>
      <c r="K11" s="5">
        <f ca="1">$F11/(1+IF(ISERROR($G11),0,IF(ISNA(MATCH($G11,TaxCode,0)),0,OFFSET(Setup!$D$22,MATCH($G11,TaxCode,0),0,1,1)))+IF(ISERROR($H11),0,IF(ISNA(MATCH($H11,TaxCode,0)),0,OFFSET(Setup!$D$22,MATCH($H11,TaxCode,0),0,1,1))))*IF(ISERROR($G11),0,IF(ISNA(MATCH($G11,TaxCode,0)),0,OFFSET(Setup!$D$22,MATCH($G11,TaxCode,0),0,1,1)))</f>
        <v>1998.2608695652175</v>
      </c>
      <c r="L11" s="5">
        <f ca="1">$F11/(1+IF(ISERROR($G11),0,IF(ISNA(MATCH($G11,TaxCode,0)),0,OFFSET(Setup!$D$22,MATCH($G11,TaxCode,0),0,1,1)))+IF(ISERROR($H11),0,IF(ISNA(MATCH($H11,TaxCode,0)),0,OFFSET(Setup!$D$22,MATCH($H11,TaxCode,0),0,1,1))))*IF(ISERROR($H11),0,IF(ISNA(MATCH($H11,TaxCode,0)),0,OFFSET(Setup!$D$22,MATCH($H11,TaxCode,0),0,1,1)))</f>
        <v>0</v>
      </c>
      <c r="M11" s="5" cm="1">
        <f t="array" aca="1" ref="M11" ca="1">F11-IF(TaxCount=2,SUM($K11:$L11),$K11:$K11)</f>
        <v>13321.739130434782</v>
      </c>
      <c r="N11" s="45">
        <f>IF(AND(ISBLANK($A11)=FALSE,$C11&lt;=Statement!$J$12,$D11=Statement!$J$11,$J11&gt;Statement!$J$12)=TRUE,1,IF(AND(ISBLANK($A11)=FALSE,$C11&lt;=Statement!$J$12,$D11=Statement!$J$11,ISBLANK($J11)=TRUE)=TRUE,1,0))</f>
        <v>0</v>
      </c>
      <c r="O11" s="45" t="str">
        <f t="shared" si="0"/>
        <v>0-INV0005</v>
      </c>
      <c r="P11" s="45">
        <f t="shared" ca="1" si="1"/>
        <v>0</v>
      </c>
      <c r="Q11" s="45" t="str">
        <f t="shared" si="2"/>
        <v>-</v>
      </c>
    </row>
    <row r="12" spans="1:17" ht="16.149999999999999" customHeight="1" x14ac:dyDescent="0.25">
      <c r="A12" s="61" t="s">
        <v>179</v>
      </c>
      <c r="B12" s="61" t="s">
        <v>270</v>
      </c>
      <c r="C12" s="43">
        <v>43978</v>
      </c>
      <c r="D12" s="2" t="s">
        <v>145</v>
      </c>
      <c r="E12" s="2" t="s">
        <v>61</v>
      </c>
      <c r="F12" s="5">
        <v>13400</v>
      </c>
      <c r="G12" s="10" t="s">
        <v>25</v>
      </c>
      <c r="H12" s="10" t="s">
        <v>171</v>
      </c>
      <c r="I12" s="43">
        <v>44008</v>
      </c>
      <c r="J12" s="43">
        <v>43998</v>
      </c>
      <c r="K12" s="5">
        <f ca="1">$F12/(1+IF(ISERROR($G12),0,IF(ISNA(MATCH($G12,TaxCode,0)),0,OFFSET(Setup!$D$22,MATCH($G12,TaxCode,0),0,1,1)))+IF(ISERROR($H12),0,IF(ISNA(MATCH($H12,TaxCode,0)),0,OFFSET(Setup!$D$22,MATCH($H12,TaxCode,0),0,1,1))))*IF(ISERROR($G12),0,IF(ISNA(MATCH($G12,TaxCode,0)),0,OFFSET(Setup!$D$22,MATCH($G12,TaxCode,0),0,1,1)))</f>
        <v>1747.826086956522</v>
      </c>
      <c r="L12" s="5">
        <f ca="1">$F12/(1+IF(ISERROR($G12),0,IF(ISNA(MATCH($G12,TaxCode,0)),0,OFFSET(Setup!$D$22,MATCH($G12,TaxCode,0),0,1,1)))+IF(ISERROR($H12),0,IF(ISNA(MATCH($H12,TaxCode,0)),0,OFFSET(Setup!$D$22,MATCH($H12,TaxCode,0),0,1,1))))*IF(ISERROR($H12),0,IF(ISNA(MATCH($H12,TaxCode,0)),0,OFFSET(Setup!$D$22,MATCH($H12,TaxCode,0),0,1,1)))</f>
        <v>0</v>
      </c>
      <c r="M12" s="5" cm="1">
        <f t="array" aca="1" ref="M12" ca="1">F12-IF(TaxCount=2,SUM($K12:$L12),$K12:$K12)</f>
        <v>11652.173913043478</v>
      </c>
      <c r="N12" s="45">
        <f>IF(AND(ISBLANK($A12)=FALSE,$C12&lt;=Statement!$J$12,$D12=Statement!$J$11,$J12&gt;Statement!$J$12)=TRUE,1,IF(AND(ISBLANK($A12)=FALSE,$C12&lt;=Statement!$J$12,$D12=Statement!$J$11,ISBLANK($J12)=TRUE)=TRUE,1,0))</f>
        <v>0</v>
      </c>
      <c r="O12" s="45" t="str">
        <f t="shared" si="0"/>
        <v>0-INV0006</v>
      </c>
      <c r="P12" s="45">
        <f t="shared" ca="1" si="1"/>
        <v>0</v>
      </c>
      <c r="Q12" s="45" t="str">
        <f t="shared" si="2"/>
        <v>-</v>
      </c>
    </row>
    <row r="13" spans="1:17" ht="16.149999999999999" customHeight="1" x14ac:dyDescent="0.25">
      <c r="A13" s="61" t="s">
        <v>180</v>
      </c>
      <c r="B13" s="61" t="s">
        <v>271</v>
      </c>
      <c r="C13" s="43">
        <v>43991</v>
      </c>
      <c r="D13" s="2" t="s">
        <v>155</v>
      </c>
      <c r="E13" s="2" t="s">
        <v>172</v>
      </c>
      <c r="F13" s="5">
        <v>4500</v>
      </c>
      <c r="G13" s="10" t="s">
        <v>25</v>
      </c>
      <c r="H13" s="10" t="s">
        <v>171</v>
      </c>
      <c r="I13" s="43">
        <v>44021</v>
      </c>
      <c r="J13" s="43">
        <v>44011</v>
      </c>
      <c r="K13" s="5">
        <f ca="1">$F13/(1+IF(ISERROR($G13),0,IF(ISNA(MATCH($G13,TaxCode,0)),0,OFFSET(Setup!$D$22,MATCH($G13,TaxCode,0),0,1,1)))+IF(ISERROR($H13),0,IF(ISNA(MATCH($H13,TaxCode,0)),0,OFFSET(Setup!$D$22,MATCH($H13,TaxCode,0),0,1,1))))*IF(ISERROR($G13),0,IF(ISNA(MATCH($G13,TaxCode,0)),0,OFFSET(Setup!$D$22,MATCH($G13,TaxCode,0),0,1,1)))</f>
        <v>586.95652173913049</v>
      </c>
      <c r="L13" s="5">
        <f ca="1">$F13/(1+IF(ISERROR($G13),0,IF(ISNA(MATCH($G13,TaxCode,0)),0,OFFSET(Setup!$D$22,MATCH($G13,TaxCode,0),0,1,1)))+IF(ISERROR($H13),0,IF(ISNA(MATCH($H13,TaxCode,0)),0,OFFSET(Setup!$D$22,MATCH($H13,TaxCode,0),0,1,1))))*IF(ISERROR($H13),0,IF(ISNA(MATCH($H13,TaxCode,0)),0,OFFSET(Setup!$D$22,MATCH($H13,TaxCode,0),0,1,1)))</f>
        <v>0</v>
      </c>
      <c r="M13" s="5" cm="1">
        <f t="array" aca="1" ref="M13" ca="1">F13-IF(TaxCount=2,SUM($K13:$L13),$K13:$K13)</f>
        <v>3913.0434782608695</v>
      </c>
      <c r="N13" s="45">
        <f>IF(AND(ISBLANK($A13)=FALSE,$C13&lt;=Statement!$J$12,$D13=Statement!$J$11,$J13&gt;Statement!$J$12)=TRUE,1,IF(AND(ISBLANK($A13)=FALSE,$C13&lt;=Statement!$J$12,$D13=Statement!$J$11,ISBLANK($J13)=TRUE)=TRUE,1,0))</f>
        <v>0</v>
      </c>
      <c r="O13" s="45" t="str">
        <f t="shared" si="0"/>
        <v>0-INV0007</v>
      </c>
      <c r="P13" s="45">
        <f t="shared" ca="1" si="1"/>
        <v>0</v>
      </c>
      <c r="Q13" s="45" t="str">
        <f t="shared" si="2"/>
        <v>-</v>
      </c>
    </row>
    <row r="14" spans="1:17" ht="16.149999999999999" customHeight="1" x14ac:dyDescent="0.25">
      <c r="A14" s="61" t="s">
        <v>181</v>
      </c>
      <c r="B14" s="61" t="s">
        <v>272</v>
      </c>
      <c r="C14" s="43">
        <v>44005</v>
      </c>
      <c r="D14" s="2" t="s">
        <v>82</v>
      </c>
      <c r="E14" s="2" t="s">
        <v>61</v>
      </c>
      <c r="F14" s="5">
        <v>22520</v>
      </c>
      <c r="G14" s="10" t="s">
        <v>25</v>
      </c>
      <c r="H14" s="10" t="s">
        <v>171</v>
      </c>
      <c r="I14" s="43">
        <v>44035</v>
      </c>
      <c r="J14" s="43">
        <v>44025</v>
      </c>
      <c r="K14" s="5">
        <f ca="1">$F14/(1+IF(ISERROR($G14),0,IF(ISNA(MATCH($G14,TaxCode,0)),0,OFFSET(Setup!$D$22,MATCH($G14,TaxCode,0),0,1,1)))+IF(ISERROR($H14),0,IF(ISNA(MATCH($H14,TaxCode,0)),0,OFFSET(Setup!$D$22,MATCH($H14,TaxCode,0),0,1,1))))*IF(ISERROR($G14),0,IF(ISNA(MATCH($G14,TaxCode,0)),0,OFFSET(Setup!$D$22,MATCH($G14,TaxCode,0),0,1,1)))</f>
        <v>2937.3913043478265</v>
      </c>
      <c r="L14" s="5">
        <f ca="1">$F14/(1+IF(ISERROR($G14),0,IF(ISNA(MATCH($G14,TaxCode,0)),0,OFFSET(Setup!$D$22,MATCH($G14,TaxCode,0),0,1,1)))+IF(ISERROR($H14),0,IF(ISNA(MATCH($H14,TaxCode,0)),0,OFFSET(Setup!$D$22,MATCH($H14,TaxCode,0),0,1,1))))*IF(ISERROR($H14),0,IF(ISNA(MATCH($H14,TaxCode,0)),0,OFFSET(Setup!$D$22,MATCH($H14,TaxCode,0),0,1,1)))</f>
        <v>0</v>
      </c>
      <c r="M14" s="5" cm="1">
        <f t="array" aca="1" ref="M14" ca="1">F14-IF(TaxCount=2,SUM($K14:$L14),$K14:$K14)</f>
        <v>19582.608695652172</v>
      </c>
      <c r="N14" s="45">
        <f>IF(AND(ISBLANK($A14)=FALSE,$C14&lt;=Statement!$J$12,$D14=Statement!$J$11,$J14&gt;Statement!$J$12)=TRUE,1,IF(AND(ISBLANK($A14)=FALSE,$C14&lt;=Statement!$J$12,$D14=Statement!$J$11,ISBLANK($J14)=TRUE)=TRUE,1,0))</f>
        <v>0</v>
      </c>
      <c r="O14" s="45" t="str">
        <f t="shared" si="0"/>
        <v>0-INV0008</v>
      </c>
      <c r="P14" s="45">
        <f t="shared" ca="1" si="1"/>
        <v>0</v>
      </c>
      <c r="Q14" s="45" t="str">
        <f t="shared" si="2"/>
        <v>-</v>
      </c>
    </row>
    <row r="15" spans="1:17" ht="16.149999999999999" customHeight="1" x14ac:dyDescent="0.25">
      <c r="A15" s="61" t="s">
        <v>182</v>
      </c>
      <c r="B15" s="61" t="s">
        <v>273</v>
      </c>
      <c r="C15" s="43">
        <v>44030</v>
      </c>
      <c r="D15" s="2" t="s">
        <v>82</v>
      </c>
      <c r="E15" s="2" t="s">
        <v>170</v>
      </c>
      <c r="F15" s="5">
        <v>32000</v>
      </c>
      <c r="G15" s="10" t="s">
        <v>25</v>
      </c>
      <c r="H15" s="10" t="s">
        <v>171</v>
      </c>
      <c r="I15" s="43">
        <v>44060</v>
      </c>
      <c r="J15" s="43">
        <v>44060</v>
      </c>
      <c r="K15" s="5">
        <f ca="1">$F15/(1+IF(ISERROR($G15),0,IF(ISNA(MATCH($G15,TaxCode,0)),0,OFFSET(Setup!$D$22,MATCH($G15,TaxCode,0),0,1,1)))+IF(ISERROR($H15),0,IF(ISNA(MATCH($H15,TaxCode,0)),0,OFFSET(Setup!$D$22,MATCH($H15,TaxCode,0),0,1,1))))*IF(ISERROR($G15),0,IF(ISNA(MATCH($G15,TaxCode,0)),0,OFFSET(Setup!$D$22,MATCH($G15,TaxCode,0),0,1,1)))</f>
        <v>4173.913043478261</v>
      </c>
      <c r="L15" s="5">
        <f ca="1">$F15/(1+IF(ISERROR($G15),0,IF(ISNA(MATCH($G15,TaxCode,0)),0,OFFSET(Setup!$D$22,MATCH($G15,TaxCode,0),0,1,1)))+IF(ISERROR($H15),0,IF(ISNA(MATCH($H15,TaxCode,0)),0,OFFSET(Setup!$D$22,MATCH($H15,TaxCode,0),0,1,1))))*IF(ISERROR($H15),0,IF(ISNA(MATCH($H15,TaxCode,0)),0,OFFSET(Setup!$D$22,MATCH($H15,TaxCode,0),0,1,1)))</f>
        <v>0</v>
      </c>
      <c r="M15" s="5" cm="1">
        <f t="array" aca="1" ref="M15" ca="1">F15-IF(TaxCount=2,SUM($K15:$L15),$K15:$K15)</f>
        <v>27826.08695652174</v>
      </c>
      <c r="N15" s="45">
        <f>IF(AND(ISBLANK($A15)=FALSE,$C15&lt;=Statement!$J$12,$D15=Statement!$J$11,$J15&gt;Statement!$J$12)=TRUE,1,IF(AND(ISBLANK($A15)=FALSE,$C15&lt;=Statement!$J$12,$D15=Statement!$J$11,ISBLANK($J15)=TRUE)=TRUE,1,0))</f>
        <v>0</v>
      </c>
      <c r="O15" s="45" t="str">
        <f t="shared" si="0"/>
        <v>0-INV0009</v>
      </c>
      <c r="P15" s="45">
        <f t="shared" ca="1" si="1"/>
        <v>0</v>
      </c>
      <c r="Q15" s="45" t="str">
        <f t="shared" si="2"/>
        <v>-</v>
      </c>
    </row>
    <row r="16" spans="1:17" ht="16.149999999999999" customHeight="1" x14ac:dyDescent="0.25">
      <c r="A16" s="61" t="s">
        <v>183</v>
      </c>
      <c r="B16" s="61" t="s">
        <v>274</v>
      </c>
      <c r="C16" s="43">
        <v>44038</v>
      </c>
      <c r="D16" s="2" t="s">
        <v>89</v>
      </c>
      <c r="E16" s="2" t="s">
        <v>170</v>
      </c>
      <c r="F16" s="5">
        <v>22000</v>
      </c>
      <c r="G16" s="10" t="s">
        <v>25</v>
      </c>
      <c r="H16" s="10" t="s">
        <v>171</v>
      </c>
      <c r="I16" s="43">
        <v>44068</v>
      </c>
      <c r="J16" s="43">
        <v>44058</v>
      </c>
      <c r="K16" s="5">
        <f ca="1">$F16/(1+IF(ISERROR($G16),0,IF(ISNA(MATCH($G16,TaxCode,0)),0,OFFSET(Setup!$D$22,MATCH($G16,TaxCode,0),0,1,1)))+IF(ISERROR($H16),0,IF(ISNA(MATCH($H16,TaxCode,0)),0,OFFSET(Setup!$D$22,MATCH($H16,TaxCode,0),0,1,1))))*IF(ISERROR($G16),0,IF(ISNA(MATCH($G16,TaxCode,0)),0,OFFSET(Setup!$D$22,MATCH($G16,TaxCode,0),0,1,1)))</f>
        <v>2869.5652173913045</v>
      </c>
      <c r="L16" s="5">
        <f ca="1">$F16/(1+IF(ISERROR($G16),0,IF(ISNA(MATCH($G16,TaxCode,0)),0,OFFSET(Setup!$D$22,MATCH($G16,TaxCode,0),0,1,1)))+IF(ISERROR($H16),0,IF(ISNA(MATCH($H16,TaxCode,0)),0,OFFSET(Setup!$D$22,MATCH($H16,TaxCode,0),0,1,1))))*IF(ISERROR($H16),0,IF(ISNA(MATCH($H16,TaxCode,0)),0,OFFSET(Setup!$D$22,MATCH($H16,TaxCode,0),0,1,1)))</f>
        <v>0</v>
      </c>
      <c r="M16" s="5" cm="1">
        <f t="array" aca="1" ref="M16" ca="1">F16-IF(TaxCount=2,SUM($K16:$L16),$K16:$K16)</f>
        <v>19130.434782608696</v>
      </c>
      <c r="N16" s="45">
        <f>IF(AND(ISBLANK($A16)=FALSE,$C16&lt;=Statement!$J$12,$D16=Statement!$J$11,$J16&gt;Statement!$J$12)=TRUE,1,IF(AND(ISBLANK($A16)=FALSE,$C16&lt;=Statement!$J$12,$D16=Statement!$J$11,ISBLANK($J16)=TRUE)=TRUE,1,0))</f>
        <v>0</v>
      </c>
      <c r="O16" s="45" t="str">
        <f t="shared" si="0"/>
        <v>0-INV0010</v>
      </c>
      <c r="P16" s="45">
        <f t="shared" ca="1" si="1"/>
        <v>0</v>
      </c>
      <c r="Q16" s="45" t="str">
        <f t="shared" si="2"/>
        <v>-</v>
      </c>
    </row>
    <row r="17" spans="1:17" ht="16.149999999999999" customHeight="1" x14ac:dyDescent="0.25">
      <c r="A17" s="61" t="s">
        <v>184</v>
      </c>
      <c r="B17" s="61" t="s">
        <v>275</v>
      </c>
      <c r="C17" s="43">
        <v>44047</v>
      </c>
      <c r="D17" s="2" t="s">
        <v>104</v>
      </c>
      <c r="E17" s="2" t="s">
        <v>170</v>
      </c>
      <c r="F17" s="5">
        <v>23000</v>
      </c>
      <c r="G17" s="10" t="s">
        <v>25</v>
      </c>
      <c r="H17" s="10" t="s">
        <v>171</v>
      </c>
      <c r="I17" s="43">
        <v>44077</v>
      </c>
      <c r="J17" s="43">
        <v>44067</v>
      </c>
      <c r="K17" s="5">
        <f ca="1">$F17/(1+IF(ISERROR($G17),0,IF(ISNA(MATCH($G17,TaxCode,0)),0,OFFSET(Setup!$D$22,MATCH($G17,TaxCode,0),0,1,1)))+IF(ISERROR($H17),0,IF(ISNA(MATCH($H17,TaxCode,0)),0,OFFSET(Setup!$D$22,MATCH($H17,TaxCode,0),0,1,1))))*IF(ISERROR($G17),0,IF(ISNA(MATCH($G17,TaxCode,0)),0,OFFSET(Setup!$D$22,MATCH($G17,TaxCode,0),0,1,1)))</f>
        <v>3000</v>
      </c>
      <c r="L17" s="5">
        <f ca="1">$F17/(1+IF(ISERROR($G17),0,IF(ISNA(MATCH($G17,TaxCode,0)),0,OFFSET(Setup!$D$22,MATCH($G17,TaxCode,0),0,1,1)))+IF(ISERROR($H17),0,IF(ISNA(MATCH($H17,TaxCode,0)),0,OFFSET(Setup!$D$22,MATCH($H17,TaxCode,0),0,1,1))))*IF(ISERROR($H17),0,IF(ISNA(MATCH($H17,TaxCode,0)),0,OFFSET(Setup!$D$22,MATCH($H17,TaxCode,0),0,1,1)))</f>
        <v>0</v>
      </c>
      <c r="M17" s="5" cm="1">
        <f t="array" aca="1" ref="M17" ca="1">F17-IF(TaxCount=2,SUM($K17:$L17),$K17:$K17)</f>
        <v>20000</v>
      </c>
      <c r="N17" s="45">
        <f>IF(AND(ISBLANK($A17)=FALSE,$C17&lt;=Statement!$J$12,$D17=Statement!$J$11,$J17&gt;Statement!$J$12)=TRUE,1,IF(AND(ISBLANK($A17)=FALSE,$C17&lt;=Statement!$J$12,$D17=Statement!$J$11,ISBLANK($J17)=TRUE)=TRUE,1,0))</f>
        <v>0</v>
      </c>
      <c r="O17" s="45" t="str">
        <f t="shared" si="0"/>
        <v>0-INV0011</v>
      </c>
      <c r="P17" s="45">
        <f t="shared" ca="1" si="1"/>
        <v>0</v>
      </c>
      <c r="Q17" s="45" t="str">
        <f t="shared" si="2"/>
        <v>-</v>
      </c>
    </row>
    <row r="18" spans="1:17" ht="16.149999999999999" customHeight="1" x14ac:dyDescent="0.25">
      <c r="A18" s="61" t="s">
        <v>185</v>
      </c>
      <c r="B18" s="61" t="s">
        <v>276</v>
      </c>
      <c r="C18" s="43">
        <v>44056</v>
      </c>
      <c r="D18" s="2" t="s">
        <v>129</v>
      </c>
      <c r="E18" s="2" t="s">
        <v>170</v>
      </c>
      <c r="F18" s="5">
        <v>12000</v>
      </c>
      <c r="G18" s="10" t="s">
        <v>25</v>
      </c>
      <c r="H18" s="10" t="s">
        <v>171</v>
      </c>
      <c r="I18" s="43">
        <v>44086</v>
      </c>
      <c r="J18" s="43">
        <v>44076</v>
      </c>
      <c r="K18" s="5">
        <f ca="1">$F18/(1+IF(ISERROR($G18),0,IF(ISNA(MATCH($G18,TaxCode,0)),0,OFFSET(Setup!$D$22,MATCH($G18,TaxCode,0),0,1,1)))+IF(ISERROR($H18),0,IF(ISNA(MATCH($H18,TaxCode,0)),0,OFFSET(Setup!$D$22,MATCH($H18,TaxCode,0),0,1,1))))*IF(ISERROR($G18),0,IF(ISNA(MATCH($G18,TaxCode,0)),0,OFFSET(Setup!$D$22,MATCH($G18,TaxCode,0),0,1,1)))</f>
        <v>1565.217391304348</v>
      </c>
      <c r="L18" s="5">
        <f ca="1">$F18/(1+IF(ISERROR($G18),0,IF(ISNA(MATCH($G18,TaxCode,0)),0,OFFSET(Setup!$D$22,MATCH($G18,TaxCode,0),0,1,1)))+IF(ISERROR($H18),0,IF(ISNA(MATCH($H18,TaxCode,0)),0,OFFSET(Setup!$D$22,MATCH($H18,TaxCode,0),0,1,1))))*IF(ISERROR($H18),0,IF(ISNA(MATCH($H18,TaxCode,0)),0,OFFSET(Setup!$D$22,MATCH($H18,TaxCode,0),0,1,1)))</f>
        <v>0</v>
      </c>
      <c r="M18" s="5" cm="1">
        <f t="array" aca="1" ref="M18" ca="1">F18-IF(TaxCount=2,SUM($K18:$L18),$K18:$K18)</f>
        <v>10434.782608695652</v>
      </c>
      <c r="N18" s="45">
        <f>IF(AND(ISBLANK($A18)=FALSE,$C18&lt;=Statement!$J$12,$D18=Statement!$J$11,$J18&gt;Statement!$J$12)=TRUE,1,IF(AND(ISBLANK($A18)=FALSE,$C18&lt;=Statement!$J$12,$D18=Statement!$J$11,ISBLANK($J18)=TRUE)=TRUE,1,0))</f>
        <v>0</v>
      </c>
      <c r="O18" s="45" t="str">
        <f t="shared" si="0"/>
        <v>0-INV0012</v>
      </c>
      <c r="P18" s="45">
        <f t="shared" ca="1" si="1"/>
        <v>0</v>
      </c>
      <c r="Q18" s="45" t="str">
        <f t="shared" si="2"/>
        <v>-</v>
      </c>
    </row>
    <row r="19" spans="1:17" ht="16.149999999999999" customHeight="1" x14ac:dyDescent="0.25">
      <c r="A19" s="61" t="s">
        <v>186</v>
      </c>
      <c r="B19" s="61" t="s">
        <v>277</v>
      </c>
      <c r="C19" s="43">
        <v>44083</v>
      </c>
      <c r="D19" s="2" t="s">
        <v>118</v>
      </c>
      <c r="E19" s="2" t="s">
        <v>170</v>
      </c>
      <c r="F19" s="5">
        <v>18000</v>
      </c>
      <c r="G19" s="10" t="s">
        <v>171</v>
      </c>
      <c r="H19" s="10" t="s">
        <v>171</v>
      </c>
      <c r="I19" s="43">
        <v>44113</v>
      </c>
      <c r="J19" s="43">
        <v>44103</v>
      </c>
      <c r="K19" s="5">
        <f ca="1">$F19/(1+IF(ISERROR($G19),0,IF(ISNA(MATCH($G19,TaxCode,0)),0,OFFSET(Setup!$D$22,MATCH($G19,TaxCode,0),0,1,1)))+IF(ISERROR($H19),0,IF(ISNA(MATCH($H19,TaxCode,0)),0,OFFSET(Setup!$D$22,MATCH($H19,TaxCode,0),0,1,1))))*IF(ISERROR($G19),0,IF(ISNA(MATCH($G19,TaxCode,0)),0,OFFSET(Setup!$D$22,MATCH($G19,TaxCode,0),0,1,1)))</f>
        <v>0</v>
      </c>
      <c r="L19" s="5">
        <f ca="1">$F19/(1+IF(ISERROR($G19),0,IF(ISNA(MATCH($G19,TaxCode,0)),0,OFFSET(Setup!$D$22,MATCH($G19,TaxCode,0),0,1,1)))+IF(ISERROR($H19),0,IF(ISNA(MATCH($H19,TaxCode,0)),0,OFFSET(Setup!$D$22,MATCH($H19,TaxCode,0),0,1,1))))*IF(ISERROR($H19),0,IF(ISNA(MATCH($H19,TaxCode,0)),0,OFFSET(Setup!$D$22,MATCH($H19,TaxCode,0),0,1,1)))</f>
        <v>0</v>
      </c>
      <c r="M19" s="5" cm="1">
        <f t="array" aca="1" ref="M19" ca="1">F19-IF(TaxCount=2,SUM($K19:$L19),$K19:$K19)</f>
        <v>18000</v>
      </c>
      <c r="N19" s="45">
        <f>IF(AND(ISBLANK($A19)=FALSE,$C19&lt;=Statement!$J$12,$D19=Statement!$J$11,$J19&gt;Statement!$J$12)=TRUE,1,IF(AND(ISBLANK($A19)=FALSE,$C19&lt;=Statement!$J$12,$D19=Statement!$J$11,ISBLANK($J19)=TRUE)=TRUE,1,0))</f>
        <v>0</v>
      </c>
      <c r="O19" s="45" t="str">
        <f t="shared" si="0"/>
        <v>0-INV0013</v>
      </c>
      <c r="P19" s="45">
        <f t="shared" ca="1" si="1"/>
        <v>0</v>
      </c>
      <c r="Q19" s="45" t="str">
        <f t="shared" si="2"/>
        <v>-</v>
      </c>
    </row>
    <row r="20" spans="1:17" ht="16.149999999999999" customHeight="1" x14ac:dyDescent="0.25">
      <c r="A20" s="61" t="s">
        <v>187</v>
      </c>
      <c r="B20" s="61" t="s">
        <v>278</v>
      </c>
      <c r="C20" s="43">
        <v>44103</v>
      </c>
      <c r="D20" s="2" t="s">
        <v>82</v>
      </c>
      <c r="E20" s="2" t="s">
        <v>170</v>
      </c>
      <c r="F20" s="5">
        <v>13500</v>
      </c>
      <c r="G20" s="10" t="s">
        <v>25</v>
      </c>
      <c r="H20" s="10" t="s">
        <v>171</v>
      </c>
      <c r="I20" s="43">
        <v>44133</v>
      </c>
      <c r="J20" s="43">
        <v>44123</v>
      </c>
      <c r="K20" s="5">
        <f ca="1">$F20/(1+IF(ISERROR($G20),0,IF(ISNA(MATCH($G20,TaxCode,0)),0,OFFSET(Setup!$D$22,MATCH($G20,TaxCode,0),0,1,1)))+IF(ISERROR($H20),0,IF(ISNA(MATCH($H20,TaxCode,0)),0,OFFSET(Setup!$D$22,MATCH($H20,TaxCode,0),0,1,1))))*IF(ISERROR($G20),0,IF(ISNA(MATCH($G20,TaxCode,0)),0,OFFSET(Setup!$D$22,MATCH($G20,TaxCode,0),0,1,1)))</f>
        <v>1760.8695652173915</v>
      </c>
      <c r="L20" s="5">
        <f ca="1">$F20/(1+IF(ISERROR($G20),0,IF(ISNA(MATCH($G20,TaxCode,0)),0,OFFSET(Setup!$D$22,MATCH($G20,TaxCode,0),0,1,1)))+IF(ISERROR($H20),0,IF(ISNA(MATCH($H20,TaxCode,0)),0,OFFSET(Setup!$D$22,MATCH($H20,TaxCode,0),0,1,1))))*IF(ISERROR($H20),0,IF(ISNA(MATCH($H20,TaxCode,0)),0,OFFSET(Setup!$D$22,MATCH($H20,TaxCode,0),0,1,1)))</f>
        <v>0</v>
      </c>
      <c r="M20" s="5" cm="1">
        <f t="array" aca="1" ref="M20" ca="1">F20-IF(TaxCount=2,SUM($K20:$L20),$K20:$K20)</f>
        <v>11739.130434782608</v>
      </c>
      <c r="N20" s="45">
        <f>IF(AND(ISBLANK($A20)=FALSE,$C20&lt;=Statement!$J$12,$D20=Statement!$J$11,$J20&gt;Statement!$J$12)=TRUE,1,IF(AND(ISBLANK($A20)=FALSE,$C20&lt;=Statement!$J$12,$D20=Statement!$J$11,ISBLANK($J20)=TRUE)=TRUE,1,0))</f>
        <v>0</v>
      </c>
      <c r="O20" s="45" t="str">
        <f t="shared" si="0"/>
        <v>0-INV0014</v>
      </c>
      <c r="P20" s="45">
        <f t="shared" ca="1" si="1"/>
        <v>0</v>
      </c>
      <c r="Q20" s="45" t="str">
        <f t="shared" si="2"/>
        <v>-</v>
      </c>
    </row>
    <row r="21" spans="1:17" ht="16.149999999999999" customHeight="1" x14ac:dyDescent="0.25">
      <c r="A21" s="61" t="s">
        <v>188</v>
      </c>
      <c r="B21" s="61" t="s">
        <v>279</v>
      </c>
      <c r="C21" s="43">
        <v>44108</v>
      </c>
      <c r="D21" s="2" t="s">
        <v>109</v>
      </c>
      <c r="E21" s="2" t="s">
        <v>61</v>
      </c>
      <c r="F21" s="5">
        <v>3300</v>
      </c>
      <c r="G21" s="10" t="s">
        <v>25</v>
      </c>
      <c r="H21" s="10" t="s">
        <v>171</v>
      </c>
      <c r="I21" s="43">
        <v>44138</v>
      </c>
      <c r="J21" s="43">
        <v>44128</v>
      </c>
      <c r="K21" s="5">
        <f ca="1">$F21/(1+IF(ISERROR($G21),0,IF(ISNA(MATCH($G21,TaxCode,0)),0,OFFSET(Setup!$D$22,MATCH($G21,TaxCode,0),0,1,1)))+IF(ISERROR($H21),0,IF(ISNA(MATCH($H21,TaxCode,0)),0,OFFSET(Setup!$D$22,MATCH($H21,TaxCode,0),0,1,1))))*IF(ISERROR($G21),0,IF(ISNA(MATCH($G21,TaxCode,0)),0,OFFSET(Setup!$D$22,MATCH($G21,TaxCode,0),0,1,1)))</f>
        <v>430.43478260869568</v>
      </c>
      <c r="L21" s="5">
        <f ca="1">$F21/(1+IF(ISERROR($G21),0,IF(ISNA(MATCH($G21,TaxCode,0)),0,OFFSET(Setup!$D$22,MATCH($G21,TaxCode,0),0,1,1)))+IF(ISERROR($H21),0,IF(ISNA(MATCH($H21,TaxCode,0)),0,OFFSET(Setup!$D$22,MATCH($H21,TaxCode,0),0,1,1))))*IF(ISERROR($H21),0,IF(ISNA(MATCH($H21,TaxCode,0)),0,OFFSET(Setup!$D$22,MATCH($H21,TaxCode,0),0,1,1)))</f>
        <v>0</v>
      </c>
      <c r="M21" s="5" cm="1">
        <f t="array" aca="1" ref="M21" ca="1">F21-IF(TaxCount=2,SUM($K21:$L21),$K21:$K21)</f>
        <v>2869.5652173913045</v>
      </c>
      <c r="N21" s="45">
        <f>IF(AND(ISBLANK($A21)=FALSE,$C21&lt;=Statement!$J$12,$D21=Statement!$J$11,$J21&gt;Statement!$J$12)=TRUE,1,IF(AND(ISBLANK($A21)=FALSE,$C21&lt;=Statement!$J$12,$D21=Statement!$J$11,ISBLANK($J21)=TRUE)=TRUE,1,0))</f>
        <v>0</v>
      </c>
      <c r="O21" s="45" t="str">
        <f t="shared" si="0"/>
        <v>0-INV0015</v>
      </c>
      <c r="P21" s="45">
        <f t="shared" ca="1" si="1"/>
        <v>0</v>
      </c>
      <c r="Q21" s="45" t="str">
        <f t="shared" si="2"/>
        <v>-</v>
      </c>
    </row>
    <row r="22" spans="1:17" ht="16.149999999999999" customHeight="1" x14ac:dyDescent="0.25">
      <c r="A22" s="61" t="s">
        <v>188</v>
      </c>
      <c r="B22" s="61" t="s">
        <v>279</v>
      </c>
      <c r="C22" s="43">
        <v>44108</v>
      </c>
      <c r="D22" s="2" t="s">
        <v>109</v>
      </c>
      <c r="E22" s="2" t="s">
        <v>172</v>
      </c>
      <c r="F22" s="5">
        <v>2150</v>
      </c>
      <c r="G22" s="10" t="s">
        <v>25</v>
      </c>
      <c r="H22" s="10" t="s">
        <v>171</v>
      </c>
      <c r="I22" s="43">
        <v>44138</v>
      </c>
      <c r="J22" s="43">
        <v>44128</v>
      </c>
      <c r="K22" s="5">
        <f ca="1">$F22/(1+IF(ISERROR($G22),0,IF(ISNA(MATCH($G22,TaxCode,0)),0,OFFSET(Setup!$D$22,MATCH($G22,TaxCode,0),0,1,1)))+IF(ISERROR($H22),0,IF(ISNA(MATCH($H22,TaxCode,0)),0,OFFSET(Setup!$D$22,MATCH($H22,TaxCode,0),0,1,1))))*IF(ISERROR($G22),0,IF(ISNA(MATCH($G22,TaxCode,0)),0,OFFSET(Setup!$D$22,MATCH($G22,TaxCode,0),0,1,1)))</f>
        <v>280.43478260869568</v>
      </c>
      <c r="L22" s="5">
        <f ca="1">$F22/(1+IF(ISERROR($G22),0,IF(ISNA(MATCH($G22,TaxCode,0)),0,OFFSET(Setup!$D$22,MATCH($G22,TaxCode,0),0,1,1)))+IF(ISERROR($H22),0,IF(ISNA(MATCH($H22,TaxCode,0)),0,OFFSET(Setup!$D$22,MATCH($H22,TaxCode,0),0,1,1))))*IF(ISERROR($H22),0,IF(ISNA(MATCH($H22,TaxCode,0)),0,OFFSET(Setup!$D$22,MATCH($H22,TaxCode,0),0,1,1)))</f>
        <v>0</v>
      </c>
      <c r="M22" s="5" cm="1">
        <f t="array" aca="1" ref="M22" ca="1">F22-IF(TaxCount=2,SUM($K22:$L22),$K22:$K22)</f>
        <v>1869.5652173913043</v>
      </c>
      <c r="N22" s="45">
        <f>IF(AND(ISBLANK($A22)=FALSE,$C22&lt;=Statement!$J$12,$D22=Statement!$J$11,$J22&gt;Statement!$J$12)=TRUE,1,IF(AND(ISBLANK($A22)=FALSE,$C22&lt;=Statement!$J$12,$D22=Statement!$J$11,ISBLANK($J22)=TRUE)=TRUE,1,0))</f>
        <v>0</v>
      </c>
      <c r="O22" s="45" t="str">
        <f t="shared" si="0"/>
        <v>0-INV0015</v>
      </c>
      <c r="P22" s="45">
        <f t="shared" ca="1" si="1"/>
        <v>0</v>
      </c>
      <c r="Q22" s="45" t="str">
        <f t="shared" si="2"/>
        <v>-</v>
      </c>
    </row>
    <row r="23" spans="1:17" ht="16.149999999999999" customHeight="1" x14ac:dyDescent="0.25">
      <c r="A23" s="61" t="s">
        <v>188</v>
      </c>
      <c r="B23" s="61" t="s">
        <v>279</v>
      </c>
      <c r="C23" s="43">
        <v>44108</v>
      </c>
      <c r="D23" s="2" t="s">
        <v>109</v>
      </c>
      <c r="E23" s="2" t="s">
        <v>173</v>
      </c>
      <c r="F23" s="5">
        <v>900</v>
      </c>
      <c r="G23" s="10" t="s">
        <v>25</v>
      </c>
      <c r="H23" s="10" t="s">
        <v>171</v>
      </c>
      <c r="I23" s="43">
        <v>44138</v>
      </c>
      <c r="J23" s="43">
        <v>44128</v>
      </c>
      <c r="K23" s="5">
        <f ca="1">$F23/(1+IF(ISERROR($G23),0,IF(ISNA(MATCH($G23,TaxCode,0)),0,OFFSET(Setup!$D$22,MATCH($G23,TaxCode,0),0,1,1)))+IF(ISERROR($H23),0,IF(ISNA(MATCH($H23,TaxCode,0)),0,OFFSET(Setup!$D$22,MATCH($H23,TaxCode,0),0,1,1))))*IF(ISERROR($G23),0,IF(ISNA(MATCH($G23,TaxCode,0)),0,OFFSET(Setup!$D$22,MATCH($G23,TaxCode,0),0,1,1)))</f>
        <v>117.39130434782609</v>
      </c>
      <c r="L23" s="5">
        <f ca="1">$F23/(1+IF(ISERROR($G23),0,IF(ISNA(MATCH($G23,TaxCode,0)),0,OFFSET(Setup!$D$22,MATCH($G23,TaxCode,0),0,1,1)))+IF(ISERROR($H23),0,IF(ISNA(MATCH($H23,TaxCode,0)),0,OFFSET(Setup!$D$22,MATCH($H23,TaxCode,0),0,1,1))))*IF(ISERROR($H23),0,IF(ISNA(MATCH($H23,TaxCode,0)),0,OFFSET(Setup!$D$22,MATCH($H23,TaxCode,0),0,1,1)))</f>
        <v>0</v>
      </c>
      <c r="M23" s="5" cm="1">
        <f t="array" aca="1" ref="M23" ca="1">F23-IF(TaxCount=2,SUM($K23:$L23),$K23:$K23)</f>
        <v>782.60869565217388</v>
      </c>
      <c r="N23" s="45">
        <f>IF(AND(ISBLANK($A23)=FALSE,$C23&lt;=Statement!$J$12,$D23=Statement!$J$11,$J23&gt;Statement!$J$12)=TRUE,1,IF(AND(ISBLANK($A23)=FALSE,$C23&lt;=Statement!$J$12,$D23=Statement!$J$11,ISBLANK($J23)=TRUE)=TRUE,1,0))</f>
        <v>0</v>
      </c>
      <c r="O23" s="45" t="str">
        <f t="shared" si="0"/>
        <v>0-INV0015</v>
      </c>
      <c r="P23" s="45">
        <f t="shared" ca="1" si="1"/>
        <v>0</v>
      </c>
      <c r="Q23" s="45" t="str">
        <f t="shared" si="2"/>
        <v>-</v>
      </c>
    </row>
    <row r="24" spans="1:17" ht="16.149999999999999" customHeight="1" x14ac:dyDescent="0.25">
      <c r="A24" s="61" t="s">
        <v>189</v>
      </c>
      <c r="B24" s="61" t="s">
        <v>280</v>
      </c>
      <c r="C24" s="43">
        <v>44135</v>
      </c>
      <c r="D24" s="2" t="s">
        <v>76</v>
      </c>
      <c r="E24" s="2" t="s">
        <v>61</v>
      </c>
      <c r="F24" s="5">
        <v>23430</v>
      </c>
      <c r="G24" s="10" t="s">
        <v>25</v>
      </c>
      <c r="H24" s="10" t="s">
        <v>171</v>
      </c>
      <c r="I24" s="43">
        <v>44165</v>
      </c>
      <c r="J24" s="43">
        <v>44155</v>
      </c>
      <c r="K24" s="5">
        <f ca="1">$F24/(1+IF(ISERROR($G24),0,IF(ISNA(MATCH($G24,TaxCode,0)),0,OFFSET(Setup!$D$22,MATCH($G24,TaxCode,0),0,1,1)))+IF(ISERROR($H24),0,IF(ISNA(MATCH($H24,TaxCode,0)),0,OFFSET(Setup!$D$22,MATCH($H24,TaxCode,0),0,1,1))))*IF(ISERROR($G24),0,IF(ISNA(MATCH($G24,TaxCode,0)),0,OFFSET(Setup!$D$22,MATCH($G24,TaxCode,0),0,1,1)))</f>
        <v>3056.0869565217395</v>
      </c>
      <c r="L24" s="5">
        <f ca="1">$F24/(1+IF(ISERROR($G24),0,IF(ISNA(MATCH($G24,TaxCode,0)),0,OFFSET(Setup!$D$22,MATCH($G24,TaxCode,0),0,1,1)))+IF(ISERROR($H24),0,IF(ISNA(MATCH($H24,TaxCode,0)),0,OFFSET(Setup!$D$22,MATCH($H24,TaxCode,0),0,1,1))))*IF(ISERROR($H24),0,IF(ISNA(MATCH($H24,TaxCode,0)),0,OFFSET(Setup!$D$22,MATCH($H24,TaxCode,0),0,1,1)))</f>
        <v>0</v>
      </c>
      <c r="M24" s="5" cm="1">
        <f t="array" aca="1" ref="M24" ca="1">F24-IF(TaxCount=2,SUM($K24:$L24),$K24:$K24)</f>
        <v>20373.91304347826</v>
      </c>
      <c r="N24" s="45">
        <f>IF(AND(ISBLANK($A24)=FALSE,$C24&lt;=Statement!$J$12,$D24=Statement!$J$11,$J24&gt;Statement!$J$12)=TRUE,1,IF(AND(ISBLANK($A24)=FALSE,$C24&lt;=Statement!$J$12,$D24=Statement!$J$11,ISBLANK($J24)=TRUE)=TRUE,1,0))</f>
        <v>0</v>
      </c>
      <c r="O24" s="45" t="str">
        <f t="shared" si="0"/>
        <v>0-INV0016</v>
      </c>
      <c r="P24" s="45">
        <f t="shared" ca="1" si="1"/>
        <v>0</v>
      </c>
      <c r="Q24" s="45" t="str">
        <f t="shared" si="2"/>
        <v>-</v>
      </c>
    </row>
    <row r="25" spans="1:17" ht="16.149999999999999" customHeight="1" x14ac:dyDescent="0.25">
      <c r="A25" s="61" t="s">
        <v>190</v>
      </c>
      <c r="B25" s="61" t="s">
        <v>281</v>
      </c>
      <c r="C25" s="43">
        <v>44140</v>
      </c>
      <c r="D25" s="2" t="s">
        <v>145</v>
      </c>
      <c r="E25" s="2" t="s">
        <v>170</v>
      </c>
      <c r="F25" s="5">
        <v>15000</v>
      </c>
      <c r="G25" s="10" t="s">
        <v>25</v>
      </c>
      <c r="H25" s="10" t="s">
        <v>171</v>
      </c>
      <c r="I25" s="43">
        <v>44170</v>
      </c>
      <c r="J25" s="43">
        <v>44160</v>
      </c>
      <c r="K25" s="5">
        <f ca="1">$F25/(1+IF(ISERROR($G25),0,IF(ISNA(MATCH($G25,TaxCode,0)),0,OFFSET(Setup!$D$22,MATCH($G25,TaxCode,0),0,1,1)))+IF(ISERROR($H25),0,IF(ISNA(MATCH($H25,TaxCode,0)),0,OFFSET(Setup!$D$22,MATCH($H25,TaxCode,0),0,1,1))))*IF(ISERROR($G25),0,IF(ISNA(MATCH($G25,TaxCode,0)),0,OFFSET(Setup!$D$22,MATCH($G25,TaxCode,0),0,1,1)))</f>
        <v>1956.5217391304348</v>
      </c>
      <c r="L25" s="5">
        <f ca="1">$F25/(1+IF(ISERROR($G25),0,IF(ISNA(MATCH($G25,TaxCode,0)),0,OFFSET(Setup!$D$22,MATCH($G25,TaxCode,0),0,1,1)))+IF(ISERROR($H25),0,IF(ISNA(MATCH($H25,TaxCode,0)),0,OFFSET(Setup!$D$22,MATCH($H25,TaxCode,0),0,1,1))))*IF(ISERROR($H25),0,IF(ISNA(MATCH($H25,TaxCode,0)),0,OFFSET(Setup!$D$22,MATCH($H25,TaxCode,0),0,1,1)))</f>
        <v>0</v>
      </c>
      <c r="M25" s="5" cm="1">
        <f t="array" aca="1" ref="M25" ca="1">F25-IF(TaxCount=2,SUM($K25:$L25),$K25:$K25)</f>
        <v>13043.478260869566</v>
      </c>
      <c r="N25" s="45">
        <f>IF(AND(ISBLANK($A25)=FALSE,$C25&lt;=Statement!$J$12,$D25=Statement!$J$11,$J25&gt;Statement!$J$12)=TRUE,1,IF(AND(ISBLANK($A25)=FALSE,$C25&lt;=Statement!$J$12,$D25=Statement!$J$11,ISBLANK($J25)=TRUE)=TRUE,1,0))</f>
        <v>0</v>
      </c>
      <c r="O25" s="45" t="str">
        <f t="shared" si="0"/>
        <v>0-INV0017</v>
      </c>
      <c r="P25" s="45">
        <f t="shared" ca="1" si="1"/>
        <v>0</v>
      </c>
      <c r="Q25" s="45" t="str">
        <f t="shared" si="2"/>
        <v>-</v>
      </c>
    </row>
    <row r="26" spans="1:17" ht="16.149999999999999" customHeight="1" x14ac:dyDescent="0.25">
      <c r="A26" s="61" t="s">
        <v>191</v>
      </c>
      <c r="B26" s="61" t="s">
        <v>282</v>
      </c>
      <c r="C26" s="43">
        <v>44165</v>
      </c>
      <c r="D26" s="2" t="s">
        <v>70</v>
      </c>
      <c r="E26" s="2" t="s">
        <v>170</v>
      </c>
      <c r="F26" s="5">
        <v>14900</v>
      </c>
      <c r="G26" s="10" t="s">
        <v>171</v>
      </c>
      <c r="H26" s="10" t="s">
        <v>171</v>
      </c>
      <c r="I26" s="43">
        <v>44195</v>
      </c>
      <c r="J26" s="43">
        <v>44185</v>
      </c>
      <c r="K26" s="5">
        <f ca="1">$F26/(1+IF(ISERROR($G26),0,IF(ISNA(MATCH($G26,TaxCode,0)),0,OFFSET(Setup!$D$22,MATCH($G26,TaxCode,0),0,1,1)))+IF(ISERROR($H26),0,IF(ISNA(MATCH($H26,TaxCode,0)),0,OFFSET(Setup!$D$22,MATCH($H26,TaxCode,0),0,1,1))))*IF(ISERROR($G26),0,IF(ISNA(MATCH($G26,TaxCode,0)),0,OFFSET(Setup!$D$22,MATCH($G26,TaxCode,0),0,1,1)))</f>
        <v>0</v>
      </c>
      <c r="L26" s="5">
        <f ca="1">$F26/(1+IF(ISERROR($G26),0,IF(ISNA(MATCH($G26,TaxCode,0)),0,OFFSET(Setup!$D$22,MATCH($G26,TaxCode,0),0,1,1)))+IF(ISERROR($H26),0,IF(ISNA(MATCH($H26,TaxCode,0)),0,OFFSET(Setup!$D$22,MATCH($H26,TaxCode,0),0,1,1))))*IF(ISERROR($H26),0,IF(ISNA(MATCH($H26,TaxCode,0)),0,OFFSET(Setup!$D$22,MATCH($H26,TaxCode,0),0,1,1)))</f>
        <v>0</v>
      </c>
      <c r="M26" s="5" cm="1">
        <f t="array" aca="1" ref="M26" ca="1">F26-IF(TaxCount=2,SUM($K26:$L26),$K26:$K26)</f>
        <v>14900</v>
      </c>
      <c r="N26" s="45">
        <f>IF(AND(ISBLANK($A26)=FALSE,$C26&lt;=Statement!$J$12,$D26=Statement!$J$11,$J26&gt;Statement!$J$12)=TRUE,1,IF(AND(ISBLANK($A26)=FALSE,$C26&lt;=Statement!$J$12,$D26=Statement!$J$11,ISBLANK($J26)=TRUE)=TRUE,1,0))</f>
        <v>0</v>
      </c>
      <c r="O26" s="45" t="str">
        <f t="shared" si="0"/>
        <v>0-INV0018</v>
      </c>
      <c r="P26" s="45">
        <f t="shared" ca="1" si="1"/>
        <v>0</v>
      </c>
      <c r="Q26" s="45" t="str">
        <f t="shared" si="2"/>
        <v>-</v>
      </c>
    </row>
    <row r="27" spans="1:17" ht="16.149999999999999" customHeight="1" x14ac:dyDescent="0.25">
      <c r="A27" s="61" t="s">
        <v>192</v>
      </c>
      <c r="B27" s="61" t="s">
        <v>283</v>
      </c>
      <c r="C27" s="43">
        <v>44178</v>
      </c>
      <c r="D27" s="2" t="s">
        <v>94</v>
      </c>
      <c r="E27" s="2" t="s">
        <v>172</v>
      </c>
      <c r="F27" s="5">
        <v>8168</v>
      </c>
      <c r="G27" s="10" t="s">
        <v>25</v>
      </c>
      <c r="H27" s="10" t="s">
        <v>171</v>
      </c>
      <c r="I27" s="43">
        <v>44208</v>
      </c>
      <c r="K27" s="5">
        <f ca="1">$F27/(1+IF(ISERROR($G27),0,IF(ISNA(MATCH($G27,TaxCode,0)),0,OFFSET(Setup!$D$22,MATCH($G27,TaxCode,0),0,1,1)))+IF(ISERROR($H27),0,IF(ISNA(MATCH($H27,TaxCode,0)),0,OFFSET(Setup!$D$22,MATCH($H27,TaxCode,0),0,1,1))))*IF(ISERROR($G27),0,IF(ISNA(MATCH($G27,TaxCode,0)),0,OFFSET(Setup!$D$22,MATCH($G27,TaxCode,0),0,1,1)))</f>
        <v>1065.3913043478262</v>
      </c>
      <c r="L27" s="5">
        <f ca="1">$F27/(1+IF(ISERROR($G27),0,IF(ISNA(MATCH($G27,TaxCode,0)),0,OFFSET(Setup!$D$22,MATCH($G27,TaxCode,0),0,1,1)))+IF(ISERROR($H27),0,IF(ISNA(MATCH($H27,TaxCode,0)),0,OFFSET(Setup!$D$22,MATCH($H27,TaxCode,0),0,1,1))))*IF(ISERROR($H27),0,IF(ISNA(MATCH($H27,TaxCode,0)),0,OFFSET(Setup!$D$22,MATCH($H27,TaxCode,0),0,1,1)))</f>
        <v>0</v>
      </c>
      <c r="M27" s="5" cm="1">
        <f t="array" aca="1" ref="M27" ca="1">F27-IF(TaxCount=2,SUM($K27:$L27),$K27:$K27)</f>
        <v>7102.608695652174</v>
      </c>
      <c r="N27" s="45">
        <f>IF(AND(ISBLANK($A27)=FALSE,$C27&lt;=Statement!$J$12,$D27=Statement!$J$11,$J27&gt;Statement!$J$12)=TRUE,1,IF(AND(ISBLANK($A27)=FALSE,$C27&lt;=Statement!$J$12,$D27=Statement!$J$11,ISBLANK($J27)=TRUE)=TRUE,1,0))</f>
        <v>0</v>
      </c>
      <c r="O27" s="45" t="str">
        <f t="shared" si="0"/>
        <v>0-INV0019</v>
      </c>
      <c r="P27" s="45">
        <f t="shared" ca="1" si="1"/>
        <v>0</v>
      </c>
      <c r="Q27" s="45" t="str">
        <f t="shared" si="2"/>
        <v>-</v>
      </c>
    </row>
    <row r="28" spans="1:17" ht="16.149999999999999" customHeight="1" x14ac:dyDescent="0.25">
      <c r="A28" s="61" t="s">
        <v>193</v>
      </c>
      <c r="B28" s="61" t="s">
        <v>284</v>
      </c>
      <c r="C28" s="43">
        <v>44191</v>
      </c>
      <c r="D28" s="2" t="s">
        <v>140</v>
      </c>
      <c r="E28" s="2" t="s">
        <v>172</v>
      </c>
      <c r="F28" s="5">
        <v>13490</v>
      </c>
      <c r="G28" s="10" t="s">
        <v>25</v>
      </c>
      <c r="H28" s="10" t="s">
        <v>171</v>
      </c>
      <c r="I28" s="43">
        <v>44221</v>
      </c>
      <c r="J28" s="43">
        <v>44211</v>
      </c>
      <c r="K28" s="5">
        <f ca="1">$F28/(1+IF(ISERROR($G28),0,IF(ISNA(MATCH($G28,TaxCode,0)),0,OFFSET(Setup!$D$22,MATCH($G28,TaxCode,0),0,1,1)))+IF(ISERROR($H28),0,IF(ISNA(MATCH($H28,TaxCode,0)),0,OFFSET(Setup!$D$22,MATCH($H28,TaxCode,0),0,1,1))))*IF(ISERROR($G28),0,IF(ISNA(MATCH($G28,TaxCode,0)),0,OFFSET(Setup!$D$22,MATCH($G28,TaxCode,0),0,1,1)))</f>
        <v>1759.5652173913043</v>
      </c>
      <c r="L28" s="5">
        <f ca="1">$F28/(1+IF(ISERROR($G28),0,IF(ISNA(MATCH($G28,TaxCode,0)),0,OFFSET(Setup!$D$22,MATCH($G28,TaxCode,0),0,1,1)))+IF(ISERROR($H28),0,IF(ISNA(MATCH($H28,TaxCode,0)),0,OFFSET(Setup!$D$22,MATCH($H28,TaxCode,0),0,1,1))))*IF(ISERROR($H28),0,IF(ISNA(MATCH($H28,TaxCode,0)),0,OFFSET(Setup!$D$22,MATCH($H28,TaxCode,0),0,1,1)))</f>
        <v>0</v>
      </c>
      <c r="M28" s="5" cm="1">
        <f t="array" aca="1" ref="M28" ca="1">F28-IF(TaxCount=2,SUM($K28:$L28),$K28:$K28)</f>
        <v>11730.434782608696</v>
      </c>
      <c r="N28" s="45">
        <f>IF(AND(ISBLANK($A28)=FALSE,$C28&lt;=Statement!$J$12,$D28=Statement!$J$11,$J28&gt;Statement!$J$12)=TRUE,1,IF(AND(ISBLANK($A28)=FALSE,$C28&lt;=Statement!$J$12,$D28=Statement!$J$11,ISBLANK($J28)=TRUE)=TRUE,1,0))</f>
        <v>0</v>
      </c>
      <c r="O28" s="45" t="str">
        <f t="shared" si="0"/>
        <v>0-INV0020</v>
      </c>
      <c r="P28" s="45">
        <f t="shared" ca="1" si="1"/>
        <v>0</v>
      </c>
      <c r="Q28" s="45" t="str">
        <f t="shared" si="2"/>
        <v>-</v>
      </c>
    </row>
    <row r="29" spans="1:17" ht="16.149999999999999" customHeight="1" x14ac:dyDescent="0.25">
      <c r="A29" s="61" t="s">
        <v>194</v>
      </c>
      <c r="B29" s="61" t="s">
        <v>285</v>
      </c>
      <c r="C29" s="43">
        <v>44206</v>
      </c>
      <c r="D29" s="2" t="s">
        <v>129</v>
      </c>
      <c r="E29" s="2" t="s">
        <v>170</v>
      </c>
      <c r="F29" s="5">
        <v>18000</v>
      </c>
      <c r="G29" s="10" t="s">
        <v>25</v>
      </c>
      <c r="H29" s="10" t="s">
        <v>171</v>
      </c>
      <c r="I29" s="43">
        <v>44236</v>
      </c>
      <c r="J29" s="43">
        <v>44226</v>
      </c>
      <c r="K29" s="5">
        <f ca="1">$F29/(1+IF(ISERROR($G29),0,IF(ISNA(MATCH($G29,TaxCode,0)),0,OFFSET(Setup!$D$22,MATCH($G29,TaxCode,0),0,1,1)))+IF(ISERROR($H29),0,IF(ISNA(MATCH($H29,TaxCode,0)),0,OFFSET(Setup!$D$22,MATCH($H29,TaxCode,0),0,1,1))))*IF(ISERROR($G29),0,IF(ISNA(MATCH($G29,TaxCode,0)),0,OFFSET(Setup!$D$22,MATCH($G29,TaxCode,0),0,1,1)))</f>
        <v>2347.826086956522</v>
      </c>
      <c r="L29" s="5">
        <f ca="1">$F29/(1+IF(ISERROR($G29),0,IF(ISNA(MATCH($G29,TaxCode,0)),0,OFFSET(Setup!$D$22,MATCH($G29,TaxCode,0),0,1,1)))+IF(ISERROR($H29),0,IF(ISNA(MATCH($H29,TaxCode,0)),0,OFFSET(Setup!$D$22,MATCH($H29,TaxCode,0),0,1,1))))*IF(ISERROR($H29),0,IF(ISNA(MATCH($H29,TaxCode,0)),0,OFFSET(Setup!$D$22,MATCH($H29,TaxCode,0),0,1,1)))</f>
        <v>0</v>
      </c>
      <c r="M29" s="5" cm="1">
        <f t="array" aca="1" ref="M29" ca="1">F29-IF(TaxCount=2,SUM($K29:$L29),$K29:$K29)</f>
        <v>15652.173913043478</v>
      </c>
      <c r="N29" s="45">
        <f>IF(AND(ISBLANK($A29)=FALSE,$C29&lt;=Statement!$J$12,$D29=Statement!$J$11,$J29&gt;Statement!$J$12)=TRUE,1,IF(AND(ISBLANK($A29)=FALSE,$C29&lt;=Statement!$J$12,$D29=Statement!$J$11,ISBLANK($J29)=TRUE)=TRUE,1,0))</f>
        <v>0</v>
      </c>
      <c r="O29" s="45" t="str">
        <f t="shared" si="0"/>
        <v>0-INV0021</v>
      </c>
      <c r="P29" s="45">
        <f t="shared" ca="1" si="1"/>
        <v>0</v>
      </c>
      <c r="Q29" s="45" t="str">
        <f t="shared" si="2"/>
        <v>-</v>
      </c>
    </row>
    <row r="30" spans="1:17" ht="16.149999999999999" customHeight="1" x14ac:dyDescent="0.25">
      <c r="A30" s="61" t="s">
        <v>195</v>
      </c>
      <c r="B30" s="61" t="s">
        <v>286</v>
      </c>
      <c r="C30" s="43">
        <v>44217</v>
      </c>
      <c r="D30" s="2" t="s">
        <v>155</v>
      </c>
      <c r="E30" s="2" t="s">
        <v>170</v>
      </c>
      <c r="F30" s="5">
        <v>19200</v>
      </c>
      <c r="G30" s="10" t="s">
        <v>25</v>
      </c>
      <c r="H30" s="10" t="s">
        <v>171</v>
      </c>
      <c r="I30" s="43">
        <v>44247</v>
      </c>
      <c r="J30" s="43">
        <v>44237</v>
      </c>
      <c r="K30" s="5">
        <f ca="1">$F30/(1+IF(ISERROR($G30),0,IF(ISNA(MATCH($G30,TaxCode,0)),0,OFFSET(Setup!$D$22,MATCH($G30,TaxCode,0),0,1,1)))+IF(ISERROR($H30),0,IF(ISNA(MATCH($H30,TaxCode,0)),0,OFFSET(Setup!$D$22,MATCH($H30,TaxCode,0),0,1,1))))*IF(ISERROR($G30),0,IF(ISNA(MATCH($G30,TaxCode,0)),0,OFFSET(Setup!$D$22,MATCH($G30,TaxCode,0),0,1,1)))</f>
        <v>2504.3478260869565</v>
      </c>
      <c r="L30" s="5">
        <f ca="1">$F30/(1+IF(ISERROR($G30),0,IF(ISNA(MATCH($G30,TaxCode,0)),0,OFFSET(Setup!$D$22,MATCH($G30,TaxCode,0),0,1,1)))+IF(ISERROR($H30),0,IF(ISNA(MATCH($H30,TaxCode,0)),0,OFFSET(Setup!$D$22,MATCH($H30,TaxCode,0),0,1,1))))*IF(ISERROR($H30),0,IF(ISNA(MATCH($H30,TaxCode,0)),0,OFFSET(Setup!$D$22,MATCH($H30,TaxCode,0),0,1,1)))</f>
        <v>0</v>
      </c>
      <c r="M30" s="5" cm="1">
        <f t="array" aca="1" ref="M30" ca="1">F30-IF(TaxCount=2,SUM($K30:$L30),$K30:$K30)</f>
        <v>16695.652173913044</v>
      </c>
      <c r="N30" s="45">
        <f>IF(AND(ISBLANK($A30)=FALSE,$C30&lt;=Statement!$J$12,$D30=Statement!$J$11,$J30&gt;Statement!$J$12)=TRUE,1,IF(AND(ISBLANK($A30)=FALSE,$C30&lt;=Statement!$J$12,$D30=Statement!$J$11,ISBLANK($J30)=TRUE)=TRUE,1,0))</f>
        <v>0</v>
      </c>
      <c r="O30" s="45" t="str">
        <f t="shared" si="0"/>
        <v>0-INV0022</v>
      </c>
      <c r="P30" s="45">
        <f t="shared" ca="1" si="1"/>
        <v>0</v>
      </c>
      <c r="Q30" s="45" t="str">
        <f t="shared" si="2"/>
        <v>-</v>
      </c>
    </row>
    <row r="31" spans="1:17" ht="16.149999999999999" customHeight="1" x14ac:dyDescent="0.25">
      <c r="A31" s="61" t="s">
        <v>196</v>
      </c>
      <c r="B31" s="61" t="s">
        <v>287</v>
      </c>
      <c r="C31" s="43">
        <v>44232</v>
      </c>
      <c r="D31" s="2" t="s">
        <v>163</v>
      </c>
      <c r="E31" s="2" t="s">
        <v>170</v>
      </c>
      <c r="F31" s="5">
        <v>23430</v>
      </c>
      <c r="G31" s="10" t="s">
        <v>25</v>
      </c>
      <c r="H31" s="10" t="s">
        <v>171</v>
      </c>
      <c r="I31" s="43">
        <v>44252</v>
      </c>
      <c r="J31" s="43">
        <v>44255</v>
      </c>
      <c r="K31" s="5">
        <f ca="1">$F31/(1+IF(ISERROR($G31),0,IF(ISNA(MATCH($G31,TaxCode,0)),0,OFFSET(Setup!$D$22,MATCH($G31,TaxCode,0),0,1,1)))+IF(ISERROR($H31),0,IF(ISNA(MATCH($H31,TaxCode,0)),0,OFFSET(Setup!$D$22,MATCH($H31,TaxCode,0),0,1,1))))*IF(ISERROR($G31),0,IF(ISNA(MATCH($G31,TaxCode,0)),0,OFFSET(Setup!$D$22,MATCH($G31,TaxCode,0),0,1,1)))</f>
        <v>3056.0869565217395</v>
      </c>
      <c r="L31" s="5">
        <f ca="1">$F31/(1+IF(ISERROR($G31),0,IF(ISNA(MATCH($G31,TaxCode,0)),0,OFFSET(Setup!$D$22,MATCH($G31,TaxCode,0),0,1,1)))+IF(ISERROR($H31),0,IF(ISNA(MATCH($H31,TaxCode,0)),0,OFFSET(Setup!$D$22,MATCH($H31,TaxCode,0),0,1,1))))*IF(ISERROR($H31),0,IF(ISNA(MATCH($H31,TaxCode,0)),0,OFFSET(Setup!$D$22,MATCH($H31,TaxCode,0),0,1,1)))</f>
        <v>0</v>
      </c>
      <c r="M31" s="5" cm="1">
        <f t="array" aca="1" ref="M31" ca="1">F31-IF(TaxCount=2,SUM($K31:$L31),$K31:$K31)</f>
        <v>20373.91304347826</v>
      </c>
      <c r="N31" s="45">
        <f>IF(AND(ISBLANK($A31)=FALSE,$C31&lt;=Statement!$J$12,$D31=Statement!$J$11,$J31&gt;Statement!$J$12)=TRUE,1,IF(AND(ISBLANK($A31)=FALSE,$C31&lt;=Statement!$J$12,$D31=Statement!$J$11,ISBLANK($J31)=TRUE)=TRUE,1,0))</f>
        <v>0</v>
      </c>
      <c r="O31" s="45" t="str">
        <f t="shared" si="0"/>
        <v>0-INV0023</v>
      </c>
      <c r="P31" s="45">
        <f t="shared" ca="1" si="1"/>
        <v>0</v>
      </c>
      <c r="Q31" s="45" t="str">
        <f t="shared" si="2"/>
        <v>-</v>
      </c>
    </row>
    <row r="32" spans="1:17" ht="16.149999999999999" customHeight="1" x14ac:dyDescent="0.25">
      <c r="A32" s="61" t="s">
        <v>197</v>
      </c>
      <c r="B32" s="61" t="s">
        <v>288</v>
      </c>
      <c r="C32" s="43">
        <v>44235</v>
      </c>
      <c r="D32" s="2" t="s">
        <v>149</v>
      </c>
      <c r="E32" s="2" t="s">
        <v>246</v>
      </c>
      <c r="F32" s="5">
        <v>3200</v>
      </c>
      <c r="G32" s="10" t="s">
        <v>25</v>
      </c>
      <c r="H32" s="10" t="s">
        <v>171</v>
      </c>
      <c r="I32" s="43">
        <v>44265</v>
      </c>
      <c r="K32" s="5">
        <f ca="1">$F32/(1+IF(ISERROR($G32),0,IF(ISNA(MATCH($G32,TaxCode,0)),0,OFFSET(Setup!$D$22,MATCH($G32,TaxCode,0),0,1,1)))+IF(ISERROR($H32),0,IF(ISNA(MATCH($H32,TaxCode,0)),0,OFFSET(Setup!$D$22,MATCH($H32,TaxCode,0),0,1,1))))*IF(ISERROR($G32),0,IF(ISNA(MATCH($G32,TaxCode,0)),0,OFFSET(Setup!$D$22,MATCH($G32,TaxCode,0),0,1,1)))</f>
        <v>417.39130434782606</v>
      </c>
      <c r="L32" s="5">
        <f ca="1">$F32/(1+IF(ISERROR($G32),0,IF(ISNA(MATCH($G32,TaxCode,0)),0,OFFSET(Setup!$D$22,MATCH($G32,TaxCode,0),0,1,1)))+IF(ISERROR($H32),0,IF(ISNA(MATCH($H32,TaxCode,0)),0,OFFSET(Setup!$D$22,MATCH($H32,TaxCode,0),0,1,1))))*IF(ISERROR($H32),0,IF(ISNA(MATCH($H32,TaxCode,0)),0,OFFSET(Setup!$D$22,MATCH($H32,TaxCode,0),0,1,1)))</f>
        <v>0</v>
      </c>
      <c r="M32" s="5" cm="1">
        <f t="array" aca="1" ref="M32" ca="1">F32-IF(TaxCount=2,SUM($K32:$L32),$K32:$K32)</f>
        <v>2782.608695652174</v>
      </c>
      <c r="N32" s="45">
        <f>IF(AND(ISBLANK($A32)=FALSE,$C32&lt;=Statement!$J$12,$D32=Statement!$J$11,$J32&gt;Statement!$J$12)=TRUE,1,IF(AND(ISBLANK($A32)=FALSE,$C32&lt;=Statement!$J$12,$D32=Statement!$J$11,ISBLANK($J32)=TRUE)=TRUE,1,0))</f>
        <v>1</v>
      </c>
      <c r="O32" s="45" t="str">
        <f t="shared" si="0"/>
        <v>1-INV0024</v>
      </c>
      <c r="P32" s="45">
        <f t="shared" ca="1" si="1"/>
        <v>1</v>
      </c>
      <c r="Q32" s="45" t="str">
        <f t="shared" si="2"/>
        <v>-</v>
      </c>
    </row>
    <row r="33" spans="1:17" ht="16.149999999999999" customHeight="1" x14ac:dyDescent="0.25">
      <c r="A33" s="61" t="s">
        <v>240</v>
      </c>
      <c r="B33" s="61" t="s">
        <v>289</v>
      </c>
      <c r="C33" s="43">
        <v>44241</v>
      </c>
      <c r="D33" s="2" t="s">
        <v>149</v>
      </c>
      <c r="E33" s="2" t="s">
        <v>246</v>
      </c>
      <c r="F33" s="5">
        <v>2240</v>
      </c>
      <c r="G33" s="10" t="s">
        <v>171</v>
      </c>
      <c r="H33" s="10" t="s">
        <v>171</v>
      </c>
      <c r="I33" s="43">
        <v>44271</v>
      </c>
      <c r="K33" s="5">
        <f ca="1">$F33/(1+IF(ISERROR($G33),0,IF(ISNA(MATCH($G33,TaxCode,0)),0,OFFSET(Setup!$D$22,MATCH($G33,TaxCode,0),0,1,1)))+IF(ISERROR($H33),0,IF(ISNA(MATCH($H33,TaxCode,0)),0,OFFSET(Setup!$D$22,MATCH($H33,TaxCode,0),0,1,1))))*IF(ISERROR($G33),0,IF(ISNA(MATCH($G33,TaxCode,0)),0,OFFSET(Setup!$D$22,MATCH($G33,TaxCode,0),0,1,1)))</f>
        <v>0</v>
      </c>
      <c r="L33" s="5">
        <f ca="1">$F33/(1+IF(ISERROR($G33),0,IF(ISNA(MATCH($G33,TaxCode,0)),0,OFFSET(Setup!$D$22,MATCH($G33,TaxCode,0),0,1,1)))+IF(ISERROR($H33),0,IF(ISNA(MATCH($H33,TaxCode,0)),0,OFFSET(Setup!$D$22,MATCH($H33,TaxCode,0),0,1,1))))*IF(ISERROR($H33),0,IF(ISNA(MATCH($H33,TaxCode,0)),0,OFFSET(Setup!$D$22,MATCH($H33,TaxCode,0),0,1,1)))</f>
        <v>0</v>
      </c>
      <c r="M33" s="5" cm="1">
        <f t="array" aca="1" ref="M33" ca="1">F33-IF(TaxCount=2,SUM($K33:$L33),$K33:$K33)</f>
        <v>2240</v>
      </c>
      <c r="N33" s="45">
        <f>IF(AND(ISBLANK($A33)=FALSE,$C33&lt;=Statement!$J$12,$D33=Statement!$J$11,$J33&gt;Statement!$J$12)=TRUE,1,IF(AND(ISBLANK($A33)=FALSE,$C33&lt;=Statement!$J$12,$D33=Statement!$J$11,ISBLANK($J33)=TRUE)=TRUE,1,0))</f>
        <v>1</v>
      </c>
      <c r="O33" s="45" t="str">
        <f t="shared" si="0"/>
        <v>1-INV0025</v>
      </c>
      <c r="P33" s="45">
        <f t="shared" ca="1" si="1"/>
        <v>1</v>
      </c>
      <c r="Q33" s="45" t="str">
        <f t="shared" si="2"/>
        <v>-</v>
      </c>
    </row>
    <row r="34" spans="1:17" ht="16.149999999999999" customHeight="1" x14ac:dyDescent="0.25">
      <c r="A34" s="61" t="s">
        <v>241</v>
      </c>
      <c r="B34" s="61" t="s">
        <v>290</v>
      </c>
      <c r="C34" s="43">
        <v>44243</v>
      </c>
      <c r="D34" s="2" t="s">
        <v>168</v>
      </c>
      <c r="E34" s="2" t="s">
        <v>170</v>
      </c>
      <c r="F34" s="5">
        <v>16987</v>
      </c>
      <c r="G34" s="10" t="s">
        <v>25</v>
      </c>
      <c r="H34" s="10" t="s">
        <v>171</v>
      </c>
      <c r="I34" s="43">
        <v>44243</v>
      </c>
      <c r="J34" s="43">
        <v>44243</v>
      </c>
      <c r="K34" s="5">
        <f ca="1">$F34/(1+IF(ISERROR($G34),0,IF(ISNA(MATCH($G34,TaxCode,0)),0,OFFSET(Setup!$D$22,MATCH($G34,TaxCode,0),0,1,1)))+IF(ISERROR($H34),0,IF(ISNA(MATCH($H34,TaxCode,0)),0,OFFSET(Setup!$D$22,MATCH($H34,TaxCode,0),0,1,1))))*IF(ISERROR($G34),0,IF(ISNA(MATCH($G34,TaxCode,0)),0,OFFSET(Setup!$D$22,MATCH($G34,TaxCode,0),0,1,1)))</f>
        <v>2215.695652173913</v>
      </c>
      <c r="L34" s="5">
        <f ca="1">$F34/(1+IF(ISERROR($G34),0,IF(ISNA(MATCH($G34,TaxCode,0)),0,OFFSET(Setup!$D$22,MATCH($G34,TaxCode,0),0,1,1)))+IF(ISERROR($H34),0,IF(ISNA(MATCH($H34,TaxCode,0)),0,OFFSET(Setup!$D$22,MATCH($H34,TaxCode,0),0,1,1))))*IF(ISERROR($H34),0,IF(ISNA(MATCH($H34,TaxCode,0)),0,OFFSET(Setup!$D$22,MATCH($H34,TaxCode,0),0,1,1)))</f>
        <v>0</v>
      </c>
      <c r="M34" s="5" cm="1">
        <f t="array" aca="1" ref="M34" ca="1">F34-IF(TaxCount=2,SUM($K34:$L34),$K34:$K34)</f>
        <v>14771.304347826088</v>
      </c>
      <c r="N34" s="45">
        <f>IF(AND(ISBLANK($A34)=FALSE,$C34&lt;=Statement!$J$12,$D34=Statement!$J$11,$J34&gt;Statement!$J$12)=TRUE,1,IF(AND(ISBLANK($A34)=FALSE,$C34&lt;=Statement!$J$12,$D34=Statement!$J$11,ISBLANK($J34)=TRUE)=TRUE,1,0))</f>
        <v>0</v>
      </c>
      <c r="O34" s="45" t="str">
        <f t="shared" si="0"/>
        <v>0-INV0026</v>
      </c>
      <c r="P34" s="45">
        <f t="shared" ca="1" si="1"/>
        <v>0</v>
      </c>
      <c r="Q34" s="45" t="str">
        <f t="shared" si="2"/>
        <v>-</v>
      </c>
    </row>
    <row r="35" spans="1:17" ht="16.149999999999999" customHeight="1" x14ac:dyDescent="0.25">
      <c r="A35" s="61" t="s">
        <v>242</v>
      </c>
      <c r="B35" s="61" t="s">
        <v>291</v>
      </c>
      <c r="C35" s="43">
        <v>44245</v>
      </c>
      <c r="D35" s="2" t="s">
        <v>149</v>
      </c>
      <c r="E35" s="2" t="s">
        <v>246</v>
      </c>
      <c r="F35" s="5">
        <v>1850</v>
      </c>
      <c r="G35" s="10" t="s">
        <v>25</v>
      </c>
      <c r="H35" s="10" t="s">
        <v>171</v>
      </c>
      <c r="I35" s="43">
        <v>44275</v>
      </c>
      <c r="K35" s="5">
        <f ca="1">$F35/(1+IF(ISERROR($G35),0,IF(ISNA(MATCH($G35,TaxCode,0)),0,OFFSET(Setup!$D$22,MATCH($G35,TaxCode,0),0,1,1)))+IF(ISERROR($H35),0,IF(ISNA(MATCH($H35,TaxCode,0)),0,OFFSET(Setup!$D$22,MATCH($H35,TaxCode,0),0,1,1))))*IF(ISERROR($G35),0,IF(ISNA(MATCH($G35,TaxCode,0)),0,OFFSET(Setup!$D$22,MATCH($G35,TaxCode,0),0,1,1)))</f>
        <v>241.30434782608697</v>
      </c>
      <c r="L35" s="5">
        <f ca="1">$F35/(1+IF(ISERROR($G35),0,IF(ISNA(MATCH($G35,TaxCode,0)),0,OFFSET(Setup!$D$22,MATCH($G35,TaxCode,0),0,1,1)))+IF(ISERROR($H35),0,IF(ISNA(MATCH($H35,TaxCode,0)),0,OFFSET(Setup!$D$22,MATCH($H35,TaxCode,0),0,1,1))))*IF(ISERROR($H35),0,IF(ISNA(MATCH($H35,TaxCode,0)),0,OFFSET(Setup!$D$22,MATCH($H35,TaxCode,0),0,1,1)))</f>
        <v>0</v>
      </c>
      <c r="M35" s="5" cm="1">
        <f t="array" aca="1" ref="M35" ca="1">F35-IF(TaxCount=2,SUM($K35:$L35),$K35:$K35)</f>
        <v>1608.695652173913</v>
      </c>
      <c r="N35" s="45">
        <f>IF(AND(ISBLANK($A35)=FALSE,$C35&lt;=Statement!$J$12,$D35=Statement!$J$11,$J35&gt;Statement!$J$12)=TRUE,1,IF(AND(ISBLANK($A35)=FALSE,$C35&lt;=Statement!$J$12,$D35=Statement!$J$11,ISBLANK($J35)=TRUE)=TRUE,1,0))</f>
        <v>1</v>
      </c>
      <c r="O35" s="45" t="str">
        <f t="shared" si="0"/>
        <v>1-INV0027</v>
      </c>
      <c r="P35" s="45">
        <f t="shared" ca="1" si="1"/>
        <v>1</v>
      </c>
      <c r="Q35" s="45" t="str">
        <f t="shared" si="2"/>
        <v>-</v>
      </c>
    </row>
    <row r="36" spans="1:17" ht="16.149999999999999" customHeight="1" x14ac:dyDescent="0.25">
      <c r="A36" s="61" t="s">
        <v>243</v>
      </c>
      <c r="B36" s="61" t="s">
        <v>292</v>
      </c>
      <c r="C36" s="43">
        <v>44248</v>
      </c>
      <c r="D36" s="2" t="s">
        <v>149</v>
      </c>
      <c r="E36" s="2" t="s">
        <v>246</v>
      </c>
      <c r="F36" s="5">
        <v>2240</v>
      </c>
      <c r="G36" s="10" t="s">
        <v>25</v>
      </c>
      <c r="H36" s="10" t="s">
        <v>171</v>
      </c>
      <c r="I36" s="43">
        <v>44278</v>
      </c>
      <c r="K36" s="5">
        <f ca="1">$F36/(1+IF(ISERROR($G36),0,IF(ISNA(MATCH($G36,TaxCode,0)),0,OFFSET(Setup!$D$22,MATCH($G36,TaxCode,0),0,1,1)))+IF(ISERROR($H36),0,IF(ISNA(MATCH($H36,TaxCode,0)),0,OFFSET(Setup!$D$22,MATCH($H36,TaxCode,0),0,1,1))))*IF(ISERROR($G36),0,IF(ISNA(MATCH($G36,TaxCode,0)),0,OFFSET(Setup!$D$22,MATCH($G36,TaxCode,0),0,1,1)))</f>
        <v>292.17391304347831</v>
      </c>
      <c r="L36" s="5">
        <f ca="1">$F36/(1+IF(ISERROR($G36),0,IF(ISNA(MATCH($G36,TaxCode,0)),0,OFFSET(Setup!$D$22,MATCH($G36,TaxCode,0),0,1,1)))+IF(ISERROR($H36),0,IF(ISNA(MATCH($H36,TaxCode,0)),0,OFFSET(Setup!$D$22,MATCH($H36,TaxCode,0),0,1,1))))*IF(ISERROR($H36),0,IF(ISNA(MATCH($H36,TaxCode,0)),0,OFFSET(Setup!$D$22,MATCH($H36,TaxCode,0),0,1,1)))</f>
        <v>0</v>
      </c>
      <c r="M36" s="5" cm="1">
        <f t="array" aca="1" ref="M36" ca="1">F36-IF(TaxCount=2,SUM($K36:$L36),$K36:$K36)</f>
        <v>1947.8260869565217</v>
      </c>
      <c r="N36" s="45">
        <f>IF(AND(ISBLANK($A36)=FALSE,$C36&lt;=Statement!$J$12,$D36=Statement!$J$11,$J36&gt;Statement!$J$12)=TRUE,1,IF(AND(ISBLANK($A36)=FALSE,$C36&lt;=Statement!$J$12,$D36=Statement!$J$11,ISBLANK($J36)=TRUE)=TRUE,1,0))</f>
        <v>1</v>
      </c>
      <c r="O36" s="45" t="str">
        <f t="shared" si="0"/>
        <v>1-INV0028</v>
      </c>
      <c r="P36" s="45">
        <f t="shared" ca="1" si="1"/>
        <v>1</v>
      </c>
      <c r="Q36" s="45" t="str">
        <f t="shared" si="2"/>
        <v>-</v>
      </c>
    </row>
    <row r="37" spans="1:17" ht="16.149999999999999" customHeight="1" x14ac:dyDescent="0.25">
      <c r="A37" s="61" t="s">
        <v>244</v>
      </c>
      <c r="B37" s="61" t="s">
        <v>293</v>
      </c>
      <c r="C37" s="43">
        <v>44253</v>
      </c>
      <c r="D37" s="2" t="s">
        <v>149</v>
      </c>
      <c r="E37" s="2" t="s">
        <v>246</v>
      </c>
      <c r="F37" s="5">
        <v>3260</v>
      </c>
      <c r="G37" s="10" t="s">
        <v>25</v>
      </c>
      <c r="H37" s="10" t="s">
        <v>171</v>
      </c>
      <c r="I37" s="43">
        <v>44283</v>
      </c>
      <c r="K37" s="5">
        <f ca="1">$F37/(1+IF(ISERROR($G37),0,IF(ISNA(MATCH($G37,TaxCode,0)),0,OFFSET(Setup!$D$22,MATCH($G37,TaxCode,0),0,1,1)))+IF(ISERROR($H37),0,IF(ISNA(MATCH($H37,TaxCode,0)),0,OFFSET(Setup!$D$22,MATCH($H37,TaxCode,0),0,1,1))))*IF(ISERROR($G37),0,IF(ISNA(MATCH($G37,TaxCode,0)),0,OFFSET(Setup!$D$22,MATCH($G37,TaxCode,0),0,1,1)))</f>
        <v>425.21739130434787</v>
      </c>
      <c r="L37" s="5">
        <f ca="1">$F37/(1+IF(ISERROR($G37),0,IF(ISNA(MATCH($G37,TaxCode,0)),0,OFFSET(Setup!$D$22,MATCH($G37,TaxCode,0),0,1,1)))+IF(ISERROR($H37),0,IF(ISNA(MATCH($H37,TaxCode,0)),0,OFFSET(Setup!$D$22,MATCH($H37,TaxCode,0),0,1,1))))*IF(ISERROR($H37),0,IF(ISNA(MATCH($H37,TaxCode,0)),0,OFFSET(Setup!$D$22,MATCH($H37,TaxCode,0),0,1,1)))</f>
        <v>0</v>
      </c>
      <c r="M37" s="5" cm="1">
        <f t="array" aca="1" ref="M37" ca="1">F37-IF(TaxCount=2,SUM($K37:$L37),$K37:$K37)</f>
        <v>2834.782608695652</v>
      </c>
      <c r="N37" s="45">
        <f>IF(AND(ISBLANK($A37)=FALSE,$C37&lt;=Statement!$J$12,$D37=Statement!$J$11,$J37&gt;Statement!$J$12)=TRUE,1,IF(AND(ISBLANK($A37)=FALSE,$C37&lt;=Statement!$J$12,$D37=Statement!$J$11,ISBLANK($J37)=TRUE)=TRUE,1,0))</f>
        <v>1</v>
      </c>
      <c r="O37" s="45" t="str">
        <f t="shared" si="0"/>
        <v>1-INV0029</v>
      </c>
      <c r="P37" s="45">
        <f t="shared" ca="1" si="1"/>
        <v>1</v>
      </c>
      <c r="Q37" s="45" t="str">
        <f t="shared" si="2"/>
        <v>-</v>
      </c>
    </row>
    <row r="38" spans="1:17" ht="16.149999999999999" customHeight="1" x14ac:dyDescent="0.25">
      <c r="A38" s="61" t="s">
        <v>245</v>
      </c>
      <c r="B38" s="61" t="s">
        <v>294</v>
      </c>
      <c r="C38" s="43">
        <v>44255</v>
      </c>
      <c r="D38" s="2" t="s">
        <v>76</v>
      </c>
      <c r="E38" s="2" t="s">
        <v>170</v>
      </c>
      <c r="F38" s="5">
        <v>13850</v>
      </c>
      <c r="G38" s="10" t="s">
        <v>25</v>
      </c>
      <c r="H38" s="10" t="s">
        <v>171</v>
      </c>
      <c r="I38" s="43">
        <v>44286</v>
      </c>
      <c r="K38" s="5">
        <f ca="1">$F38/(1+IF(ISERROR($G38),0,IF(ISNA(MATCH($G38,TaxCode,0)),0,OFFSET(Setup!$D$22,MATCH($G38,TaxCode,0),0,1,1)))+IF(ISERROR($H38),0,IF(ISNA(MATCH($H38,TaxCode,0)),0,OFFSET(Setup!$D$22,MATCH($H38,TaxCode,0),0,1,1))))*IF(ISERROR($G38),0,IF(ISNA(MATCH($G38,TaxCode,0)),0,OFFSET(Setup!$D$22,MATCH($G38,TaxCode,0),0,1,1)))</f>
        <v>1806.5217391304348</v>
      </c>
      <c r="L38" s="5">
        <f ca="1">$F38/(1+IF(ISERROR($G38),0,IF(ISNA(MATCH($G38,TaxCode,0)),0,OFFSET(Setup!$D$22,MATCH($G38,TaxCode,0),0,1,1)))+IF(ISERROR($H38),0,IF(ISNA(MATCH($H38,TaxCode,0)),0,OFFSET(Setup!$D$22,MATCH($H38,TaxCode,0),0,1,1))))*IF(ISERROR($H38),0,IF(ISNA(MATCH($H38,TaxCode,0)),0,OFFSET(Setup!$D$22,MATCH($H38,TaxCode,0),0,1,1)))</f>
        <v>0</v>
      </c>
      <c r="M38" s="5" cm="1">
        <f t="array" aca="1" ref="M38" ca="1">F38-IF(TaxCount=2,SUM($K38:$L38),$K38:$K38)</f>
        <v>12043.478260869566</v>
      </c>
      <c r="N38" s="45">
        <f>IF(AND(ISBLANK($A38)=FALSE,$C38&lt;=Statement!$J$12,$D38=Statement!$J$11,$J38&gt;Statement!$J$12)=TRUE,1,IF(AND(ISBLANK($A38)=FALSE,$C38&lt;=Statement!$J$12,$D38=Statement!$J$11,ISBLANK($J38)=TRUE)=TRUE,1,0))</f>
        <v>0</v>
      </c>
      <c r="O38" s="45" t="str">
        <f t="shared" si="0"/>
        <v>0-INV0030</v>
      </c>
      <c r="P38" s="45">
        <f t="shared" ca="1" si="1"/>
        <v>0</v>
      </c>
      <c r="Q38" s="45" t="str">
        <f t="shared" si="2"/>
        <v>-</v>
      </c>
    </row>
    <row r="39" spans="1:17" ht="16.149999999999999" customHeight="1" x14ac:dyDescent="0.25">
      <c r="B39" s="61" t="s">
        <v>302</v>
      </c>
      <c r="C39" s="43">
        <v>44255</v>
      </c>
      <c r="D39" s="2" t="s">
        <v>149</v>
      </c>
      <c r="E39" s="2" t="s">
        <v>61</v>
      </c>
      <c r="F39" s="5">
        <v>11400</v>
      </c>
      <c r="G39" s="10" t="s">
        <v>25</v>
      </c>
      <c r="H39" s="10" t="s">
        <v>171</v>
      </c>
      <c r="I39" s="43">
        <v>44286</v>
      </c>
      <c r="K39" s="5">
        <f ca="1">$F39/(1+IF(ISERROR($G39),0,IF(ISNA(MATCH($G39,TaxCode,0)),0,OFFSET(Setup!$D$22,MATCH($G39,TaxCode,0),0,1,1)))+IF(ISERROR($H39),0,IF(ISNA(MATCH($H39,TaxCode,0)),0,OFFSET(Setup!$D$22,MATCH($H39,TaxCode,0),0,1,1))))*IF(ISERROR($G39),0,IF(ISNA(MATCH($G39,TaxCode,0)),0,OFFSET(Setup!$D$22,MATCH($G39,TaxCode,0),0,1,1)))</f>
        <v>1486.9565217391305</v>
      </c>
      <c r="L39" s="5">
        <f ca="1">$F39/(1+IF(ISERROR($G39),0,IF(ISNA(MATCH($G39,TaxCode,0)),0,OFFSET(Setup!$D$22,MATCH($G39,TaxCode,0),0,1,1)))+IF(ISERROR($H39),0,IF(ISNA(MATCH($H39,TaxCode,0)),0,OFFSET(Setup!$D$22,MATCH($H39,TaxCode,0),0,1,1))))*IF(ISERROR($H39),0,IF(ISNA(MATCH($H39,TaxCode,0)),0,OFFSET(Setup!$D$22,MATCH($H39,TaxCode,0),0,1,1)))</f>
        <v>0</v>
      </c>
      <c r="M39" s="5" cm="1">
        <f t="array" aca="1" ref="M39" ca="1">F39-IF(TaxCount=2,SUM($K39:$L39),$K39:$K39)</f>
        <v>9913.04347826087</v>
      </c>
      <c r="N39" s="45">
        <f>IF(AND(ISBLANK($A39)=FALSE,$C39&lt;=Statement!$J$12,$D39=Statement!$J$11,$J39&gt;Statement!$J$12)=TRUE,1,IF(AND(ISBLANK($A39)=FALSE,$C39&lt;=Statement!$J$12,$D39=Statement!$J$11,ISBLANK($J39)=TRUE)=TRUE,1,0))</f>
        <v>0</v>
      </c>
      <c r="O39" s="45" t="str">
        <f t="shared" si="0"/>
        <v>-</v>
      </c>
      <c r="P39" s="45">
        <f t="shared" ca="1" si="1"/>
        <v>0</v>
      </c>
      <c r="Q39" s="45" t="str">
        <f t="shared" si="2"/>
        <v>-</v>
      </c>
    </row>
  </sheetData>
  <sheetProtection autoFilter="0"/>
  <phoneticPr fontId="3" type="noConversion"/>
  <conditionalFormatting sqref="J4">
    <cfRule type="expression" dxfId="43" priority="4" stopIfTrue="1">
      <formula>OR(COUNTIF(InvError,"E1")&gt;0,COUNTIF(InvError,"E3")&gt;0)=TRUE</formula>
    </cfRule>
  </conditionalFormatting>
  <conditionalFormatting sqref="D4">
    <cfRule type="expression" dxfId="42" priority="3" stopIfTrue="1">
      <formula>COUNTIF(InvError,"E2")&gt;0</formula>
    </cfRule>
  </conditionalFormatting>
  <dataValidations count="3">
    <dataValidation type="date" operator="greaterThan" allowBlank="1" showInputMessage="1" showErrorMessage="1" errorTitle="Invalid Date" error="Enter a valid date in accordance with the regional date settings that are specified in the System Control Panel." sqref="C5:C39 I5:J39" xr:uid="{00000000-0002-0000-0600-000000000000}">
      <formula1>36526</formula1>
    </dataValidation>
    <dataValidation type="list" allowBlank="1" showInputMessage="1" showErrorMessage="1" errorTitle="Invalid Selection" error="Select a valid sales tax code from the list box." sqref="G5:H39" xr:uid="{00000000-0002-0000-0600-000001000000}">
      <formula1>TaxCode</formula1>
    </dataValidation>
    <dataValidation type="list" allowBlank="1" showInputMessage="1" showErrorMessage="1" errorTitle="Invalid Customer" error="Select a valid customer code from the list box. Customer codes should be added to the Customers sheet before being available for selection." sqref="D5:D39" xr:uid="{00000000-0002-0000-0600-000002000000}">
      <formula1>Customer_Code</formula1>
    </dataValidation>
  </dataValidations>
  <pageMargins left="0.55118110236220474" right="0.55118110236220474" top="0.59055118110236227" bottom="0.59055118110236227" header="0.39370078740157483" footer="0.39370078740157483"/>
  <pageSetup paperSize="9" scale="72" fitToHeight="0" orientation="landscape" draft="1" r:id="rId1"/>
  <headerFooter alignWithMargins="0">
    <oddFooter>&amp;C&amp;9Page &amp;P of &amp;N</oddFooter>
  </headerFooter>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B1:I47"/>
  <sheetViews>
    <sheetView zoomScale="95" zoomScaleNormal="95" workbookViewId="0">
      <selection activeCell="H11" sqref="H11"/>
    </sheetView>
  </sheetViews>
  <sheetFormatPr defaultColWidth="9.140625" defaultRowHeight="16.149999999999999" customHeight="1" x14ac:dyDescent="0.25"/>
  <cols>
    <col min="1" max="1" width="1.7109375" style="93" customWidth="1"/>
    <col min="2" max="2" width="2.7109375" style="93" customWidth="1"/>
    <col min="3" max="3" width="11.7109375" style="93" customWidth="1"/>
    <col min="4" max="4" width="23.7109375" style="93" customWidth="1"/>
    <col min="5" max="5" width="14.7109375" style="93" customWidth="1"/>
    <col min="6" max="8" width="14.7109375" style="120" customWidth="1"/>
    <col min="9" max="9" width="2.7109375" style="93" customWidth="1"/>
    <col min="10" max="20" width="15.7109375" style="93" customWidth="1"/>
    <col min="21" max="16384" width="9.140625" style="93"/>
  </cols>
  <sheetData>
    <row r="1" spans="2:9" ht="16.149999999999999" customHeight="1" x14ac:dyDescent="0.25">
      <c r="B1" s="92"/>
      <c r="C1" s="92"/>
      <c r="D1" s="92"/>
      <c r="E1" s="92"/>
      <c r="F1" s="92"/>
      <c r="G1" s="92"/>
      <c r="H1" s="92"/>
      <c r="I1" s="92"/>
    </row>
    <row r="2" spans="2:9" ht="16.149999999999999" customHeight="1" x14ac:dyDescent="0.25">
      <c r="B2" s="94"/>
      <c r="C2" s="94"/>
      <c r="D2" s="94"/>
      <c r="E2" s="94"/>
      <c r="F2" s="94"/>
      <c r="G2" s="94"/>
      <c r="H2" s="94"/>
      <c r="I2" s="94"/>
    </row>
    <row r="3" spans="2:9" ht="16.149999999999999" customHeight="1" x14ac:dyDescent="0.25">
      <c r="B3" s="94"/>
      <c r="C3" s="94"/>
      <c r="D3" s="94"/>
      <c r="E3" s="94"/>
      <c r="F3" s="94"/>
      <c r="G3" s="94"/>
      <c r="H3" s="94"/>
      <c r="I3" s="94"/>
    </row>
    <row r="4" spans="2:9" ht="16.149999999999999" customHeight="1" x14ac:dyDescent="0.25">
      <c r="B4" s="94"/>
      <c r="C4" s="94"/>
      <c r="D4" s="94"/>
      <c r="E4" s="94"/>
      <c r="F4" s="94"/>
      <c r="G4" s="94"/>
      <c r="H4" s="94"/>
      <c r="I4" s="94"/>
    </row>
    <row r="5" spans="2:9" ht="16.149999999999999" customHeight="1" x14ac:dyDescent="0.25">
      <c r="B5" s="94"/>
      <c r="C5" s="94"/>
      <c r="D5" s="94"/>
      <c r="E5" s="94"/>
      <c r="F5" s="94"/>
      <c r="G5" s="94"/>
      <c r="H5" s="94"/>
      <c r="I5" s="94"/>
    </row>
    <row r="6" spans="2:9" ht="16.149999999999999" customHeight="1" x14ac:dyDescent="0.25">
      <c r="B6" s="94"/>
      <c r="C6" s="94"/>
      <c r="D6" s="94"/>
      <c r="E6" s="94"/>
      <c r="F6" s="94"/>
      <c r="G6" s="94"/>
      <c r="H6" s="94"/>
      <c r="I6" s="94"/>
    </row>
    <row r="7" spans="2:9" ht="16.149999999999999" customHeight="1" x14ac:dyDescent="0.25">
      <c r="B7" s="95"/>
      <c r="C7" s="95"/>
      <c r="D7" s="95"/>
      <c r="E7" s="95"/>
      <c r="F7" s="96"/>
      <c r="G7" s="96"/>
      <c r="H7" s="96"/>
      <c r="I7" s="95"/>
    </row>
    <row r="8" spans="2:9" ht="16.149999999999999" customHeight="1" x14ac:dyDescent="0.25">
      <c r="B8" s="95"/>
      <c r="C8" s="95"/>
      <c r="D8" s="95"/>
      <c r="E8" s="95"/>
      <c r="F8" s="96"/>
      <c r="G8" s="96"/>
      <c r="H8" s="96"/>
      <c r="I8" s="95"/>
    </row>
    <row r="9" spans="2:9" ht="16.149999999999999" customHeight="1" x14ac:dyDescent="0.25">
      <c r="B9" s="95"/>
      <c r="C9" s="95"/>
      <c r="D9" s="95"/>
      <c r="E9" s="95"/>
      <c r="F9" s="97"/>
      <c r="G9" s="97"/>
      <c r="H9" s="121" t="s">
        <v>261</v>
      </c>
      <c r="I9" s="95"/>
    </row>
    <row r="10" spans="2:9" ht="16.149999999999999" customHeight="1" x14ac:dyDescent="0.25">
      <c r="B10" s="95"/>
      <c r="C10" s="99" t="str">
        <f>Setup!$C$5</f>
        <v>Example (Pty) Ltd</v>
      </c>
      <c r="D10" s="95"/>
      <c r="E10" s="95"/>
      <c r="F10" s="97"/>
      <c r="G10" s="97"/>
      <c r="H10" s="98"/>
      <c r="I10" s="95"/>
    </row>
    <row r="11" spans="2:9" ht="16.149999999999999" customHeight="1" x14ac:dyDescent="0.25">
      <c r="B11" s="95"/>
      <c r="C11" s="100" t="str">
        <f>IF(ISBLANK(Setup!$C$7)=TRUE,"",Setup!$C$7)</f>
        <v>Building Name</v>
      </c>
      <c r="D11" s="95"/>
      <c r="E11" s="100"/>
      <c r="F11" s="178"/>
      <c r="G11" s="101" t="s">
        <v>263</v>
      </c>
      <c r="H11" s="102" t="s">
        <v>268</v>
      </c>
      <c r="I11" s="95"/>
    </row>
    <row r="12" spans="2:9" ht="16.149999999999999" customHeight="1" x14ac:dyDescent="0.25">
      <c r="B12" s="95"/>
      <c r="C12" s="100" t="str">
        <f>IF(ISBLANK(Setup!$C$8)=TRUE,"",Setup!$C$8)</f>
        <v>Street Address</v>
      </c>
      <c r="D12" s="95"/>
      <c r="E12" s="100"/>
      <c r="F12" s="178"/>
      <c r="G12" s="101" t="s">
        <v>264</v>
      </c>
      <c r="H12" s="103">
        <f>IF(ISNA(VLOOKUP($H$11,Quotes,COLUMN(Details!$C$4)-1,0))=TRUE,"",VLOOKUP($H$11,Quotes,COLUMN(Details!$C$4)-1,0))</f>
        <v>43938</v>
      </c>
      <c r="I12" s="95"/>
    </row>
    <row r="13" spans="2:9" ht="16.149999999999999" customHeight="1" x14ac:dyDescent="0.25">
      <c r="B13" s="95"/>
      <c r="C13" s="100" t="str">
        <f>IF(ISBLANK(Setup!$C$9)=TRUE,"",Setup!$C$9)</f>
        <v>Suburb</v>
      </c>
      <c r="D13" s="95"/>
      <c r="E13" s="95"/>
      <c r="F13" s="101"/>
      <c r="G13" s="101"/>
      <c r="H13" s="103"/>
      <c r="I13" s="95"/>
    </row>
    <row r="14" spans="2:9" ht="16.149999999999999" customHeight="1" x14ac:dyDescent="0.25">
      <c r="B14" s="95"/>
      <c r="C14" s="100" t="str">
        <f>IF(ISBLANK(Setup!$C$10)=TRUE,"",Setup!$C$10)</f>
        <v>City</v>
      </c>
      <c r="D14" s="95"/>
      <c r="E14" s="104"/>
      <c r="F14" s="105" t="s">
        <v>295</v>
      </c>
      <c r="G14" s="105"/>
      <c r="H14" s="106"/>
      <c r="I14" s="95"/>
    </row>
    <row r="15" spans="2:9" ht="16.149999999999999" customHeight="1" x14ac:dyDescent="0.25">
      <c r="B15" s="95"/>
      <c r="C15" s="107">
        <f>IF(ISBLANK(Setup!$C$11)=TRUE,"",Setup!$C$11)</f>
        <v>9999</v>
      </c>
      <c r="D15" s="95"/>
      <c r="E15" s="108"/>
      <c r="F15" s="190" t="str">
        <f>IF(ISNA(VLOOKUP(VLOOKUP($H$11,Quotes,COLUMN(Details!$D$4)-1,0),Customers,COLUMN(Customers!$B$5),0))=TRUE,"",IF(VLOOKUP(VLOOKUP($H$11,Quotes,COLUMN(Details!$D$4)-1,0),Customers,COLUMN(Customers!$B$5),0)=0,"",VLOOKUP(VLOOKUP($H$11,Quotes,COLUMN(Details!$D$4)-1,0),Customers,COLUMN(Customers!$B$5),0)))</f>
        <v>WC Financial Advisors</v>
      </c>
      <c r="G15" s="191"/>
      <c r="H15" s="192"/>
      <c r="I15" s="95"/>
    </row>
    <row r="16" spans="2:9" ht="16.149999999999999" customHeight="1" x14ac:dyDescent="0.25">
      <c r="B16" s="95"/>
      <c r="C16" s="95" t="str">
        <f>IF(ISBLANK(Setup!$C$13)=TRUE,"","Telephone: ")</f>
        <v xml:space="preserve">Telephone: </v>
      </c>
      <c r="D16" s="95" t="str">
        <f>IF(ISBLANK(Setup!$C$13)=TRUE,"",Setup!$C$13)</f>
        <v>+27 21 999 9999</v>
      </c>
      <c r="E16" s="95"/>
      <c r="F16" s="187" t="str">
        <f>IF(ISNA(VLOOKUP(VLOOKUP($H$11,Quotes,COLUMN(Details!$D$4)-1,0),Customers,COLUMN(Customers!$C$5),0))=TRUE,"",IF(VLOOKUP(VLOOKUP($H$11,Quotes,COLUMN(Details!$D$4)-1,0),Customers,COLUMN(Customers!$C$5),0)=0,"",VLOOKUP(VLOOKUP($H$11,Quotes,COLUMN(Details!$D$4)-1,0),Customers,COLUMN(Customers!$C$5),0)))</f>
        <v>15 Strand Street</v>
      </c>
      <c r="G16" s="188"/>
      <c r="H16" s="189"/>
      <c r="I16" s="95"/>
    </row>
    <row r="17" spans="2:9" ht="16.149999999999999" customHeight="1" x14ac:dyDescent="0.25">
      <c r="B17" s="95"/>
      <c r="C17" s="95" t="str">
        <f>IF(ISBLANK(Setup!$C$14)=TRUE,"","Fax:")</f>
        <v>Fax:</v>
      </c>
      <c r="D17" s="95" t="str">
        <f>IF(ISBLANK(Setup!$C$14)=TRUE,"",Setup!$C$14)</f>
        <v>+27 21 999 0000</v>
      </c>
      <c r="E17" s="95"/>
      <c r="F17" s="187" t="str">
        <f>IF(ISNA(VLOOKUP(VLOOKUP($H$11,Quotes,COLUMN(Details!$D$4)-1,0),Customers,COLUMN(Customers!$D$5),0))=TRUE,"",IF(VLOOKUP(VLOOKUP($H$11,Quotes,COLUMN(Details!$D$4)-1,0),Customers,COLUMN(Customers!$D$5),0)=0,"",VLOOKUP(VLOOKUP($H$11,Quotes,COLUMN(Details!$D$4)-1,0),Customers,COLUMN(Customers!$D$5),0)))</f>
        <v>Walmer</v>
      </c>
      <c r="G17" s="188"/>
      <c r="H17" s="189"/>
      <c r="I17" s="95"/>
    </row>
    <row r="18" spans="2:9" ht="16.149999999999999" customHeight="1" x14ac:dyDescent="0.25">
      <c r="B18" s="95"/>
      <c r="C18" s="95" t="str">
        <f>IF(ISBLANK(Setup!$C$16)=TRUE,"","E-mail:")</f>
        <v>E-mail:</v>
      </c>
      <c r="D18" s="95" t="str">
        <f>IF(ISBLANK(Setup!$C$16)=TRUE,"",Setup!$C$16)</f>
        <v>info@example.com</v>
      </c>
      <c r="E18" s="95"/>
      <c r="F18" s="187" t="str">
        <f>IF(ISNA(VLOOKUP(VLOOKUP($H$11,Quotes,COLUMN(Details!$D$4)-1,0),Customers,COLUMN(Customers!$E$5),0))=TRUE,"",IF(VLOOKUP(VLOOKUP($H$11,Quotes,COLUMN(Details!$D$4)-1,0),Customers,COLUMN(Customers!$E$5),0)=0,"",VLOOKUP(VLOOKUP($H$11,Quotes,COLUMN(Details!$D$4)-1,0),Customers,COLUMN(Customers!$E$5),0)))</f>
        <v>Port Elizabeth</v>
      </c>
      <c r="G18" s="188"/>
      <c r="H18" s="189"/>
      <c r="I18" s="95"/>
    </row>
    <row r="19" spans="2:9" ht="16.149999999999999" customHeight="1" x14ac:dyDescent="0.25">
      <c r="B19" s="95"/>
      <c r="C19" s="95" t="str">
        <f>IF(ISBLANK(Setup!$C$15)=TRUE,"","Website:")</f>
        <v>Website:</v>
      </c>
      <c r="D19" s="95" t="str">
        <f>IF(ISBLANK(Setup!$C$15)=TRUE,"",Setup!$C$15)</f>
        <v>www.example.com</v>
      </c>
      <c r="E19" s="95"/>
      <c r="F19" s="187" t="str">
        <f>IF(ISNA(VLOOKUP(VLOOKUP($H$11,Quotes,COLUMN(Details!$D$4)-1,0),Customers,COLUMN(Customers!$F$5),0))=TRUE,"",IF(VLOOKUP(VLOOKUP($H$11,Quotes,COLUMN(Details!$D$4)-1,0),Customers,COLUMN(Customers!$F$5),0)=0,"",VLOOKUP(VLOOKUP($H$11,Quotes,COLUMN(Details!$D$4)-1,0),Customers,COLUMN(Customers!$F$5),0)))</f>
        <v/>
      </c>
      <c r="G19" s="188"/>
      <c r="H19" s="189"/>
      <c r="I19" s="95"/>
    </row>
    <row r="20" spans="2:9" ht="16.149999999999999" customHeight="1" x14ac:dyDescent="0.25">
      <c r="B20" s="95"/>
      <c r="C20" s="95" t="str">
        <f>IF(ISBLANK(Setup!$C$18)=TRUE,"","Tax No.:")</f>
        <v>Tax No.:</v>
      </c>
      <c r="D20" s="95" t="str">
        <f>IF(ISBLANK(Setup!$C$18)=TRUE,"",Setup!$C$18)</f>
        <v>9999 999 9999</v>
      </c>
      <c r="E20" s="95"/>
      <c r="F20" s="187">
        <f>IF(ISNA(VLOOKUP(VLOOKUP($H$11,Quotes,COLUMN(Details!$D$4)-1,0),Customers,COLUMN(Customers!$G$5),0))=TRUE,"",IF(VLOOKUP(VLOOKUP($H$11,Quotes,COLUMN(Details!$D$4)-1,0),Customers,COLUMN(Customers!$G$5),0)=0,"",VLOOKUP(VLOOKUP($H$11,Quotes,COLUMN(Details!$D$4)-1,0),Customers,COLUMN(Customers!$G$5),0)))</f>
        <v>4320</v>
      </c>
      <c r="G20" s="188"/>
      <c r="H20" s="189"/>
      <c r="I20" s="95"/>
    </row>
    <row r="21" spans="2:9" ht="16.149999999999999" customHeight="1" x14ac:dyDescent="0.25">
      <c r="B21" s="95"/>
      <c r="C21" s="95" t="str">
        <f>IF(ISBLANK(Setup!$C$18)=TRUE,"","Reg No.:")</f>
        <v>Reg No.:</v>
      </c>
      <c r="D21" s="95" t="str">
        <f>IF(ISBLANK(Setup!$C$19)=TRUE,"",Setup!$C$19)</f>
        <v>2012 000000 00</v>
      </c>
      <c r="E21" s="95"/>
      <c r="F21" s="109" t="s">
        <v>67</v>
      </c>
      <c r="G21" s="175"/>
      <c r="H21" s="110" t="str">
        <f>IF(ISNA(VLOOKUP(VLOOKUP($H$11,Quotes,COLUMN(Details!$D$4)-1,0),Customers,COLUMN(Customers!$H$5),0))=TRUE,"",IF(VLOOKUP(VLOOKUP($H$11,Quotes,COLUMN(Details!$D$4)-1,0),Customers,COLUMN(Customers!$H$5),0)=0,"",VLOOKUP(VLOOKUP($H$11,Quotes,COLUMN(Details!$D$4)-1,0),Customers,COLUMN(Customers!$H$5),0)))</f>
        <v>412 998 0020</v>
      </c>
      <c r="I21" s="107"/>
    </row>
    <row r="22" spans="2:9" ht="16.149999999999999" customHeight="1" x14ac:dyDescent="0.25">
      <c r="B22" s="95"/>
      <c r="C22" s="95"/>
      <c r="D22" s="95"/>
      <c r="E22" s="95"/>
      <c r="F22" s="96"/>
      <c r="G22" s="96"/>
      <c r="H22" s="96"/>
      <c r="I22" s="95"/>
    </row>
    <row r="23" spans="2:9" ht="16.149999999999999" customHeight="1" x14ac:dyDescent="0.25">
      <c r="B23" s="95"/>
      <c r="C23" s="95"/>
      <c r="D23" s="95"/>
      <c r="E23" s="95"/>
      <c r="F23" s="96"/>
      <c r="G23" s="96"/>
      <c r="H23" s="96"/>
      <c r="I23" s="95"/>
    </row>
    <row r="24" spans="2:9" s="114" customFormat="1" ht="16.149999999999999" customHeight="1" x14ac:dyDescent="0.25">
      <c r="B24" s="111"/>
      <c r="C24" s="112" t="s">
        <v>20</v>
      </c>
      <c r="D24" s="113"/>
      <c r="E24" s="176" t="s">
        <v>237</v>
      </c>
      <c r="F24" s="177" t="s">
        <v>362</v>
      </c>
      <c r="G24" s="177" t="s">
        <v>363</v>
      </c>
      <c r="H24" s="177" t="s">
        <v>21</v>
      </c>
      <c r="I24" s="111"/>
    </row>
    <row r="25" spans="2:9" ht="16.149999999999999" customHeight="1" x14ac:dyDescent="0.25">
      <c r="B25" s="115"/>
      <c r="C25" s="116" t="str">
        <f t="array" ref="C25">IF(ISERROR(INDEX(Invoices,SMALL(IF(QNumber=$H$11,ROW(QNumber)-4),ROW(1:1)),COLUMN(Details!$E$4)))=TRUE,"",INDEX(Invoices,SMALL(IF(QNumber=$H$11,ROW(QNumber)-4),ROW(1:1)),COLUMN(Details!$E$4)))</f>
        <v>Accounting Services</v>
      </c>
      <c r="D25" s="95"/>
      <c r="E25" s="117">
        <f t="array" aca="1" ref="E25" ca="1">IF(ISERROR(INDEX(Invoices,SMALL(IF(QNumber=$H$11,ROW(Invoice_Number)-4),ROW(1:1)),COLUMN(Details!$M$4)))=TRUE,"",INDEX(Invoices,SMALL(IF(QNumber=$H$11,ROW(Invoice_Number)-4),ROW(1:1)),COLUMN(Details!$M$4)))</f>
        <v>10608.695652173912</v>
      </c>
      <c r="F25" s="117">
        <f t="array" aca="1" ref="F25" ca="1">IF(ISERROR(INDEX(Invoices,SMALL(IF(QNumber=$H$11,ROW(Invoice_Number)-4),ROW(1:1)),COLUMN(Details!$K$4)))=TRUE,"",INDEX(Invoices,SMALL(IF(QNumber=$H$11,ROW(Invoice_Number)-4),ROW(1:1)),COLUMN(Details!$K$4)))</f>
        <v>1591.304347826087</v>
      </c>
      <c r="G25" s="117">
        <f t="array" aca="1" ref="G25" ca="1">IF(ISERROR(INDEX(Invoices,SMALL(IF(QNumber=$H$11,ROW(Invoice_Number)-4),ROW(1:1)),COLUMN(Details!$L$4)))=TRUE,"",INDEX(Invoices,SMALL(IF(QNumber=$H$11,ROW(Invoice_Number)-4),ROW(1:1)),COLUMN(Details!$L$4)))</f>
        <v>0</v>
      </c>
      <c r="H25" s="117">
        <f t="array" ref="H25">IF(ISERROR(INDEX(Invoices,SMALL(IF(QNumber=$H$11,ROW(QNumber)-4),ROW(1:1)),COLUMN(Details!$F$4)))=TRUE,"",INDEX(Invoices,SMALL(IF(QNumber=$H$11,ROW(QNumber)-4),ROW(1:1)),COLUMN(Details!$F$4)))</f>
        <v>12200</v>
      </c>
      <c r="I25" s="95"/>
    </row>
    <row r="26" spans="2:9" ht="16.149999999999999" customHeight="1" x14ac:dyDescent="0.25">
      <c r="B26" s="115"/>
      <c r="C26" s="116" t="str">
        <f t="array" ref="C26">IF(ISERROR(INDEX(Invoices,SMALL(IF(QNumber=$H$11,ROW(QNumber)-4),ROW(2:2)),COLUMN(Details!$E$4)))=TRUE,"",INDEX(Invoices,SMALL(IF(QNumber=$H$11,ROW(QNumber)-4),ROW(2:2)),COLUMN(Details!$E$4)))</f>
        <v>Consulting Services</v>
      </c>
      <c r="D26" s="95"/>
      <c r="E26" s="117">
        <f t="array" aca="1" ref="E26" ca="1">IF(ISERROR(INDEX(Invoices,SMALL(IF(QNumber=$H$11,ROW(Invoice_Number)-4),ROW(2:2)),COLUMN(Details!$M$4)))=TRUE,"",INDEX(Invoices,SMALL(IF(QNumber=$H$11,ROW(Invoice_Number)-4),ROW(2:2)),COLUMN(Details!$M$4)))</f>
        <v>25490.76923076923</v>
      </c>
      <c r="F26" s="117">
        <f t="array" aca="1" ref="F26" ca="1">IF(ISERROR(INDEX(Invoices,SMALL(IF(QNumber=$H$11,ROW(Invoice_Number)-4),ROW(2:2)),COLUMN(Details!$K$4)))=TRUE,"",INDEX(Invoices,SMALL(IF(QNumber=$H$11,ROW(Invoice_Number)-4),ROW(2:2)),COLUMN(Details!$K$4)))</f>
        <v>3823.6153846153848</v>
      </c>
      <c r="G26" s="117">
        <f t="array" aca="1" ref="G26" ca="1">IF(ISERROR(INDEX(Invoices,SMALL(IF(QNumber=$H$11,ROW(Invoice_Number)-4),ROW(2:2)),COLUMN(Details!$L$4)))=TRUE,"",INDEX(Invoices,SMALL(IF(QNumber=$H$11,ROW(Invoice_Number)-4),ROW(2:2)),COLUMN(Details!$L$4)))</f>
        <v>3823.6153846153848</v>
      </c>
      <c r="H26" s="117">
        <f t="array" ref="H26">IF(ISERROR(INDEX(Invoices,SMALL(IF(QNumber=$H$11,ROW(QNumber)-4),ROW(2:2)),COLUMN(Details!$F$4)))=TRUE,"",INDEX(Invoices,SMALL(IF(QNumber=$H$11,ROW(QNumber)-4),ROW(2:2)),COLUMN(Details!$F$4)))</f>
        <v>33138</v>
      </c>
      <c r="I26" s="95"/>
    </row>
    <row r="27" spans="2:9" ht="16.149999999999999" customHeight="1" x14ac:dyDescent="0.25">
      <c r="B27" s="115"/>
      <c r="C27" s="116" t="str">
        <f t="array" ref="C27">IF(ISERROR(INDEX(Invoices,SMALL(IF(QNumber=$H$11,ROW(QNumber)-4),ROW(3:3)),COLUMN(Details!$E$4)))=TRUE,"",INDEX(Invoices,SMALL(IF(QNumber=$H$11,ROW(QNumber)-4),ROW(3:3)),COLUMN(Details!$E$4)))</f>
        <v>Taxation Services</v>
      </c>
      <c r="D27" s="95"/>
      <c r="E27" s="117">
        <f t="array" aca="1" ref="E27" ca="1">IF(ISERROR(INDEX(Invoices,SMALL(IF(QNumber=$H$11,ROW(Invoice_Number)-4),ROW(3:3)),COLUMN(Details!$M$4)))=TRUE,"",INDEX(Invoices,SMALL(IF(QNumber=$H$11,ROW(Invoice_Number)-4),ROW(3:3)),COLUMN(Details!$M$4)))</f>
        <v>6086.95652173913</v>
      </c>
      <c r="F27" s="117">
        <f t="array" aca="1" ref="F27" ca="1">IF(ISERROR(INDEX(Invoices,SMALL(IF(QNumber=$H$11,ROW(Invoice_Number)-4),ROW(3:3)),COLUMN(Details!$K$4)))=TRUE,"",INDEX(Invoices,SMALL(IF(QNumber=$H$11,ROW(Invoice_Number)-4),ROW(3:3)),COLUMN(Details!$K$4)))</f>
        <v>913.04347826086962</v>
      </c>
      <c r="G27" s="117">
        <f t="array" aca="1" ref="G27" ca="1">IF(ISERROR(INDEX(Invoices,SMALL(IF(QNumber=$H$11,ROW(Invoice_Number)-4),ROW(3:3)),COLUMN(Details!$L$4)))=TRUE,"",INDEX(Invoices,SMALL(IF(QNumber=$H$11,ROW(Invoice_Number)-4),ROW(3:3)),COLUMN(Details!$L$4)))</f>
        <v>0</v>
      </c>
      <c r="H27" s="117">
        <f t="array" ref="H27">IF(ISERROR(INDEX(Invoices,SMALL(IF(QNumber=$H$11,ROW(QNumber)-4),ROW(3:3)),COLUMN(Details!$F$4)))=TRUE,"",INDEX(Invoices,SMALL(IF(QNumber=$H$11,ROW(QNumber)-4),ROW(3:3)),COLUMN(Details!$F$4)))</f>
        <v>7000</v>
      </c>
      <c r="I27" s="95"/>
    </row>
    <row r="28" spans="2:9" ht="16.149999999999999" customHeight="1" x14ac:dyDescent="0.25">
      <c r="B28" s="115"/>
      <c r="C28" s="116" t="str">
        <f t="array" ref="C28">IF(ISERROR(INDEX(Invoices,SMALL(IF(QNumber=$H$11,ROW(QNumber)-4),ROW(4:4)),COLUMN(Details!$E$4)))=TRUE,"",INDEX(Invoices,SMALL(IF(QNumber=$H$11,ROW(QNumber)-4),ROW(4:4)),COLUMN(Details!$E$4)))</f>
        <v/>
      </c>
      <c r="D28" s="95"/>
      <c r="E28" s="117" t="str">
        <f t="array" ref="E28">IF(ISERROR(INDEX(Invoices,SMALL(IF(QNumber=$H$11,ROW(Invoice_Number)-4),ROW(4:4)),COLUMN(Details!$M$4)))=TRUE,"",INDEX(Invoices,SMALL(IF(QNumber=$H$11,ROW(Invoice_Number)-4),ROW(4:4)),COLUMN(Details!$M$4)))</f>
        <v/>
      </c>
      <c r="F28" s="117" t="str">
        <f t="array" ref="F28">IF(ISERROR(INDEX(Invoices,SMALL(IF(QNumber=$H$11,ROW(Invoice_Number)-4),ROW(4:4)),COLUMN(Details!$K$4)))=TRUE,"",INDEX(Invoices,SMALL(IF(QNumber=$H$11,ROW(Invoice_Number)-4),ROW(4:4)),COLUMN(Details!$K$4)))</f>
        <v/>
      </c>
      <c r="G28" s="117" t="str">
        <f t="array" ref="G28">IF(ISERROR(INDEX(Invoices,SMALL(IF(QNumber=$H$11,ROW(Invoice_Number)-4),ROW(4:4)),COLUMN(Details!$L$4)))=TRUE,"",INDEX(Invoices,SMALL(IF(QNumber=$H$11,ROW(Invoice_Number)-4),ROW(4:4)),COLUMN(Details!$L$4)))</f>
        <v/>
      </c>
      <c r="H28" s="117" t="str">
        <f t="array" ref="H28">IF(ISERROR(INDEX(Invoices,SMALL(IF(QNumber=$H$11,ROW(QNumber)-4),ROW(4:4)),COLUMN(Details!$F$4)))=TRUE,"",INDEX(Invoices,SMALL(IF(QNumber=$H$11,ROW(QNumber)-4),ROW(4:4)),COLUMN(Details!$F$4)))</f>
        <v/>
      </c>
      <c r="I28" s="95"/>
    </row>
    <row r="29" spans="2:9" ht="16.149999999999999" customHeight="1" x14ac:dyDescent="0.25">
      <c r="B29" s="115"/>
      <c r="C29" s="116" t="str">
        <f t="array" ref="C29">IF(ISERROR(INDEX(Invoices,SMALL(IF(QNumber=$H$11,ROW(QNumber)-4),ROW(5:5)),COLUMN(Details!$E$4)))=TRUE,"",INDEX(Invoices,SMALL(IF(QNumber=$H$11,ROW(QNumber)-4),ROW(5:5)),COLUMN(Details!$E$4)))</f>
        <v/>
      </c>
      <c r="D29" s="95"/>
      <c r="E29" s="117" t="str">
        <f t="array" ref="E29">IF(ISERROR(INDEX(Invoices,SMALL(IF(QNumber=$H$11,ROW(Invoice_Number)-4),ROW(5:5)),COLUMN(Details!$M$4)))=TRUE,"",INDEX(Invoices,SMALL(IF(QNumber=$H$11,ROW(Invoice_Number)-4),ROW(5:5)),COLUMN(Details!$M$4)))</f>
        <v/>
      </c>
      <c r="F29" s="117" t="str">
        <f t="array" ref="F29">IF(ISERROR(INDEX(Invoices,SMALL(IF(QNumber=$H$11,ROW(Invoice_Number)-4),ROW(5:5)),COLUMN(Details!$K$4)))=TRUE,"",INDEX(Invoices,SMALL(IF(QNumber=$H$11,ROW(Invoice_Number)-4),ROW(5:5)),COLUMN(Details!$K$4)))</f>
        <v/>
      </c>
      <c r="G29" s="117" t="str">
        <f t="array" ref="G29">IF(ISERROR(INDEX(Invoices,SMALL(IF(QNumber=$H$11,ROW(Invoice_Number)-4),ROW(5:5)),COLUMN(Details!$L$4)))=TRUE,"",INDEX(Invoices,SMALL(IF(QNumber=$H$11,ROW(Invoice_Number)-4),ROW(5:5)),COLUMN(Details!$L$4)))</f>
        <v/>
      </c>
      <c r="H29" s="117" t="str">
        <f t="array" ref="H29">IF(ISERROR(INDEX(Invoices,SMALL(IF(QNumber=$H$11,ROW(QNumber)-4),ROW(5:5)),COLUMN(Details!$F$4)))=TRUE,"",INDEX(Invoices,SMALL(IF(QNumber=$H$11,ROW(QNumber)-4),ROW(5:5)),COLUMN(Details!$F$4)))</f>
        <v/>
      </c>
      <c r="I29" s="95"/>
    </row>
    <row r="30" spans="2:9" ht="16.149999999999999" customHeight="1" x14ac:dyDescent="0.25">
      <c r="B30" s="115"/>
      <c r="C30" s="116" t="str">
        <f t="array" ref="C30">IF(ISERROR(INDEX(Invoices,SMALL(IF(QNumber=$H$11,ROW(QNumber)-4),ROW(6:6)),COLUMN(Details!$E$4)))=TRUE,"",INDEX(Invoices,SMALL(IF(QNumber=$H$11,ROW(QNumber)-4),ROW(6:6)),COLUMN(Details!$E$4)))</f>
        <v/>
      </c>
      <c r="D30" s="95"/>
      <c r="E30" s="117" t="str">
        <f t="array" ref="E30">IF(ISERROR(INDEX(Invoices,SMALL(IF(QNumber=$H$11,ROW(Invoice_Number)-4),ROW(6:6)),COLUMN(Details!$M$4)))=TRUE,"",INDEX(Invoices,SMALL(IF(QNumber=$H$11,ROW(Invoice_Number)-4),ROW(6:6)),COLUMN(Details!$M$4)))</f>
        <v/>
      </c>
      <c r="F30" s="117" t="str">
        <f t="array" ref="F30">IF(ISERROR(INDEX(Invoices,SMALL(IF(QNumber=$H$11,ROW(Invoice_Number)-4),ROW(6:6)),COLUMN(Details!$K$4)))=TRUE,"",INDEX(Invoices,SMALL(IF(QNumber=$H$11,ROW(Invoice_Number)-4),ROW(6:6)),COLUMN(Details!$K$4)))</f>
        <v/>
      </c>
      <c r="G30" s="117" t="str">
        <f t="array" ref="G30">IF(ISERROR(INDEX(Invoices,SMALL(IF(QNumber=$H$11,ROW(Invoice_Number)-4),ROW(6:6)),COLUMN(Details!$L$4)))=TRUE,"",INDEX(Invoices,SMALL(IF(QNumber=$H$11,ROW(Invoice_Number)-4),ROW(6:6)),COLUMN(Details!$L$4)))</f>
        <v/>
      </c>
      <c r="H30" s="117" t="str">
        <f t="array" ref="H30">IF(ISERROR(INDEX(Invoices,SMALL(IF(QNumber=$H$11,ROW(QNumber)-4),ROW(6:6)),COLUMN(Details!$F$4)))=TRUE,"",INDEX(Invoices,SMALL(IF(QNumber=$H$11,ROW(QNumber)-4),ROW(6:6)),COLUMN(Details!$F$4)))</f>
        <v/>
      </c>
      <c r="I30" s="95"/>
    </row>
    <row r="31" spans="2:9" ht="16.149999999999999" customHeight="1" x14ac:dyDescent="0.25">
      <c r="B31" s="115"/>
      <c r="C31" s="116" t="str">
        <f t="array" ref="C31">IF(ISERROR(INDEX(Invoices,SMALL(IF(QNumber=$H$11,ROW(QNumber)-4),ROW(7:7)),COLUMN(Details!$E$4)))=TRUE,"",INDEX(Invoices,SMALL(IF(QNumber=$H$11,ROW(QNumber)-4),ROW(7:7)),COLUMN(Details!$E$4)))</f>
        <v/>
      </c>
      <c r="D31" s="95"/>
      <c r="E31" s="117" t="str">
        <f t="array" ref="E31">IF(ISERROR(INDEX(Invoices,SMALL(IF(QNumber=$H$11,ROW(Invoice_Number)-4),ROW(7:7)),COLUMN(Details!$M$4)))=TRUE,"",INDEX(Invoices,SMALL(IF(QNumber=$H$11,ROW(Invoice_Number)-4),ROW(7:7)),COLUMN(Details!$M$4)))</f>
        <v/>
      </c>
      <c r="F31" s="117" t="str">
        <f t="array" ref="F31">IF(ISERROR(INDEX(Invoices,SMALL(IF(QNumber=$H$11,ROW(Invoice_Number)-4),ROW(7:7)),COLUMN(Details!$K$4)))=TRUE,"",INDEX(Invoices,SMALL(IF(QNumber=$H$11,ROW(Invoice_Number)-4),ROW(7:7)),COLUMN(Details!$K$4)))</f>
        <v/>
      </c>
      <c r="G31" s="117" t="str">
        <f t="array" ref="G31">IF(ISERROR(INDEX(Invoices,SMALL(IF(QNumber=$H$11,ROW(Invoice_Number)-4),ROW(7:7)),COLUMN(Details!$L$4)))=TRUE,"",INDEX(Invoices,SMALL(IF(QNumber=$H$11,ROW(Invoice_Number)-4),ROW(7:7)),COLUMN(Details!$L$4)))</f>
        <v/>
      </c>
      <c r="H31" s="117" t="str">
        <f t="array" ref="H31">IF(ISERROR(INDEX(Invoices,SMALL(IF(QNumber=$H$11,ROW(QNumber)-4),ROW(7:7)),COLUMN(Details!$F$4)))=TRUE,"",INDEX(Invoices,SMALL(IF(QNumber=$H$11,ROW(QNumber)-4),ROW(7:7)),COLUMN(Details!$F$4)))</f>
        <v/>
      </c>
      <c r="I31" s="95"/>
    </row>
    <row r="32" spans="2:9" ht="16.149999999999999" customHeight="1" x14ac:dyDescent="0.25">
      <c r="B32" s="115"/>
      <c r="C32" s="116" t="str">
        <f t="array" ref="C32">IF(ISERROR(INDEX(Invoices,SMALL(IF(QNumber=$H$11,ROW(QNumber)-4),ROW(8:8)),COLUMN(Details!$E$4)))=TRUE,"",INDEX(Invoices,SMALL(IF(QNumber=$H$11,ROW(QNumber)-4),ROW(8:8)),COLUMN(Details!$E$4)))</f>
        <v/>
      </c>
      <c r="D32" s="95"/>
      <c r="E32" s="117" t="str">
        <f t="array" ref="E32">IF(ISERROR(INDEX(Invoices,SMALL(IF(QNumber=$H$11,ROW(Invoice_Number)-4),ROW(8:8)),COLUMN(Details!$M$4)))=TRUE,"",INDEX(Invoices,SMALL(IF(QNumber=$H$11,ROW(Invoice_Number)-4),ROW(8:8)),COLUMN(Details!$M$4)))</f>
        <v/>
      </c>
      <c r="F32" s="117" t="str">
        <f t="array" ref="F32">IF(ISERROR(INDEX(Invoices,SMALL(IF(QNumber=$H$11,ROW(Invoice_Number)-4),ROW(8:8)),COLUMN(Details!$K$4)))=TRUE,"",INDEX(Invoices,SMALL(IF(QNumber=$H$11,ROW(Invoice_Number)-4),ROW(8:8)),COLUMN(Details!$K$4)))</f>
        <v/>
      </c>
      <c r="G32" s="117" t="str">
        <f t="array" ref="G32">IF(ISERROR(INDEX(Invoices,SMALL(IF(QNumber=$H$11,ROW(Invoice_Number)-4),ROW(8:8)),COLUMN(Details!$L$4)))=TRUE,"",INDEX(Invoices,SMALL(IF(QNumber=$H$11,ROW(Invoice_Number)-4),ROW(8:8)),COLUMN(Details!$L$4)))</f>
        <v/>
      </c>
      <c r="H32" s="117" t="str">
        <f t="array" ref="H32">IF(ISERROR(INDEX(Invoices,SMALL(IF(QNumber=$H$11,ROW(QNumber)-4),ROW(8:8)),COLUMN(Details!$F$4)))=TRUE,"",INDEX(Invoices,SMALL(IF(QNumber=$H$11,ROW(QNumber)-4),ROW(8:8)),COLUMN(Details!$F$4)))</f>
        <v/>
      </c>
      <c r="I32" s="95"/>
    </row>
    <row r="33" spans="2:9" ht="16.149999999999999" customHeight="1" x14ac:dyDescent="0.25">
      <c r="B33" s="115"/>
      <c r="C33" s="116" t="str">
        <f t="array" ref="C33">IF(ISERROR(INDEX(Invoices,SMALL(IF(QNumber=$H$11,ROW(QNumber)-4),ROW(9:9)),COLUMN(Details!$E$4)))=TRUE,"",INDEX(Invoices,SMALL(IF(QNumber=$H$11,ROW(QNumber)-4),ROW(9:9)),COLUMN(Details!$E$4)))</f>
        <v/>
      </c>
      <c r="D33" s="95"/>
      <c r="E33" s="117" t="str">
        <f t="array" ref="E33">IF(ISERROR(INDEX(Invoices,SMALL(IF(QNumber=$H$11,ROW(Invoice_Number)-4),ROW(9:9)),COLUMN(Details!$M$4)))=TRUE,"",INDEX(Invoices,SMALL(IF(QNumber=$H$11,ROW(Invoice_Number)-4),ROW(9:9)),COLUMN(Details!$M$4)))</f>
        <v/>
      </c>
      <c r="F33" s="117" t="str">
        <f t="array" ref="F33">IF(ISERROR(INDEX(Invoices,SMALL(IF(QNumber=$H$11,ROW(Invoice_Number)-4),ROW(9:9)),COLUMN(Details!$K$4)))=TRUE,"",INDEX(Invoices,SMALL(IF(QNumber=$H$11,ROW(Invoice_Number)-4),ROW(9:9)),COLUMN(Details!$K$4)))</f>
        <v/>
      </c>
      <c r="G33" s="117" t="str">
        <f t="array" ref="G33">IF(ISERROR(INDEX(Invoices,SMALL(IF(QNumber=$H$11,ROW(Invoice_Number)-4),ROW(9:9)),COLUMN(Details!$L$4)))=TRUE,"",INDEX(Invoices,SMALL(IF(QNumber=$H$11,ROW(Invoice_Number)-4),ROW(9:9)),COLUMN(Details!$L$4)))</f>
        <v/>
      </c>
      <c r="H33" s="117" t="str">
        <f t="array" ref="H33">IF(ISERROR(INDEX(Invoices,SMALL(IF(QNumber=$H$11,ROW(QNumber)-4),ROW(9:9)),COLUMN(Details!$F$4)))=TRUE,"",INDEX(Invoices,SMALL(IF(QNumber=$H$11,ROW(QNumber)-4),ROW(9:9)),COLUMN(Details!$F$4)))</f>
        <v/>
      </c>
      <c r="I33" s="95"/>
    </row>
    <row r="34" spans="2:9" ht="16.149999999999999" customHeight="1" x14ac:dyDescent="0.25">
      <c r="B34" s="115"/>
      <c r="C34" s="116" t="str">
        <f t="array" ref="C34">IF(ISERROR(INDEX(Invoices,SMALL(IF(QNumber=$H$11,ROW(QNumber)-4),ROW(10:10)),COLUMN(Details!$E$4)))=TRUE,"",INDEX(Invoices,SMALL(IF(QNumber=$H$11,ROW(QNumber)-4),ROW(10:10)),COLUMN(Details!$E$4)))</f>
        <v/>
      </c>
      <c r="D34" s="95"/>
      <c r="E34" s="117" t="str">
        <f t="array" ref="E34">IF(ISERROR(INDEX(Invoices,SMALL(IF(QNumber=$H$11,ROW(Invoice_Number)-4),ROW(10:10)),COLUMN(Details!$M$4)))=TRUE,"",INDEX(Invoices,SMALL(IF(QNumber=$H$11,ROW(Invoice_Number)-4),ROW(10:10)),COLUMN(Details!$M$4)))</f>
        <v/>
      </c>
      <c r="F34" s="117" t="str">
        <f t="array" ref="F34">IF(ISERROR(INDEX(Invoices,SMALL(IF(QNumber=$H$11,ROW(Invoice_Number)-4),ROW(10:10)),COLUMN(Details!$K$4)))=TRUE,"",INDEX(Invoices,SMALL(IF(QNumber=$H$11,ROW(Invoice_Number)-4),ROW(10:10)),COLUMN(Details!$K$4)))</f>
        <v/>
      </c>
      <c r="G34" s="117" t="str">
        <f t="array" ref="G34">IF(ISERROR(INDEX(Invoices,SMALL(IF(QNumber=$H$11,ROW(Invoice_Number)-4),ROW(10:10)),COLUMN(Details!$L$4)))=TRUE,"",INDEX(Invoices,SMALL(IF(QNumber=$H$11,ROW(Invoice_Number)-4),ROW(10:10)),COLUMN(Details!$L$4)))</f>
        <v/>
      </c>
      <c r="H34" s="117" t="str">
        <f t="array" ref="H34">IF(ISERROR(INDEX(Invoices,SMALL(IF(QNumber=$H$11,ROW(QNumber)-4),ROW(10:10)),COLUMN(Details!$F$4)))=TRUE,"",INDEX(Invoices,SMALL(IF(QNumber=$H$11,ROW(QNumber)-4),ROW(10:10)),COLUMN(Details!$F$4)))</f>
        <v/>
      </c>
      <c r="I34" s="95"/>
    </row>
    <row r="35" spans="2:9" ht="16.149999999999999" customHeight="1" x14ac:dyDescent="0.25">
      <c r="B35" s="115"/>
      <c r="C35" s="116" t="str">
        <f t="array" ref="C35">IF(ISERROR(INDEX(Invoices,SMALL(IF(QNumber=$H$11,ROW(QNumber)-4),ROW(11:11)),COLUMN(Details!$E$4)))=TRUE,"",INDEX(Invoices,SMALL(IF(QNumber=$H$11,ROW(QNumber)-4),ROW(11:11)),COLUMN(Details!$E$4)))</f>
        <v/>
      </c>
      <c r="D35" s="95"/>
      <c r="E35" s="117" t="str">
        <f t="array" ref="E35">IF(ISERROR(INDEX(Invoices,SMALL(IF(QNumber=$H$11,ROW(Invoice_Number)-4),ROW(11:11)),COLUMN(Details!$M$4)))=TRUE,"",INDEX(Invoices,SMALL(IF(QNumber=$H$11,ROW(Invoice_Number)-4),ROW(11:11)),COLUMN(Details!$M$4)))</f>
        <v/>
      </c>
      <c r="F35" s="117" t="str">
        <f t="array" ref="F35">IF(ISERROR(INDEX(Invoices,SMALL(IF(QNumber=$H$11,ROW(Invoice_Number)-4),ROW(11:11)),COLUMN(Details!$K$4)))=TRUE,"",INDEX(Invoices,SMALL(IF(QNumber=$H$11,ROW(Invoice_Number)-4),ROW(11:11)),COLUMN(Details!$K$4)))</f>
        <v/>
      </c>
      <c r="G35" s="117" t="str">
        <f t="array" ref="G35">IF(ISERROR(INDEX(Invoices,SMALL(IF(QNumber=$H$11,ROW(Invoice_Number)-4),ROW(11:11)),COLUMN(Details!$L$4)))=TRUE,"",INDEX(Invoices,SMALL(IF(QNumber=$H$11,ROW(Invoice_Number)-4),ROW(11:11)),COLUMN(Details!$L$4)))</f>
        <v/>
      </c>
      <c r="H35" s="117" t="str">
        <f t="array" ref="H35">IF(ISERROR(INDEX(Invoices,SMALL(IF(QNumber=$H$11,ROW(QNumber)-4),ROW(11:11)),COLUMN(Details!$F$4)))=TRUE,"",INDEX(Invoices,SMALL(IF(QNumber=$H$11,ROW(QNumber)-4),ROW(11:11)),COLUMN(Details!$F$4)))</f>
        <v/>
      </c>
      <c r="I35" s="95"/>
    </row>
    <row r="36" spans="2:9" ht="16.149999999999999" customHeight="1" x14ac:dyDescent="0.25">
      <c r="B36" s="115"/>
      <c r="C36" s="116" t="str">
        <f t="array" ref="C36">IF(ISERROR(INDEX(Invoices,SMALL(IF(QNumber=$H$11,ROW(QNumber)-4),ROW(12:12)),COLUMN(Details!$E$4)))=TRUE,"",INDEX(Invoices,SMALL(IF(QNumber=$H$11,ROW(QNumber)-4),ROW(12:12)),COLUMN(Details!$E$4)))</f>
        <v/>
      </c>
      <c r="D36" s="95"/>
      <c r="E36" s="117" t="str">
        <f t="array" ref="E36">IF(ISERROR(INDEX(Invoices,SMALL(IF(QNumber=$H$11,ROW(Invoice_Number)-4),ROW(12:12)),COLUMN(Details!$M$4)))=TRUE,"",INDEX(Invoices,SMALL(IF(QNumber=$H$11,ROW(Invoice_Number)-4),ROW(12:12)),COLUMN(Details!$M$4)))</f>
        <v/>
      </c>
      <c r="F36" s="117" t="str">
        <f t="array" ref="F36">IF(ISERROR(INDEX(Invoices,SMALL(IF(QNumber=$H$11,ROW(Invoice_Number)-4),ROW(12:12)),COLUMN(Details!$K$4)))=TRUE,"",INDEX(Invoices,SMALL(IF(QNumber=$H$11,ROW(Invoice_Number)-4),ROW(12:12)),COLUMN(Details!$K$4)))</f>
        <v/>
      </c>
      <c r="G36" s="117" t="str">
        <f t="array" ref="G36">IF(ISERROR(INDEX(Invoices,SMALL(IF(QNumber=$H$11,ROW(Invoice_Number)-4),ROW(12:12)),COLUMN(Details!$L$4)))=TRUE,"",INDEX(Invoices,SMALL(IF(QNumber=$H$11,ROW(Invoice_Number)-4),ROW(12:12)),COLUMN(Details!$L$4)))</f>
        <v/>
      </c>
      <c r="H36" s="117" t="str">
        <f t="array" ref="H36">IF(ISERROR(INDEX(Invoices,SMALL(IF(QNumber=$H$11,ROW(QNumber)-4),ROW(12:12)),COLUMN(Details!$F$4)))=TRUE,"",INDEX(Invoices,SMALL(IF(QNumber=$H$11,ROW(QNumber)-4),ROW(12:12)),COLUMN(Details!$F$4)))</f>
        <v/>
      </c>
      <c r="I36" s="95"/>
    </row>
    <row r="37" spans="2:9" ht="16.149999999999999" customHeight="1" x14ac:dyDescent="0.25">
      <c r="B37" s="115"/>
      <c r="C37" s="116" t="str">
        <f t="array" ref="C37">IF(ISERROR(INDEX(Invoices,SMALL(IF(QNumber=$H$11,ROW(QNumber)-4),ROW(13:13)),COLUMN(Details!$E$4)))=TRUE,"",INDEX(Invoices,SMALL(IF(QNumber=$H$11,ROW(QNumber)-4),ROW(13:13)),COLUMN(Details!$E$4)))</f>
        <v/>
      </c>
      <c r="D37" s="95"/>
      <c r="E37" s="117" t="str">
        <f t="array" ref="E37">IF(ISERROR(INDEX(Invoices,SMALL(IF(QNumber=$H$11,ROW(Invoice_Number)-4),ROW(13:13)),COLUMN(Details!$M$4)))=TRUE,"",INDEX(Invoices,SMALL(IF(QNumber=$H$11,ROW(Invoice_Number)-4),ROW(13:13)),COLUMN(Details!$M$4)))</f>
        <v/>
      </c>
      <c r="F37" s="117" t="str">
        <f t="array" ref="F37">IF(ISERROR(INDEX(Invoices,SMALL(IF(QNumber=$H$11,ROW(Invoice_Number)-4),ROW(13:13)),COLUMN(Details!$K$4)))=TRUE,"",INDEX(Invoices,SMALL(IF(QNumber=$H$11,ROW(Invoice_Number)-4),ROW(13:13)),COLUMN(Details!$K$4)))</f>
        <v/>
      </c>
      <c r="G37" s="117" t="str">
        <f t="array" ref="G37">IF(ISERROR(INDEX(Invoices,SMALL(IF(QNumber=$H$11,ROW(Invoice_Number)-4),ROW(13:13)),COLUMN(Details!$L$4)))=TRUE,"",INDEX(Invoices,SMALL(IF(QNumber=$H$11,ROW(Invoice_Number)-4),ROW(13:13)),COLUMN(Details!$L$4)))</f>
        <v/>
      </c>
      <c r="H37" s="117" t="str">
        <f t="array" ref="H37">IF(ISERROR(INDEX(Invoices,SMALL(IF(QNumber=$H$11,ROW(QNumber)-4),ROW(13:13)),COLUMN(Details!$F$4)))=TRUE,"",INDEX(Invoices,SMALL(IF(QNumber=$H$11,ROW(QNumber)-4),ROW(13:13)),COLUMN(Details!$F$4)))</f>
        <v/>
      </c>
      <c r="I37" s="95"/>
    </row>
    <row r="38" spans="2:9" ht="16.149999999999999" customHeight="1" x14ac:dyDescent="0.25">
      <c r="B38" s="115"/>
      <c r="C38" s="116" t="str">
        <f t="array" ref="C38">IF(ISERROR(INDEX(Invoices,SMALL(IF(QNumber=$H$11,ROW(QNumber)-4),ROW(14:14)),COLUMN(Details!$E$4)))=TRUE,"",INDEX(Invoices,SMALL(IF(QNumber=$H$11,ROW(QNumber)-4),ROW(14:14)),COLUMN(Details!$E$4)))</f>
        <v/>
      </c>
      <c r="D38" s="95"/>
      <c r="E38" s="117" t="str">
        <f t="array" ref="E38">IF(ISERROR(INDEX(Invoices,SMALL(IF(QNumber=$H$11,ROW(Invoice_Number)-4),ROW(14:14)),COLUMN(Details!$M$4)))=TRUE,"",INDEX(Invoices,SMALL(IF(QNumber=$H$11,ROW(Invoice_Number)-4),ROW(14:14)),COLUMN(Details!$M$4)))</f>
        <v/>
      </c>
      <c r="F38" s="117" t="str">
        <f t="array" ref="F38">IF(ISERROR(INDEX(Invoices,SMALL(IF(QNumber=$H$11,ROW(Invoice_Number)-4),ROW(14:14)),COLUMN(Details!$K$4)))=TRUE,"",INDEX(Invoices,SMALL(IF(QNumber=$H$11,ROW(Invoice_Number)-4),ROW(14:14)),COLUMN(Details!$K$4)))</f>
        <v/>
      </c>
      <c r="G38" s="117" t="str">
        <f t="array" ref="G38">IF(ISERROR(INDEX(Invoices,SMALL(IF(QNumber=$H$11,ROW(Invoice_Number)-4),ROW(14:14)),COLUMN(Details!$L$4)))=TRUE,"",INDEX(Invoices,SMALL(IF(QNumber=$H$11,ROW(Invoice_Number)-4),ROW(14:14)),COLUMN(Details!$L$4)))</f>
        <v/>
      </c>
      <c r="H38" s="117" t="str">
        <f t="array" ref="H38">IF(ISERROR(INDEX(Invoices,SMALL(IF(QNumber=$H$11,ROW(QNumber)-4),ROW(14:14)),COLUMN(Details!$F$4)))=TRUE,"",INDEX(Invoices,SMALL(IF(QNumber=$H$11,ROW(QNumber)-4),ROW(14:14)),COLUMN(Details!$F$4)))</f>
        <v/>
      </c>
      <c r="I38" s="95"/>
    </row>
    <row r="39" spans="2:9" ht="16.149999999999999" customHeight="1" x14ac:dyDescent="0.25">
      <c r="B39" s="115"/>
      <c r="C39" s="116" t="str">
        <f t="array" ref="C39">IF(ISERROR(INDEX(Invoices,SMALL(IF(QNumber=$H$11,ROW(QNumber)-4),ROW(15:15)),COLUMN(Details!$E$4)))=TRUE,"",INDEX(Invoices,SMALL(IF(QNumber=$H$11,ROW(QNumber)-4),ROW(15:15)),COLUMN(Details!$E$4)))</f>
        <v/>
      </c>
      <c r="D39" s="95"/>
      <c r="E39" s="117" t="str">
        <f t="array" ref="E39">IF(ISERROR(INDEX(Invoices,SMALL(IF(QNumber=$H$11,ROW(Invoice_Number)-4),ROW(15:15)),COLUMN(Details!$M$4)))=TRUE,"",INDEX(Invoices,SMALL(IF(QNumber=$H$11,ROW(Invoice_Number)-4),ROW(15:15)),COLUMN(Details!$M$4)))</f>
        <v/>
      </c>
      <c r="F39" s="117" t="str">
        <f t="array" ref="F39">IF(ISERROR(INDEX(Invoices,SMALL(IF(QNumber=$H$11,ROW(Invoice_Number)-4),ROW(15:15)),COLUMN(Details!$K$4)))=TRUE,"",INDEX(Invoices,SMALL(IF(QNumber=$H$11,ROW(Invoice_Number)-4),ROW(15:15)),COLUMN(Details!$K$4)))</f>
        <v/>
      </c>
      <c r="G39" s="117" t="str">
        <f t="array" ref="G39">IF(ISERROR(INDEX(Invoices,SMALL(IF(QNumber=$H$11,ROW(Invoice_Number)-4),ROW(15:15)),COLUMN(Details!$L$4)))=TRUE,"",INDEX(Invoices,SMALL(IF(QNumber=$H$11,ROW(Invoice_Number)-4),ROW(15:15)),COLUMN(Details!$L$4)))</f>
        <v/>
      </c>
      <c r="H39" s="117" t="str">
        <f t="array" ref="H39">IF(ISERROR(INDEX(Invoices,SMALL(IF(QNumber=$H$11,ROW(QNumber)-4),ROW(15:15)),COLUMN(Details!$F$4)))=TRUE,"",INDEX(Invoices,SMALL(IF(QNumber=$H$11,ROW(QNumber)-4),ROW(15:15)),COLUMN(Details!$F$4)))</f>
        <v/>
      </c>
      <c r="I39" s="95"/>
    </row>
    <row r="40" spans="2:9" ht="16.149999999999999" customHeight="1" x14ac:dyDescent="0.25">
      <c r="B40" s="115"/>
      <c r="C40" s="116" t="str">
        <f t="array" ref="C40">IF(ISERROR(INDEX(Invoices,SMALL(IF(QNumber=$H$11,ROW(QNumber)-4),ROW(16:16)),COLUMN(Details!$E$4)))=TRUE,"",INDEX(Invoices,SMALL(IF(QNumber=$H$11,ROW(QNumber)-4),ROW(16:16)),COLUMN(Details!$E$4)))</f>
        <v/>
      </c>
      <c r="D40" s="95"/>
      <c r="E40" s="117" t="str">
        <f t="array" ref="E40">IF(ISERROR(INDEX(Invoices,SMALL(IF(QNumber=$H$11,ROW(Invoice_Number)-4),ROW(16:16)),COLUMN(Details!$M$4)))=TRUE,"",INDEX(Invoices,SMALL(IF(QNumber=$H$11,ROW(Invoice_Number)-4),ROW(16:16)),COLUMN(Details!$M$4)))</f>
        <v/>
      </c>
      <c r="F40" s="117" t="str">
        <f t="array" ref="F40">IF(ISERROR(INDEX(Invoices,SMALL(IF(QNumber=$H$11,ROW(Invoice_Number)-4),ROW(16:16)),COLUMN(Details!$K$4)))=TRUE,"",INDEX(Invoices,SMALL(IF(QNumber=$H$11,ROW(Invoice_Number)-4),ROW(16:16)),COLUMN(Details!$K$4)))</f>
        <v/>
      </c>
      <c r="G40" s="117" t="str">
        <f t="array" ref="G40">IF(ISERROR(INDEX(Invoices,SMALL(IF(QNumber=$H$11,ROW(Invoice_Number)-4),ROW(16:16)),COLUMN(Details!$L$4)))=TRUE,"",INDEX(Invoices,SMALL(IF(QNumber=$H$11,ROW(Invoice_Number)-4),ROW(16:16)),COLUMN(Details!$L$4)))</f>
        <v/>
      </c>
      <c r="H40" s="117" t="str">
        <f t="array" ref="H40">IF(ISERROR(INDEX(Invoices,SMALL(IF(QNumber=$H$11,ROW(QNumber)-4),ROW(16:16)),COLUMN(Details!$F$4)))=TRUE,"",INDEX(Invoices,SMALL(IF(QNumber=$H$11,ROW(QNumber)-4),ROW(16:16)),COLUMN(Details!$F$4)))</f>
        <v/>
      </c>
      <c r="I40" s="95"/>
    </row>
    <row r="41" spans="2:9" ht="16.149999999999999" customHeight="1" x14ac:dyDescent="0.25">
      <c r="B41" s="115"/>
      <c r="C41" s="116" t="str">
        <f t="array" ref="C41">IF(ISERROR(INDEX(Invoices,SMALL(IF(QNumber=$H$11,ROW(QNumber)-4),ROW(17:17)),COLUMN(Details!$E$4)))=TRUE,"",INDEX(Invoices,SMALL(IF(QNumber=$H$11,ROW(QNumber)-4),ROW(17:17)),COLUMN(Details!$E$4)))</f>
        <v/>
      </c>
      <c r="D41" s="95"/>
      <c r="E41" s="117" t="str">
        <f t="array" ref="E41">IF(ISERROR(INDEX(Invoices,SMALL(IF(QNumber=$H$11,ROW(Invoice_Number)-4),ROW(17:17)),COLUMN(Details!$M$4)))=TRUE,"",INDEX(Invoices,SMALL(IF(QNumber=$H$11,ROW(Invoice_Number)-4),ROW(17:17)),COLUMN(Details!$M$4)))</f>
        <v/>
      </c>
      <c r="F41" s="117" t="str">
        <f t="array" ref="F41">IF(ISERROR(INDEX(Invoices,SMALL(IF(QNumber=$H$11,ROW(Invoice_Number)-4),ROW(17:17)),COLUMN(Details!$K$4)))=TRUE,"",INDEX(Invoices,SMALL(IF(QNumber=$H$11,ROW(Invoice_Number)-4),ROW(17:17)),COLUMN(Details!$K$4)))</f>
        <v/>
      </c>
      <c r="G41" s="117" t="str">
        <f t="array" ref="G41">IF(ISERROR(INDEX(Invoices,SMALL(IF(QNumber=$H$11,ROW(Invoice_Number)-4),ROW(17:17)),COLUMN(Details!$L$4)))=TRUE,"",INDEX(Invoices,SMALL(IF(QNumber=$H$11,ROW(Invoice_Number)-4),ROW(17:17)),COLUMN(Details!$L$4)))</f>
        <v/>
      </c>
      <c r="H41" s="117" t="str">
        <f t="array" ref="H41">IF(ISERROR(INDEX(Invoices,SMALL(IF(QNumber=$H$11,ROW(QNumber)-4),ROW(17:17)),COLUMN(Details!$F$4)))=TRUE,"",INDEX(Invoices,SMALL(IF(QNumber=$H$11,ROW(QNumber)-4),ROW(17:17)),COLUMN(Details!$F$4)))</f>
        <v/>
      </c>
      <c r="I41" s="95"/>
    </row>
    <row r="42" spans="2:9" ht="16.149999999999999" customHeight="1" x14ac:dyDescent="0.25">
      <c r="B42" s="115"/>
      <c r="C42" s="116" t="str">
        <f t="array" ref="C42">IF(ISERROR(INDEX(Invoices,SMALL(IF(QNumber=$H$11,ROW(QNumber)-4),ROW(18:18)),COLUMN(Details!$E$4)))=TRUE,"",INDEX(Invoices,SMALL(IF(QNumber=$H$11,ROW(QNumber)-4),ROW(18:18)),COLUMN(Details!$E$4)))</f>
        <v/>
      </c>
      <c r="D42" s="95"/>
      <c r="E42" s="117" t="str">
        <f t="array" ref="E42">IF(ISERROR(INDEX(Invoices,SMALL(IF(QNumber=$H$11,ROW(Invoice_Number)-4),ROW(18:18)),COLUMN(Details!$M$4)))=TRUE,"",INDEX(Invoices,SMALL(IF(QNumber=$H$11,ROW(Invoice_Number)-4),ROW(18:18)),COLUMN(Details!$M$4)))</f>
        <v/>
      </c>
      <c r="F42" s="117" t="str">
        <f t="array" ref="F42">IF(ISERROR(INDEX(Invoices,SMALL(IF(QNumber=$H$11,ROW(Invoice_Number)-4),ROW(18:18)),COLUMN(Details!$K$4)))=TRUE,"",INDEX(Invoices,SMALL(IF(QNumber=$H$11,ROW(Invoice_Number)-4),ROW(18:18)),COLUMN(Details!$K$4)))</f>
        <v/>
      </c>
      <c r="G42" s="117" t="str">
        <f t="array" ref="G42">IF(ISERROR(INDEX(Invoices,SMALL(IF(QNumber=$H$11,ROW(Invoice_Number)-4),ROW(18:18)),COLUMN(Details!$L$4)))=TRUE,"",INDEX(Invoices,SMALL(IF(QNumber=$H$11,ROW(Invoice_Number)-4),ROW(18:18)),COLUMN(Details!$L$4)))</f>
        <v/>
      </c>
      <c r="H42" s="117" t="str">
        <f t="array" ref="H42">IF(ISERROR(INDEX(Invoices,SMALL(IF(QNumber=$H$11,ROW(QNumber)-4),ROW(18:18)),COLUMN(Details!$F$4)))=TRUE,"",INDEX(Invoices,SMALL(IF(QNumber=$H$11,ROW(QNumber)-4),ROW(18:18)),COLUMN(Details!$F$4)))</f>
        <v/>
      </c>
      <c r="I42" s="95"/>
    </row>
    <row r="43" spans="2:9" ht="16.149999999999999" customHeight="1" x14ac:dyDescent="0.25">
      <c r="B43" s="115"/>
      <c r="C43" s="116" t="str">
        <f t="array" ref="C43">IF(ISERROR(INDEX(Invoices,SMALL(IF(QNumber=$H$11,ROW(QNumber)-4),ROW(19:19)),COLUMN(Details!$E$4)))=TRUE,"",INDEX(Invoices,SMALL(IF(QNumber=$H$11,ROW(QNumber)-4),ROW(19:19)),COLUMN(Details!$E$4)))</f>
        <v/>
      </c>
      <c r="D43" s="95"/>
      <c r="E43" s="117" t="str">
        <f t="array" ref="E43">IF(ISERROR(INDEX(Invoices,SMALL(IF(QNumber=$H$11,ROW(Invoice_Number)-4),ROW(19:19)),COLUMN(Details!$M$4)))=TRUE,"",INDEX(Invoices,SMALL(IF(QNumber=$H$11,ROW(Invoice_Number)-4),ROW(19:19)),COLUMN(Details!$M$4)))</f>
        <v/>
      </c>
      <c r="F43" s="117" t="str">
        <f t="array" ref="F43">IF(ISERROR(INDEX(Invoices,SMALL(IF(QNumber=$H$11,ROW(Invoice_Number)-4),ROW(19:19)),COLUMN(Details!$K$4)))=TRUE,"",INDEX(Invoices,SMALL(IF(QNumber=$H$11,ROW(Invoice_Number)-4),ROW(19:19)),COLUMN(Details!$K$4)))</f>
        <v/>
      </c>
      <c r="G43" s="117" t="str">
        <f t="array" ref="G43">IF(ISERROR(INDEX(Invoices,SMALL(IF(QNumber=$H$11,ROW(Invoice_Number)-4),ROW(19:19)),COLUMN(Details!$L$4)))=TRUE,"",INDEX(Invoices,SMALL(IF(QNumber=$H$11,ROW(Invoice_Number)-4),ROW(19:19)),COLUMN(Details!$L$4)))</f>
        <v/>
      </c>
      <c r="H43" s="117" t="str">
        <f t="array" ref="H43">IF(ISERROR(INDEX(Invoices,SMALL(IF(QNumber=$H$11,ROW(QNumber)-4),ROW(19:19)),COLUMN(Details!$F$4)))=TRUE,"",INDEX(Invoices,SMALL(IF(QNumber=$H$11,ROW(QNumber)-4),ROW(19:19)),COLUMN(Details!$F$4)))</f>
        <v/>
      </c>
      <c r="I43" s="95"/>
    </row>
    <row r="44" spans="2:9" ht="16.149999999999999" customHeight="1" x14ac:dyDescent="0.25">
      <c r="B44" s="115"/>
      <c r="C44" s="116" t="str">
        <f t="array" ref="C44">IF(ISERROR(INDEX(Invoices,SMALL(IF(QNumber=$H$11,ROW(QNumber)-4),ROW(20:20)),COLUMN(Details!$E$4)))=TRUE,"",INDEX(Invoices,SMALL(IF(QNumber=$H$11,ROW(QNumber)-4),ROW(20:20)),COLUMN(Details!$E$4)))</f>
        <v/>
      </c>
      <c r="D44" s="95"/>
      <c r="E44" s="117" t="str">
        <f t="array" ref="E44">IF(ISERROR(INDEX(Invoices,SMALL(IF(QNumber=$H$11,ROW(Invoice_Number)-4),ROW(20:20)),COLUMN(Details!$M$4)))=TRUE,"",INDEX(Invoices,SMALL(IF(QNumber=$H$11,ROW(Invoice_Number)-4),ROW(20:20)),COLUMN(Details!$M$4)))</f>
        <v/>
      </c>
      <c r="F44" s="117" t="str">
        <f t="array" ref="F44">IF(ISERROR(INDEX(Invoices,SMALL(IF(QNumber=$H$11,ROW(Invoice_Number)-4),ROW(20:20)),COLUMN(Details!$K$4)))=TRUE,"",INDEX(Invoices,SMALL(IF(QNumber=$H$11,ROW(Invoice_Number)-4),ROW(20:20)),COLUMN(Details!$K$4)))</f>
        <v/>
      </c>
      <c r="G44" s="117" t="str">
        <f t="array" ref="G44">IF(ISERROR(INDEX(Invoices,SMALL(IF(QNumber=$H$11,ROW(Invoice_Number)-4),ROW(20:20)),COLUMN(Details!$L$4)))=TRUE,"",INDEX(Invoices,SMALL(IF(QNumber=$H$11,ROW(Invoice_Number)-4),ROW(20:20)),COLUMN(Details!$L$4)))</f>
        <v/>
      </c>
      <c r="H44" s="117" t="str">
        <f t="array" ref="H44">IF(ISERROR(INDEX(Invoices,SMALL(IF(QNumber=$H$11,ROW(QNumber)-4),ROW(20:20)),COLUMN(Details!$F$4)))=TRUE,"",INDEX(Invoices,SMALL(IF(QNumber=$H$11,ROW(QNumber)-4),ROW(20:20)),COLUMN(Details!$F$4)))</f>
        <v/>
      </c>
      <c r="I44" s="95"/>
    </row>
    <row r="45" spans="2:9" s="119" customFormat="1" ht="16.149999999999999" customHeight="1" x14ac:dyDescent="0.2">
      <c r="B45" s="4"/>
      <c r="C45" s="101" t="s">
        <v>21</v>
      </c>
      <c r="D45" s="4"/>
      <c r="E45" s="118">
        <f ca="1">SUM(E25:E44)</f>
        <v>42186.421404682267</v>
      </c>
      <c r="F45" s="118">
        <f ca="1">SUM(F25:F44)</f>
        <v>6327.9632107023417</v>
      </c>
      <c r="G45" s="118">
        <f ca="1">SUM(G25:G44)</f>
        <v>3823.6153846153848</v>
      </c>
      <c r="H45" s="118">
        <f>SUM(H25:H44)</f>
        <v>52338</v>
      </c>
      <c r="I45" s="4"/>
    </row>
    <row r="46" spans="2:9" ht="16.149999999999999" customHeight="1" x14ac:dyDescent="0.25">
      <c r="B46" s="95"/>
      <c r="C46" s="95"/>
      <c r="D46" s="95"/>
      <c r="E46" s="95"/>
      <c r="F46" s="96"/>
      <c r="G46" s="96"/>
      <c r="H46" s="96"/>
      <c r="I46" s="95"/>
    </row>
    <row r="47" spans="2:9" ht="16.149999999999999" customHeight="1" x14ac:dyDescent="0.25">
      <c r="F47" s="93"/>
      <c r="G47" s="93"/>
      <c r="H47" s="93"/>
    </row>
  </sheetData>
  <sheetProtection formatCells="0" formatColumns="0" formatRows="0"/>
  <mergeCells count="6">
    <mergeCell ref="F20:H20"/>
    <mergeCell ref="F15:H15"/>
    <mergeCell ref="F16:H16"/>
    <mergeCell ref="F17:H17"/>
    <mergeCell ref="F18:H18"/>
    <mergeCell ref="F19:H19"/>
  </mergeCells>
  <printOptions horizontalCentered="1"/>
  <pageMargins left="0.55118110236220474" right="0.55118110236220474" top="0.59055118110236227" bottom="0.59055118110236227" header="0.39370078740157483" footer="0.39370078740157483"/>
  <pageSetup paperSize="9" scale="93"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B1:I53"/>
  <sheetViews>
    <sheetView zoomScale="95" zoomScaleNormal="95" workbookViewId="0">
      <selection activeCell="H11" sqref="H11"/>
    </sheetView>
  </sheetViews>
  <sheetFormatPr defaultColWidth="9.140625" defaultRowHeight="16.149999999999999" customHeight="1" x14ac:dyDescent="0.25"/>
  <cols>
    <col min="1" max="1" width="1.7109375" style="93" customWidth="1"/>
    <col min="2" max="2" width="2.7109375" style="93" customWidth="1"/>
    <col min="3" max="3" width="11.7109375" style="93" customWidth="1"/>
    <col min="4" max="4" width="23.7109375" style="93" customWidth="1"/>
    <col min="5" max="5" width="15.7109375" style="93" customWidth="1"/>
    <col min="6" max="8" width="15.7109375" style="120" customWidth="1"/>
    <col min="9" max="9" width="2.7109375" style="93" customWidth="1"/>
    <col min="10" max="20" width="15.7109375" style="93" customWidth="1"/>
    <col min="21" max="16384" width="9.140625" style="93"/>
  </cols>
  <sheetData>
    <row r="1" spans="2:9" ht="16.149999999999999" customHeight="1" x14ac:dyDescent="0.25">
      <c r="B1" s="92"/>
      <c r="C1" s="92"/>
      <c r="D1" s="92"/>
      <c r="E1" s="92"/>
      <c r="F1" s="92"/>
      <c r="G1" s="92"/>
      <c r="H1" s="92"/>
      <c r="I1" s="92"/>
    </row>
    <row r="2" spans="2:9" ht="16.149999999999999" customHeight="1" x14ac:dyDescent="0.25">
      <c r="B2" s="94"/>
      <c r="C2" s="94"/>
      <c r="D2" s="94"/>
      <c r="E2" s="94"/>
      <c r="F2" s="94"/>
      <c r="G2" s="94"/>
      <c r="H2" s="94"/>
      <c r="I2" s="94"/>
    </row>
    <row r="3" spans="2:9" ht="16.149999999999999" customHeight="1" x14ac:dyDescent="0.25">
      <c r="B3" s="94"/>
      <c r="C3" s="94"/>
      <c r="D3" s="94"/>
      <c r="E3" s="94"/>
      <c r="F3" s="94"/>
      <c r="G3" s="94"/>
      <c r="H3" s="94"/>
      <c r="I3" s="94"/>
    </row>
    <row r="4" spans="2:9" ht="16.149999999999999" customHeight="1" x14ac:dyDescent="0.25">
      <c r="B4" s="94"/>
      <c r="C4" s="94"/>
      <c r="D4" s="94"/>
      <c r="E4" s="94"/>
      <c r="F4" s="94"/>
      <c r="G4" s="94"/>
      <c r="H4" s="94"/>
      <c r="I4" s="94"/>
    </row>
    <row r="5" spans="2:9" ht="16.149999999999999" customHeight="1" x14ac:dyDescent="0.25">
      <c r="B5" s="94"/>
      <c r="C5" s="94"/>
      <c r="D5" s="94"/>
      <c r="E5" s="94"/>
      <c r="F5" s="94"/>
      <c r="G5" s="94"/>
      <c r="H5" s="94"/>
      <c r="I5" s="94"/>
    </row>
    <row r="6" spans="2:9" ht="16.149999999999999" customHeight="1" x14ac:dyDescent="0.25">
      <c r="B6" s="94"/>
      <c r="C6" s="94"/>
      <c r="D6" s="94"/>
      <c r="E6" s="94"/>
      <c r="F6" s="94"/>
      <c r="G6" s="94"/>
      <c r="H6" s="94"/>
      <c r="I6" s="94"/>
    </row>
    <row r="7" spans="2:9" ht="16.149999999999999" customHeight="1" x14ac:dyDescent="0.25">
      <c r="B7" s="95"/>
      <c r="C7" s="95"/>
      <c r="D7" s="95"/>
      <c r="E7" s="95"/>
      <c r="F7" s="96"/>
      <c r="G7" s="96"/>
      <c r="H7" s="96"/>
      <c r="I7" s="95"/>
    </row>
    <row r="8" spans="2:9" ht="16.149999999999999" customHeight="1" x14ac:dyDescent="0.25">
      <c r="B8" s="95"/>
      <c r="C8" s="95"/>
      <c r="D8" s="95"/>
      <c r="E8" s="95"/>
      <c r="F8" s="96"/>
      <c r="G8" s="96"/>
      <c r="H8" s="96"/>
      <c r="I8" s="95"/>
    </row>
    <row r="9" spans="2:9" ht="16.149999999999999" customHeight="1" x14ac:dyDescent="0.25">
      <c r="B9" s="95"/>
      <c r="C9" s="95"/>
      <c r="D9" s="95"/>
      <c r="E9" s="95"/>
      <c r="F9" s="97"/>
      <c r="G9" s="97"/>
      <c r="H9" s="121" t="s">
        <v>16</v>
      </c>
      <c r="I9" s="95"/>
    </row>
    <row r="10" spans="2:9" ht="16.149999999999999" customHeight="1" x14ac:dyDescent="0.25">
      <c r="B10" s="95"/>
      <c r="C10" s="99" t="str">
        <f>Setup!$C$5</f>
        <v>Example (Pty) Ltd</v>
      </c>
      <c r="D10" s="95"/>
      <c r="E10" s="95"/>
      <c r="F10" s="97"/>
      <c r="G10" s="97"/>
      <c r="H10" s="98"/>
      <c r="I10" s="95"/>
    </row>
    <row r="11" spans="2:9" ht="16.149999999999999" customHeight="1" x14ac:dyDescent="0.25">
      <c r="B11" s="95"/>
      <c r="C11" s="100" t="str">
        <f>IF(ISBLANK(Setup!$C$7)=TRUE,"",Setup!$C$7)</f>
        <v>Building Name</v>
      </c>
      <c r="D11" s="95"/>
      <c r="E11" s="100"/>
      <c r="F11" s="178"/>
      <c r="G11" s="101" t="s">
        <v>17</v>
      </c>
      <c r="H11" s="102" t="s">
        <v>177</v>
      </c>
      <c r="I11" s="95"/>
    </row>
    <row r="12" spans="2:9" ht="16.149999999999999" customHeight="1" x14ac:dyDescent="0.25">
      <c r="B12" s="95"/>
      <c r="C12" s="100" t="str">
        <f>IF(ISBLANK(Setup!$C$8)=TRUE,"",Setup!$C$8)</f>
        <v>Street Address</v>
      </c>
      <c r="D12" s="95"/>
      <c r="E12" s="100"/>
      <c r="F12" s="178"/>
      <c r="G12" s="101" t="s">
        <v>18</v>
      </c>
      <c r="H12" s="103">
        <f>IF(ISNA(VLOOKUP($H$11,Invoices,COLUMN(Details!$C$4),0))=TRUE,"",VLOOKUP($H$11,Invoices,COLUMN(Details!$C$4),0))</f>
        <v>43938</v>
      </c>
      <c r="I12" s="95"/>
    </row>
    <row r="13" spans="2:9" ht="16.149999999999999" customHeight="1" x14ac:dyDescent="0.25">
      <c r="B13" s="95"/>
      <c r="C13" s="100" t="str">
        <f>IF(ISBLANK(Setup!$C$9)=TRUE,"",Setup!$C$9)</f>
        <v>Suburb</v>
      </c>
      <c r="D13" s="95"/>
      <c r="E13" s="95"/>
      <c r="F13" s="101"/>
      <c r="G13" s="101"/>
      <c r="H13" s="103"/>
      <c r="I13" s="95"/>
    </row>
    <row r="14" spans="2:9" ht="16.149999999999999" customHeight="1" x14ac:dyDescent="0.25">
      <c r="B14" s="95"/>
      <c r="C14" s="100" t="str">
        <f>IF(ISBLANK(Setup!$C$10)=TRUE,"",Setup!$C$10)</f>
        <v>City</v>
      </c>
      <c r="D14" s="95"/>
      <c r="E14" s="104"/>
      <c r="F14" s="105" t="s">
        <v>19</v>
      </c>
      <c r="G14" s="105"/>
      <c r="H14" s="106"/>
      <c r="I14" s="95"/>
    </row>
    <row r="15" spans="2:9" ht="16.149999999999999" customHeight="1" x14ac:dyDescent="0.25">
      <c r="B15" s="95"/>
      <c r="C15" s="107">
        <f>IF(ISBLANK(Setup!$C$11)=TRUE,"",Setup!$C$11)</f>
        <v>9999</v>
      </c>
      <c r="D15" s="95"/>
      <c r="E15" s="108"/>
      <c r="F15" s="190" t="str">
        <f>IF(ISNA(VLOOKUP(VLOOKUP($H$11,Invoices,COLUMN(Details!$D$4),0),Customers,COLUMN(Customers!$B$5),0))=TRUE,"",IF(VLOOKUP(VLOOKUP($H$11,Invoices,COLUMN(Details!$D$4),0),Customers,COLUMN(Customers!$B$5),0)=0,"",VLOOKUP(VLOOKUP($H$11,Invoices,COLUMN(Details!$D$4),0),Customers,COLUMN(Customers!$B$5),0)))</f>
        <v>WC Financial Advisors</v>
      </c>
      <c r="G15" s="191"/>
      <c r="H15" s="192"/>
      <c r="I15" s="95"/>
    </row>
    <row r="16" spans="2:9" ht="16.149999999999999" customHeight="1" x14ac:dyDescent="0.25">
      <c r="B16" s="95"/>
      <c r="C16" s="95" t="str">
        <f>IF(ISBLANK(Setup!$C$13)=TRUE,"","Telephone: ")</f>
        <v xml:space="preserve">Telephone: </v>
      </c>
      <c r="D16" s="95" t="str">
        <f>IF(ISBLANK(Setup!$C$13)=TRUE,"",Setup!$C$13)</f>
        <v>+27 21 999 9999</v>
      </c>
      <c r="E16" s="95"/>
      <c r="F16" s="187" t="str">
        <f>IF(ISNA(VLOOKUP(VLOOKUP($H$11,Invoices,COLUMN(Details!$D$4),0),Customers,COLUMN(Customers!$C$5),0))=TRUE,"",IF(VLOOKUP(VLOOKUP($H$11,Invoices,COLUMN(Details!$D$4),0),Customers,COLUMN(Customers!$C$5),0)=0,"",VLOOKUP(VLOOKUP($H$11,Invoices,COLUMN(Details!$D$4),0),Customers,COLUMN(Customers!$C$5),0)))</f>
        <v>15 Strand Street</v>
      </c>
      <c r="G16" s="188"/>
      <c r="H16" s="189"/>
      <c r="I16" s="95"/>
    </row>
    <row r="17" spans="2:9" ht="16.149999999999999" customHeight="1" x14ac:dyDescent="0.25">
      <c r="B17" s="95"/>
      <c r="C17" s="95" t="str">
        <f>IF(ISBLANK(Setup!$C$14)=TRUE,"","Fax:")</f>
        <v>Fax:</v>
      </c>
      <c r="D17" s="95" t="str">
        <f>IF(ISBLANK(Setup!$C$14)=TRUE,"",Setup!$C$14)</f>
        <v>+27 21 999 0000</v>
      </c>
      <c r="E17" s="95"/>
      <c r="F17" s="187" t="str">
        <f>IF(ISNA(VLOOKUP(VLOOKUP($H$11,Invoices,COLUMN(Details!$D$4),0),Customers,COLUMN(Customers!$D$5),0))=TRUE,"",IF(VLOOKUP(VLOOKUP($H$11,Invoices,COLUMN(Details!$D$4),0),Customers,COLUMN(Customers!$D$5),0)=0,"",VLOOKUP(VLOOKUP($H$11,Invoices,COLUMN(Details!$D$4),0),Customers,COLUMN(Customers!$D$5),0)))</f>
        <v>Walmer</v>
      </c>
      <c r="G17" s="188"/>
      <c r="H17" s="189"/>
      <c r="I17" s="95"/>
    </row>
    <row r="18" spans="2:9" ht="16.149999999999999" customHeight="1" x14ac:dyDescent="0.25">
      <c r="B18" s="95"/>
      <c r="C18" s="95" t="str">
        <f>IF(ISBLANK(Setup!$C$16)=TRUE,"","E-mail:")</f>
        <v>E-mail:</v>
      </c>
      <c r="D18" s="95" t="str">
        <f>IF(ISBLANK(Setup!$C$16)=TRUE,"",Setup!$C$16)</f>
        <v>info@example.com</v>
      </c>
      <c r="E18" s="95"/>
      <c r="F18" s="187" t="str">
        <f>IF(ISNA(VLOOKUP(VLOOKUP($H$11,Invoices,COLUMN(Details!$D$4),0),Customers,COLUMN(Customers!$E$5),0))=TRUE,"",IF(VLOOKUP(VLOOKUP($H$11,Invoices,COLUMN(Details!$D$4),0),Customers,COLUMN(Customers!$E$5),0)=0,"",VLOOKUP(VLOOKUP($H$11,Invoices,COLUMN(Details!$D$4),0),Customers,COLUMN(Customers!$E$5),0)))</f>
        <v>Port Elizabeth</v>
      </c>
      <c r="G18" s="188"/>
      <c r="H18" s="189"/>
      <c r="I18" s="95"/>
    </row>
    <row r="19" spans="2:9" ht="16.149999999999999" customHeight="1" x14ac:dyDescent="0.25">
      <c r="B19" s="95"/>
      <c r="C19" s="95" t="str">
        <f>IF(ISBLANK(Setup!$C$15)=TRUE,"","Website:")</f>
        <v>Website:</v>
      </c>
      <c r="D19" s="95" t="str">
        <f>IF(ISBLANK(Setup!$C$15)=TRUE,"",Setup!$C$15)</f>
        <v>www.example.com</v>
      </c>
      <c r="E19" s="95"/>
      <c r="F19" s="187" t="str">
        <f>IF(ISNA(VLOOKUP(VLOOKUP($H$11,Invoices,COLUMN(Details!$D$4),0),Customers,COLUMN(Customers!$F$5),0))=TRUE,"",IF(VLOOKUP(VLOOKUP($H$11,Invoices,COLUMN(Details!$D$4),0),Customers,COLUMN(Customers!$F$5),0)=0,"",VLOOKUP(VLOOKUP($H$11,Invoices,COLUMN(Details!$D$4),0),Customers,COLUMN(Customers!$F$5),0)))</f>
        <v/>
      </c>
      <c r="G19" s="188"/>
      <c r="H19" s="189"/>
      <c r="I19" s="95"/>
    </row>
    <row r="20" spans="2:9" ht="16.149999999999999" customHeight="1" x14ac:dyDescent="0.25">
      <c r="B20" s="95"/>
      <c r="C20" s="95" t="str">
        <f>IF(ISBLANK(Setup!$C$18)=TRUE,"","Tax No.:")</f>
        <v>Tax No.:</v>
      </c>
      <c r="D20" s="95" t="str">
        <f>IF(ISBLANK(Setup!$C$18)=TRUE,"",Setup!$C$18)</f>
        <v>9999 999 9999</v>
      </c>
      <c r="E20" s="95"/>
      <c r="F20" s="187">
        <f>IF(ISNA(VLOOKUP(VLOOKUP($H$11,Invoices,COLUMN(Details!$D$4),0),Customers,COLUMN(Customers!$G$5),0))=TRUE,"",IF(VLOOKUP(VLOOKUP($H$11,Invoices,COLUMN(Details!$D$4),0),Customers,COLUMN(Customers!$G$5),0)=0,"",VLOOKUP(VLOOKUP($H$11,Invoices,COLUMN(Details!$D$4),0),Customers,COLUMN(Customers!$G$5),0)))</f>
        <v>4320</v>
      </c>
      <c r="G20" s="188"/>
      <c r="H20" s="189"/>
      <c r="I20" s="95"/>
    </row>
    <row r="21" spans="2:9" ht="16.149999999999999" customHeight="1" x14ac:dyDescent="0.25">
      <c r="B21" s="95"/>
      <c r="C21" s="95" t="str">
        <f>IF(ISBLANK(Setup!$C$18)=TRUE,"","Reg No.:")</f>
        <v>Reg No.:</v>
      </c>
      <c r="D21" s="95" t="str">
        <f>IF(ISBLANK(Setup!$C$19)=TRUE,"",Setup!$C$19)</f>
        <v>2012 000000 00</v>
      </c>
      <c r="E21" s="95"/>
      <c r="F21" s="109" t="s">
        <v>67</v>
      </c>
      <c r="G21" s="175"/>
      <c r="H21" s="110" t="str">
        <f>IF(ISNA(VLOOKUP(VLOOKUP($H$11,Invoices,COLUMN(Details!$D$4),0),Customers,COLUMN(Customers!$H$5),0))=TRUE,"",IF(VLOOKUP(VLOOKUP($H$11,Invoices,COLUMN(Details!$D$4),0),Customers,COLUMN(Customers!$H$5),0)=0,"",VLOOKUP(VLOOKUP($H$11,Invoices,COLUMN(Details!$D$4),0),Customers,COLUMN(Customers!$H$5),0)))</f>
        <v>412 998 0020</v>
      </c>
      <c r="I21" s="107"/>
    </row>
    <row r="22" spans="2:9" ht="16.149999999999999" customHeight="1" x14ac:dyDescent="0.25">
      <c r="B22" s="95"/>
      <c r="C22" s="95"/>
      <c r="D22" s="95"/>
      <c r="E22" s="95"/>
      <c r="F22" s="96"/>
      <c r="G22" s="96"/>
      <c r="H22" s="96"/>
      <c r="I22" s="95"/>
    </row>
    <row r="23" spans="2:9" ht="16.149999999999999" customHeight="1" x14ac:dyDescent="0.25">
      <c r="B23" s="95"/>
      <c r="C23" s="95"/>
      <c r="D23" s="95"/>
      <c r="E23" s="95"/>
      <c r="F23" s="96"/>
      <c r="G23" s="96"/>
      <c r="H23" s="96"/>
      <c r="I23" s="95"/>
    </row>
    <row r="24" spans="2:9" s="114" customFormat="1" ht="16.149999999999999" customHeight="1" x14ac:dyDescent="0.25">
      <c r="B24" s="111"/>
      <c r="C24" s="112" t="s">
        <v>20</v>
      </c>
      <c r="D24" s="113"/>
      <c r="E24" s="176" t="s">
        <v>237</v>
      </c>
      <c r="F24" s="177" t="s">
        <v>362</v>
      </c>
      <c r="G24" s="177" t="s">
        <v>363</v>
      </c>
      <c r="H24" s="177" t="s">
        <v>21</v>
      </c>
      <c r="I24" s="111"/>
    </row>
    <row r="25" spans="2:9" ht="16.149999999999999" customHeight="1" x14ac:dyDescent="0.25">
      <c r="B25" s="115"/>
      <c r="C25" s="116" t="str">
        <f t="array" ref="C25">IF(ISERROR(INDEX(Invoices,SMALL(IF(Invoice_Number=$H$11,ROW(Invoice_Number)-4),ROW(1:1)),COLUMN(Details!$E$4)))=TRUE,"",INDEX(Invoices,SMALL(IF(Invoice_Number=$H$11,ROW(Invoice_Number)-4),ROW(1:1)),COLUMN(Details!$E$4)))</f>
        <v>Accounting Services</v>
      </c>
      <c r="D25" s="95"/>
      <c r="E25" s="117">
        <f t="array" aca="1" ref="E25" ca="1">IF(ISERROR(INDEX(Invoices,SMALL(IF(Invoice_Number=$H$11,ROW(Invoice_Number)-4),ROW(1:1)),COLUMN(Details!$M$4)))=TRUE,"",INDEX(Invoices,SMALL(IF(Invoice_Number=$H$11,ROW(Invoice_Number)-4),ROW(1:1)),COLUMN(Details!$M$4)))</f>
        <v>10608.695652173912</v>
      </c>
      <c r="F25" s="117">
        <f t="array" aca="1" ref="F25" ca="1">IF(ISERROR(INDEX(Invoices,SMALL(IF(Invoice_Number=$H$11,ROW(Invoice_Number)-4),ROW(1:1)),COLUMN(Details!$K$4)))=TRUE,"",INDEX(Invoices,SMALL(IF(Invoice_Number=$H$11,ROW(Invoice_Number)-4),ROW(1:1)),COLUMN(Details!$K$4)))</f>
        <v>1591.304347826087</v>
      </c>
      <c r="G25" s="117">
        <f t="array" aca="1" ref="G25" ca="1">IF(ISERROR(INDEX(Invoices,SMALL(IF(Invoice_Number=$H$11,ROW(Invoice_Number)-4),ROW(1:1)),COLUMN(Details!$L$4)))=TRUE,"",INDEX(Invoices,SMALL(IF(Invoice_Number=$H$11,ROW(Invoice_Number)-4),ROW(1:1)),COLUMN(Details!$L$4)))</f>
        <v>0</v>
      </c>
      <c r="H25" s="117">
        <f t="array" ref="H25">IF(ISERROR(INDEX(Invoices,SMALL(IF(Invoice_Number=$H$11,ROW(Invoice_Number)-4),ROW(1:1)),COLUMN(Details!$F$4)))=TRUE,"",INDEX(Invoices,SMALL(IF(Invoice_Number=$H$11,ROW(Invoice_Number)-4),ROW(1:1)),COLUMN(Details!$F$4)))</f>
        <v>12200</v>
      </c>
      <c r="I25" s="95"/>
    </row>
    <row r="26" spans="2:9" ht="16.149999999999999" customHeight="1" x14ac:dyDescent="0.25">
      <c r="B26" s="115"/>
      <c r="C26" s="116" t="str">
        <f t="array" ref="C26">IF(ISERROR(INDEX(Invoices,SMALL(IF(Invoice_Number=$H$11,ROW(Invoice_Number)-4),ROW(2:2)),COLUMN(Details!$E$4)))=TRUE,"",INDEX(Invoices,SMALL(IF(Invoice_Number=$H$11,ROW(Invoice_Number)-4),ROW(2:2)),COLUMN(Details!$E$4)))</f>
        <v>Consulting Services</v>
      </c>
      <c r="D26" s="95"/>
      <c r="E26" s="117">
        <f t="array" aca="1" ref="E26" ca="1">IF(ISERROR(INDEX(Invoices,SMALL(IF(Invoice_Number=$H$11,ROW(Invoice_Number)-4),ROW(2:2)),COLUMN(Details!$M$4)))=TRUE,"",INDEX(Invoices,SMALL(IF(Invoice_Number=$H$11,ROW(Invoice_Number)-4),ROW(2:2)),COLUMN(Details!$M$4)))</f>
        <v>25490.76923076923</v>
      </c>
      <c r="F26" s="117">
        <f t="array" aca="1" ref="F26" ca="1">IF(ISERROR(INDEX(Invoices,SMALL(IF(Invoice_Number=$H$11,ROW(Invoice_Number)-4),ROW(2:2)),COLUMN(Details!$K$4)))=TRUE,"",INDEX(Invoices,SMALL(IF(Invoice_Number=$H$11,ROW(Invoice_Number)-4),ROW(2:2)),COLUMN(Details!$K$4)))</f>
        <v>3823.6153846153848</v>
      </c>
      <c r="G26" s="117">
        <f t="array" aca="1" ref="G26" ca="1">IF(ISERROR(INDEX(Invoices,SMALL(IF(Invoice_Number=$H$11,ROW(Invoice_Number)-4),ROW(2:2)),COLUMN(Details!$L$4)))=TRUE,"",INDEX(Invoices,SMALL(IF(Invoice_Number=$H$11,ROW(Invoice_Number)-4),ROW(2:2)),COLUMN(Details!$L$4)))</f>
        <v>3823.6153846153848</v>
      </c>
      <c r="H26" s="117">
        <f t="array" ref="H26">IF(ISERROR(INDEX(Invoices,SMALL(IF(Invoice_Number=$H$11,ROW(Invoice_Number)-4),ROW(2:2)),COLUMN(Details!$F$4)))=TRUE,"",INDEX(Invoices,SMALL(IF(Invoice_Number=$H$11,ROW(Invoice_Number)-4),ROW(2:2)),COLUMN(Details!$F$4)))</f>
        <v>33138</v>
      </c>
      <c r="I26" s="95"/>
    </row>
    <row r="27" spans="2:9" ht="16.149999999999999" customHeight="1" x14ac:dyDescent="0.25">
      <c r="B27" s="115"/>
      <c r="C27" s="116" t="str">
        <f t="array" ref="C27">IF(ISERROR(INDEX(Invoices,SMALL(IF(Invoice_Number=$H$11,ROW(Invoice_Number)-4),ROW(3:3)),COLUMN(Details!$E$4)))=TRUE,"",INDEX(Invoices,SMALL(IF(Invoice_Number=$H$11,ROW(Invoice_Number)-4),ROW(3:3)),COLUMN(Details!$E$4)))</f>
        <v>Taxation Services</v>
      </c>
      <c r="D27" s="95"/>
      <c r="E27" s="117">
        <f t="array" aca="1" ref="E27" ca="1">IF(ISERROR(INDEX(Invoices,SMALL(IF(Invoice_Number=$H$11,ROW(Invoice_Number)-4),ROW(3:3)),COLUMN(Details!$M$4)))=TRUE,"",INDEX(Invoices,SMALL(IF(Invoice_Number=$H$11,ROW(Invoice_Number)-4),ROW(3:3)),COLUMN(Details!$M$4)))</f>
        <v>6086.95652173913</v>
      </c>
      <c r="F27" s="117">
        <f t="array" aca="1" ref="F27" ca="1">IF(ISERROR(INDEX(Invoices,SMALL(IF(Invoice_Number=$H$11,ROW(Invoice_Number)-4),ROW(3:3)),COLUMN(Details!$K$4)))=TRUE,"",INDEX(Invoices,SMALL(IF(Invoice_Number=$H$11,ROW(Invoice_Number)-4),ROW(3:3)),COLUMN(Details!$K$4)))</f>
        <v>913.04347826086962</v>
      </c>
      <c r="G27" s="117">
        <f t="array" aca="1" ref="G27" ca="1">IF(ISERROR(INDEX(Invoices,SMALL(IF(Invoice_Number=$H$11,ROW(Invoice_Number)-4),ROW(3:3)),COLUMN(Details!$L$4)))=TRUE,"",INDEX(Invoices,SMALL(IF(Invoice_Number=$H$11,ROW(Invoice_Number)-4),ROW(3:3)),COLUMN(Details!$L$4)))</f>
        <v>0</v>
      </c>
      <c r="H27" s="117">
        <f t="array" ref="H27">IF(ISERROR(INDEX(Invoices,SMALL(IF(Invoice_Number=$H$11,ROW(Invoice_Number)-4),ROW(3:3)),COLUMN(Details!$F$4)))=TRUE,"",INDEX(Invoices,SMALL(IF(Invoice_Number=$H$11,ROW(Invoice_Number)-4),ROW(3:3)),COLUMN(Details!$F$4)))</f>
        <v>7000</v>
      </c>
      <c r="I27" s="95"/>
    </row>
    <row r="28" spans="2:9" ht="16.149999999999999" customHeight="1" x14ac:dyDescent="0.25">
      <c r="B28" s="115"/>
      <c r="C28" s="116" t="str">
        <f t="array" ref="C28">IF(ISERROR(INDEX(Invoices,SMALL(IF(Invoice_Number=$H$11,ROW(Invoice_Number)-4),ROW(4:4)),COLUMN(Details!$E$4)))=TRUE,"",INDEX(Invoices,SMALL(IF(Invoice_Number=$H$11,ROW(Invoice_Number)-4),ROW(4:4)),COLUMN(Details!$E$4)))</f>
        <v/>
      </c>
      <c r="D28" s="95"/>
      <c r="E28" s="117" t="str">
        <f t="array" ref="E28">IF(ISERROR(INDEX(Invoices,SMALL(IF(Invoice_Number=$H$11,ROW(Invoice_Number)-4),ROW(4:4)),COLUMN(Details!$M$4)))=TRUE,"",INDEX(Invoices,SMALL(IF(Invoice_Number=$H$11,ROW(Invoice_Number)-4),ROW(4:4)),COLUMN(Details!$M$4)))</f>
        <v/>
      </c>
      <c r="F28" s="117" t="str">
        <f t="array" ref="F28">IF(ISERROR(INDEX(Invoices,SMALL(IF(Invoice_Number=$H$11,ROW(Invoice_Number)-4),ROW(4:4)),COLUMN(Details!$K$4)))=TRUE,"",INDEX(Invoices,SMALL(IF(Invoice_Number=$H$11,ROW(Invoice_Number)-4),ROW(4:4)),COLUMN(Details!$K$4)))</f>
        <v/>
      </c>
      <c r="G28" s="117" t="str">
        <f t="array" ref="G28">IF(ISERROR(INDEX(Invoices,SMALL(IF(Invoice_Number=$H$11,ROW(Invoice_Number)-4),ROW(4:4)),COLUMN(Details!$L$4)))=TRUE,"",INDEX(Invoices,SMALL(IF(Invoice_Number=$H$11,ROW(Invoice_Number)-4),ROW(4:4)),COLUMN(Details!$L$4)))</f>
        <v/>
      </c>
      <c r="H28" s="117" t="str">
        <f t="array" ref="H28">IF(ISERROR(INDEX(Invoices,SMALL(IF(Invoice_Number=$H$11,ROW(Invoice_Number)-4),ROW(4:4)),COLUMN(Details!$F$4)))=TRUE,"",INDEX(Invoices,SMALL(IF(Invoice_Number=$H$11,ROW(Invoice_Number)-4),ROW(4:4)),COLUMN(Details!$F$4)))</f>
        <v/>
      </c>
      <c r="I28" s="95"/>
    </row>
    <row r="29" spans="2:9" ht="16.149999999999999" customHeight="1" x14ac:dyDescent="0.25">
      <c r="B29" s="115"/>
      <c r="C29" s="116" t="str">
        <f t="array" ref="C29">IF(ISERROR(INDEX(Invoices,SMALL(IF(Invoice_Number=$H$11,ROW(Invoice_Number)-4),ROW(5:5)),COLUMN(Details!$E$4)))=TRUE,"",INDEX(Invoices,SMALL(IF(Invoice_Number=$H$11,ROW(Invoice_Number)-4),ROW(5:5)),COLUMN(Details!$E$4)))</f>
        <v/>
      </c>
      <c r="D29" s="95"/>
      <c r="E29" s="117" t="str">
        <f t="array" ref="E29">IF(ISERROR(INDEX(Invoices,SMALL(IF(Invoice_Number=$H$11,ROW(Invoice_Number)-4),ROW(5:5)),COLUMN(Details!$M$4)))=TRUE,"",INDEX(Invoices,SMALL(IF(Invoice_Number=$H$11,ROW(Invoice_Number)-4),ROW(5:5)),COLUMN(Details!$M$4)))</f>
        <v/>
      </c>
      <c r="F29" s="117" t="str">
        <f t="array" ref="F29">IF(ISERROR(INDEX(Invoices,SMALL(IF(Invoice_Number=$H$11,ROW(Invoice_Number)-4),ROW(5:5)),COLUMN(Details!$K$4)))=TRUE,"",INDEX(Invoices,SMALL(IF(Invoice_Number=$H$11,ROW(Invoice_Number)-4),ROW(5:5)),COLUMN(Details!$K$4)))</f>
        <v/>
      </c>
      <c r="G29" s="117" t="str">
        <f t="array" ref="G29">IF(ISERROR(INDEX(Invoices,SMALL(IF(Invoice_Number=$H$11,ROW(Invoice_Number)-4),ROW(5:5)),COLUMN(Details!$L$4)))=TRUE,"",INDEX(Invoices,SMALL(IF(Invoice_Number=$H$11,ROW(Invoice_Number)-4),ROW(5:5)),COLUMN(Details!$L$4)))</f>
        <v/>
      </c>
      <c r="H29" s="117" t="str">
        <f t="array" ref="H29">IF(ISERROR(INDEX(Invoices,SMALL(IF(Invoice_Number=$H$11,ROW(Invoice_Number)-4),ROW(5:5)),COLUMN(Details!$F$4)))=TRUE,"",INDEX(Invoices,SMALL(IF(Invoice_Number=$H$11,ROW(Invoice_Number)-4),ROW(5:5)),COLUMN(Details!$F$4)))</f>
        <v/>
      </c>
      <c r="I29" s="95"/>
    </row>
    <row r="30" spans="2:9" ht="16.149999999999999" customHeight="1" x14ac:dyDescent="0.25">
      <c r="B30" s="115"/>
      <c r="C30" s="116" t="str">
        <f t="array" ref="C30">IF(ISERROR(INDEX(Invoices,SMALL(IF(Invoice_Number=$H$11,ROW(Invoice_Number)-4),ROW(6:6)),COLUMN(Details!$E$4)))=TRUE,"",INDEX(Invoices,SMALL(IF(Invoice_Number=$H$11,ROW(Invoice_Number)-4),ROW(6:6)),COLUMN(Details!$E$4)))</f>
        <v/>
      </c>
      <c r="D30" s="95"/>
      <c r="E30" s="117" t="str">
        <f t="array" ref="E30">IF(ISERROR(INDEX(Invoices,SMALL(IF(Invoice_Number=$H$11,ROW(Invoice_Number)-4),ROW(6:6)),COLUMN(Details!$M$4)))=TRUE,"",INDEX(Invoices,SMALL(IF(Invoice_Number=$H$11,ROW(Invoice_Number)-4),ROW(6:6)),COLUMN(Details!$M$4)))</f>
        <v/>
      </c>
      <c r="F30" s="117" t="str">
        <f t="array" ref="F30">IF(ISERROR(INDEX(Invoices,SMALL(IF(Invoice_Number=$H$11,ROW(Invoice_Number)-4),ROW(6:6)),COLUMN(Details!$K$4)))=TRUE,"",INDEX(Invoices,SMALL(IF(Invoice_Number=$H$11,ROW(Invoice_Number)-4),ROW(6:6)),COLUMN(Details!$K$4)))</f>
        <v/>
      </c>
      <c r="G30" s="117" t="str">
        <f t="array" ref="G30">IF(ISERROR(INDEX(Invoices,SMALL(IF(Invoice_Number=$H$11,ROW(Invoice_Number)-4),ROW(6:6)),COLUMN(Details!$L$4)))=TRUE,"",INDEX(Invoices,SMALL(IF(Invoice_Number=$H$11,ROW(Invoice_Number)-4),ROW(6:6)),COLUMN(Details!$L$4)))</f>
        <v/>
      </c>
      <c r="H30" s="117" t="str">
        <f t="array" ref="H30">IF(ISERROR(INDEX(Invoices,SMALL(IF(Invoice_Number=$H$11,ROW(Invoice_Number)-4),ROW(6:6)),COLUMN(Details!$F$4)))=TRUE,"",INDEX(Invoices,SMALL(IF(Invoice_Number=$H$11,ROW(Invoice_Number)-4),ROW(6:6)),COLUMN(Details!$F$4)))</f>
        <v/>
      </c>
      <c r="I30" s="95"/>
    </row>
    <row r="31" spans="2:9" ht="16.149999999999999" customHeight="1" x14ac:dyDescent="0.25">
      <c r="B31" s="115"/>
      <c r="C31" s="116" t="str">
        <f t="array" ref="C31">IF(ISERROR(INDEX(Invoices,SMALL(IF(Invoice_Number=$H$11,ROW(Invoice_Number)-4),ROW(7:7)),COLUMN(Details!$E$4)))=TRUE,"",INDEX(Invoices,SMALL(IF(Invoice_Number=$H$11,ROW(Invoice_Number)-4),ROW(7:7)),COLUMN(Details!$E$4)))</f>
        <v/>
      </c>
      <c r="D31" s="95"/>
      <c r="E31" s="117" t="str">
        <f t="array" ref="E31">IF(ISERROR(INDEX(Invoices,SMALL(IF(Invoice_Number=$H$11,ROW(Invoice_Number)-4),ROW(7:7)),COLUMN(Details!$M$4)))=TRUE,"",INDEX(Invoices,SMALL(IF(Invoice_Number=$H$11,ROW(Invoice_Number)-4),ROW(7:7)),COLUMN(Details!$M$4)))</f>
        <v/>
      </c>
      <c r="F31" s="117" t="str">
        <f t="array" ref="F31">IF(ISERROR(INDEX(Invoices,SMALL(IF(Invoice_Number=$H$11,ROW(Invoice_Number)-4),ROW(7:7)),COLUMN(Details!$K$4)))=TRUE,"",INDEX(Invoices,SMALL(IF(Invoice_Number=$H$11,ROW(Invoice_Number)-4),ROW(7:7)),COLUMN(Details!$K$4)))</f>
        <v/>
      </c>
      <c r="G31" s="117" t="str">
        <f t="array" ref="G31">IF(ISERROR(INDEX(Invoices,SMALL(IF(Invoice_Number=$H$11,ROW(Invoice_Number)-4),ROW(7:7)),COLUMN(Details!$L$4)))=TRUE,"",INDEX(Invoices,SMALL(IF(Invoice_Number=$H$11,ROW(Invoice_Number)-4),ROW(7:7)),COLUMN(Details!$L$4)))</f>
        <v/>
      </c>
      <c r="H31" s="117" t="str">
        <f t="array" ref="H31">IF(ISERROR(INDEX(Invoices,SMALL(IF(Invoice_Number=$H$11,ROW(Invoice_Number)-4),ROW(7:7)),COLUMN(Details!$F$4)))=TRUE,"",INDEX(Invoices,SMALL(IF(Invoice_Number=$H$11,ROW(Invoice_Number)-4),ROW(7:7)),COLUMN(Details!$F$4)))</f>
        <v/>
      </c>
      <c r="I31" s="95"/>
    </row>
    <row r="32" spans="2:9" ht="16.149999999999999" customHeight="1" x14ac:dyDescent="0.25">
      <c r="B32" s="115"/>
      <c r="C32" s="116" t="str">
        <f t="array" ref="C32">IF(ISERROR(INDEX(Invoices,SMALL(IF(Invoice_Number=$H$11,ROW(Invoice_Number)-4),ROW(8:8)),COLUMN(Details!$E$4)))=TRUE,"",INDEX(Invoices,SMALL(IF(Invoice_Number=$H$11,ROW(Invoice_Number)-4),ROW(8:8)),COLUMN(Details!$E$4)))</f>
        <v/>
      </c>
      <c r="D32" s="95"/>
      <c r="E32" s="117" t="str">
        <f t="array" ref="E32">IF(ISERROR(INDEX(Invoices,SMALL(IF(Invoice_Number=$H$11,ROW(Invoice_Number)-4),ROW(8:8)),COLUMN(Details!$M$4)))=TRUE,"",INDEX(Invoices,SMALL(IF(Invoice_Number=$H$11,ROW(Invoice_Number)-4),ROW(8:8)),COLUMN(Details!$M$4)))</f>
        <v/>
      </c>
      <c r="F32" s="117" t="str">
        <f t="array" ref="F32">IF(ISERROR(INDEX(Invoices,SMALL(IF(Invoice_Number=$H$11,ROW(Invoice_Number)-4),ROW(8:8)),COLUMN(Details!$K$4)))=TRUE,"",INDEX(Invoices,SMALL(IF(Invoice_Number=$H$11,ROW(Invoice_Number)-4),ROW(8:8)),COLUMN(Details!$K$4)))</f>
        <v/>
      </c>
      <c r="G32" s="117" t="str">
        <f t="array" ref="G32">IF(ISERROR(INDEX(Invoices,SMALL(IF(Invoice_Number=$H$11,ROW(Invoice_Number)-4),ROW(8:8)),COLUMN(Details!$L$4)))=TRUE,"",INDEX(Invoices,SMALL(IF(Invoice_Number=$H$11,ROW(Invoice_Number)-4),ROW(8:8)),COLUMN(Details!$L$4)))</f>
        <v/>
      </c>
      <c r="H32" s="117" t="str">
        <f t="array" ref="H32">IF(ISERROR(INDEX(Invoices,SMALL(IF(Invoice_Number=$H$11,ROW(Invoice_Number)-4),ROW(8:8)),COLUMN(Details!$F$4)))=TRUE,"",INDEX(Invoices,SMALL(IF(Invoice_Number=$H$11,ROW(Invoice_Number)-4),ROW(8:8)),COLUMN(Details!$F$4)))</f>
        <v/>
      </c>
      <c r="I32" s="95"/>
    </row>
    <row r="33" spans="2:9" ht="16.149999999999999" customHeight="1" x14ac:dyDescent="0.25">
      <c r="B33" s="115"/>
      <c r="C33" s="116" t="str">
        <f t="array" ref="C33">IF(ISERROR(INDEX(Invoices,SMALL(IF(Invoice_Number=$H$11,ROW(Invoice_Number)-4),ROW(9:9)),COLUMN(Details!$E$4)))=TRUE,"",INDEX(Invoices,SMALL(IF(Invoice_Number=$H$11,ROW(Invoice_Number)-4),ROW(9:9)),COLUMN(Details!$E$4)))</f>
        <v/>
      </c>
      <c r="D33" s="95"/>
      <c r="E33" s="117" t="str">
        <f t="array" ref="E33">IF(ISERROR(INDEX(Invoices,SMALL(IF(Invoice_Number=$H$11,ROW(Invoice_Number)-4),ROW(9:9)),COLUMN(Details!$M$4)))=TRUE,"",INDEX(Invoices,SMALL(IF(Invoice_Number=$H$11,ROW(Invoice_Number)-4),ROW(9:9)),COLUMN(Details!$M$4)))</f>
        <v/>
      </c>
      <c r="F33" s="117" t="str">
        <f t="array" ref="F33">IF(ISERROR(INDEX(Invoices,SMALL(IF(Invoice_Number=$H$11,ROW(Invoice_Number)-4),ROW(9:9)),COLUMN(Details!$K$4)))=TRUE,"",INDEX(Invoices,SMALL(IF(Invoice_Number=$H$11,ROW(Invoice_Number)-4),ROW(9:9)),COLUMN(Details!$K$4)))</f>
        <v/>
      </c>
      <c r="G33" s="117" t="str">
        <f t="array" ref="G33">IF(ISERROR(INDEX(Invoices,SMALL(IF(Invoice_Number=$H$11,ROW(Invoice_Number)-4),ROW(9:9)),COLUMN(Details!$L$4)))=TRUE,"",INDEX(Invoices,SMALL(IF(Invoice_Number=$H$11,ROW(Invoice_Number)-4),ROW(9:9)),COLUMN(Details!$L$4)))</f>
        <v/>
      </c>
      <c r="H33" s="117" t="str">
        <f t="array" ref="H33">IF(ISERROR(INDEX(Invoices,SMALL(IF(Invoice_Number=$H$11,ROW(Invoice_Number)-4),ROW(9:9)),COLUMN(Details!$F$4)))=TRUE,"",INDEX(Invoices,SMALL(IF(Invoice_Number=$H$11,ROW(Invoice_Number)-4),ROW(9:9)),COLUMN(Details!$F$4)))</f>
        <v/>
      </c>
      <c r="I33" s="95"/>
    </row>
    <row r="34" spans="2:9" ht="16.149999999999999" customHeight="1" x14ac:dyDescent="0.25">
      <c r="B34" s="115"/>
      <c r="C34" s="116" t="str">
        <f t="array" ref="C34">IF(ISERROR(INDEX(Invoices,SMALL(IF(Invoice_Number=$H$11,ROW(Invoice_Number)-4),ROW(10:10)),COLUMN(Details!$E$4)))=TRUE,"",INDEX(Invoices,SMALL(IF(Invoice_Number=$H$11,ROW(Invoice_Number)-4),ROW(10:10)),COLUMN(Details!$E$4)))</f>
        <v/>
      </c>
      <c r="D34" s="95"/>
      <c r="E34" s="117" t="str">
        <f t="array" ref="E34">IF(ISERROR(INDEX(Invoices,SMALL(IF(Invoice_Number=$H$11,ROW(Invoice_Number)-4),ROW(10:10)),COLUMN(Details!$M$4)))=TRUE,"",INDEX(Invoices,SMALL(IF(Invoice_Number=$H$11,ROW(Invoice_Number)-4),ROW(10:10)),COLUMN(Details!$M$4)))</f>
        <v/>
      </c>
      <c r="F34" s="117" t="str">
        <f t="array" ref="F34">IF(ISERROR(INDEX(Invoices,SMALL(IF(Invoice_Number=$H$11,ROW(Invoice_Number)-4),ROW(10:10)),COLUMN(Details!$K$4)))=TRUE,"",INDEX(Invoices,SMALL(IF(Invoice_Number=$H$11,ROW(Invoice_Number)-4),ROW(10:10)),COLUMN(Details!$K$4)))</f>
        <v/>
      </c>
      <c r="G34" s="117" t="str">
        <f t="array" ref="G34">IF(ISERROR(INDEX(Invoices,SMALL(IF(Invoice_Number=$H$11,ROW(Invoice_Number)-4),ROW(10:10)),COLUMN(Details!$L$4)))=TRUE,"",INDEX(Invoices,SMALL(IF(Invoice_Number=$H$11,ROW(Invoice_Number)-4),ROW(10:10)),COLUMN(Details!$L$4)))</f>
        <v/>
      </c>
      <c r="H34" s="117" t="str">
        <f t="array" ref="H34">IF(ISERROR(INDEX(Invoices,SMALL(IF(Invoice_Number=$H$11,ROW(Invoice_Number)-4),ROW(10:10)),COLUMN(Details!$F$4)))=TRUE,"",INDEX(Invoices,SMALL(IF(Invoice_Number=$H$11,ROW(Invoice_Number)-4),ROW(10:10)),COLUMN(Details!$F$4)))</f>
        <v/>
      </c>
      <c r="I34" s="95"/>
    </row>
    <row r="35" spans="2:9" ht="16.149999999999999" customHeight="1" x14ac:dyDescent="0.25">
      <c r="B35" s="115"/>
      <c r="C35" s="116" t="str">
        <f t="array" ref="C35">IF(ISERROR(INDEX(Invoices,SMALL(IF(Invoice_Number=$H$11,ROW(Invoice_Number)-4),ROW(11:11)),COLUMN(Details!$E$4)))=TRUE,"",INDEX(Invoices,SMALL(IF(Invoice_Number=$H$11,ROW(Invoice_Number)-4),ROW(11:11)),COLUMN(Details!$E$4)))</f>
        <v/>
      </c>
      <c r="D35" s="95"/>
      <c r="E35" s="117" t="str">
        <f t="array" ref="E35">IF(ISERROR(INDEX(Invoices,SMALL(IF(Invoice_Number=$H$11,ROW(Invoice_Number)-4),ROW(11:11)),COLUMN(Details!$M$4)))=TRUE,"",INDEX(Invoices,SMALL(IF(Invoice_Number=$H$11,ROW(Invoice_Number)-4),ROW(11:11)),COLUMN(Details!$M$4)))</f>
        <v/>
      </c>
      <c r="F35" s="117" t="str">
        <f t="array" ref="F35">IF(ISERROR(INDEX(Invoices,SMALL(IF(Invoice_Number=$H$11,ROW(Invoice_Number)-4),ROW(11:11)),COLUMN(Details!$K$4)))=TRUE,"",INDEX(Invoices,SMALL(IF(Invoice_Number=$H$11,ROW(Invoice_Number)-4),ROW(11:11)),COLUMN(Details!$K$4)))</f>
        <v/>
      </c>
      <c r="G35" s="117" t="str">
        <f t="array" ref="G35">IF(ISERROR(INDEX(Invoices,SMALL(IF(Invoice_Number=$H$11,ROW(Invoice_Number)-4),ROW(11:11)),COLUMN(Details!$L$4)))=TRUE,"",INDEX(Invoices,SMALL(IF(Invoice_Number=$H$11,ROW(Invoice_Number)-4),ROW(11:11)),COLUMN(Details!$L$4)))</f>
        <v/>
      </c>
      <c r="H35" s="117" t="str">
        <f t="array" ref="H35">IF(ISERROR(INDEX(Invoices,SMALL(IF(Invoice_Number=$H$11,ROW(Invoice_Number)-4),ROW(11:11)),COLUMN(Details!$F$4)))=TRUE,"",INDEX(Invoices,SMALL(IF(Invoice_Number=$H$11,ROW(Invoice_Number)-4),ROW(11:11)),COLUMN(Details!$F$4)))</f>
        <v/>
      </c>
      <c r="I35" s="95"/>
    </row>
    <row r="36" spans="2:9" ht="16.149999999999999" customHeight="1" x14ac:dyDescent="0.25">
      <c r="B36" s="115"/>
      <c r="C36" s="116" t="str">
        <f t="array" ref="C36">IF(ISERROR(INDEX(Invoices,SMALL(IF(Invoice_Number=$H$11,ROW(Invoice_Number)-4),ROW(12:12)),COLUMN(Details!$E$4)))=TRUE,"",INDEX(Invoices,SMALL(IF(Invoice_Number=$H$11,ROW(Invoice_Number)-4),ROW(12:12)),COLUMN(Details!$E$4)))</f>
        <v/>
      </c>
      <c r="D36" s="95"/>
      <c r="E36" s="117" t="str">
        <f t="array" ref="E36">IF(ISERROR(INDEX(Invoices,SMALL(IF(Invoice_Number=$H$11,ROW(Invoice_Number)-4),ROW(12:12)),COLUMN(Details!$M$4)))=TRUE,"",INDEX(Invoices,SMALL(IF(Invoice_Number=$H$11,ROW(Invoice_Number)-4),ROW(12:12)),COLUMN(Details!$M$4)))</f>
        <v/>
      </c>
      <c r="F36" s="117" t="str">
        <f t="array" ref="F36">IF(ISERROR(INDEX(Invoices,SMALL(IF(Invoice_Number=$H$11,ROW(Invoice_Number)-4),ROW(12:12)),COLUMN(Details!$K$4)))=TRUE,"",INDEX(Invoices,SMALL(IF(Invoice_Number=$H$11,ROW(Invoice_Number)-4),ROW(12:12)),COLUMN(Details!$K$4)))</f>
        <v/>
      </c>
      <c r="G36" s="117" t="str">
        <f t="array" ref="G36">IF(ISERROR(INDEX(Invoices,SMALL(IF(Invoice_Number=$H$11,ROW(Invoice_Number)-4),ROW(12:12)),COLUMN(Details!$L$4)))=TRUE,"",INDEX(Invoices,SMALL(IF(Invoice_Number=$H$11,ROW(Invoice_Number)-4),ROW(12:12)),COLUMN(Details!$L$4)))</f>
        <v/>
      </c>
      <c r="H36" s="117" t="str">
        <f t="array" ref="H36">IF(ISERROR(INDEX(Invoices,SMALL(IF(Invoice_Number=$H$11,ROW(Invoice_Number)-4),ROW(12:12)),COLUMN(Details!$F$4)))=TRUE,"",INDEX(Invoices,SMALL(IF(Invoice_Number=$H$11,ROW(Invoice_Number)-4),ROW(12:12)),COLUMN(Details!$F$4)))</f>
        <v/>
      </c>
      <c r="I36" s="95"/>
    </row>
    <row r="37" spans="2:9" ht="16.149999999999999" customHeight="1" x14ac:dyDescent="0.25">
      <c r="B37" s="115"/>
      <c r="C37" s="116" t="str">
        <f t="array" ref="C37">IF(ISERROR(INDEX(Invoices,SMALL(IF(Invoice_Number=$H$11,ROW(Invoice_Number)-4),ROW(13:13)),COLUMN(Details!$E$4)))=TRUE,"",INDEX(Invoices,SMALL(IF(Invoice_Number=$H$11,ROW(Invoice_Number)-4),ROW(13:13)),COLUMN(Details!$E$4)))</f>
        <v/>
      </c>
      <c r="D37" s="95"/>
      <c r="E37" s="117" t="str">
        <f t="array" ref="E37">IF(ISERROR(INDEX(Invoices,SMALL(IF(Invoice_Number=$H$11,ROW(Invoice_Number)-4),ROW(13:13)),COLUMN(Details!$M$4)))=TRUE,"",INDEX(Invoices,SMALL(IF(Invoice_Number=$H$11,ROW(Invoice_Number)-4),ROW(13:13)),COLUMN(Details!$M$4)))</f>
        <v/>
      </c>
      <c r="F37" s="117" t="str">
        <f t="array" ref="F37">IF(ISERROR(INDEX(Invoices,SMALL(IF(Invoice_Number=$H$11,ROW(Invoice_Number)-4),ROW(13:13)),COLUMN(Details!$K$4)))=TRUE,"",INDEX(Invoices,SMALL(IF(Invoice_Number=$H$11,ROW(Invoice_Number)-4),ROW(13:13)),COLUMN(Details!$K$4)))</f>
        <v/>
      </c>
      <c r="G37" s="117" t="str">
        <f t="array" ref="G37">IF(ISERROR(INDEX(Invoices,SMALL(IF(Invoice_Number=$H$11,ROW(Invoice_Number)-4),ROW(13:13)),COLUMN(Details!$L$4)))=TRUE,"",INDEX(Invoices,SMALL(IF(Invoice_Number=$H$11,ROW(Invoice_Number)-4),ROW(13:13)),COLUMN(Details!$L$4)))</f>
        <v/>
      </c>
      <c r="H37" s="117" t="str">
        <f t="array" ref="H37">IF(ISERROR(INDEX(Invoices,SMALL(IF(Invoice_Number=$H$11,ROW(Invoice_Number)-4),ROW(13:13)),COLUMN(Details!$F$4)))=TRUE,"",INDEX(Invoices,SMALL(IF(Invoice_Number=$H$11,ROW(Invoice_Number)-4),ROW(13:13)),COLUMN(Details!$F$4)))</f>
        <v/>
      </c>
      <c r="I37" s="95"/>
    </row>
    <row r="38" spans="2:9" ht="16.149999999999999" customHeight="1" x14ac:dyDescent="0.25">
      <c r="B38" s="115"/>
      <c r="C38" s="116" t="str">
        <f t="array" ref="C38">IF(ISERROR(INDEX(Invoices,SMALL(IF(Invoice_Number=$H$11,ROW(Invoice_Number)-4),ROW(14:14)),COLUMN(Details!$E$4)))=TRUE,"",INDEX(Invoices,SMALL(IF(Invoice_Number=$H$11,ROW(Invoice_Number)-4),ROW(14:14)),COLUMN(Details!$E$4)))</f>
        <v/>
      </c>
      <c r="D38" s="95"/>
      <c r="E38" s="117" t="str">
        <f t="array" ref="E38">IF(ISERROR(INDEX(Invoices,SMALL(IF(Invoice_Number=$H$11,ROW(Invoice_Number)-4),ROW(14:14)),COLUMN(Details!$M$4)))=TRUE,"",INDEX(Invoices,SMALL(IF(Invoice_Number=$H$11,ROW(Invoice_Number)-4),ROW(14:14)),COLUMN(Details!$M$4)))</f>
        <v/>
      </c>
      <c r="F38" s="117" t="str">
        <f t="array" ref="F38">IF(ISERROR(INDEX(Invoices,SMALL(IF(Invoice_Number=$H$11,ROW(Invoice_Number)-4),ROW(14:14)),COLUMN(Details!$K$4)))=TRUE,"",INDEX(Invoices,SMALL(IF(Invoice_Number=$H$11,ROW(Invoice_Number)-4),ROW(14:14)),COLUMN(Details!$K$4)))</f>
        <v/>
      </c>
      <c r="G38" s="117" t="str">
        <f t="array" ref="G38">IF(ISERROR(INDEX(Invoices,SMALL(IF(Invoice_Number=$H$11,ROW(Invoice_Number)-4),ROW(14:14)),COLUMN(Details!$L$4)))=TRUE,"",INDEX(Invoices,SMALL(IF(Invoice_Number=$H$11,ROW(Invoice_Number)-4),ROW(14:14)),COLUMN(Details!$L$4)))</f>
        <v/>
      </c>
      <c r="H38" s="117" t="str">
        <f t="array" ref="H38">IF(ISERROR(INDEX(Invoices,SMALL(IF(Invoice_Number=$H$11,ROW(Invoice_Number)-4),ROW(14:14)),COLUMN(Details!$F$4)))=TRUE,"",INDEX(Invoices,SMALL(IF(Invoice_Number=$H$11,ROW(Invoice_Number)-4),ROW(14:14)),COLUMN(Details!$F$4)))</f>
        <v/>
      </c>
      <c r="I38" s="95"/>
    </row>
    <row r="39" spans="2:9" ht="16.149999999999999" customHeight="1" x14ac:dyDescent="0.25">
      <c r="B39" s="115"/>
      <c r="C39" s="116" t="str">
        <f t="array" ref="C39">IF(ISERROR(INDEX(Invoices,SMALL(IF(Invoice_Number=$H$11,ROW(Invoice_Number)-4),ROW(15:15)),COLUMN(Details!$E$4)))=TRUE,"",INDEX(Invoices,SMALL(IF(Invoice_Number=$H$11,ROW(Invoice_Number)-4),ROW(15:15)),COLUMN(Details!$E$4)))</f>
        <v/>
      </c>
      <c r="D39" s="95"/>
      <c r="E39" s="117" t="str">
        <f t="array" ref="E39">IF(ISERROR(INDEX(Invoices,SMALL(IF(Invoice_Number=$H$11,ROW(Invoice_Number)-4),ROW(15:15)),COLUMN(Details!$M$4)))=TRUE,"",INDEX(Invoices,SMALL(IF(Invoice_Number=$H$11,ROW(Invoice_Number)-4),ROW(15:15)),COLUMN(Details!$M$4)))</f>
        <v/>
      </c>
      <c r="F39" s="117" t="str">
        <f t="array" ref="F39">IF(ISERROR(INDEX(Invoices,SMALL(IF(Invoice_Number=$H$11,ROW(Invoice_Number)-4),ROW(15:15)),COLUMN(Details!$K$4)))=TRUE,"",INDEX(Invoices,SMALL(IF(Invoice_Number=$H$11,ROW(Invoice_Number)-4),ROW(15:15)),COLUMN(Details!$K$4)))</f>
        <v/>
      </c>
      <c r="G39" s="117" t="str">
        <f t="array" ref="G39">IF(ISERROR(INDEX(Invoices,SMALL(IF(Invoice_Number=$H$11,ROW(Invoice_Number)-4),ROW(15:15)),COLUMN(Details!$L$4)))=TRUE,"",INDEX(Invoices,SMALL(IF(Invoice_Number=$H$11,ROW(Invoice_Number)-4),ROW(15:15)),COLUMN(Details!$L$4)))</f>
        <v/>
      </c>
      <c r="H39" s="117" t="str">
        <f t="array" ref="H39">IF(ISERROR(INDEX(Invoices,SMALL(IF(Invoice_Number=$H$11,ROW(Invoice_Number)-4),ROW(15:15)),COLUMN(Details!$F$4)))=TRUE,"",INDEX(Invoices,SMALL(IF(Invoice_Number=$H$11,ROW(Invoice_Number)-4),ROW(15:15)),COLUMN(Details!$F$4)))</f>
        <v/>
      </c>
      <c r="I39" s="95"/>
    </row>
    <row r="40" spans="2:9" ht="16.149999999999999" customHeight="1" x14ac:dyDescent="0.25">
      <c r="B40" s="115"/>
      <c r="C40" s="116" t="str">
        <f t="array" ref="C40">IF(ISERROR(INDEX(Invoices,SMALL(IF(Invoice_Number=$H$11,ROW(Invoice_Number)-4),ROW(16:16)),COLUMN(Details!$E$4)))=TRUE,"",INDEX(Invoices,SMALL(IF(Invoice_Number=$H$11,ROW(Invoice_Number)-4),ROW(16:16)),COLUMN(Details!$E$4)))</f>
        <v/>
      </c>
      <c r="D40" s="95"/>
      <c r="E40" s="117" t="str">
        <f t="array" ref="E40">IF(ISERROR(INDEX(Invoices,SMALL(IF(Invoice_Number=$H$11,ROW(Invoice_Number)-4),ROW(16:16)),COLUMN(Details!$M$4)))=TRUE,"",INDEX(Invoices,SMALL(IF(Invoice_Number=$H$11,ROW(Invoice_Number)-4),ROW(16:16)),COLUMN(Details!$M$4)))</f>
        <v/>
      </c>
      <c r="F40" s="117" t="str">
        <f t="array" ref="F40">IF(ISERROR(INDEX(Invoices,SMALL(IF(Invoice_Number=$H$11,ROW(Invoice_Number)-4),ROW(16:16)),COLUMN(Details!$K$4)))=TRUE,"",INDEX(Invoices,SMALL(IF(Invoice_Number=$H$11,ROW(Invoice_Number)-4),ROW(16:16)),COLUMN(Details!$K$4)))</f>
        <v/>
      </c>
      <c r="G40" s="117" t="str">
        <f t="array" ref="G40">IF(ISERROR(INDEX(Invoices,SMALL(IF(Invoice_Number=$H$11,ROW(Invoice_Number)-4),ROW(16:16)),COLUMN(Details!$L$4)))=TRUE,"",INDEX(Invoices,SMALL(IF(Invoice_Number=$H$11,ROW(Invoice_Number)-4),ROW(16:16)),COLUMN(Details!$L$4)))</f>
        <v/>
      </c>
      <c r="H40" s="117" t="str">
        <f t="array" ref="H40">IF(ISERROR(INDEX(Invoices,SMALL(IF(Invoice_Number=$H$11,ROW(Invoice_Number)-4),ROW(16:16)),COLUMN(Details!$F$4)))=TRUE,"",INDEX(Invoices,SMALL(IF(Invoice_Number=$H$11,ROW(Invoice_Number)-4),ROW(16:16)),COLUMN(Details!$F$4)))</f>
        <v/>
      </c>
      <c r="I40" s="95"/>
    </row>
    <row r="41" spans="2:9" ht="16.149999999999999" customHeight="1" x14ac:dyDescent="0.25">
      <c r="B41" s="115"/>
      <c r="C41" s="116" t="str">
        <f t="array" ref="C41">IF(ISERROR(INDEX(Invoices,SMALL(IF(Invoice_Number=$H$11,ROW(Invoice_Number)-4),ROW(17:17)),COLUMN(Details!$E$4)))=TRUE,"",INDEX(Invoices,SMALL(IF(Invoice_Number=$H$11,ROW(Invoice_Number)-4),ROW(17:17)),COLUMN(Details!$E$4)))</f>
        <v/>
      </c>
      <c r="D41" s="95"/>
      <c r="E41" s="117" t="str">
        <f t="array" ref="E41">IF(ISERROR(INDEX(Invoices,SMALL(IF(Invoice_Number=$H$11,ROW(Invoice_Number)-4),ROW(17:17)),COLUMN(Details!$M$4)))=TRUE,"",INDEX(Invoices,SMALL(IF(Invoice_Number=$H$11,ROW(Invoice_Number)-4),ROW(17:17)),COLUMN(Details!$M$4)))</f>
        <v/>
      </c>
      <c r="F41" s="117" t="str">
        <f t="array" ref="F41">IF(ISERROR(INDEX(Invoices,SMALL(IF(Invoice_Number=$H$11,ROW(Invoice_Number)-4),ROW(17:17)),COLUMN(Details!$K$4)))=TRUE,"",INDEX(Invoices,SMALL(IF(Invoice_Number=$H$11,ROW(Invoice_Number)-4),ROW(17:17)),COLUMN(Details!$K$4)))</f>
        <v/>
      </c>
      <c r="G41" s="117" t="str">
        <f t="array" ref="G41">IF(ISERROR(INDEX(Invoices,SMALL(IF(Invoice_Number=$H$11,ROW(Invoice_Number)-4),ROW(17:17)),COLUMN(Details!$L$4)))=TRUE,"",INDEX(Invoices,SMALL(IF(Invoice_Number=$H$11,ROW(Invoice_Number)-4),ROW(17:17)),COLUMN(Details!$L$4)))</f>
        <v/>
      </c>
      <c r="H41" s="117" t="str">
        <f t="array" ref="H41">IF(ISERROR(INDEX(Invoices,SMALL(IF(Invoice_Number=$H$11,ROW(Invoice_Number)-4),ROW(17:17)),COLUMN(Details!$F$4)))=TRUE,"",INDEX(Invoices,SMALL(IF(Invoice_Number=$H$11,ROW(Invoice_Number)-4),ROW(17:17)),COLUMN(Details!$F$4)))</f>
        <v/>
      </c>
      <c r="I41" s="95"/>
    </row>
    <row r="42" spans="2:9" ht="16.149999999999999" customHeight="1" x14ac:dyDescent="0.25">
      <c r="B42" s="115"/>
      <c r="C42" s="116" t="str">
        <f t="array" ref="C42">IF(ISERROR(INDEX(Invoices,SMALL(IF(Invoice_Number=$H$11,ROW(Invoice_Number)-4),ROW(18:18)),COLUMN(Details!$E$4)))=TRUE,"",INDEX(Invoices,SMALL(IF(Invoice_Number=$H$11,ROW(Invoice_Number)-4),ROW(18:18)),COLUMN(Details!$E$4)))</f>
        <v/>
      </c>
      <c r="D42" s="95"/>
      <c r="E42" s="117" t="str">
        <f t="array" ref="E42">IF(ISERROR(INDEX(Invoices,SMALL(IF(Invoice_Number=$H$11,ROW(Invoice_Number)-4),ROW(18:18)),COLUMN(Details!$M$4)))=TRUE,"",INDEX(Invoices,SMALL(IF(Invoice_Number=$H$11,ROW(Invoice_Number)-4),ROW(18:18)),COLUMN(Details!$M$4)))</f>
        <v/>
      </c>
      <c r="F42" s="117" t="str">
        <f t="array" ref="F42">IF(ISERROR(INDEX(Invoices,SMALL(IF(Invoice_Number=$H$11,ROW(Invoice_Number)-4),ROW(18:18)),COLUMN(Details!$K$4)))=TRUE,"",INDEX(Invoices,SMALL(IF(Invoice_Number=$H$11,ROW(Invoice_Number)-4),ROW(18:18)),COLUMN(Details!$K$4)))</f>
        <v/>
      </c>
      <c r="G42" s="117" t="str">
        <f t="array" ref="G42">IF(ISERROR(INDEX(Invoices,SMALL(IF(Invoice_Number=$H$11,ROW(Invoice_Number)-4),ROW(18:18)),COLUMN(Details!$L$4)))=TRUE,"",INDEX(Invoices,SMALL(IF(Invoice_Number=$H$11,ROW(Invoice_Number)-4),ROW(18:18)),COLUMN(Details!$L$4)))</f>
        <v/>
      </c>
      <c r="H42" s="117" t="str">
        <f t="array" ref="H42">IF(ISERROR(INDEX(Invoices,SMALL(IF(Invoice_Number=$H$11,ROW(Invoice_Number)-4),ROW(18:18)),COLUMN(Details!$F$4)))=TRUE,"",INDEX(Invoices,SMALL(IF(Invoice_Number=$H$11,ROW(Invoice_Number)-4),ROW(18:18)),COLUMN(Details!$F$4)))</f>
        <v/>
      </c>
      <c r="I42" s="95"/>
    </row>
    <row r="43" spans="2:9" ht="16.149999999999999" customHeight="1" x14ac:dyDescent="0.25">
      <c r="B43" s="115"/>
      <c r="C43" s="116" t="str">
        <f t="array" ref="C43">IF(ISERROR(INDEX(Invoices,SMALL(IF(Invoice_Number=$H$11,ROW(Invoice_Number)-4),ROW(19:19)),COLUMN(Details!$E$4)))=TRUE,"",INDEX(Invoices,SMALL(IF(Invoice_Number=$H$11,ROW(Invoice_Number)-4),ROW(19:19)),COLUMN(Details!$E$4)))</f>
        <v/>
      </c>
      <c r="D43" s="95"/>
      <c r="E43" s="117" t="str">
        <f t="array" ref="E43">IF(ISERROR(INDEX(Invoices,SMALL(IF(Invoice_Number=$H$11,ROW(Invoice_Number)-4),ROW(19:19)),COLUMN(Details!$M$4)))=TRUE,"",INDEX(Invoices,SMALL(IF(Invoice_Number=$H$11,ROW(Invoice_Number)-4),ROW(19:19)),COLUMN(Details!$M$4)))</f>
        <v/>
      </c>
      <c r="F43" s="117" t="str">
        <f t="array" ref="F43">IF(ISERROR(INDEX(Invoices,SMALL(IF(Invoice_Number=$H$11,ROW(Invoice_Number)-4),ROW(19:19)),COLUMN(Details!$K$4)))=TRUE,"",INDEX(Invoices,SMALL(IF(Invoice_Number=$H$11,ROW(Invoice_Number)-4),ROW(19:19)),COLUMN(Details!$K$4)))</f>
        <v/>
      </c>
      <c r="G43" s="117" t="str">
        <f t="array" ref="G43">IF(ISERROR(INDEX(Invoices,SMALL(IF(Invoice_Number=$H$11,ROW(Invoice_Number)-4),ROW(19:19)),COLUMN(Details!$L$4)))=TRUE,"",INDEX(Invoices,SMALL(IF(Invoice_Number=$H$11,ROW(Invoice_Number)-4),ROW(19:19)),COLUMN(Details!$L$4)))</f>
        <v/>
      </c>
      <c r="H43" s="117" t="str">
        <f t="array" ref="H43">IF(ISERROR(INDEX(Invoices,SMALL(IF(Invoice_Number=$H$11,ROW(Invoice_Number)-4),ROW(19:19)),COLUMN(Details!$F$4)))=TRUE,"",INDEX(Invoices,SMALL(IF(Invoice_Number=$H$11,ROW(Invoice_Number)-4),ROW(19:19)),COLUMN(Details!$F$4)))</f>
        <v/>
      </c>
      <c r="I43" s="95"/>
    </row>
    <row r="44" spans="2:9" ht="16.149999999999999" customHeight="1" x14ac:dyDescent="0.25">
      <c r="B44" s="115"/>
      <c r="C44" s="116" t="str">
        <f t="array" ref="C44">IF(ISERROR(INDEX(Invoices,SMALL(IF(Invoice_Number=$H$11,ROW(Invoice_Number)-4),ROW(20:20)),COLUMN(Details!$E$4)))=TRUE,"",INDEX(Invoices,SMALL(IF(Invoice_Number=$H$11,ROW(Invoice_Number)-4),ROW(20:20)),COLUMN(Details!$E$4)))</f>
        <v/>
      </c>
      <c r="D44" s="95"/>
      <c r="E44" s="117" t="str">
        <f t="array" ref="E44">IF(ISERROR(INDEX(Invoices,SMALL(IF(Invoice_Number=$H$11,ROW(Invoice_Number)-4),ROW(20:20)),COLUMN(Details!$M$4)))=TRUE,"",INDEX(Invoices,SMALL(IF(Invoice_Number=$H$11,ROW(Invoice_Number)-4),ROW(20:20)),COLUMN(Details!$M$4)))</f>
        <v/>
      </c>
      <c r="F44" s="117" t="str">
        <f t="array" ref="F44">IF(ISERROR(INDEX(Invoices,SMALL(IF(Invoice_Number=$H$11,ROW(Invoice_Number)-4),ROW(20:20)),COLUMN(Details!$K$4)))=TRUE,"",INDEX(Invoices,SMALL(IF(Invoice_Number=$H$11,ROW(Invoice_Number)-4),ROW(20:20)),COLUMN(Details!$K$4)))</f>
        <v/>
      </c>
      <c r="G44" s="117" t="str">
        <f t="array" ref="G44">IF(ISERROR(INDEX(Invoices,SMALL(IF(Invoice_Number=$H$11,ROW(Invoice_Number)-4),ROW(20:20)),COLUMN(Details!$L$4)))=TRUE,"",INDEX(Invoices,SMALL(IF(Invoice_Number=$H$11,ROW(Invoice_Number)-4),ROW(20:20)),COLUMN(Details!$L$4)))</f>
        <v/>
      </c>
      <c r="H44" s="117" t="str">
        <f t="array" ref="H44">IF(ISERROR(INDEX(Invoices,SMALL(IF(Invoice_Number=$H$11,ROW(Invoice_Number)-4),ROW(20:20)),COLUMN(Details!$F$4)))=TRUE,"",INDEX(Invoices,SMALL(IF(Invoice_Number=$H$11,ROW(Invoice_Number)-4),ROW(20:20)),COLUMN(Details!$F$4)))</f>
        <v/>
      </c>
      <c r="I44" s="95"/>
    </row>
    <row r="45" spans="2:9" s="119" customFormat="1" ht="16.149999999999999" customHeight="1" x14ac:dyDescent="0.2">
      <c r="B45" s="4"/>
      <c r="C45" s="101" t="s">
        <v>21</v>
      </c>
      <c r="D45" s="4"/>
      <c r="E45" s="118">
        <f ca="1">SUM(E25:E44)</f>
        <v>42186.421404682267</v>
      </c>
      <c r="F45" s="118">
        <f ca="1">SUM(F25:F44)</f>
        <v>6327.9632107023417</v>
      </c>
      <c r="G45" s="118">
        <f ca="1">SUM(G25:G44)</f>
        <v>3823.6153846153848</v>
      </c>
      <c r="H45" s="118">
        <f>SUM(H25:H44)</f>
        <v>52338</v>
      </c>
      <c r="I45" s="4"/>
    </row>
    <row r="46" spans="2:9" ht="16.149999999999999" customHeight="1" x14ac:dyDescent="0.25">
      <c r="B46" s="95"/>
      <c r="C46" s="95"/>
      <c r="D46" s="95"/>
      <c r="E46" s="95"/>
      <c r="F46" s="96"/>
      <c r="G46" s="96"/>
      <c r="H46" s="96"/>
      <c r="I46" s="95"/>
    </row>
    <row r="47" spans="2:9" ht="16.149999999999999" customHeight="1" x14ac:dyDescent="0.25">
      <c r="B47" s="95"/>
      <c r="C47" s="122" t="s">
        <v>22</v>
      </c>
      <c r="D47" s="123"/>
      <c r="E47" s="95"/>
      <c r="F47" s="105" t="s">
        <v>257</v>
      </c>
      <c r="G47" s="105"/>
      <c r="H47" s="124"/>
      <c r="I47" s="95"/>
    </row>
    <row r="48" spans="2:9" ht="16.149999999999999" customHeight="1" x14ac:dyDescent="0.25">
      <c r="B48" s="95"/>
      <c r="C48" s="125" t="str">
        <f>"Bank: "&amp;Setup!$C$32</f>
        <v>Bank: Example Bank</v>
      </c>
      <c r="D48" s="126"/>
      <c r="E48" s="95"/>
      <c r="F48" s="127" t="s">
        <v>258</v>
      </c>
      <c r="G48" s="179"/>
      <c r="H48" s="128" t="str">
        <f>IF(ISNA(VLOOKUP($H$11,Invoices,COLUMN(Details!$J$4),0))=TRUE,"",IF(VLOOKUP($H$11,Invoices,COLUMN(Details!$J$4),0)=0,"Due","Paid"))</f>
        <v>Paid</v>
      </c>
      <c r="I48" s="95"/>
    </row>
    <row r="49" spans="2:9" ht="16.149999999999999" customHeight="1" x14ac:dyDescent="0.25">
      <c r="B49" s="95"/>
      <c r="C49" s="125" t="str">
        <f>"Account Type: "&amp;Setup!$C$31</f>
        <v>Account Type: Current Account</v>
      </c>
      <c r="D49" s="126"/>
      <c r="E49" s="95"/>
      <c r="F49" s="127" t="s">
        <v>260</v>
      </c>
      <c r="G49" s="179"/>
      <c r="H49" s="129">
        <f>IF(ISNA(VLOOKUP($H$11,Invoices,COLUMN(Details!$I$4),0))=TRUE,"",VLOOKUP($H$11,Invoices,COLUMN(Details!$I$4),0))</f>
        <v>43968</v>
      </c>
      <c r="I49" s="95"/>
    </row>
    <row r="50" spans="2:9" ht="16.149999999999999" customHeight="1" x14ac:dyDescent="0.25">
      <c r="B50" s="95"/>
      <c r="C50" s="125" t="str">
        <f>"Bank Code: "&amp;Setup!$C$33</f>
        <v>Bank Code: 999-999</v>
      </c>
      <c r="D50" s="126"/>
      <c r="E50" s="95"/>
      <c r="F50" s="130" t="s">
        <v>259</v>
      </c>
      <c r="G50" s="180"/>
      <c r="H50" s="131">
        <f>IF(ISNA(VLOOKUP($H$11,Invoices,COLUMN(Details!$J$4),0))=TRUE,"",IF(VLOOKUP($H$11,Invoices,COLUMN(Details!$J$4),0)=0,"-",VLOOKUP($H$11,Invoices,COLUMN(Details!$J$4),0)))</f>
        <v>43971</v>
      </c>
      <c r="I50" s="95"/>
    </row>
    <row r="51" spans="2:9" ht="16.149999999999999" customHeight="1" x14ac:dyDescent="0.25">
      <c r="B51" s="95"/>
      <c r="C51" s="132" t="str">
        <f>"Account Number: "&amp;Setup!$C$34</f>
        <v>Account Number: 1111 999 888</v>
      </c>
      <c r="D51" s="133"/>
      <c r="E51" s="95"/>
      <c r="F51" s="96"/>
      <c r="G51" s="96"/>
      <c r="H51" s="96"/>
      <c r="I51" s="95"/>
    </row>
    <row r="52" spans="2:9" ht="16.149999999999999" customHeight="1" x14ac:dyDescent="0.25">
      <c r="B52" s="134"/>
      <c r="C52" s="134"/>
      <c r="D52" s="134"/>
      <c r="E52" s="134"/>
      <c r="F52" s="135"/>
      <c r="G52" s="135"/>
      <c r="H52" s="135"/>
      <c r="I52" s="134"/>
    </row>
    <row r="53" spans="2:9" ht="16.149999999999999" customHeight="1" x14ac:dyDescent="0.25">
      <c r="F53" s="93"/>
      <c r="G53" s="93"/>
      <c r="H53" s="93"/>
    </row>
  </sheetData>
  <sheetProtection formatCells="0" formatColumns="0" formatRows="0"/>
  <mergeCells count="6">
    <mergeCell ref="F19:H19"/>
    <mergeCell ref="F20:H20"/>
    <mergeCell ref="F15:H15"/>
    <mergeCell ref="F16:H16"/>
    <mergeCell ref="F17:H17"/>
    <mergeCell ref="F18:H18"/>
  </mergeCells>
  <phoneticPr fontId="3" type="noConversion"/>
  <conditionalFormatting sqref="H48">
    <cfRule type="cellIs" dxfId="20" priority="3" stopIfTrue="1" operator="equal">
      <formula>"Due"</formula>
    </cfRule>
  </conditionalFormatting>
  <conditionalFormatting sqref="H50">
    <cfRule type="cellIs" dxfId="19" priority="1" stopIfTrue="1" operator="greaterThan">
      <formula>$H$49</formula>
    </cfRule>
  </conditionalFormatting>
  <printOptions horizontalCentered="1"/>
  <pageMargins left="0.55118110236220474" right="0.55118110236220474" top="0.59055118110236227" bottom="0.59055118110236227" header="0.39370078740157483" footer="0.39370078740157483"/>
  <pageSetup paperSize="9" scale="8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B1:K898"/>
  <sheetViews>
    <sheetView zoomScale="95" zoomScaleNormal="95" workbookViewId="0">
      <selection activeCell="J11" sqref="J11"/>
    </sheetView>
  </sheetViews>
  <sheetFormatPr defaultColWidth="9.140625" defaultRowHeight="16.149999999999999" customHeight="1" x14ac:dyDescent="0.25"/>
  <cols>
    <col min="1" max="1" width="1.7109375" style="93" customWidth="1"/>
    <col min="2" max="2" width="3.7109375" style="93" customWidth="1"/>
    <col min="3" max="4" width="12.7109375" style="93" customWidth="1"/>
    <col min="5" max="5" width="12.7109375" style="164" customWidth="1"/>
    <col min="6" max="8" width="12.7109375" style="93" customWidth="1"/>
    <col min="9" max="9" width="12.7109375" style="164" customWidth="1"/>
    <col min="10" max="10" width="12.7109375" style="120" customWidth="1"/>
    <col min="11" max="11" width="3.7109375" style="120" customWidth="1"/>
    <col min="12" max="23" width="15.7109375" style="93" customWidth="1"/>
    <col min="24" max="16384" width="9.140625" style="93"/>
  </cols>
  <sheetData>
    <row r="1" spans="2:11" ht="16.149999999999999" customHeight="1" x14ac:dyDescent="0.25">
      <c r="B1" s="92"/>
      <c r="C1" s="92"/>
      <c r="D1" s="92"/>
      <c r="E1" s="92"/>
      <c r="F1" s="92"/>
      <c r="G1" s="92"/>
      <c r="H1" s="92"/>
      <c r="I1" s="92"/>
      <c r="J1" s="92"/>
      <c r="K1" s="92"/>
    </row>
    <row r="2" spans="2:11" ht="16.149999999999999" customHeight="1" x14ac:dyDescent="0.25">
      <c r="B2" s="94"/>
      <c r="C2" s="94"/>
      <c r="D2" s="94"/>
      <c r="E2" s="94"/>
      <c r="F2" s="94"/>
      <c r="G2" s="94"/>
      <c r="H2" s="94"/>
      <c r="I2" s="94"/>
      <c r="J2" s="94"/>
      <c r="K2" s="94"/>
    </row>
    <row r="3" spans="2:11" ht="16.149999999999999" customHeight="1" x14ac:dyDescent="0.25">
      <c r="B3" s="94"/>
      <c r="C3" s="94"/>
      <c r="D3" s="94"/>
      <c r="E3" s="94"/>
      <c r="F3" s="94"/>
      <c r="G3" s="94"/>
      <c r="H3" s="94"/>
      <c r="I3" s="94"/>
      <c r="J3" s="94"/>
      <c r="K3" s="94"/>
    </row>
    <row r="4" spans="2:11" ht="16.149999999999999" customHeight="1" x14ac:dyDescent="0.25">
      <c r="B4" s="94"/>
      <c r="C4" s="94"/>
      <c r="D4" s="94"/>
      <c r="E4" s="94"/>
      <c r="F4" s="94"/>
      <c r="G4" s="94"/>
      <c r="H4" s="94"/>
      <c r="I4" s="94"/>
      <c r="J4" s="94"/>
      <c r="K4" s="94"/>
    </row>
    <row r="5" spans="2:11" ht="16.149999999999999" customHeight="1" x14ac:dyDescent="0.25">
      <c r="B5" s="94"/>
      <c r="C5" s="94"/>
      <c r="D5" s="94"/>
      <c r="E5" s="94"/>
      <c r="F5" s="94"/>
      <c r="G5" s="94"/>
      <c r="H5" s="94"/>
      <c r="I5" s="94"/>
      <c r="J5" s="94"/>
      <c r="K5" s="94"/>
    </row>
    <row r="6" spans="2:11" ht="16.149999999999999" customHeight="1" x14ac:dyDescent="0.25">
      <c r="B6" s="94"/>
      <c r="C6" s="94"/>
      <c r="D6" s="94"/>
      <c r="E6" s="94"/>
      <c r="F6" s="94"/>
      <c r="G6" s="94"/>
      <c r="H6" s="94"/>
      <c r="I6" s="94"/>
      <c r="J6" s="94"/>
      <c r="K6" s="94"/>
    </row>
    <row r="7" spans="2:11" ht="16.149999999999999" customHeight="1" x14ac:dyDescent="0.25">
      <c r="B7" s="95"/>
      <c r="C7" s="95"/>
      <c r="D7" s="95"/>
      <c r="E7" s="136"/>
      <c r="F7" s="95"/>
      <c r="G7" s="95"/>
      <c r="H7" s="95"/>
      <c r="I7" s="136"/>
      <c r="J7" s="96"/>
      <c r="K7" s="96"/>
    </row>
    <row r="8" spans="2:11" ht="16.149999999999999" customHeight="1" x14ac:dyDescent="0.25">
      <c r="B8" s="95"/>
      <c r="C8" s="95"/>
      <c r="D8" s="95"/>
      <c r="E8" s="136"/>
      <c r="F8" s="95"/>
      <c r="G8" s="95"/>
      <c r="H8" s="95"/>
      <c r="I8" s="136"/>
      <c r="J8" s="96"/>
      <c r="K8" s="96"/>
    </row>
    <row r="9" spans="2:11" ht="16.149999999999999" customHeight="1" x14ac:dyDescent="0.25">
      <c r="B9" s="95"/>
      <c r="C9" s="137"/>
      <c r="D9" s="95"/>
      <c r="E9" s="136"/>
      <c r="F9" s="95"/>
      <c r="G9" s="95"/>
      <c r="H9" s="101"/>
      <c r="I9" s="103"/>
      <c r="J9" s="121" t="s">
        <v>232</v>
      </c>
      <c r="K9" s="96"/>
    </row>
    <row r="10" spans="2:11" ht="16.149999999999999" customHeight="1" x14ac:dyDescent="0.25">
      <c r="B10" s="95"/>
      <c r="C10" s="138" t="str">
        <f>Setup!$C$5</f>
        <v>Example (Pty) Ltd</v>
      </c>
      <c r="D10" s="95"/>
      <c r="E10" s="136"/>
      <c r="F10" s="95"/>
      <c r="G10" s="95"/>
      <c r="H10" s="138"/>
      <c r="I10" s="103"/>
      <c r="J10" s="96"/>
      <c r="K10" s="96"/>
    </row>
    <row r="11" spans="2:11" ht="16.149999999999999" customHeight="1" x14ac:dyDescent="0.25">
      <c r="B11" s="95"/>
      <c r="C11" s="100" t="str">
        <f>IF(ISBLANK(Setup!$C$7)=TRUE,"",Setup!$C$7)</f>
        <v>Building Name</v>
      </c>
      <c r="D11" s="95"/>
      <c r="E11" s="136"/>
      <c r="F11" s="95"/>
      <c r="G11" s="95"/>
      <c r="H11" s="101" t="s">
        <v>202</v>
      </c>
      <c r="I11" s="103"/>
      <c r="J11" s="139" t="s">
        <v>149</v>
      </c>
      <c r="K11" s="140"/>
    </row>
    <row r="12" spans="2:11" ht="16.149999999999999" customHeight="1" x14ac:dyDescent="0.25">
      <c r="B12" s="95"/>
      <c r="C12" s="100" t="str">
        <f>IF(ISBLANK(Setup!$C$8)=TRUE,"",Setup!$C$8)</f>
        <v>Street Address</v>
      </c>
      <c r="D12" s="95"/>
      <c r="E12" s="136"/>
      <c r="F12" s="95"/>
      <c r="G12" s="95"/>
      <c r="H12" s="101" t="s">
        <v>207</v>
      </c>
      <c r="I12" s="103"/>
      <c r="J12" s="141">
        <v>44255</v>
      </c>
      <c r="K12" s="142"/>
    </row>
    <row r="13" spans="2:11" ht="16.149999999999999" customHeight="1" x14ac:dyDescent="0.25">
      <c r="B13" s="95"/>
      <c r="C13" s="100" t="str">
        <f>IF(ISBLANK(Setup!$C$9)=TRUE,"",Setup!$C$9)</f>
        <v>Suburb</v>
      </c>
      <c r="D13" s="95"/>
      <c r="E13" s="136"/>
      <c r="F13" s="95"/>
      <c r="G13" s="95"/>
      <c r="H13" s="95"/>
      <c r="I13" s="136"/>
      <c r="J13" s="101"/>
      <c r="K13" s="103"/>
    </row>
    <row r="14" spans="2:11" ht="16.149999999999999" customHeight="1" x14ac:dyDescent="0.25">
      <c r="B14" s="95"/>
      <c r="C14" s="100" t="str">
        <f>IF(ISBLANK(Setup!$C$10)=TRUE,"",Setup!$C$10)</f>
        <v>City</v>
      </c>
      <c r="D14" s="95"/>
      <c r="E14" s="136"/>
      <c r="F14" s="95"/>
      <c r="G14" s="95"/>
      <c r="H14" s="105" t="s">
        <v>233</v>
      </c>
      <c r="I14" s="143"/>
      <c r="J14" s="106"/>
      <c r="K14" s="96"/>
    </row>
    <row r="15" spans="2:11" ht="16.149999999999999" customHeight="1" x14ac:dyDescent="0.25">
      <c r="B15" s="95"/>
      <c r="C15" s="107">
        <f>IF(ISBLANK(Setup!$C$11)=TRUE,"",Setup!$C$11)</f>
        <v>9999</v>
      </c>
      <c r="D15" s="95"/>
      <c r="E15" s="136"/>
      <c r="F15" s="95"/>
      <c r="G15" s="95"/>
      <c r="H15" s="144" t="str">
        <f>IF(ISNA(VLOOKUP($J$11,Customers,2,0))=TRUE,"",VLOOKUP($J$11,Customers,2,0))</f>
        <v>WC Financial Advisors</v>
      </c>
      <c r="I15" s="145"/>
      <c r="J15" s="146"/>
      <c r="K15" s="135"/>
    </row>
    <row r="16" spans="2:11" ht="16.149999999999999" customHeight="1" x14ac:dyDescent="0.25">
      <c r="B16" s="95"/>
      <c r="C16" s="95" t="str">
        <f>IF(ISBLANK(Setup!$C$13)=TRUE,"","Telephone:")</f>
        <v>Telephone:</v>
      </c>
      <c r="D16" s="95" t="str">
        <f>IF(ISBLANK(Setup!$C$13)=TRUE,"",Setup!$C$13)</f>
        <v>+27 21 999 9999</v>
      </c>
      <c r="E16" s="136"/>
      <c r="F16" s="95"/>
      <c r="G16" s="95"/>
      <c r="H16" s="127" t="str">
        <f>IF(ISNA(VLOOKUP($J$11,Customers,3,0))=TRUE,"",IF(ISBLANK(VLOOKUP($J$11,Customers,3,0))=TRUE,"",VLOOKUP($J$11,Customers,3,0)))</f>
        <v>15 Strand Street</v>
      </c>
      <c r="I16" s="147"/>
      <c r="J16" s="148"/>
      <c r="K16" s="135"/>
    </row>
    <row r="17" spans="2:11" ht="16.149999999999999" customHeight="1" x14ac:dyDescent="0.25">
      <c r="B17" s="95"/>
      <c r="C17" s="95" t="str">
        <f>IF(ISBLANK(Setup!$C$14)=TRUE,"","Fax:")</f>
        <v>Fax:</v>
      </c>
      <c r="D17" s="95" t="str">
        <f>IF(ISBLANK(Setup!$C$14)=TRUE,"",Setup!$C$14)</f>
        <v>+27 21 999 0000</v>
      </c>
      <c r="E17" s="136"/>
      <c r="F17" s="95"/>
      <c r="G17" s="95"/>
      <c r="H17" s="127" t="str">
        <f>IF(ISNA(VLOOKUP($J$11,Customers,4,0))=TRUE,"",IF(ISBLANK(VLOOKUP($J$11,Customers,4,0))=TRUE,"",VLOOKUP($J$11,Customers,4,0)))</f>
        <v>Walmer</v>
      </c>
      <c r="I17" s="147"/>
      <c r="J17" s="148"/>
      <c r="K17" s="135"/>
    </row>
    <row r="18" spans="2:11" ht="16.149999999999999" customHeight="1" x14ac:dyDescent="0.25">
      <c r="B18" s="95"/>
      <c r="C18" s="95" t="str">
        <f>IF(ISBLANK(Setup!$C$16)=TRUE,"","E-mail:")</f>
        <v>E-mail:</v>
      </c>
      <c r="D18" s="95" t="str">
        <f>IF(ISBLANK(Setup!$C$16)=TRUE,"",Setup!$C$16)</f>
        <v>info@example.com</v>
      </c>
      <c r="E18" s="136"/>
      <c r="F18" s="95"/>
      <c r="G18" s="95"/>
      <c r="H18" s="127" t="str">
        <f>IF(ISNA(VLOOKUP($J$11,Customers,5,0))=TRUE,"",IF(ISBLANK(VLOOKUP($J$11,Customers,5,0))=TRUE,"",VLOOKUP($J$11,Customers,5,0)))</f>
        <v>Port Elizabeth</v>
      </c>
      <c r="I18" s="147"/>
      <c r="J18" s="148"/>
      <c r="K18" s="135"/>
    </row>
    <row r="19" spans="2:11" ht="16.149999999999999" customHeight="1" x14ac:dyDescent="0.25">
      <c r="B19" s="95"/>
      <c r="C19" s="95" t="str">
        <f>IF(ISBLANK(Setup!$C$15)=TRUE,"","Website:")</f>
        <v>Website:</v>
      </c>
      <c r="D19" s="95" t="str">
        <f>IF(ISBLANK(Setup!$C$15)=TRUE,"",Setup!$C$15)</f>
        <v>www.example.com</v>
      </c>
      <c r="E19" s="136"/>
      <c r="F19" s="95"/>
      <c r="G19" s="95"/>
      <c r="H19" s="127" t="str">
        <f>IF(ISNA(VLOOKUP($J$11,Customers,6,0))=TRUE,"",IF(ISBLANK(VLOOKUP($J$11,Customers,6,0))=TRUE,"",VLOOKUP($J$11,Customers,6,0)))</f>
        <v/>
      </c>
      <c r="I19" s="147"/>
      <c r="J19" s="148"/>
      <c r="K19" s="135"/>
    </row>
    <row r="20" spans="2:11" ht="16.149999999999999" customHeight="1" x14ac:dyDescent="0.25">
      <c r="B20" s="95"/>
      <c r="C20" s="95" t="str">
        <f>IF(ISBLANK(Setup!$C$18)=TRUE,"","Tax No.:")</f>
        <v>Tax No.:</v>
      </c>
      <c r="D20" s="95" t="str">
        <f>IF(ISBLANK(Setup!$C$18)=TRUE,"",Setup!$C$18)</f>
        <v>9999 999 9999</v>
      </c>
      <c r="E20" s="136"/>
      <c r="F20" s="95"/>
      <c r="G20" s="95"/>
      <c r="H20" s="130">
        <f>IF(ISNA(VLOOKUP($J$11,Customers,7,0))=TRUE,"",IF(ISBLANK(VLOOKUP($J$11,Customers,7,0))=TRUE,"",VLOOKUP($J$11,Customers,7,0)))</f>
        <v>4320</v>
      </c>
      <c r="I20" s="149"/>
      <c r="J20" s="150"/>
      <c r="K20" s="135"/>
    </row>
    <row r="21" spans="2:11" ht="16.149999999999999" customHeight="1" x14ac:dyDescent="0.25">
      <c r="B21" s="95"/>
      <c r="C21" s="95" t="str">
        <f>IF(ISBLANK(Setup!$C$19)=TRUE,"","Reg No.:")</f>
        <v>Reg No.:</v>
      </c>
      <c r="D21" s="95" t="str">
        <f>IF(ISBLANK(Setup!$C$19)=TRUE,"",Setup!$C$19)</f>
        <v>2012 000000 00</v>
      </c>
      <c r="E21" s="136"/>
      <c r="F21" s="95"/>
      <c r="G21" s="95"/>
      <c r="H21" s="95"/>
      <c r="I21" s="136"/>
      <c r="J21" s="96"/>
      <c r="K21" s="96"/>
    </row>
    <row r="22" spans="2:11" ht="16.149999999999999" customHeight="1" x14ac:dyDescent="0.25">
      <c r="B22" s="95"/>
      <c r="C22" s="95"/>
      <c r="D22" s="95"/>
      <c r="E22" s="136"/>
      <c r="F22" s="95"/>
      <c r="G22" s="95"/>
      <c r="H22" s="4" t="s">
        <v>234</v>
      </c>
      <c r="I22" s="136"/>
      <c r="J22" s="151">
        <f>SUMPRODUCT((ISBLANK(Invoice_Number)=FALSE)*(InvoiceDate&lt;=$J$12)*(PayDate&gt;$J$12)*(InvoiceCus=$J$11)*(InvoiceAmount))+SUMPRODUCT((ISBLANK(Invoice_Number)=FALSE)*(InvoiceDate&lt;=$J$12)*(ISBLANK(PayDate)=TRUE)*(InvoiceCus=J11)*(InvoiceAmount))</f>
        <v>12790</v>
      </c>
      <c r="K22" s="151"/>
    </row>
    <row r="23" spans="2:11" ht="16.149999999999999" customHeight="1" x14ac:dyDescent="0.25">
      <c r="B23" s="95"/>
      <c r="C23" s="95"/>
      <c r="D23" s="95"/>
      <c r="E23" s="136"/>
      <c r="F23" s="95"/>
      <c r="G23" s="95"/>
      <c r="H23" s="95"/>
      <c r="I23" s="136"/>
      <c r="J23" s="96"/>
      <c r="K23" s="96"/>
    </row>
    <row r="24" spans="2:11" ht="16.149999999999999" customHeight="1" x14ac:dyDescent="0.25">
      <c r="B24" s="95"/>
      <c r="C24" s="152" t="s">
        <v>211</v>
      </c>
      <c r="D24" s="152" t="s">
        <v>212</v>
      </c>
      <c r="E24" s="153" t="s">
        <v>213</v>
      </c>
      <c r="F24" s="152" t="s">
        <v>214</v>
      </c>
      <c r="G24" s="152" t="s">
        <v>215</v>
      </c>
      <c r="H24" s="152" t="s">
        <v>216</v>
      </c>
      <c r="I24" s="153" t="s">
        <v>217</v>
      </c>
      <c r="J24" s="154" t="s">
        <v>235</v>
      </c>
      <c r="K24" s="96"/>
    </row>
    <row r="25" spans="2:11" ht="16.149999999999999" customHeight="1" x14ac:dyDescent="0.25">
      <c r="B25" s="95"/>
      <c r="C25" s="155" t="str">
        <f t="shared" ref="C25:I25" si="0">IF(ISBLANK($J$12)=TRUE,FIXED(0,2),FIXED(SUMPRODUCT((ISBLANK(Invoice_Number)=FALSE)*(InvoiceDate&lt;=C26)*(InvoiceDate&gt;C28)*(PayDate&gt;$J$12)*(InvoiceCus=$J$11)*(InvoiceAmount))+SUMPRODUCT((ISBLANK(Invoice_Number)=FALSE)*(InvoiceDate&lt;=C26)*(InvoiceDate&gt;C28)*(ISBLANK(PayDate)=TRUE)*(InvoiceCus=$J$11)*(InvoiceAmount)),2))</f>
        <v>12,790.00</v>
      </c>
      <c r="D25" s="155" t="str">
        <f t="shared" si="0"/>
        <v>0.00</v>
      </c>
      <c r="E25" s="155" t="str">
        <f t="shared" si="0"/>
        <v>0.00</v>
      </c>
      <c r="F25" s="155" t="str">
        <f t="shared" si="0"/>
        <v>0.00</v>
      </c>
      <c r="G25" s="155" t="str">
        <f t="shared" si="0"/>
        <v>0.00</v>
      </c>
      <c r="H25" s="155" t="str">
        <f t="shared" si="0"/>
        <v>0.00</v>
      </c>
      <c r="I25" s="155" t="str">
        <f t="shared" si="0"/>
        <v>0.00</v>
      </c>
      <c r="J25" s="155" t="str">
        <f>IF(ISBLANK($J$12)=TRUE,FIXED(0,2),FIXED(SUMPRODUCT((ISBLANK(Invoice_Number)=FALSE)*(InvoiceDate&lt;=J26)*(PayDate&gt;$J$12)*(InvoiceCus=$J$11)*(InvoiceAmount))+SUMPRODUCT((ISBLANK(Invoice_Number)=FALSE)*(InvoiceDate&lt;=J26)*(ISBLANK(PayDate)=TRUE)*(InvoiceCus=$J$11)*(InvoiceAmount)),2))</f>
        <v>0.00</v>
      </c>
      <c r="K25" s="96"/>
    </row>
    <row r="26" spans="2:11" s="157" customFormat="1" ht="16.149999999999999" customHeight="1" x14ac:dyDescent="0.25">
      <c r="B26" s="156"/>
      <c r="C26" s="16">
        <f>IF($J$12=DATE(YEAR($J$12),MONTH($J$12)+1,0)=TRUE,DATE(YEAR($J$12),MONTH($J$12)+1-COLUMN(C24)+COLUMN($C24),0),IF(AND(MONTH(DATE(YEAR($J$12),MONTH($J$12)+1-COLUMN(C25)+COLUMN($C25),0))=2,DAY($J$12)&gt;DAY(DATE(YEAR($J$12),MONTH($J$12)+1-COLUMN(C25)+COLUMN($C25),0)))=TRUE,DATE(YEAR($J$12),MONTH($J$12)+1-COLUMN(C25)+COLUMN($C25),0),DATE(YEAR($J$12),MONTH($J$12)-COLUMN(C25)+COLUMN($C25),DAY($J$12))))</f>
        <v>44255</v>
      </c>
      <c r="D26" s="16">
        <f t="shared" ref="D26:J26" si="1">IF($J$12=DATE(YEAR($J$12),MONTH($J$12)+1,0)=TRUE,DATE(YEAR($J$12),MONTH($J$12)+1-COLUMN(D24)+COLUMN($C24),0),IF(AND(MONTH(DATE(YEAR($J$12),MONTH($J$12)+1-COLUMN(D25)+COLUMN($C25),0))=2,DAY($J$12)&gt;DAY(DATE(YEAR($J$12),MONTH($J$12)+1-COLUMN(D25)+COLUMN($C25),0)))=TRUE,DATE(YEAR($J$12),MONTH($J$12)+1-COLUMN(D25)+COLUMN($C25),0),DATE(YEAR($J$12),MONTH($J$12)-COLUMN(D25)+COLUMN($C25),DAY($J$12))))</f>
        <v>44227</v>
      </c>
      <c r="E26" s="16">
        <f t="shared" si="1"/>
        <v>44196</v>
      </c>
      <c r="F26" s="16">
        <f t="shared" si="1"/>
        <v>44165</v>
      </c>
      <c r="G26" s="16">
        <f t="shared" si="1"/>
        <v>44135</v>
      </c>
      <c r="H26" s="16">
        <f t="shared" si="1"/>
        <v>44104</v>
      </c>
      <c r="I26" s="16">
        <f t="shared" si="1"/>
        <v>44074</v>
      </c>
      <c r="J26" s="16">
        <f t="shared" si="1"/>
        <v>44043</v>
      </c>
      <c r="K26" s="16"/>
    </row>
    <row r="27" spans="2:11" ht="16.149999999999999" customHeight="1" x14ac:dyDescent="0.25">
      <c r="B27" s="95"/>
      <c r="C27" s="4" t="s">
        <v>236</v>
      </c>
      <c r="D27" s="95"/>
      <c r="E27" s="136"/>
      <c r="F27" s="95"/>
      <c r="G27" s="95"/>
      <c r="H27" s="95"/>
      <c r="I27" s="136"/>
      <c r="J27" s="96"/>
      <c r="K27" s="96"/>
    </row>
    <row r="28" spans="2:11" ht="16.149999999999999" customHeight="1" x14ac:dyDescent="0.25">
      <c r="B28" s="95"/>
      <c r="C28" s="16">
        <f t="shared" ref="C28:J28" si="2">IF($J$12=DATE(YEAR($J$12),MONTH($J$12)+1,0)=TRUE,DATE(YEAR($J$12),MONTH($J$12)+1-COLUMN(C25)+COLUMN($B25),0),IF(AND(MONTH(DATE(YEAR($J$12),MONTH($J$12)+1-COLUMN(C26)+COLUMN($B26),0))=2,DAY($J$12)&gt;DAY(DATE(YEAR($J$12),MONTH($J$12)+1-COLUMN(C26)+COLUMN($B26),0)))=TRUE,DATE(YEAR($J$12),MONTH($J$12)+1-COLUMN(C26)+COLUMN($B26),0),DATE(YEAR($J$12),MONTH($J$12)-COLUMN(C26)+COLUMN($B26),DAY($J$12))))</f>
        <v>44227</v>
      </c>
      <c r="D28" s="16">
        <f t="shared" si="2"/>
        <v>44196</v>
      </c>
      <c r="E28" s="16">
        <f t="shared" si="2"/>
        <v>44165</v>
      </c>
      <c r="F28" s="16">
        <f t="shared" si="2"/>
        <v>44135</v>
      </c>
      <c r="G28" s="16">
        <f t="shared" si="2"/>
        <v>44104</v>
      </c>
      <c r="H28" s="16">
        <f t="shared" si="2"/>
        <v>44074</v>
      </c>
      <c r="I28" s="16">
        <f t="shared" si="2"/>
        <v>44043</v>
      </c>
      <c r="J28" s="16">
        <f t="shared" si="2"/>
        <v>44012</v>
      </c>
      <c r="K28" s="96"/>
    </row>
    <row r="29" spans="2:11" ht="16.149999999999999" customHeight="1" x14ac:dyDescent="0.25">
      <c r="B29" s="95"/>
      <c r="C29" s="158" t="s">
        <v>17</v>
      </c>
      <c r="D29" s="158"/>
      <c r="E29" s="159" t="s">
        <v>18</v>
      </c>
      <c r="F29" s="158"/>
      <c r="G29" s="158" t="s">
        <v>20</v>
      </c>
      <c r="H29" s="158"/>
      <c r="I29" s="159"/>
      <c r="J29" s="124" t="s">
        <v>237</v>
      </c>
      <c r="K29" s="155"/>
    </row>
    <row r="30" spans="2:11" ht="16.149999999999999" customHeight="1" x14ac:dyDescent="0.25">
      <c r="B30" s="95"/>
      <c r="C30" s="95" t="str">
        <f t="array" aca="1" ref="C30" ca="1">IF(ISERROR(INDEX(Invoices,SMALL(IF(InvoiceStatus=1,ROW(InvoiceStatus)-4),ROW(1:1)),COLUMN(Details!$A$4)))=TRUE,"",INDEX(Invoices,SMALL(IF(InvoiceStatus=1,ROW(InvoiceStatus)-4),ROW(1:1)),COLUMN(Details!$A$5)))</f>
        <v>INV0024</v>
      </c>
      <c r="D30" s="95"/>
      <c r="E30" s="136">
        <f t="array" aca="1" ref="E30" ca="1">IF(ISERROR(INDEX(Invoices,SMALL(IF(InvoiceStatus=1,ROW(InvoiceStatus)-4),ROW(1:1)),COLUMN(Details!$C$4)))=TRUE,"",INDEX(Invoices,SMALL(IF(InvoiceStatus=1,ROW(InvoiceStatus)-4),ROW(1:1)),COLUMN(Details!$C$4)))</f>
        <v>44235</v>
      </c>
      <c r="F30" s="95"/>
      <c r="G30" s="95" t="str">
        <f ca="1">IF(LEN(C30)&gt;1,"Tax Invoice","")</f>
        <v>Tax Invoice</v>
      </c>
      <c r="H30" s="95"/>
      <c r="I30" s="103"/>
      <c r="J30" s="160">
        <f t="shared" ref="J30:J59" ca="1" si="3">IF(LEN($C30)&gt;1,SUMPRODUCT((Invoice_Number=$C30)*(PayDate&gt;$J$12)*(InvoiceAmount))+SUMPRODUCT((Invoice_Number=$C30)*(ISBLANK(PayDate)=TRUE)*(InvoiceAmount)),"")</f>
        <v>3200</v>
      </c>
      <c r="K30" s="103" t="str">
        <f t="shared" ref="K30:K59" ca="1" si="4">IF(LEN($C30)&gt;1,IF(SUMPRODUCT((Invoice_Number=$C30)*(ISBLANK(PayDate)=FALSE)*(InvoiceAmount))=SUMPRODUCT((Invoice_Number=$C30)*(InvoiceAmount)),"FP",IF(SUMPRODUCT((Invoice_Number=$C30)*(InvoiceAmount))&lt;&gt;J30,"PP","")),"")</f>
        <v/>
      </c>
    </row>
    <row r="31" spans="2:11" ht="16.149999999999999" customHeight="1" x14ac:dyDescent="0.25">
      <c r="B31" s="134"/>
      <c r="C31" s="95" t="str">
        <f t="array" aca="1" ref="C31" ca="1">IF(ISERROR(INDEX(Invoices,SMALL(IF(InvoiceStatus=1,ROW(InvoiceStatus)-4),ROW(2:2)),COLUMN(Details!$A$4)))=TRUE,"",INDEX(Invoices,SMALL(IF(InvoiceStatus=1,ROW(InvoiceStatus)-4),ROW(2:2)),COLUMN(Details!$A$5)))</f>
        <v>INV0025</v>
      </c>
      <c r="D31" s="161"/>
      <c r="E31" s="136">
        <f t="array" aca="1" ref="E31" ca="1">IF(ISERROR(INDEX(Invoices,SMALL(IF(InvoiceStatus=1,ROW(InvoiceStatus)-4),ROW(2:2)),COLUMN(Details!$C$4)))=TRUE,"",INDEX(Invoices,SMALL(IF(InvoiceStatus=1,ROW(InvoiceStatus)-4),ROW(2:2)),COLUMN(Details!$C$4)))</f>
        <v>44241</v>
      </c>
      <c r="F31" s="161"/>
      <c r="G31" s="95" t="str">
        <f t="shared" ref="G31:G59" ca="1" si="5">IF(LEN(C31)&gt;1,"Tax Invoice","")</f>
        <v>Tax Invoice</v>
      </c>
      <c r="H31" s="161"/>
      <c r="I31" s="103"/>
      <c r="J31" s="160">
        <f t="shared" ca="1" si="3"/>
        <v>2240</v>
      </c>
      <c r="K31" s="103" t="str">
        <f t="shared" ca="1" si="4"/>
        <v/>
      </c>
    </row>
    <row r="32" spans="2:11" ht="16.149999999999999" customHeight="1" x14ac:dyDescent="0.25">
      <c r="B32" s="134"/>
      <c r="C32" s="95" t="str">
        <f t="array" aca="1" ref="C32" ca="1">IF(ISERROR(INDEX(Invoices,SMALL(IF(InvoiceStatus=1,ROW(InvoiceStatus)-4),ROW(3:3)),COLUMN(Details!$A$4)))=TRUE,"",INDEX(Invoices,SMALL(IF(InvoiceStatus=1,ROW(InvoiceStatus)-4),ROW(3:3)),COLUMN(Details!$A$5)))</f>
        <v>INV0027</v>
      </c>
      <c r="D32" s="161"/>
      <c r="E32" s="136">
        <f t="array" aca="1" ref="E32" ca="1">IF(ISERROR(INDEX(Invoices,SMALL(IF(InvoiceStatus=1,ROW(InvoiceStatus)-4),ROW(3:3)),COLUMN(Details!$C$4)))=TRUE,"",INDEX(Invoices,SMALL(IF(InvoiceStatus=1,ROW(InvoiceStatus)-4),ROW(3:3)),COLUMN(Details!$C$4)))</f>
        <v>44245</v>
      </c>
      <c r="F32" s="161"/>
      <c r="G32" s="95" t="str">
        <f t="shared" ca="1" si="5"/>
        <v>Tax Invoice</v>
      </c>
      <c r="H32" s="161"/>
      <c r="I32" s="103"/>
      <c r="J32" s="160">
        <f t="shared" ca="1" si="3"/>
        <v>1850</v>
      </c>
      <c r="K32" s="103" t="str">
        <f t="shared" ca="1" si="4"/>
        <v/>
      </c>
    </row>
    <row r="33" spans="2:11" ht="16.149999999999999" customHeight="1" x14ac:dyDescent="0.25">
      <c r="B33" s="134"/>
      <c r="C33" s="95" t="str">
        <f t="array" aca="1" ref="C33" ca="1">IF(ISERROR(INDEX(Invoices,SMALL(IF(InvoiceStatus=1,ROW(InvoiceStatus)-4),ROW(4:4)),COLUMN(Details!$A$4)))=TRUE,"",INDEX(Invoices,SMALL(IF(InvoiceStatus=1,ROW(InvoiceStatus)-4),ROW(4:4)),COLUMN(Details!$A$5)))</f>
        <v>INV0028</v>
      </c>
      <c r="D33" s="161"/>
      <c r="E33" s="136">
        <f t="array" aca="1" ref="E33" ca="1">IF(ISERROR(INDEX(Invoices,SMALL(IF(InvoiceStatus=1,ROW(InvoiceStatus)-4),ROW(4:4)),COLUMN(Details!$C$4)))=TRUE,"",INDEX(Invoices,SMALL(IF(InvoiceStatus=1,ROW(InvoiceStatus)-4),ROW(4:4)),COLUMN(Details!$C$4)))</f>
        <v>44248</v>
      </c>
      <c r="F33" s="161"/>
      <c r="G33" s="95" t="str">
        <f t="shared" ca="1" si="5"/>
        <v>Tax Invoice</v>
      </c>
      <c r="H33" s="161"/>
      <c r="I33" s="103"/>
      <c r="J33" s="160">
        <f t="shared" ca="1" si="3"/>
        <v>2240</v>
      </c>
      <c r="K33" s="103" t="str">
        <f t="shared" ca="1" si="4"/>
        <v/>
      </c>
    </row>
    <row r="34" spans="2:11" ht="16.149999999999999" customHeight="1" x14ac:dyDescent="0.25">
      <c r="B34" s="134"/>
      <c r="C34" s="95" t="str">
        <f t="array" aca="1" ref="C34" ca="1">IF(ISERROR(INDEX(Invoices,SMALL(IF(InvoiceStatus=1,ROW(InvoiceStatus)-4),ROW(5:5)),COLUMN(Details!$A$4)))=TRUE,"",INDEX(Invoices,SMALL(IF(InvoiceStatus=1,ROW(InvoiceStatus)-4),ROW(5:5)),COLUMN(Details!$A$5)))</f>
        <v>INV0029</v>
      </c>
      <c r="D34" s="161"/>
      <c r="E34" s="136">
        <f t="array" aca="1" ref="E34" ca="1">IF(ISERROR(INDEX(Invoices,SMALL(IF(InvoiceStatus=1,ROW(InvoiceStatus)-4),ROW(5:5)),COLUMN(Details!$C$4)))=TRUE,"",INDEX(Invoices,SMALL(IF(InvoiceStatus=1,ROW(InvoiceStatus)-4),ROW(5:5)),COLUMN(Details!$C$4)))</f>
        <v>44253</v>
      </c>
      <c r="F34" s="161"/>
      <c r="G34" s="95" t="str">
        <f t="shared" ca="1" si="5"/>
        <v>Tax Invoice</v>
      </c>
      <c r="H34" s="161"/>
      <c r="I34" s="103"/>
      <c r="J34" s="160">
        <f t="shared" ca="1" si="3"/>
        <v>3260</v>
      </c>
      <c r="K34" s="103" t="str">
        <f t="shared" ca="1" si="4"/>
        <v/>
      </c>
    </row>
    <row r="35" spans="2:11" ht="16.149999999999999" customHeight="1" x14ac:dyDescent="0.25">
      <c r="B35" s="134"/>
      <c r="C35" s="95" t="str">
        <f t="array" aca="1" ref="C35" ca="1">IF(ISERROR(INDEX(Invoices,SMALL(IF(InvoiceStatus=1,ROW(InvoiceStatus)-4),ROW(6:6)),COLUMN(Details!$A$4)))=TRUE,"",INDEX(Invoices,SMALL(IF(InvoiceStatus=1,ROW(InvoiceStatus)-4),ROW(6:6)),COLUMN(Details!$A$5)))</f>
        <v/>
      </c>
      <c r="D35" s="161"/>
      <c r="E35" s="136" t="str">
        <f t="array" aca="1" ref="E35" ca="1">IF(ISERROR(INDEX(Invoices,SMALL(IF(InvoiceStatus=1,ROW(InvoiceStatus)-4),ROW(6:6)),COLUMN(Details!$C$4)))=TRUE,"",INDEX(Invoices,SMALL(IF(InvoiceStatus=1,ROW(InvoiceStatus)-4),ROW(6:6)),COLUMN(Details!$C$4)))</f>
        <v/>
      </c>
      <c r="F35" s="161"/>
      <c r="G35" s="95" t="str">
        <f t="shared" ca="1" si="5"/>
        <v/>
      </c>
      <c r="H35" s="161"/>
      <c r="I35" s="103"/>
      <c r="J35" s="160" t="str">
        <f t="shared" ca="1" si="3"/>
        <v/>
      </c>
      <c r="K35" s="103" t="str">
        <f t="shared" ca="1" si="4"/>
        <v/>
      </c>
    </row>
    <row r="36" spans="2:11" ht="16.149999999999999" customHeight="1" x14ac:dyDescent="0.25">
      <c r="B36" s="134"/>
      <c r="C36" s="95" t="str">
        <f t="array" aca="1" ref="C36" ca="1">IF(ISERROR(INDEX(Invoices,SMALL(IF(InvoiceStatus=1,ROW(InvoiceStatus)-4),ROW(7:7)),COLUMN(Details!$A$4)))=TRUE,"",INDEX(Invoices,SMALL(IF(InvoiceStatus=1,ROW(InvoiceStatus)-4),ROW(7:7)),COLUMN(Details!$A$5)))</f>
        <v/>
      </c>
      <c r="D36" s="161"/>
      <c r="E36" s="136" t="str">
        <f t="array" aca="1" ref="E36" ca="1">IF(ISERROR(INDEX(Invoices,SMALL(IF(InvoiceStatus=1,ROW(InvoiceStatus)-4),ROW(7:7)),COLUMN(Details!$C$4)))=TRUE,"",INDEX(Invoices,SMALL(IF(InvoiceStatus=1,ROW(InvoiceStatus)-4),ROW(7:7)),COLUMN(Details!$C$4)))</f>
        <v/>
      </c>
      <c r="F36" s="161"/>
      <c r="G36" s="95" t="str">
        <f t="shared" ca="1" si="5"/>
        <v/>
      </c>
      <c r="H36" s="161"/>
      <c r="I36" s="103"/>
      <c r="J36" s="160" t="str">
        <f t="shared" ca="1" si="3"/>
        <v/>
      </c>
      <c r="K36" s="103" t="str">
        <f t="shared" ca="1" si="4"/>
        <v/>
      </c>
    </row>
    <row r="37" spans="2:11" ht="16.149999999999999" customHeight="1" x14ac:dyDescent="0.25">
      <c r="B37" s="134"/>
      <c r="C37" s="95" t="str">
        <f t="array" aca="1" ref="C37" ca="1">IF(ISERROR(INDEX(Invoices,SMALL(IF(InvoiceStatus=1,ROW(InvoiceStatus)-4),ROW(8:8)),COLUMN(Details!$A$4)))=TRUE,"",INDEX(Invoices,SMALL(IF(InvoiceStatus=1,ROW(InvoiceStatus)-4),ROW(8:8)),COLUMN(Details!$A$5)))</f>
        <v/>
      </c>
      <c r="D37" s="161"/>
      <c r="E37" s="136" t="str">
        <f t="array" aca="1" ref="E37" ca="1">IF(ISERROR(INDEX(Invoices,SMALL(IF(InvoiceStatus=1,ROW(InvoiceStatus)-4),ROW(8:8)),COLUMN(Details!$C$4)))=TRUE,"",INDEX(Invoices,SMALL(IF(InvoiceStatus=1,ROW(InvoiceStatus)-4),ROW(8:8)),COLUMN(Details!$C$4)))</f>
        <v/>
      </c>
      <c r="F37" s="161"/>
      <c r="G37" s="95" t="str">
        <f t="shared" ca="1" si="5"/>
        <v/>
      </c>
      <c r="H37" s="161"/>
      <c r="I37" s="103"/>
      <c r="J37" s="160" t="str">
        <f t="shared" ca="1" si="3"/>
        <v/>
      </c>
      <c r="K37" s="103" t="str">
        <f t="shared" ca="1" si="4"/>
        <v/>
      </c>
    </row>
    <row r="38" spans="2:11" ht="16.149999999999999" customHeight="1" x14ac:dyDescent="0.25">
      <c r="B38" s="134"/>
      <c r="C38" s="95" t="str">
        <f t="array" aca="1" ref="C38" ca="1">IF(ISERROR(INDEX(Invoices,SMALL(IF(InvoiceStatus=1,ROW(InvoiceStatus)-4),ROW(9:9)),COLUMN(Details!$A$4)))=TRUE,"",INDEX(Invoices,SMALL(IF(InvoiceStatus=1,ROW(InvoiceStatus)-4),ROW(9:9)),COLUMN(Details!$A$5)))</f>
        <v/>
      </c>
      <c r="D38" s="161"/>
      <c r="E38" s="136" t="str">
        <f t="array" aca="1" ref="E38" ca="1">IF(ISERROR(INDEX(Invoices,SMALL(IF(InvoiceStatus=1,ROW(InvoiceStatus)-4),ROW(9:9)),COLUMN(Details!$C$4)))=TRUE,"",INDEX(Invoices,SMALL(IF(InvoiceStatus=1,ROW(InvoiceStatus)-4),ROW(9:9)),COLUMN(Details!$C$4)))</f>
        <v/>
      </c>
      <c r="F38" s="161"/>
      <c r="G38" s="95" t="str">
        <f t="shared" ca="1" si="5"/>
        <v/>
      </c>
      <c r="H38" s="161"/>
      <c r="I38" s="103"/>
      <c r="J38" s="160" t="str">
        <f t="shared" ca="1" si="3"/>
        <v/>
      </c>
      <c r="K38" s="103" t="str">
        <f t="shared" ca="1" si="4"/>
        <v/>
      </c>
    </row>
    <row r="39" spans="2:11" ht="16.149999999999999" customHeight="1" x14ac:dyDescent="0.25">
      <c r="B39" s="134"/>
      <c r="C39" s="95" t="str">
        <f t="array" aca="1" ref="C39" ca="1">IF(ISERROR(INDEX(Invoices,SMALL(IF(InvoiceStatus=1,ROW(InvoiceStatus)-4),ROW(10:10)),COLUMN(Details!$A$4)))=TRUE,"",INDEX(Invoices,SMALL(IF(InvoiceStatus=1,ROW(InvoiceStatus)-4),ROW(10:10)),COLUMN(Details!$A$5)))</f>
        <v/>
      </c>
      <c r="D39" s="161"/>
      <c r="E39" s="136" t="str">
        <f t="array" aca="1" ref="E39" ca="1">IF(ISERROR(INDEX(Invoices,SMALL(IF(InvoiceStatus=1,ROW(InvoiceStatus)-4),ROW(10:10)),COLUMN(Details!$C$4)))=TRUE,"",INDEX(Invoices,SMALL(IF(InvoiceStatus=1,ROW(InvoiceStatus)-4),ROW(10:10)),COLUMN(Details!$C$4)))</f>
        <v/>
      </c>
      <c r="F39" s="161"/>
      <c r="G39" s="95" t="str">
        <f t="shared" ca="1" si="5"/>
        <v/>
      </c>
      <c r="H39" s="161"/>
      <c r="I39" s="103"/>
      <c r="J39" s="160" t="str">
        <f t="shared" ca="1" si="3"/>
        <v/>
      </c>
      <c r="K39" s="103" t="str">
        <f t="shared" ca="1" si="4"/>
        <v/>
      </c>
    </row>
    <row r="40" spans="2:11" ht="16.149999999999999" customHeight="1" x14ac:dyDescent="0.25">
      <c r="B40" s="134"/>
      <c r="C40" s="95" t="str">
        <f t="array" aca="1" ref="C40" ca="1">IF(ISERROR(INDEX(Invoices,SMALL(IF(InvoiceStatus=1,ROW(InvoiceStatus)-4),ROW(11:11)),COLUMN(Details!$A$4)))=TRUE,"",INDEX(Invoices,SMALL(IF(InvoiceStatus=1,ROW(InvoiceStatus)-4),ROW(11:11)),COLUMN(Details!$A$5)))</f>
        <v/>
      </c>
      <c r="D40" s="161"/>
      <c r="E40" s="136" t="str">
        <f t="array" aca="1" ref="E40" ca="1">IF(ISERROR(INDEX(Invoices,SMALL(IF(InvoiceStatus=1,ROW(InvoiceStatus)-4),ROW(11:11)),COLUMN(Details!$C$4)))=TRUE,"",INDEX(Invoices,SMALL(IF(InvoiceStatus=1,ROW(InvoiceStatus)-4),ROW(11:11)),COLUMN(Details!$C$4)))</f>
        <v/>
      </c>
      <c r="F40" s="161"/>
      <c r="G40" s="95" t="str">
        <f t="shared" ca="1" si="5"/>
        <v/>
      </c>
      <c r="H40" s="161"/>
      <c r="I40" s="103"/>
      <c r="J40" s="160" t="str">
        <f t="shared" ca="1" si="3"/>
        <v/>
      </c>
      <c r="K40" s="103" t="str">
        <f t="shared" ca="1" si="4"/>
        <v/>
      </c>
    </row>
    <row r="41" spans="2:11" ht="16.149999999999999" customHeight="1" x14ac:dyDescent="0.25">
      <c r="B41" s="134"/>
      <c r="C41" s="95" t="str">
        <f t="array" aca="1" ref="C41" ca="1">IF(ISERROR(INDEX(Invoices,SMALL(IF(InvoiceStatus=1,ROW(InvoiceStatus)-4),ROW(12:12)),COLUMN(Details!$A$4)))=TRUE,"",INDEX(Invoices,SMALL(IF(InvoiceStatus=1,ROW(InvoiceStatus)-4),ROW(12:12)),COLUMN(Details!$A$5)))</f>
        <v/>
      </c>
      <c r="D41" s="161"/>
      <c r="E41" s="136" t="str">
        <f t="array" aca="1" ref="E41" ca="1">IF(ISERROR(INDEX(Invoices,SMALL(IF(InvoiceStatus=1,ROW(InvoiceStatus)-4),ROW(12:12)),COLUMN(Details!$C$4)))=TRUE,"",INDEX(Invoices,SMALL(IF(InvoiceStatus=1,ROW(InvoiceStatus)-4),ROW(12:12)),COLUMN(Details!$C$4)))</f>
        <v/>
      </c>
      <c r="F41" s="161"/>
      <c r="G41" s="95" t="str">
        <f t="shared" ca="1" si="5"/>
        <v/>
      </c>
      <c r="H41" s="161"/>
      <c r="I41" s="103"/>
      <c r="J41" s="160" t="str">
        <f t="shared" ca="1" si="3"/>
        <v/>
      </c>
      <c r="K41" s="103" t="str">
        <f t="shared" ca="1" si="4"/>
        <v/>
      </c>
    </row>
    <row r="42" spans="2:11" ht="16.149999999999999" customHeight="1" x14ac:dyDescent="0.25">
      <c r="B42" s="134"/>
      <c r="C42" s="95" t="str">
        <f t="array" aca="1" ref="C42" ca="1">IF(ISERROR(INDEX(Invoices,SMALL(IF(InvoiceStatus=1,ROW(InvoiceStatus)-4),ROW(13:13)),COLUMN(Details!$A$4)))=TRUE,"",INDEX(Invoices,SMALL(IF(InvoiceStatus=1,ROW(InvoiceStatus)-4),ROW(13:13)),COLUMN(Details!$A$5)))</f>
        <v/>
      </c>
      <c r="D42" s="161"/>
      <c r="E42" s="136" t="str">
        <f t="array" aca="1" ref="E42" ca="1">IF(ISERROR(INDEX(Invoices,SMALL(IF(InvoiceStatus=1,ROW(InvoiceStatus)-4),ROW(13:13)),COLUMN(Details!$C$4)))=TRUE,"",INDEX(Invoices,SMALL(IF(InvoiceStatus=1,ROW(InvoiceStatus)-4),ROW(13:13)),COLUMN(Details!$C$4)))</f>
        <v/>
      </c>
      <c r="F42" s="161"/>
      <c r="G42" s="95" t="str">
        <f t="shared" ca="1" si="5"/>
        <v/>
      </c>
      <c r="H42" s="161"/>
      <c r="I42" s="103"/>
      <c r="J42" s="160" t="str">
        <f t="shared" ca="1" si="3"/>
        <v/>
      </c>
      <c r="K42" s="103" t="str">
        <f t="shared" ca="1" si="4"/>
        <v/>
      </c>
    </row>
    <row r="43" spans="2:11" ht="16.149999999999999" customHeight="1" x14ac:dyDescent="0.25">
      <c r="B43" s="134"/>
      <c r="C43" s="95" t="str">
        <f t="array" aca="1" ref="C43" ca="1">IF(ISERROR(INDEX(Invoices,SMALL(IF(InvoiceStatus=1,ROW(InvoiceStatus)-4),ROW(14:14)),COLUMN(Details!$A$4)))=TRUE,"",INDEX(Invoices,SMALL(IF(InvoiceStatus=1,ROW(InvoiceStatus)-4),ROW(14:14)),COLUMN(Details!$A$5)))</f>
        <v/>
      </c>
      <c r="D43" s="161"/>
      <c r="E43" s="136" t="str">
        <f t="array" aca="1" ref="E43" ca="1">IF(ISERROR(INDEX(Invoices,SMALL(IF(InvoiceStatus=1,ROW(InvoiceStatus)-4),ROW(14:14)),COLUMN(Details!$C$4)))=TRUE,"",INDEX(Invoices,SMALL(IF(InvoiceStatus=1,ROW(InvoiceStatus)-4),ROW(14:14)),COLUMN(Details!$C$4)))</f>
        <v/>
      </c>
      <c r="F43" s="161"/>
      <c r="G43" s="95" t="str">
        <f t="shared" ca="1" si="5"/>
        <v/>
      </c>
      <c r="H43" s="161"/>
      <c r="I43" s="103"/>
      <c r="J43" s="160" t="str">
        <f t="shared" ca="1" si="3"/>
        <v/>
      </c>
      <c r="K43" s="103" t="str">
        <f t="shared" ca="1" si="4"/>
        <v/>
      </c>
    </row>
    <row r="44" spans="2:11" ht="16.149999999999999" customHeight="1" x14ac:dyDescent="0.25">
      <c r="B44" s="134"/>
      <c r="C44" s="95" t="str">
        <f t="array" aca="1" ref="C44" ca="1">IF(ISERROR(INDEX(Invoices,SMALL(IF(InvoiceStatus=1,ROW(InvoiceStatus)-4),ROW(15:15)),COLUMN(Details!$A$4)))=TRUE,"",INDEX(Invoices,SMALL(IF(InvoiceStatus=1,ROW(InvoiceStatus)-4),ROW(15:15)),COLUMN(Details!$A$5)))</f>
        <v/>
      </c>
      <c r="D44" s="161"/>
      <c r="E44" s="136" t="str">
        <f t="array" aca="1" ref="E44" ca="1">IF(ISERROR(INDEX(Invoices,SMALL(IF(InvoiceStatus=1,ROW(InvoiceStatus)-4),ROW(15:15)),COLUMN(Details!$C$4)))=TRUE,"",INDEX(Invoices,SMALL(IF(InvoiceStatus=1,ROW(InvoiceStatus)-4),ROW(15:15)),COLUMN(Details!$C$4)))</f>
        <v/>
      </c>
      <c r="F44" s="161"/>
      <c r="G44" s="95" t="str">
        <f t="shared" ca="1" si="5"/>
        <v/>
      </c>
      <c r="H44" s="161"/>
      <c r="I44" s="103"/>
      <c r="J44" s="160" t="str">
        <f t="shared" ca="1" si="3"/>
        <v/>
      </c>
      <c r="K44" s="103" t="str">
        <f t="shared" ca="1" si="4"/>
        <v/>
      </c>
    </row>
    <row r="45" spans="2:11" ht="16.149999999999999" customHeight="1" x14ac:dyDescent="0.25">
      <c r="B45" s="134"/>
      <c r="C45" s="95" t="str">
        <f t="array" aca="1" ref="C45" ca="1">IF(ISERROR(INDEX(Invoices,SMALL(IF(InvoiceStatus=1,ROW(InvoiceStatus)-4),ROW(16:16)),COLUMN(Details!$A$4)))=TRUE,"",INDEX(Invoices,SMALL(IF(InvoiceStatus=1,ROW(InvoiceStatus)-4),ROW(16:16)),COLUMN(Details!$A$5)))</f>
        <v/>
      </c>
      <c r="D45" s="161"/>
      <c r="E45" s="136" t="str">
        <f t="array" aca="1" ref="E45" ca="1">IF(ISERROR(INDEX(Invoices,SMALL(IF(InvoiceStatus=1,ROW(InvoiceStatus)-4),ROW(16:16)),COLUMN(Details!$C$4)))=TRUE,"",INDEX(Invoices,SMALL(IF(InvoiceStatus=1,ROW(InvoiceStatus)-4),ROW(16:16)),COLUMN(Details!$C$4)))</f>
        <v/>
      </c>
      <c r="F45" s="161"/>
      <c r="G45" s="95" t="str">
        <f t="shared" ca="1" si="5"/>
        <v/>
      </c>
      <c r="H45" s="161"/>
      <c r="I45" s="103"/>
      <c r="J45" s="160" t="str">
        <f t="shared" ca="1" si="3"/>
        <v/>
      </c>
      <c r="K45" s="103" t="str">
        <f t="shared" ca="1" si="4"/>
        <v/>
      </c>
    </row>
    <row r="46" spans="2:11" ht="16.149999999999999" customHeight="1" x14ac:dyDescent="0.25">
      <c r="B46" s="134"/>
      <c r="C46" s="95" t="str">
        <f t="array" aca="1" ref="C46" ca="1">IF(ISERROR(INDEX(Invoices,SMALL(IF(InvoiceStatus=1,ROW(InvoiceStatus)-4),ROW(17:17)),COLUMN(Details!$A$4)))=TRUE,"",INDEX(Invoices,SMALL(IF(InvoiceStatus=1,ROW(InvoiceStatus)-4),ROW(17:17)),COLUMN(Details!$A$5)))</f>
        <v/>
      </c>
      <c r="D46" s="161"/>
      <c r="E46" s="136" t="str">
        <f t="array" aca="1" ref="E46" ca="1">IF(ISERROR(INDEX(Invoices,SMALL(IF(InvoiceStatus=1,ROW(InvoiceStatus)-4),ROW(17:17)),COLUMN(Details!$C$4)))=TRUE,"",INDEX(Invoices,SMALL(IF(InvoiceStatus=1,ROW(InvoiceStatus)-4),ROW(17:17)),COLUMN(Details!$C$4)))</f>
        <v/>
      </c>
      <c r="F46" s="161"/>
      <c r="G46" s="95" t="str">
        <f t="shared" ca="1" si="5"/>
        <v/>
      </c>
      <c r="H46" s="161"/>
      <c r="I46" s="103"/>
      <c r="J46" s="160" t="str">
        <f t="shared" ca="1" si="3"/>
        <v/>
      </c>
      <c r="K46" s="103" t="str">
        <f t="shared" ca="1" si="4"/>
        <v/>
      </c>
    </row>
    <row r="47" spans="2:11" ht="16.149999999999999" customHeight="1" x14ac:dyDescent="0.25">
      <c r="B47" s="134"/>
      <c r="C47" s="95" t="str">
        <f t="array" aca="1" ref="C47" ca="1">IF(ISERROR(INDEX(Invoices,SMALL(IF(InvoiceStatus=1,ROW(InvoiceStatus)-4),ROW(18:18)),COLUMN(Details!$A$4)))=TRUE,"",INDEX(Invoices,SMALL(IF(InvoiceStatus=1,ROW(InvoiceStatus)-4),ROW(18:18)),COLUMN(Details!$A$5)))</f>
        <v/>
      </c>
      <c r="D47" s="161"/>
      <c r="E47" s="136" t="str">
        <f t="array" aca="1" ref="E47" ca="1">IF(ISERROR(INDEX(Invoices,SMALL(IF(InvoiceStatus=1,ROW(InvoiceStatus)-4),ROW(18:18)),COLUMN(Details!$C$4)))=TRUE,"",INDEX(Invoices,SMALL(IF(InvoiceStatus=1,ROW(InvoiceStatus)-4),ROW(18:18)),COLUMN(Details!$C$4)))</f>
        <v/>
      </c>
      <c r="F47" s="161"/>
      <c r="G47" s="95" t="str">
        <f t="shared" ca="1" si="5"/>
        <v/>
      </c>
      <c r="H47" s="161"/>
      <c r="I47" s="103"/>
      <c r="J47" s="160" t="str">
        <f t="shared" ca="1" si="3"/>
        <v/>
      </c>
      <c r="K47" s="103" t="str">
        <f t="shared" ca="1" si="4"/>
        <v/>
      </c>
    </row>
    <row r="48" spans="2:11" ht="16.149999999999999" customHeight="1" x14ac:dyDescent="0.25">
      <c r="B48" s="134"/>
      <c r="C48" s="95" t="str">
        <f t="array" aca="1" ref="C48" ca="1">IF(ISERROR(INDEX(Invoices,SMALL(IF(InvoiceStatus=1,ROW(InvoiceStatus)-4),ROW(19:19)),COLUMN(Details!$A$4)))=TRUE,"",INDEX(Invoices,SMALL(IF(InvoiceStatus=1,ROW(InvoiceStatus)-4),ROW(19:19)),COLUMN(Details!$A$5)))</f>
        <v/>
      </c>
      <c r="D48" s="161"/>
      <c r="E48" s="136" t="str">
        <f t="array" aca="1" ref="E48" ca="1">IF(ISERROR(INDEX(Invoices,SMALL(IF(InvoiceStatus=1,ROW(InvoiceStatus)-4),ROW(19:19)),COLUMN(Details!$C$4)))=TRUE,"",INDEX(Invoices,SMALL(IF(InvoiceStatus=1,ROW(InvoiceStatus)-4),ROW(19:19)),COLUMN(Details!$C$4)))</f>
        <v/>
      </c>
      <c r="F48" s="161"/>
      <c r="G48" s="95" t="str">
        <f t="shared" ca="1" si="5"/>
        <v/>
      </c>
      <c r="H48" s="161"/>
      <c r="I48" s="103"/>
      <c r="J48" s="160" t="str">
        <f t="shared" ca="1" si="3"/>
        <v/>
      </c>
      <c r="K48" s="103" t="str">
        <f t="shared" ca="1" si="4"/>
        <v/>
      </c>
    </row>
    <row r="49" spans="2:11" ht="16.149999999999999" customHeight="1" x14ac:dyDescent="0.25">
      <c r="B49" s="134"/>
      <c r="C49" s="95" t="str">
        <f t="array" aca="1" ref="C49" ca="1">IF(ISERROR(INDEX(Invoices,SMALL(IF(InvoiceStatus=1,ROW(InvoiceStatus)-4),ROW(20:20)),COLUMN(Details!$A$4)))=TRUE,"",INDEX(Invoices,SMALL(IF(InvoiceStatus=1,ROW(InvoiceStatus)-4),ROW(20:20)),COLUMN(Details!$A$5)))</f>
        <v/>
      </c>
      <c r="D49" s="161"/>
      <c r="E49" s="136" t="str">
        <f t="array" aca="1" ref="E49" ca="1">IF(ISERROR(INDEX(Invoices,SMALL(IF(InvoiceStatus=1,ROW(InvoiceStatus)-4),ROW(20:20)),COLUMN(Details!$C$4)))=TRUE,"",INDEX(Invoices,SMALL(IF(InvoiceStatus=1,ROW(InvoiceStatus)-4),ROW(20:20)),COLUMN(Details!$C$4)))</f>
        <v/>
      </c>
      <c r="F49" s="161"/>
      <c r="G49" s="95" t="str">
        <f t="shared" ca="1" si="5"/>
        <v/>
      </c>
      <c r="H49" s="161"/>
      <c r="I49" s="103"/>
      <c r="J49" s="160" t="str">
        <f t="shared" ca="1" si="3"/>
        <v/>
      </c>
      <c r="K49" s="103" t="str">
        <f t="shared" ca="1" si="4"/>
        <v/>
      </c>
    </row>
    <row r="50" spans="2:11" ht="16.149999999999999" customHeight="1" x14ac:dyDescent="0.25">
      <c r="B50" s="134"/>
      <c r="C50" s="95" t="str">
        <f t="array" aca="1" ref="C50" ca="1">IF(ISERROR(INDEX(Invoices,SMALL(IF(InvoiceStatus=1,ROW(InvoiceStatus)-4),ROW(21:21)),COLUMN(Details!$A$4)))=TRUE,"",INDEX(Invoices,SMALL(IF(InvoiceStatus=1,ROW(InvoiceStatus)-4),ROW(21:21)),COLUMN(Details!$A$5)))</f>
        <v/>
      </c>
      <c r="D50" s="161"/>
      <c r="E50" s="136" t="str">
        <f t="array" aca="1" ref="E50" ca="1">IF(ISERROR(INDEX(Invoices,SMALL(IF(InvoiceStatus=1,ROW(InvoiceStatus)-4),ROW(21:21)),COLUMN(Details!$C$4)))=TRUE,"",INDEX(Invoices,SMALL(IF(InvoiceStatus=1,ROW(InvoiceStatus)-4),ROW(21:21)),COLUMN(Details!$C$4)))</f>
        <v/>
      </c>
      <c r="F50" s="161"/>
      <c r="G50" s="95" t="str">
        <f t="shared" ca="1" si="5"/>
        <v/>
      </c>
      <c r="H50" s="161"/>
      <c r="I50" s="103"/>
      <c r="J50" s="160" t="str">
        <f t="shared" ca="1" si="3"/>
        <v/>
      </c>
      <c r="K50" s="103" t="str">
        <f t="shared" ca="1" si="4"/>
        <v/>
      </c>
    </row>
    <row r="51" spans="2:11" ht="16.149999999999999" customHeight="1" x14ac:dyDescent="0.25">
      <c r="B51" s="134"/>
      <c r="C51" s="95" t="str">
        <f t="array" aca="1" ref="C51" ca="1">IF(ISERROR(INDEX(Invoices,SMALL(IF(InvoiceStatus=1,ROW(InvoiceStatus)-4),ROW(22:22)),COLUMN(Details!$A$4)))=TRUE,"",INDEX(Invoices,SMALL(IF(InvoiceStatus=1,ROW(InvoiceStatus)-4),ROW(22:22)),COLUMN(Details!$A$5)))</f>
        <v/>
      </c>
      <c r="D51" s="161"/>
      <c r="E51" s="136" t="str">
        <f t="array" aca="1" ref="E51" ca="1">IF(ISERROR(INDEX(Invoices,SMALL(IF(InvoiceStatus=1,ROW(InvoiceStatus)-4),ROW(22:22)),COLUMN(Details!$C$4)))=TRUE,"",INDEX(Invoices,SMALL(IF(InvoiceStatus=1,ROW(InvoiceStatus)-4),ROW(22:22)),COLUMN(Details!$C$4)))</f>
        <v/>
      </c>
      <c r="F51" s="161"/>
      <c r="G51" s="95" t="str">
        <f t="shared" ca="1" si="5"/>
        <v/>
      </c>
      <c r="H51" s="161"/>
      <c r="I51" s="103"/>
      <c r="J51" s="160" t="str">
        <f t="shared" ca="1" si="3"/>
        <v/>
      </c>
      <c r="K51" s="103" t="str">
        <f t="shared" ca="1" si="4"/>
        <v/>
      </c>
    </row>
    <row r="52" spans="2:11" ht="16.149999999999999" customHeight="1" x14ac:dyDescent="0.25">
      <c r="B52" s="134"/>
      <c r="C52" s="95" t="str">
        <f t="array" aca="1" ref="C52" ca="1">IF(ISERROR(INDEX(Invoices,SMALL(IF(InvoiceStatus=1,ROW(InvoiceStatus)-4),ROW(23:23)),COLUMN(Details!$A$4)))=TRUE,"",INDEX(Invoices,SMALL(IF(InvoiceStatus=1,ROW(InvoiceStatus)-4),ROW(23:23)),COLUMN(Details!$A$5)))</f>
        <v/>
      </c>
      <c r="D52" s="161"/>
      <c r="E52" s="136" t="str">
        <f t="array" aca="1" ref="E52" ca="1">IF(ISERROR(INDEX(Invoices,SMALL(IF(InvoiceStatus=1,ROW(InvoiceStatus)-4),ROW(23:23)),COLUMN(Details!$C$4)))=TRUE,"",INDEX(Invoices,SMALL(IF(InvoiceStatus=1,ROW(InvoiceStatus)-4),ROW(23:23)),COLUMN(Details!$C$4)))</f>
        <v/>
      </c>
      <c r="F52" s="161"/>
      <c r="G52" s="95" t="str">
        <f t="shared" ca="1" si="5"/>
        <v/>
      </c>
      <c r="H52" s="161"/>
      <c r="I52" s="103"/>
      <c r="J52" s="160" t="str">
        <f t="shared" ca="1" si="3"/>
        <v/>
      </c>
      <c r="K52" s="103" t="str">
        <f t="shared" ca="1" si="4"/>
        <v/>
      </c>
    </row>
    <row r="53" spans="2:11" ht="16.149999999999999" customHeight="1" x14ac:dyDescent="0.25">
      <c r="B53" s="134"/>
      <c r="C53" s="95" t="str">
        <f t="array" aca="1" ref="C53" ca="1">IF(ISERROR(INDEX(Invoices,SMALL(IF(InvoiceStatus=1,ROW(InvoiceStatus)-4),ROW(24:24)),COLUMN(Details!$A$4)))=TRUE,"",INDEX(Invoices,SMALL(IF(InvoiceStatus=1,ROW(InvoiceStatus)-4),ROW(24:24)),COLUMN(Details!$A$5)))</f>
        <v/>
      </c>
      <c r="D53" s="161"/>
      <c r="E53" s="136" t="str">
        <f t="array" aca="1" ref="E53" ca="1">IF(ISERROR(INDEX(Invoices,SMALL(IF(InvoiceStatus=1,ROW(InvoiceStatus)-4),ROW(24:24)),COLUMN(Details!$C$4)))=TRUE,"",INDEX(Invoices,SMALL(IF(InvoiceStatus=1,ROW(InvoiceStatus)-4),ROW(24:24)),COLUMN(Details!$C$4)))</f>
        <v/>
      </c>
      <c r="F53" s="161"/>
      <c r="G53" s="95" t="str">
        <f t="shared" ca="1" si="5"/>
        <v/>
      </c>
      <c r="H53" s="161"/>
      <c r="I53" s="103"/>
      <c r="J53" s="160" t="str">
        <f t="shared" ca="1" si="3"/>
        <v/>
      </c>
      <c r="K53" s="103" t="str">
        <f t="shared" ca="1" si="4"/>
        <v/>
      </c>
    </row>
    <row r="54" spans="2:11" ht="16.149999999999999" customHeight="1" x14ac:dyDescent="0.25">
      <c r="B54" s="134"/>
      <c r="C54" s="95" t="str">
        <f t="array" aca="1" ref="C54" ca="1">IF(ISERROR(INDEX(Invoices,SMALL(IF(InvoiceStatus=1,ROW(InvoiceStatus)-4),ROW(25:25)),COLUMN(Details!$A$4)))=TRUE,"",INDEX(Invoices,SMALL(IF(InvoiceStatus=1,ROW(InvoiceStatus)-4),ROW(25:25)),COLUMN(Details!$A$5)))</f>
        <v/>
      </c>
      <c r="D54" s="161"/>
      <c r="E54" s="136" t="str">
        <f t="array" aca="1" ref="E54" ca="1">IF(ISERROR(INDEX(Invoices,SMALL(IF(InvoiceStatus=1,ROW(InvoiceStatus)-4),ROW(25:25)),COLUMN(Details!$C$4)))=TRUE,"",INDEX(Invoices,SMALL(IF(InvoiceStatus=1,ROW(InvoiceStatus)-4),ROW(25:25)),COLUMN(Details!$C$4)))</f>
        <v/>
      </c>
      <c r="F54" s="161"/>
      <c r="G54" s="95" t="str">
        <f t="shared" ca="1" si="5"/>
        <v/>
      </c>
      <c r="H54" s="161"/>
      <c r="I54" s="103"/>
      <c r="J54" s="160" t="str">
        <f t="shared" ca="1" si="3"/>
        <v/>
      </c>
      <c r="K54" s="103" t="str">
        <f t="shared" ca="1" si="4"/>
        <v/>
      </c>
    </row>
    <row r="55" spans="2:11" ht="16.149999999999999" customHeight="1" x14ac:dyDescent="0.25">
      <c r="B55" s="134"/>
      <c r="C55" s="95" t="str">
        <f t="array" aca="1" ref="C55" ca="1">IF(ISERROR(INDEX(Invoices,SMALL(IF(InvoiceStatus=1,ROW(InvoiceStatus)-4),ROW(26:26)),COLUMN(Details!$A$4)))=TRUE,"",INDEX(Invoices,SMALL(IF(InvoiceStatus=1,ROW(InvoiceStatus)-4),ROW(26:26)),COLUMN(Details!$A$5)))</f>
        <v/>
      </c>
      <c r="D55" s="161"/>
      <c r="E55" s="136" t="str">
        <f t="array" aca="1" ref="E55" ca="1">IF(ISERROR(INDEX(Invoices,SMALL(IF(InvoiceStatus=1,ROW(InvoiceStatus)-4),ROW(26:26)),COLUMN(Details!$C$4)))=TRUE,"",INDEX(Invoices,SMALL(IF(InvoiceStatus=1,ROW(InvoiceStatus)-4),ROW(26:26)),COLUMN(Details!$C$4)))</f>
        <v/>
      </c>
      <c r="F55" s="161"/>
      <c r="G55" s="95" t="str">
        <f t="shared" ca="1" si="5"/>
        <v/>
      </c>
      <c r="H55" s="161"/>
      <c r="I55" s="103"/>
      <c r="J55" s="160" t="str">
        <f t="shared" ca="1" si="3"/>
        <v/>
      </c>
      <c r="K55" s="103" t="str">
        <f t="shared" ca="1" si="4"/>
        <v/>
      </c>
    </row>
    <row r="56" spans="2:11" ht="16.149999999999999" customHeight="1" x14ac:dyDescent="0.25">
      <c r="B56" s="134"/>
      <c r="C56" s="95" t="str">
        <f t="array" aca="1" ref="C56" ca="1">IF(ISERROR(INDEX(Invoices,SMALL(IF(InvoiceStatus=1,ROW(InvoiceStatus)-4),ROW(27:27)),COLUMN(Details!$A$4)))=TRUE,"",INDEX(Invoices,SMALL(IF(InvoiceStatus=1,ROW(InvoiceStatus)-4),ROW(27:27)),COLUMN(Details!$A$5)))</f>
        <v/>
      </c>
      <c r="D56" s="161"/>
      <c r="E56" s="136" t="str">
        <f t="array" aca="1" ref="E56" ca="1">IF(ISERROR(INDEX(Invoices,SMALL(IF(InvoiceStatus=1,ROW(InvoiceStatus)-4),ROW(27:27)),COLUMN(Details!$C$4)))=TRUE,"",INDEX(Invoices,SMALL(IF(InvoiceStatus=1,ROW(InvoiceStatus)-4),ROW(27:27)),COLUMN(Details!$C$4)))</f>
        <v/>
      </c>
      <c r="F56" s="161"/>
      <c r="G56" s="95" t="str">
        <f t="shared" ca="1" si="5"/>
        <v/>
      </c>
      <c r="H56" s="161"/>
      <c r="I56" s="103"/>
      <c r="J56" s="160" t="str">
        <f t="shared" ca="1" si="3"/>
        <v/>
      </c>
      <c r="K56" s="103" t="str">
        <f t="shared" ca="1" si="4"/>
        <v/>
      </c>
    </row>
    <row r="57" spans="2:11" ht="16.149999999999999" customHeight="1" x14ac:dyDescent="0.25">
      <c r="B57" s="134"/>
      <c r="C57" s="95" t="str">
        <f t="array" aca="1" ref="C57" ca="1">IF(ISERROR(INDEX(Invoices,SMALL(IF(InvoiceStatus=1,ROW(InvoiceStatus)-4),ROW(28:28)),COLUMN(Details!$A$4)))=TRUE,"",INDEX(Invoices,SMALL(IF(InvoiceStatus=1,ROW(InvoiceStatus)-4),ROW(28:28)),COLUMN(Details!$A$5)))</f>
        <v/>
      </c>
      <c r="D57" s="161"/>
      <c r="E57" s="136" t="str">
        <f t="array" aca="1" ref="E57" ca="1">IF(ISERROR(INDEX(Invoices,SMALL(IF(InvoiceStatus=1,ROW(InvoiceStatus)-4),ROW(28:28)),COLUMN(Details!$C$4)))=TRUE,"",INDEX(Invoices,SMALL(IF(InvoiceStatus=1,ROW(InvoiceStatus)-4),ROW(28:28)),COLUMN(Details!$C$4)))</f>
        <v/>
      </c>
      <c r="F57" s="161"/>
      <c r="G57" s="95" t="str">
        <f t="shared" ca="1" si="5"/>
        <v/>
      </c>
      <c r="H57" s="161"/>
      <c r="I57" s="103"/>
      <c r="J57" s="160" t="str">
        <f t="shared" ca="1" si="3"/>
        <v/>
      </c>
      <c r="K57" s="103" t="str">
        <f t="shared" ca="1" si="4"/>
        <v/>
      </c>
    </row>
    <row r="58" spans="2:11" ht="16.149999999999999" customHeight="1" x14ac:dyDescent="0.25">
      <c r="B58" s="134"/>
      <c r="C58" s="95" t="str">
        <f t="array" aca="1" ref="C58" ca="1">IF(ISERROR(INDEX(Invoices,SMALL(IF(InvoiceStatus=1,ROW(InvoiceStatus)-4),ROW(29:29)),COLUMN(Details!$A$4)))=TRUE,"",INDEX(Invoices,SMALL(IF(InvoiceStatus=1,ROW(InvoiceStatus)-4),ROW(29:29)),COLUMN(Details!$A$5)))</f>
        <v/>
      </c>
      <c r="D58" s="161"/>
      <c r="E58" s="136" t="str">
        <f t="array" aca="1" ref="E58" ca="1">IF(ISERROR(INDEX(Invoices,SMALL(IF(InvoiceStatus=1,ROW(InvoiceStatus)-4),ROW(29:29)),COLUMN(Details!$C$4)))=TRUE,"",INDEX(Invoices,SMALL(IF(InvoiceStatus=1,ROW(InvoiceStatus)-4),ROW(29:29)),COLUMN(Details!$C$4)))</f>
        <v/>
      </c>
      <c r="F58" s="161"/>
      <c r="G58" s="95" t="str">
        <f t="shared" ca="1" si="5"/>
        <v/>
      </c>
      <c r="H58" s="161"/>
      <c r="I58" s="103"/>
      <c r="J58" s="160" t="str">
        <f t="shared" ca="1" si="3"/>
        <v/>
      </c>
      <c r="K58" s="103" t="str">
        <f t="shared" ca="1" si="4"/>
        <v/>
      </c>
    </row>
    <row r="59" spans="2:11" ht="16.149999999999999" customHeight="1" x14ac:dyDescent="0.25">
      <c r="B59" s="134"/>
      <c r="C59" s="95" t="str">
        <f t="array" aca="1" ref="C59" ca="1">IF(ISERROR(INDEX(Invoices,SMALL(IF(InvoiceStatus=1,ROW(InvoiceStatus)-4),ROW(30:30)),COLUMN(Details!$A$4)))=TRUE,"",INDEX(Invoices,SMALL(IF(InvoiceStatus=1,ROW(InvoiceStatus)-4),ROW(30:30)),COLUMN(Details!$A$5)))</f>
        <v/>
      </c>
      <c r="D59" s="161"/>
      <c r="E59" s="136" t="str">
        <f t="array" aca="1" ref="E59" ca="1">IF(ISERROR(INDEX(Invoices,SMALL(IF(InvoiceStatus=1,ROW(InvoiceStatus)-4),ROW(30:30)),COLUMN(Details!$C$4)))=TRUE,"",INDEX(Invoices,SMALL(IF(InvoiceStatus=1,ROW(InvoiceStatus)-4),ROW(30:30)),COLUMN(Details!$C$4)))</f>
        <v/>
      </c>
      <c r="F59" s="161"/>
      <c r="G59" s="95" t="str">
        <f t="shared" ca="1" si="5"/>
        <v/>
      </c>
      <c r="H59" s="161"/>
      <c r="I59" s="103"/>
      <c r="J59" s="160" t="str">
        <f t="shared" ca="1" si="3"/>
        <v/>
      </c>
      <c r="K59" s="103" t="str">
        <f t="shared" ca="1" si="4"/>
        <v/>
      </c>
    </row>
    <row r="60" spans="2:11" ht="16.149999999999999" customHeight="1" x14ac:dyDescent="0.25">
      <c r="B60" s="162"/>
      <c r="D60" s="163"/>
      <c r="F60" s="163"/>
      <c r="H60" s="163"/>
      <c r="I60" s="165"/>
      <c r="J60" s="166"/>
      <c r="K60" s="167"/>
    </row>
    <row r="61" spans="2:11" ht="16.149999999999999" customHeight="1" x14ac:dyDescent="0.25">
      <c r="B61" s="162"/>
      <c r="D61" s="163"/>
      <c r="F61" s="163"/>
      <c r="H61" s="163"/>
      <c r="I61" s="165"/>
      <c r="J61" s="166"/>
      <c r="K61" s="167"/>
    </row>
    <row r="62" spans="2:11" ht="16.149999999999999" customHeight="1" x14ac:dyDescent="0.25">
      <c r="B62" s="162"/>
      <c r="D62" s="163"/>
      <c r="F62" s="163"/>
      <c r="H62" s="163"/>
      <c r="I62" s="165"/>
      <c r="J62" s="166"/>
      <c r="K62" s="167"/>
    </row>
    <row r="63" spans="2:11" ht="16.149999999999999" customHeight="1" x14ac:dyDescent="0.25">
      <c r="B63" s="162"/>
      <c r="D63" s="163"/>
      <c r="F63" s="163"/>
      <c r="H63" s="163"/>
      <c r="I63" s="165"/>
      <c r="J63" s="166"/>
      <c r="K63" s="167"/>
    </row>
    <row r="64" spans="2:11" ht="16.149999999999999" customHeight="1" x14ac:dyDescent="0.25">
      <c r="B64" s="162"/>
      <c r="D64" s="163"/>
      <c r="F64" s="163"/>
      <c r="H64" s="163"/>
      <c r="I64" s="165"/>
      <c r="J64" s="166"/>
      <c r="K64" s="167"/>
    </row>
    <row r="65" spans="2:11" ht="16.149999999999999" customHeight="1" x14ac:dyDescent="0.25">
      <c r="B65" s="162"/>
      <c r="D65" s="163"/>
      <c r="F65" s="163"/>
      <c r="H65" s="163"/>
      <c r="I65" s="165"/>
      <c r="J65" s="166"/>
      <c r="K65" s="167"/>
    </row>
    <row r="66" spans="2:11" ht="16.149999999999999" customHeight="1" x14ac:dyDescent="0.25">
      <c r="B66" s="162"/>
      <c r="D66" s="163"/>
      <c r="F66" s="163"/>
      <c r="H66" s="163"/>
      <c r="I66" s="165"/>
      <c r="J66" s="166"/>
      <c r="K66" s="167"/>
    </row>
    <row r="67" spans="2:11" ht="16.149999999999999" customHeight="1" x14ac:dyDescent="0.25">
      <c r="B67" s="162"/>
      <c r="D67" s="163"/>
      <c r="F67" s="163"/>
      <c r="H67" s="163"/>
      <c r="I67" s="165"/>
      <c r="J67" s="166"/>
      <c r="K67" s="167"/>
    </row>
    <row r="68" spans="2:11" ht="16.149999999999999" customHeight="1" x14ac:dyDescent="0.25">
      <c r="B68" s="162"/>
      <c r="D68" s="163"/>
      <c r="F68" s="163"/>
      <c r="H68" s="163"/>
      <c r="I68" s="165"/>
      <c r="J68" s="166"/>
      <c r="K68" s="167"/>
    </row>
    <row r="69" spans="2:11" ht="16.149999999999999" customHeight="1" x14ac:dyDescent="0.25">
      <c r="B69" s="162"/>
      <c r="D69" s="163"/>
      <c r="F69" s="163"/>
      <c r="H69" s="163"/>
      <c r="I69" s="165"/>
      <c r="J69" s="166"/>
      <c r="K69" s="167"/>
    </row>
    <row r="70" spans="2:11" ht="16.149999999999999" customHeight="1" x14ac:dyDescent="0.25">
      <c r="B70" s="162"/>
      <c r="D70" s="163"/>
      <c r="F70" s="163"/>
      <c r="H70" s="163"/>
      <c r="I70" s="165"/>
      <c r="J70" s="166"/>
      <c r="K70" s="167"/>
    </row>
    <row r="71" spans="2:11" ht="16.149999999999999" customHeight="1" x14ac:dyDescent="0.25">
      <c r="B71" s="162"/>
      <c r="D71" s="163"/>
      <c r="F71" s="163"/>
      <c r="H71" s="163"/>
      <c r="I71" s="165"/>
      <c r="J71" s="166"/>
      <c r="K71" s="167"/>
    </row>
    <row r="72" spans="2:11" ht="16.149999999999999" customHeight="1" x14ac:dyDescent="0.25">
      <c r="B72" s="162"/>
      <c r="D72" s="163"/>
      <c r="F72" s="163"/>
      <c r="H72" s="163"/>
      <c r="I72" s="165"/>
      <c r="J72" s="166"/>
      <c r="K72" s="167"/>
    </row>
    <row r="73" spans="2:11" ht="16.149999999999999" customHeight="1" x14ac:dyDescent="0.25">
      <c r="B73" s="162"/>
      <c r="D73" s="163"/>
      <c r="F73" s="163"/>
      <c r="H73" s="163"/>
      <c r="I73" s="165"/>
      <c r="J73" s="166"/>
      <c r="K73" s="167"/>
    </row>
    <row r="74" spans="2:11" ht="16.149999999999999" customHeight="1" x14ac:dyDescent="0.25">
      <c r="B74" s="162"/>
      <c r="D74" s="163"/>
      <c r="F74" s="163"/>
      <c r="H74" s="163"/>
      <c r="I74" s="165"/>
      <c r="J74" s="166"/>
      <c r="K74" s="167"/>
    </row>
    <row r="75" spans="2:11" ht="16.149999999999999" customHeight="1" x14ac:dyDescent="0.25">
      <c r="B75" s="162"/>
      <c r="D75" s="163"/>
      <c r="F75" s="163"/>
      <c r="H75" s="163"/>
      <c r="I75" s="165"/>
      <c r="J75" s="166"/>
      <c r="K75" s="167"/>
    </row>
    <row r="76" spans="2:11" ht="16.149999999999999" customHeight="1" x14ac:dyDescent="0.25">
      <c r="B76" s="162"/>
      <c r="D76" s="163"/>
      <c r="F76" s="163"/>
      <c r="H76" s="163"/>
      <c r="I76" s="165"/>
      <c r="J76" s="166"/>
      <c r="K76" s="167"/>
    </row>
    <row r="77" spans="2:11" ht="16.149999999999999" customHeight="1" x14ac:dyDescent="0.25">
      <c r="B77" s="162"/>
      <c r="D77" s="163"/>
      <c r="F77" s="163"/>
      <c r="H77" s="163"/>
      <c r="I77" s="165"/>
      <c r="J77" s="166"/>
      <c r="K77" s="167"/>
    </row>
    <row r="78" spans="2:11" ht="16.149999999999999" customHeight="1" x14ac:dyDescent="0.25">
      <c r="B78" s="162"/>
      <c r="D78" s="163"/>
      <c r="F78" s="163"/>
      <c r="H78" s="163"/>
      <c r="I78" s="165"/>
      <c r="J78" s="166"/>
      <c r="K78" s="167"/>
    </row>
    <row r="79" spans="2:11" ht="16.149999999999999" customHeight="1" x14ac:dyDescent="0.25">
      <c r="B79" s="162"/>
      <c r="D79" s="163"/>
      <c r="F79" s="163"/>
      <c r="H79" s="163"/>
      <c r="I79" s="165"/>
      <c r="J79" s="166"/>
      <c r="K79" s="167"/>
    </row>
    <row r="80" spans="2:11" ht="16.149999999999999" customHeight="1" x14ac:dyDescent="0.25">
      <c r="J80" s="168"/>
    </row>
    <row r="81" spans="10:10" ht="16.149999999999999" customHeight="1" x14ac:dyDescent="0.25">
      <c r="J81" s="168"/>
    </row>
    <row r="82" spans="10:10" ht="16.149999999999999" customHeight="1" x14ac:dyDescent="0.25">
      <c r="J82" s="168"/>
    </row>
    <row r="83" spans="10:10" ht="16.149999999999999" customHeight="1" x14ac:dyDescent="0.25">
      <c r="J83" s="168"/>
    </row>
    <row r="84" spans="10:10" ht="16.149999999999999" customHeight="1" x14ac:dyDescent="0.25">
      <c r="J84" s="168"/>
    </row>
    <row r="85" spans="10:10" ht="16.149999999999999" customHeight="1" x14ac:dyDescent="0.25">
      <c r="J85" s="168"/>
    </row>
    <row r="86" spans="10:10" ht="16.149999999999999" customHeight="1" x14ac:dyDescent="0.25">
      <c r="J86" s="168"/>
    </row>
    <row r="87" spans="10:10" ht="16.149999999999999" customHeight="1" x14ac:dyDescent="0.25">
      <c r="J87" s="168"/>
    </row>
    <row r="88" spans="10:10" ht="16.149999999999999" customHeight="1" x14ac:dyDescent="0.25">
      <c r="J88" s="168"/>
    </row>
    <row r="89" spans="10:10" ht="16.149999999999999" customHeight="1" x14ac:dyDescent="0.25">
      <c r="J89" s="168"/>
    </row>
    <row r="90" spans="10:10" ht="16.149999999999999" customHeight="1" x14ac:dyDescent="0.25">
      <c r="J90" s="168"/>
    </row>
    <row r="91" spans="10:10" ht="16.149999999999999" customHeight="1" x14ac:dyDescent="0.25">
      <c r="J91" s="168"/>
    </row>
    <row r="92" spans="10:10" ht="16.149999999999999" customHeight="1" x14ac:dyDescent="0.25">
      <c r="J92" s="168"/>
    </row>
    <row r="93" spans="10:10" ht="16.149999999999999" customHeight="1" x14ac:dyDescent="0.25">
      <c r="J93" s="168"/>
    </row>
    <row r="94" spans="10:10" ht="16.149999999999999" customHeight="1" x14ac:dyDescent="0.25">
      <c r="J94" s="168"/>
    </row>
    <row r="95" spans="10:10" ht="16.149999999999999" customHeight="1" x14ac:dyDescent="0.25">
      <c r="J95" s="168"/>
    </row>
    <row r="96" spans="10:10" ht="16.149999999999999" customHeight="1" x14ac:dyDescent="0.25">
      <c r="J96" s="168"/>
    </row>
    <row r="97" spans="10:10" ht="16.149999999999999" customHeight="1" x14ac:dyDescent="0.25">
      <c r="J97" s="168"/>
    </row>
    <row r="98" spans="10:10" ht="16.149999999999999" customHeight="1" x14ac:dyDescent="0.25">
      <c r="J98" s="168"/>
    </row>
    <row r="99" spans="10:10" ht="16.149999999999999" customHeight="1" x14ac:dyDescent="0.25">
      <c r="J99" s="168"/>
    </row>
    <row r="100" spans="10:10" ht="16.149999999999999" customHeight="1" x14ac:dyDescent="0.25">
      <c r="J100" s="168"/>
    </row>
    <row r="101" spans="10:10" ht="16.149999999999999" customHeight="1" x14ac:dyDescent="0.25">
      <c r="J101" s="168"/>
    </row>
    <row r="102" spans="10:10" ht="16.149999999999999" customHeight="1" x14ac:dyDescent="0.25">
      <c r="J102" s="168"/>
    </row>
    <row r="103" spans="10:10" ht="16.149999999999999" customHeight="1" x14ac:dyDescent="0.25">
      <c r="J103" s="168"/>
    </row>
    <row r="104" spans="10:10" ht="16.149999999999999" customHeight="1" x14ac:dyDescent="0.25">
      <c r="J104" s="168"/>
    </row>
    <row r="105" spans="10:10" ht="16.149999999999999" customHeight="1" x14ac:dyDescent="0.25">
      <c r="J105" s="168"/>
    </row>
    <row r="106" spans="10:10" ht="16.149999999999999" customHeight="1" x14ac:dyDescent="0.25">
      <c r="J106" s="168"/>
    </row>
    <row r="107" spans="10:10" ht="16.149999999999999" customHeight="1" x14ac:dyDescent="0.25">
      <c r="J107" s="168"/>
    </row>
    <row r="108" spans="10:10" ht="16.149999999999999" customHeight="1" x14ac:dyDescent="0.25">
      <c r="J108" s="168"/>
    </row>
    <row r="109" spans="10:10" ht="16.149999999999999" customHeight="1" x14ac:dyDescent="0.25">
      <c r="J109" s="168"/>
    </row>
    <row r="110" spans="10:10" ht="16.149999999999999" customHeight="1" x14ac:dyDescent="0.25">
      <c r="J110" s="168"/>
    </row>
    <row r="111" spans="10:10" ht="16.149999999999999" customHeight="1" x14ac:dyDescent="0.25">
      <c r="J111" s="168"/>
    </row>
    <row r="112" spans="10:10" ht="16.149999999999999" customHeight="1" x14ac:dyDescent="0.25">
      <c r="J112" s="168"/>
    </row>
    <row r="113" spans="10:10" ht="16.149999999999999" customHeight="1" x14ac:dyDescent="0.25">
      <c r="J113" s="168"/>
    </row>
    <row r="114" spans="10:10" ht="16.149999999999999" customHeight="1" x14ac:dyDescent="0.25">
      <c r="J114" s="168"/>
    </row>
    <row r="115" spans="10:10" ht="16.149999999999999" customHeight="1" x14ac:dyDescent="0.25">
      <c r="J115" s="168"/>
    </row>
    <row r="116" spans="10:10" ht="16.149999999999999" customHeight="1" x14ac:dyDescent="0.25">
      <c r="J116" s="168"/>
    </row>
    <row r="117" spans="10:10" ht="16.149999999999999" customHeight="1" x14ac:dyDescent="0.25">
      <c r="J117" s="168"/>
    </row>
    <row r="118" spans="10:10" ht="16.149999999999999" customHeight="1" x14ac:dyDescent="0.25">
      <c r="J118" s="168"/>
    </row>
    <row r="119" spans="10:10" ht="16.149999999999999" customHeight="1" x14ac:dyDescent="0.25">
      <c r="J119" s="168"/>
    </row>
    <row r="120" spans="10:10" ht="16.149999999999999" customHeight="1" x14ac:dyDescent="0.25">
      <c r="J120" s="168"/>
    </row>
    <row r="121" spans="10:10" ht="16.149999999999999" customHeight="1" x14ac:dyDescent="0.25">
      <c r="J121" s="168"/>
    </row>
    <row r="122" spans="10:10" ht="16.149999999999999" customHeight="1" x14ac:dyDescent="0.25">
      <c r="J122" s="168"/>
    </row>
    <row r="123" spans="10:10" ht="16.149999999999999" customHeight="1" x14ac:dyDescent="0.25">
      <c r="J123" s="168"/>
    </row>
    <row r="124" spans="10:10" ht="16.149999999999999" customHeight="1" x14ac:dyDescent="0.25">
      <c r="J124" s="168"/>
    </row>
    <row r="125" spans="10:10" ht="16.149999999999999" customHeight="1" x14ac:dyDescent="0.25">
      <c r="J125" s="168"/>
    </row>
    <row r="126" spans="10:10" ht="16.149999999999999" customHeight="1" x14ac:dyDescent="0.25">
      <c r="J126" s="168"/>
    </row>
    <row r="127" spans="10:10" ht="16.149999999999999" customHeight="1" x14ac:dyDescent="0.25">
      <c r="J127" s="168"/>
    </row>
    <row r="128" spans="10:10" ht="16.149999999999999" customHeight="1" x14ac:dyDescent="0.25">
      <c r="J128" s="168"/>
    </row>
    <row r="129" spans="10:10" ht="16.149999999999999" customHeight="1" x14ac:dyDescent="0.25">
      <c r="J129" s="168"/>
    </row>
    <row r="130" spans="10:10" ht="16.149999999999999" customHeight="1" x14ac:dyDescent="0.25">
      <c r="J130" s="168"/>
    </row>
    <row r="131" spans="10:10" ht="16.149999999999999" customHeight="1" x14ac:dyDescent="0.25">
      <c r="J131" s="168"/>
    </row>
    <row r="132" spans="10:10" ht="16.149999999999999" customHeight="1" x14ac:dyDescent="0.25">
      <c r="J132" s="168"/>
    </row>
    <row r="133" spans="10:10" ht="16.149999999999999" customHeight="1" x14ac:dyDescent="0.25">
      <c r="J133" s="168"/>
    </row>
    <row r="134" spans="10:10" ht="16.149999999999999" customHeight="1" x14ac:dyDescent="0.25">
      <c r="J134" s="168"/>
    </row>
    <row r="135" spans="10:10" ht="16.149999999999999" customHeight="1" x14ac:dyDescent="0.25">
      <c r="J135" s="168"/>
    </row>
    <row r="136" spans="10:10" ht="16.149999999999999" customHeight="1" x14ac:dyDescent="0.25">
      <c r="J136" s="168"/>
    </row>
    <row r="137" spans="10:10" ht="16.149999999999999" customHeight="1" x14ac:dyDescent="0.25">
      <c r="J137" s="168"/>
    </row>
    <row r="138" spans="10:10" ht="16.149999999999999" customHeight="1" x14ac:dyDescent="0.25">
      <c r="J138" s="168"/>
    </row>
    <row r="139" spans="10:10" ht="16.149999999999999" customHeight="1" x14ac:dyDescent="0.25">
      <c r="J139" s="168"/>
    </row>
    <row r="140" spans="10:10" ht="16.149999999999999" customHeight="1" x14ac:dyDescent="0.25">
      <c r="J140" s="168"/>
    </row>
    <row r="141" spans="10:10" ht="16.149999999999999" customHeight="1" x14ac:dyDescent="0.25">
      <c r="J141" s="168"/>
    </row>
    <row r="142" spans="10:10" ht="16.149999999999999" customHeight="1" x14ac:dyDescent="0.25">
      <c r="J142" s="168"/>
    </row>
    <row r="143" spans="10:10" ht="16.149999999999999" customHeight="1" x14ac:dyDescent="0.25">
      <c r="J143" s="168"/>
    </row>
    <row r="144" spans="10:10" ht="16.149999999999999" customHeight="1" x14ac:dyDescent="0.25">
      <c r="J144" s="168"/>
    </row>
    <row r="145" spans="10:10" ht="16.149999999999999" customHeight="1" x14ac:dyDescent="0.25">
      <c r="J145" s="168"/>
    </row>
    <row r="146" spans="10:10" ht="16.149999999999999" customHeight="1" x14ac:dyDescent="0.25">
      <c r="J146" s="168"/>
    </row>
    <row r="147" spans="10:10" ht="16.149999999999999" customHeight="1" x14ac:dyDescent="0.25">
      <c r="J147" s="168"/>
    </row>
    <row r="148" spans="10:10" ht="16.149999999999999" customHeight="1" x14ac:dyDescent="0.25">
      <c r="J148" s="168"/>
    </row>
    <row r="149" spans="10:10" ht="16.149999999999999" customHeight="1" x14ac:dyDescent="0.25">
      <c r="J149" s="168"/>
    </row>
    <row r="150" spans="10:10" ht="16.149999999999999" customHeight="1" x14ac:dyDescent="0.25">
      <c r="J150" s="168"/>
    </row>
    <row r="151" spans="10:10" ht="16.149999999999999" customHeight="1" x14ac:dyDescent="0.25">
      <c r="J151" s="168"/>
    </row>
    <row r="152" spans="10:10" ht="16.149999999999999" customHeight="1" x14ac:dyDescent="0.25">
      <c r="J152" s="168"/>
    </row>
    <row r="153" spans="10:10" ht="16.149999999999999" customHeight="1" x14ac:dyDescent="0.25">
      <c r="J153" s="168"/>
    </row>
    <row r="154" spans="10:10" ht="16.149999999999999" customHeight="1" x14ac:dyDescent="0.25">
      <c r="J154" s="168"/>
    </row>
    <row r="155" spans="10:10" ht="16.149999999999999" customHeight="1" x14ac:dyDescent="0.25">
      <c r="J155" s="168"/>
    </row>
    <row r="156" spans="10:10" ht="16.149999999999999" customHeight="1" x14ac:dyDescent="0.25">
      <c r="J156" s="168"/>
    </row>
    <row r="157" spans="10:10" ht="16.149999999999999" customHeight="1" x14ac:dyDescent="0.25">
      <c r="J157" s="168"/>
    </row>
    <row r="158" spans="10:10" ht="16.149999999999999" customHeight="1" x14ac:dyDescent="0.25">
      <c r="J158" s="168"/>
    </row>
    <row r="159" spans="10:10" ht="16.149999999999999" customHeight="1" x14ac:dyDescent="0.25">
      <c r="J159" s="168"/>
    </row>
    <row r="160" spans="10:10" ht="16.149999999999999" customHeight="1" x14ac:dyDescent="0.25">
      <c r="J160" s="168"/>
    </row>
    <row r="161" spans="10:10" ht="16.149999999999999" customHeight="1" x14ac:dyDescent="0.25">
      <c r="J161" s="168"/>
    </row>
    <row r="162" spans="10:10" ht="16.149999999999999" customHeight="1" x14ac:dyDescent="0.25">
      <c r="J162" s="168"/>
    </row>
    <row r="163" spans="10:10" ht="16.149999999999999" customHeight="1" x14ac:dyDescent="0.25">
      <c r="J163" s="168"/>
    </row>
    <row r="164" spans="10:10" ht="16.149999999999999" customHeight="1" x14ac:dyDescent="0.25">
      <c r="J164" s="168"/>
    </row>
    <row r="165" spans="10:10" ht="16.149999999999999" customHeight="1" x14ac:dyDescent="0.25">
      <c r="J165" s="168"/>
    </row>
    <row r="166" spans="10:10" ht="16.149999999999999" customHeight="1" x14ac:dyDescent="0.25">
      <c r="J166" s="168"/>
    </row>
    <row r="167" spans="10:10" ht="16.149999999999999" customHeight="1" x14ac:dyDescent="0.25">
      <c r="J167" s="168"/>
    </row>
    <row r="168" spans="10:10" ht="16.149999999999999" customHeight="1" x14ac:dyDescent="0.25">
      <c r="J168" s="168"/>
    </row>
    <row r="169" spans="10:10" ht="16.149999999999999" customHeight="1" x14ac:dyDescent="0.25">
      <c r="J169" s="168"/>
    </row>
    <row r="170" spans="10:10" ht="16.149999999999999" customHeight="1" x14ac:dyDescent="0.25">
      <c r="J170" s="168"/>
    </row>
    <row r="171" spans="10:10" ht="16.149999999999999" customHeight="1" x14ac:dyDescent="0.25">
      <c r="J171" s="168"/>
    </row>
    <row r="172" spans="10:10" ht="16.149999999999999" customHeight="1" x14ac:dyDescent="0.25">
      <c r="J172" s="168"/>
    </row>
    <row r="173" spans="10:10" ht="16.149999999999999" customHeight="1" x14ac:dyDescent="0.25">
      <c r="J173" s="168"/>
    </row>
    <row r="174" spans="10:10" ht="16.149999999999999" customHeight="1" x14ac:dyDescent="0.25">
      <c r="J174" s="168"/>
    </row>
    <row r="175" spans="10:10" ht="16.149999999999999" customHeight="1" x14ac:dyDescent="0.25">
      <c r="J175" s="168"/>
    </row>
    <row r="176" spans="10:10" ht="16.149999999999999" customHeight="1" x14ac:dyDescent="0.25">
      <c r="J176" s="168"/>
    </row>
    <row r="177" spans="10:10" ht="16.149999999999999" customHeight="1" x14ac:dyDescent="0.25">
      <c r="J177" s="168"/>
    </row>
    <row r="178" spans="10:10" ht="16.149999999999999" customHeight="1" x14ac:dyDescent="0.25">
      <c r="J178" s="168"/>
    </row>
    <row r="179" spans="10:10" ht="16.149999999999999" customHeight="1" x14ac:dyDescent="0.25">
      <c r="J179" s="168"/>
    </row>
    <row r="180" spans="10:10" ht="16.149999999999999" customHeight="1" x14ac:dyDescent="0.25">
      <c r="J180" s="168"/>
    </row>
    <row r="181" spans="10:10" ht="16.149999999999999" customHeight="1" x14ac:dyDescent="0.25">
      <c r="J181" s="168"/>
    </row>
    <row r="182" spans="10:10" ht="16.149999999999999" customHeight="1" x14ac:dyDescent="0.25">
      <c r="J182" s="168"/>
    </row>
    <row r="183" spans="10:10" ht="16.149999999999999" customHeight="1" x14ac:dyDescent="0.25">
      <c r="J183" s="168"/>
    </row>
    <row r="184" spans="10:10" ht="16.149999999999999" customHeight="1" x14ac:dyDescent="0.25">
      <c r="J184" s="168"/>
    </row>
    <row r="185" spans="10:10" ht="16.149999999999999" customHeight="1" x14ac:dyDescent="0.25">
      <c r="J185" s="168"/>
    </row>
    <row r="186" spans="10:10" ht="16.149999999999999" customHeight="1" x14ac:dyDescent="0.25">
      <c r="J186" s="168"/>
    </row>
    <row r="187" spans="10:10" ht="16.149999999999999" customHeight="1" x14ac:dyDescent="0.25">
      <c r="J187" s="168"/>
    </row>
    <row r="188" spans="10:10" ht="16.149999999999999" customHeight="1" x14ac:dyDescent="0.25">
      <c r="J188" s="168"/>
    </row>
    <row r="189" spans="10:10" ht="16.149999999999999" customHeight="1" x14ac:dyDescent="0.25">
      <c r="J189" s="168"/>
    </row>
    <row r="190" spans="10:10" ht="16.149999999999999" customHeight="1" x14ac:dyDescent="0.25">
      <c r="J190" s="168"/>
    </row>
    <row r="191" spans="10:10" ht="16.149999999999999" customHeight="1" x14ac:dyDescent="0.25">
      <c r="J191" s="168"/>
    </row>
    <row r="192" spans="10:10" ht="16.149999999999999" customHeight="1" x14ac:dyDescent="0.25">
      <c r="J192" s="168"/>
    </row>
    <row r="193" spans="10:10" ht="16.149999999999999" customHeight="1" x14ac:dyDescent="0.25">
      <c r="J193" s="168"/>
    </row>
    <row r="194" spans="10:10" ht="16.149999999999999" customHeight="1" x14ac:dyDescent="0.25">
      <c r="J194" s="168"/>
    </row>
    <row r="195" spans="10:10" ht="16.149999999999999" customHeight="1" x14ac:dyDescent="0.25">
      <c r="J195" s="168"/>
    </row>
    <row r="196" spans="10:10" ht="16.149999999999999" customHeight="1" x14ac:dyDescent="0.25">
      <c r="J196" s="168"/>
    </row>
    <row r="197" spans="10:10" ht="16.149999999999999" customHeight="1" x14ac:dyDescent="0.25">
      <c r="J197" s="168"/>
    </row>
    <row r="198" spans="10:10" ht="16.149999999999999" customHeight="1" x14ac:dyDescent="0.25">
      <c r="J198" s="168"/>
    </row>
    <row r="199" spans="10:10" ht="16.149999999999999" customHeight="1" x14ac:dyDescent="0.25">
      <c r="J199" s="168"/>
    </row>
    <row r="200" spans="10:10" ht="16.149999999999999" customHeight="1" x14ac:dyDescent="0.25">
      <c r="J200" s="168"/>
    </row>
    <row r="201" spans="10:10" ht="16.149999999999999" customHeight="1" x14ac:dyDescent="0.25">
      <c r="J201" s="168"/>
    </row>
    <row r="202" spans="10:10" ht="16.149999999999999" customHeight="1" x14ac:dyDescent="0.25">
      <c r="J202" s="168"/>
    </row>
    <row r="203" spans="10:10" ht="16.149999999999999" customHeight="1" x14ac:dyDescent="0.25">
      <c r="J203" s="168"/>
    </row>
    <row r="204" spans="10:10" ht="16.149999999999999" customHeight="1" x14ac:dyDescent="0.25">
      <c r="J204" s="168"/>
    </row>
    <row r="205" spans="10:10" ht="16.149999999999999" customHeight="1" x14ac:dyDescent="0.25">
      <c r="J205" s="168"/>
    </row>
    <row r="206" spans="10:10" ht="16.149999999999999" customHeight="1" x14ac:dyDescent="0.25">
      <c r="J206" s="168"/>
    </row>
    <row r="207" spans="10:10" ht="16.149999999999999" customHeight="1" x14ac:dyDescent="0.25">
      <c r="J207" s="168"/>
    </row>
    <row r="208" spans="10:10" ht="16.149999999999999" customHeight="1" x14ac:dyDescent="0.25">
      <c r="J208" s="168"/>
    </row>
    <row r="209" spans="10:10" ht="16.149999999999999" customHeight="1" x14ac:dyDescent="0.25">
      <c r="J209" s="168"/>
    </row>
    <row r="210" spans="10:10" ht="16.149999999999999" customHeight="1" x14ac:dyDescent="0.25">
      <c r="J210" s="168"/>
    </row>
    <row r="211" spans="10:10" ht="16.149999999999999" customHeight="1" x14ac:dyDescent="0.25">
      <c r="J211" s="168"/>
    </row>
    <row r="212" spans="10:10" ht="16.149999999999999" customHeight="1" x14ac:dyDescent="0.25">
      <c r="J212" s="168"/>
    </row>
    <row r="213" spans="10:10" ht="16.149999999999999" customHeight="1" x14ac:dyDescent="0.25">
      <c r="J213" s="168"/>
    </row>
    <row r="214" spans="10:10" ht="16.149999999999999" customHeight="1" x14ac:dyDescent="0.25">
      <c r="J214" s="168"/>
    </row>
    <row r="215" spans="10:10" ht="16.149999999999999" customHeight="1" x14ac:dyDescent="0.25">
      <c r="J215" s="168"/>
    </row>
    <row r="216" spans="10:10" ht="16.149999999999999" customHeight="1" x14ac:dyDescent="0.25">
      <c r="J216" s="168"/>
    </row>
    <row r="217" spans="10:10" ht="16.149999999999999" customHeight="1" x14ac:dyDescent="0.25">
      <c r="J217" s="168"/>
    </row>
    <row r="218" spans="10:10" ht="16.149999999999999" customHeight="1" x14ac:dyDescent="0.25">
      <c r="J218" s="168"/>
    </row>
    <row r="219" spans="10:10" ht="16.149999999999999" customHeight="1" x14ac:dyDescent="0.25">
      <c r="J219" s="168"/>
    </row>
    <row r="220" spans="10:10" ht="16.149999999999999" customHeight="1" x14ac:dyDescent="0.25">
      <c r="J220" s="168"/>
    </row>
    <row r="221" spans="10:10" ht="16.149999999999999" customHeight="1" x14ac:dyDescent="0.25">
      <c r="J221" s="168"/>
    </row>
    <row r="222" spans="10:10" ht="16.149999999999999" customHeight="1" x14ac:dyDescent="0.25">
      <c r="J222" s="168"/>
    </row>
    <row r="223" spans="10:10" ht="16.149999999999999" customHeight="1" x14ac:dyDescent="0.25">
      <c r="J223" s="168"/>
    </row>
    <row r="224" spans="10:10" ht="16.149999999999999" customHeight="1" x14ac:dyDescent="0.25">
      <c r="J224" s="168"/>
    </row>
    <row r="225" spans="10:10" ht="16.149999999999999" customHeight="1" x14ac:dyDescent="0.25">
      <c r="J225" s="168"/>
    </row>
    <row r="226" spans="10:10" ht="16.149999999999999" customHeight="1" x14ac:dyDescent="0.25">
      <c r="J226" s="168"/>
    </row>
    <row r="227" spans="10:10" ht="16.149999999999999" customHeight="1" x14ac:dyDescent="0.25">
      <c r="J227" s="168"/>
    </row>
    <row r="228" spans="10:10" ht="16.149999999999999" customHeight="1" x14ac:dyDescent="0.25">
      <c r="J228" s="168"/>
    </row>
    <row r="229" spans="10:10" ht="16.149999999999999" customHeight="1" x14ac:dyDescent="0.25">
      <c r="J229" s="168"/>
    </row>
    <row r="230" spans="10:10" ht="16.149999999999999" customHeight="1" x14ac:dyDescent="0.25">
      <c r="J230" s="168"/>
    </row>
    <row r="231" spans="10:10" ht="16.149999999999999" customHeight="1" x14ac:dyDescent="0.25">
      <c r="J231" s="168"/>
    </row>
    <row r="232" spans="10:10" ht="16.149999999999999" customHeight="1" x14ac:dyDescent="0.25">
      <c r="J232" s="168"/>
    </row>
    <row r="233" spans="10:10" ht="16.149999999999999" customHeight="1" x14ac:dyDescent="0.25">
      <c r="J233" s="168"/>
    </row>
    <row r="234" spans="10:10" ht="16.149999999999999" customHeight="1" x14ac:dyDescent="0.25">
      <c r="J234" s="168"/>
    </row>
    <row r="235" spans="10:10" ht="16.149999999999999" customHeight="1" x14ac:dyDescent="0.25">
      <c r="J235" s="168"/>
    </row>
    <row r="236" spans="10:10" ht="16.149999999999999" customHeight="1" x14ac:dyDescent="0.25">
      <c r="J236" s="168"/>
    </row>
    <row r="237" spans="10:10" ht="16.149999999999999" customHeight="1" x14ac:dyDescent="0.25">
      <c r="J237" s="168"/>
    </row>
    <row r="238" spans="10:10" ht="16.149999999999999" customHeight="1" x14ac:dyDescent="0.25">
      <c r="J238" s="168"/>
    </row>
    <row r="239" spans="10:10" ht="16.149999999999999" customHeight="1" x14ac:dyDescent="0.25">
      <c r="J239" s="168"/>
    </row>
    <row r="240" spans="10:10" ht="16.149999999999999" customHeight="1" x14ac:dyDescent="0.25">
      <c r="J240" s="168"/>
    </row>
    <row r="241" spans="10:10" ht="16.149999999999999" customHeight="1" x14ac:dyDescent="0.25">
      <c r="J241" s="168"/>
    </row>
    <row r="242" spans="10:10" ht="16.149999999999999" customHeight="1" x14ac:dyDescent="0.25">
      <c r="J242" s="168"/>
    </row>
    <row r="243" spans="10:10" ht="16.149999999999999" customHeight="1" x14ac:dyDescent="0.25">
      <c r="J243" s="168"/>
    </row>
    <row r="244" spans="10:10" ht="16.149999999999999" customHeight="1" x14ac:dyDescent="0.25">
      <c r="J244" s="168"/>
    </row>
    <row r="245" spans="10:10" ht="16.149999999999999" customHeight="1" x14ac:dyDescent="0.25">
      <c r="J245" s="168"/>
    </row>
    <row r="246" spans="10:10" ht="16.149999999999999" customHeight="1" x14ac:dyDescent="0.25">
      <c r="J246" s="168"/>
    </row>
    <row r="247" spans="10:10" ht="16.149999999999999" customHeight="1" x14ac:dyDescent="0.25">
      <c r="J247" s="168"/>
    </row>
    <row r="248" spans="10:10" ht="16.149999999999999" customHeight="1" x14ac:dyDescent="0.25">
      <c r="J248" s="168"/>
    </row>
    <row r="249" spans="10:10" ht="16.149999999999999" customHeight="1" x14ac:dyDescent="0.25">
      <c r="J249" s="168"/>
    </row>
    <row r="250" spans="10:10" ht="16.149999999999999" customHeight="1" x14ac:dyDescent="0.25">
      <c r="J250" s="168"/>
    </row>
    <row r="251" spans="10:10" ht="16.149999999999999" customHeight="1" x14ac:dyDescent="0.25">
      <c r="J251" s="168"/>
    </row>
    <row r="252" spans="10:10" ht="16.149999999999999" customHeight="1" x14ac:dyDescent="0.25">
      <c r="J252" s="168"/>
    </row>
    <row r="253" spans="10:10" ht="16.149999999999999" customHeight="1" x14ac:dyDescent="0.25">
      <c r="J253" s="168"/>
    </row>
    <row r="254" spans="10:10" ht="16.149999999999999" customHeight="1" x14ac:dyDescent="0.25">
      <c r="J254" s="168"/>
    </row>
    <row r="255" spans="10:10" ht="16.149999999999999" customHeight="1" x14ac:dyDescent="0.25">
      <c r="J255" s="168"/>
    </row>
    <row r="256" spans="10:10" ht="16.149999999999999" customHeight="1" x14ac:dyDescent="0.25">
      <c r="J256" s="168"/>
    </row>
    <row r="257" spans="10:10" ht="16.149999999999999" customHeight="1" x14ac:dyDescent="0.25">
      <c r="J257" s="168"/>
    </row>
    <row r="258" spans="10:10" ht="16.149999999999999" customHeight="1" x14ac:dyDescent="0.25">
      <c r="J258" s="168"/>
    </row>
    <row r="259" spans="10:10" ht="16.149999999999999" customHeight="1" x14ac:dyDescent="0.25">
      <c r="J259" s="168"/>
    </row>
    <row r="260" spans="10:10" ht="16.149999999999999" customHeight="1" x14ac:dyDescent="0.25">
      <c r="J260" s="168"/>
    </row>
    <row r="261" spans="10:10" ht="16.149999999999999" customHeight="1" x14ac:dyDescent="0.25">
      <c r="J261" s="168"/>
    </row>
    <row r="262" spans="10:10" ht="16.149999999999999" customHeight="1" x14ac:dyDescent="0.25">
      <c r="J262" s="168"/>
    </row>
    <row r="263" spans="10:10" ht="16.149999999999999" customHeight="1" x14ac:dyDescent="0.25">
      <c r="J263" s="168"/>
    </row>
    <row r="264" spans="10:10" ht="16.149999999999999" customHeight="1" x14ac:dyDescent="0.25">
      <c r="J264" s="168"/>
    </row>
    <row r="265" spans="10:10" ht="16.149999999999999" customHeight="1" x14ac:dyDescent="0.25">
      <c r="J265" s="168"/>
    </row>
    <row r="266" spans="10:10" ht="16.149999999999999" customHeight="1" x14ac:dyDescent="0.25">
      <c r="J266" s="168"/>
    </row>
    <row r="267" spans="10:10" ht="16.149999999999999" customHeight="1" x14ac:dyDescent="0.25">
      <c r="J267" s="168"/>
    </row>
    <row r="268" spans="10:10" ht="16.149999999999999" customHeight="1" x14ac:dyDescent="0.25">
      <c r="J268" s="168"/>
    </row>
    <row r="269" spans="10:10" ht="16.149999999999999" customHeight="1" x14ac:dyDescent="0.25">
      <c r="J269" s="168"/>
    </row>
    <row r="270" spans="10:10" ht="16.149999999999999" customHeight="1" x14ac:dyDescent="0.25">
      <c r="J270" s="168"/>
    </row>
    <row r="271" spans="10:10" ht="16.149999999999999" customHeight="1" x14ac:dyDescent="0.25">
      <c r="J271" s="168"/>
    </row>
    <row r="272" spans="10:10" ht="16.149999999999999" customHeight="1" x14ac:dyDescent="0.25">
      <c r="J272" s="168"/>
    </row>
    <row r="273" spans="10:10" ht="16.149999999999999" customHeight="1" x14ac:dyDescent="0.25">
      <c r="J273" s="168"/>
    </row>
    <row r="274" spans="10:10" ht="16.149999999999999" customHeight="1" x14ac:dyDescent="0.25">
      <c r="J274" s="168"/>
    </row>
    <row r="275" spans="10:10" ht="16.149999999999999" customHeight="1" x14ac:dyDescent="0.25">
      <c r="J275" s="168"/>
    </row>
    <row r="276" spans="10:10" ht="16.149999999999999" customHeight="1" x14ac:dyDescent="0.25">
      <c r="J276" s="168"/>
    </row>
    <row r="277" spans="10:10" ht="16.149999999999999" customHeight="1" x14ac:dyDescent="0.25">
      <c r="J277" s="168"/>
    </row>
    <row r="278" spans="10:10" ht="16.149999999999999" customHeight="1" x14ac:dyDescent="0.25">
      <c r="J278" s="168"/>
    </row>
    <row r="279" spans="10:10" ht="16.149999999999999" customHeight="1" x14ac:dyDescent="0.25">
      <c r="J279" s="168"/>
    </row>
    <row r="280" spans="10:10" ht="16.149999999999999" customHeight="1" x14ac:dyDescent="0.25">
      <c r="J280" s="168"/>
    </row>
    <row r="281" spans="10:10" ht="16.149999999999999" customHeight="1" x14ac:dyDescent="0.25">
      <c r="J281" s="168"/>
    </row>
    <row r="282" spans="10:10" ht="16.149999999999999" customHeight="1" x14ac:dyDescent="0.25">
      <c r="J282" s="168"/>
    </row>
    <row r="283" spans="10:10" ht="16.149999999999999" customHeight="1" x14ac:dyDescent="0.25">
      <c r="J283" s="168"/>
    </row>
    <row r="284" spans="10:10" ht="16.149999999999999" customHeight="1" x14ac:dyDescent="0.25">
      <c r="J284" s="168"/>
    </row>
    <row r="285" spans="10:10" ht="16.149999999999999" customHeight="1" x14ac:dyDescent="0.25">
      <c r="J285" s="168"/>
    </row>
    <row r="286" spans="10:10" ht="16.149999999999999" customHeight="1" x14ac:dyDescent="0.25">
      <c r="J286" s="168"/>
    </row>
    <row r="287" spans="10:10" ht="16.149999999999999" customHeight="1" x14ac:dyDescent="0.25">
      <c r="J287" s="168"/>
    </row>
    <row r="288" spans="10:10" ht="16.149999999999999" customHeight="1" x14ac:dyDescent="0.25">
      <c r="J288" s="168"/>
    </row>
    <row r="289" spans="10:10" ht="16.149999999999999" customHeight="1" x14ac:dyDescent="0.25">
      <c r="J289" s="168"/>
    </row>
    <row r="290" spans="10:10" ht="16.149999999999999" customHeight="1" x14ac:dyDescent="0.25">
      <c r="J290" s="168"/>
    </row>
    <row r="291" spans="10:10" ht="16.149999999999999" customHeight="1" x14ac:dyDescent="0.25">
      <c r="J291" s="168"/>
    </row>
    <row r="292" spans="10:10" ht="16.149999999999999" customHeight="1" x14ac:dyDescent="0.25">
      <c r="J292" s="168"/>
    </row>
    <row r="293" spans="10:10" ht="16.149999999999999" customHeight="1" x14ac:dyDescent="0.25">
      <c r="J293" s="168"/>
    </row>
    <row r="294" spans="10:10" ht="16.149999999999999" customHeight="1" x14ac:dyDescent="0.25">
      <c r="J294" s="168"/>
    </row>
    <row r="295" spans="10:10" ht="16.149999999999999" customHeight="1" x14ac:dyDescent="0.25">
      <c r="J295" s="168"/>
    </row>
    <row r="296" spans="10:10" ht="16.149999999999999" customHeight="1" x14ac:dyDescent="0.25">
      <c r="J296" s="168"/>
    </row>
    <row r="297" spans="10:10" ht="16.149999999999999" customHeight="1" x14ac:dyDescent="0.25">
      <c r="J297" s="168"/>
    </row>
    <row r="298" spans="10:10" ht="16.149999999999999" customHeight="1" x14ac:dyDescent="0.25">
      <c r="J298" s="168"/>
    </row>
    <row r="299" spans="10:10" ht="16.149999999999999" customHeight="1" x14ac:dyDescent="0.25">
      <c r="J299" s="168"/>
    </row>
    <row r="300" spans="10:10" ht="16.149999999999999" customHeight="1" x14ac:dyDescent="0.25">
      <c r="J300" s="168"/>
    </row>
    <row r="301" spans="10:10" ht="16.149999999999999" customHeight="1" x14ac:dyDescent="0.25">
      <c r="J301" s="168"/>
    </row>
    <row r="302" spans="10:10" ht="16.149999999999999" customHeight="1" x14ac:dyDescent="0.25">
      <c r="J302" s="168"/>
    </row>
    <row r="303" spans="10:10" ht="16.149999999999999" customHeight="1" x14ac:dyDescent="0.25">
      <c r="J303" s="168"/>
    </row>
    <row r="304" spans="10:10" ht="16.149999999999999" customHeight="1" x14ac:dyDescent="0.25">
      <c r="J304" s="168"/>
    </row>
    <row r="305" spans="10:10" ht="16.149999999999999" customHeight="1" x14ac:dyDescent="0.25">
      <c r="J305" s="168"/>
    </row>
    <row r="306" spans="10:10" ht="16.149999999999999" customHeight="1" x14ac:dyDescent="0.25">
      <c r="J306" s="168"/>
    </row>
    <row r="307" spans="10:10" ht="16.149999999999999" customHeight="1" x14ac:dyDescent="0.25">
      <c r="J307" s="168"/>
    </row>
    <row r="308" spans="10:10" ht="16.149999999999999" customHeight="1" x14ac:dyDescent="0.25">
      <c r="J308" s="168"/>
    </row>
    <row r="309" spans="10:10" ht="16.149999999999999" customHeight="1" x14ac:dyDescent="0.25">
      <c r="J309" s="168"/>
    </row>
    <row r="310" spans="10:10" ht="16.149999999999999" customHeight="1" x14ac:dyDescent="0.25">
      <c r="J310" s="168"/>
    </row>
    <row r="311" spans="10:10" ht="16.149999999999999" customHeight="1" x14ac:dyDescent="0.25">
      <c r="J311" s="168"/>
    </row>
    <row r="312" spans="10:10" ht="16.149999999999999" customHeight="1" x14ac:dyDescent="0.25">
      <c r="J312" s="168"/>
    </row>
    <row r="313" spans="10:10" ht="16.149999999999999" customHeight="1" x14ac:dyDescent="0.25">
      <c r="J313" s="168"/>
    </row>
    <row r="314" spans="10:10" ht="16.149999999999999" customHeight="1" x14ac:dyDescent="0.25">
      <c r="J314" s="168"/>
    </row>
    <row r="315" spans="10:10" ht="16.149999999999999" customHeight="1" x14ac:dyDescent="0.25">
      <c r="J315" s="168"/>
    </row>
    <row r="316" spans="10:10" ht="16.149999999999999" customHeight="1" x14ac:dyDescent="0.25">
      <c r="J316" s="168"/>
    </row>
    <row r="317" spans="10:10" ht="16.149999999999999" customHeight="1" x14ac:dyDescent="0.25">
      <c r="J317" s="168"/>
    </row>
    <row r="318" spans="10:10" ht="16.149999999999999" customHeight="1" x14ac:dyDescent="0.25">
      <c r="J318" s="168"/>
    </row>
    <row r="319" spans="10:10" ht="16.149999999999999" customHeight="1" x14ac:dyDescent="0.25">
      <c r="J319" s="168"/>
    </row>
    <row r="320" spans="10:10" ht="16.149999999999999" customHeight="1" x14ac:dyDescent="0.25">
      <c r="J320" s="168"/>
    </row>
    <row r="321" spans="10:10" ht="16.149999999999999" customHeight="1" x14ac:dyDescent="0.25">
      <c r="J321" s="168"/>
    </row>
    <row r="322" spans="10:10" ht="16.149999999999999" customHeight="1" x14ac:dyDescent="0.25">
      <c r="J322" s="168"/>
    </row>
    <row r="323" spans="10:10" ht="16.149999999999999" customHeight="1" x14ac:dyDescent="0.25">
      <c r="J323" s="168"/>
    </row>
    <row r="324" spans="10:10" ht="16.149999999999999" customHeight="1" x14ac:dyDescent="0.25">
      <c r="J324" s="168"/>
    </row>
    <row r="325" spans="10:10" ht="16.149999999999999" customHeight="1" x14ac:dyDescent="0.25">
      <c r="J325" s="168"/>
    </row>
    <row r="326" spans="10:10" ht="16.149999999999999" customHeight="1" x14ac:dyDescent="0.25">
      <c r="J326" s="168"/>
    </row>
    <row r="327" spans="10:10" ht="16.149999999999999" customHeight="1" x14ac:dyDescent="0.25">
      <c r="J327" s="168"/>
    </row>
    <row r="328" spans="10:10" ht="16.149999999999999" customHeight="1" x14ac:dyDescent="0.25">
      <c r="J328" s="168"/>
    </row>
    <row r="329" spans="10:10" ht="16.149999999999999" customHeight="1" x14ac:dyDescent="0.25">
      <c r="J329" s="168"/>
    </row>
    <row r="330" spans="10:10" ht="16.149999999999999" customHeight="1" x14ac:dyDescent="0.25">
      <c r="J330" s="168"/>
    </row>
    <row r="331" spans="10:10" ht="16.149999999999999" customHeight="1" x14ac:dyDescent="0.25">
      <c r="J331" s="168"/>
    </row>
    <row r="332" spans="10:10" ht="16.149999999999999" customHeight="1" x14ac:dyDescent="0.25">
      <c r="J332" s="168"/>
    </row>
    <row r="333" spans="10:10" ht="16.149999999999999" customHeight="1" x14ac:dyDescent="0.25">
      <c r="J333" s="168"/>
    </row>
    <row r="334" spans="10:10" ht="16.149999999999999" customHeight="1" x14ac:dyDescent="0.25">
      <c r="J334" s="168"/>
    </row>
    <row r="335" spans="10:10" ht="16.149999999999999" customHeight="1" x14ac:dyDescent="0.25">
      <c r="J335" s="168"/>
    </row>
    <row r="336" spans="10:10" ht="16.149999999999999" customHeight="1" x14ac:dyDescent="0.25">
      <c r="J336" s="168"/>
    </row>
    <row r="337" spans="10:10" ht="16.149999999999999" customHeight="1" x14ac:dyDescent="0.25">
      <c r="J337" s="168"/>
    </row>
    <row r="338" spans="10:10" ht="16.149999999999999" customHeight="1" x14ac:dyDescent="0.25">
      <c r="J338" s="168"/>
    </row>
    <row r="339" spans="10:10" ht="16.149999999999999" customHeight="1" x14ac:dyDescent="0.25">
      <c r="J339" s="168"/>
    </row>
    <row r="340" spans="10:10" ht="16.149999999999999" customHeight="1" x14ac:dyDescent="0.25">
      <c r="J340" s="168"/>
    </row>
    <row r="341" spans="10:10" ht="16.149999999999999" customHeight="1" x14ac:dyDescent="0.25">
      <c r="J341" s="168"/>
    </row>
    <row r="342" spans="10:10" ht="16.149999999999999" customHeight="1" x14ac:dyDescent="0.25">
      <c r="J342" s="168"/>
    </row>
    <row r="343" spans="10:10" ht="16.149999999999999" customHeight="1" x14ac:dyDescent="0.25">
      <c r="J343" s="168"/>
    </row>
    <row r="344" spans="10:10" ht="16.149999999999999" customHeight="1" x14ac:dyDescent="0.25">
      <c r="J344" s="168"/>
    </row>
    <row r="345" spans="10:10" ht="16.149999999999999" customHeight="1" x14ac:dyDescent="0.25">
      <c r="J345" s="168"/>
    </row>
    <row r="346" spans="10:10" ht="16.149999999999999" customHeight="1" x14ac:dyDescent="0.25">
      <c r="J346" s="168"/>
    </row>
    <row r="347" spans="10:10" ht="16.149999999999999" customHeight="1" x14ac:dyDescent="0.25">
      <c r="J347" s="168"/>
    </row>
    <row r="348" spans="10:10" ht="16.149999999999999" customHeight="1" x14ac:dyDescent="0.25">
      <c r="J348" s="168"/>
    </row>
    <row r="349" spans="10:10" ht="16.149999999999999" customHeight="1" x14ac:dyDescent="0.25">
      <c r="J349" s="168"/>
    </row>
    <row r="350" spans="10:10" ht="16.149999999999999" customHeight="1" x14ac:dyDescent="0.25">
      <c r="J350" s="168"/>
    </row>
    <row r="351" spans="10:10" ht="16.149999999999999" customHeight="1" x14ac:dyDescent="0.25">
      <c r="J351" s="168"/>
    </row>
    <row r="352" spans="10:10" ht="16.149999999999999" customHeight="1" x14ac:dyDescent="0.25">
      <c r="J352" s="168"/>
    </row>
    <row r="353" spans="10:10" ht="16.149999999999999" customHeight="1" x14ac:dyDescent="0.25">
      <c r="J353" s="168"/>
    </row>
    <row r="354" spans="10:10" ht="16.149999999999999" customHeight="1" x14ac:dyDescent="0.25">
      <c r="J354" s="168"/>
    </row>
    <row r="355" spans="10:10" ht="16.149999999999999" customHeight="1" x14ac:dyDescent="0.25">
      <c r="J355" s="168"/>
    </row>
    <row r="356" spans="10:10" ht="16.149999999999999" customHeight="1" x14ac:dyDescent="0.25">
      <c r="J356" s="168"/>
    </row>
    <row r="357" spans="10:10" ht="16.149999999999999" customHeight="1" x14ac:dyDescent="0.25">
      <c r="J357" s="168"/>
    </row>
    <row r="358" spans="10:10" ht="16.149999999999999" customHeight="1" x14ac:dyDescent="0.25">
      <c r="J358" s="168"/>
    </row>
    <row r="359" spans="10:10" ht="16.149999999999999" customHeight="1" x14ac:dyDescent="0.25">
      <c r="J359" s="168"/>
    </row>
    <row r="360" spans="10:10" ht="16.149999999999999" customHeight="1" x14ac:dyDescent="0.25">
      <c r="J360" s="168"/>
    </row>
    <row r="361" spans="10:10" ht="16.149999999999999" customHeight="1" x14ac:dyDescent="0.25">
      <c r="J361" s="168"/>
    </row>
    <row r="362" spans="10:10" ht="16.149999999999999" customHeight="1" x14ac:dyDescent="0.25">
      <c r="J362" s="168"/>
    </row>
    <row r="363" spans="10:10" ht="16.149999999999999" customHeight="1" x14ac:dyDescent="0.25">
      <c r="J363" s="168"/>
    </row>
    <row r="364" spans="10:10" ht="16.149999999999999" customHeight="1" x14ac:dyDescent="0.25">
      <c r="J364" s="168"/>
    </row>
    <row r="365" spans="10:10" ht="16.149999999999999" customHeight="1" x14ac:dyDescent="0.25">
      <c r="J365" s="168"/>
    </row>
    <row r="366" spans="10:10" ht="16.149999999999999" customHeight="1" x14ac:dyDescent="0.25">
      <c r="J366" s="168"/>
    </row>
    <row r="367" spans="10:10" ht="16.149999999999999" customHeight="1" x14ac:dyDescent="0.25">
      <c r="J367" s="168"/>
    </row>
    <row r="368" spans="10:10" ht="16.149999999999999" customHeight="1" x14ac:dyDescent="0.25">
      <c r="J368" s="168"/>
    </row>
    <row r="369" spans="10:10" ht="16.149999999999999" customHeight="1" x14ac:dyDescent="0.25">
      <c r="J369" s="168"/>
    </row>
    <row r="370" spans="10:10" ht="16.149999999999999" customHeight="1" x14ac:dyDescent="0.25">
      <c r="J370" s="168"/>
    </row>
    <row r="371" spans="10:10" ht="16.149999999999999" customHeight="1" x14ac:dyDescent="0.25">
      <c r="J371" s="168"/>
    </row>
    <row r="372" spans="10:10" ht="16.149999999999999" customHeight="1" x14ac:dyDescent="0.25">
      <c r="J372" s="168"/>
    </row>
    <row r="373" spans="10:10" ht="16.149999999999999" customHeight="1" x14ac:dyDescent="0.25">
      <c r="J373" s="168"/>
    </row>
    <row r="374" spans="10:10" ht="16.149999999999999" customHeight="1" x14ac:dyDescent="0.25">
      <c r="J374" s="168"/>
    </row>
    <row r="375" spans="10:10" ht="16.149999999999999" customHeight="1" x14ac:dyDescent="0.25">
      <c r="J375" s="168"/>
    </row>
    <row r="376" spans="10:10" ht="16.149999999999999" customHeight="1" x14ac:dyDescent="0.25">
      <c r="J376" s="168"/>
    </row>
    <row r="377" spans="10:10" ht="16.149999999999999" customHeight="1" x14ac:dyDescent="0.25">
      <c r="J377" s="168"/>
    </row>
    <row r="378" spans="10:10" ht="16.149999999999999" customHeight="1" x14ac:dyDescent="0.25">
      <c r="J378" s="168"/>
    </row>
    <row r="379" spans="10:10" ht="16.149999999999999" customHeight="1" x14ac:dyDescent="0.25">
      <c r="J379" s="168"/>
    </row>
    <row r="380" spans="10:10" ht="16.149999999999999" customHeight="1" x14ac:dyDescent="0.25">
      <c r="J380" s="168"/>
    </row>
    <row r="381" spans="10:10" ht="16.149999999999999" customHeight="1" x14ac:dyDescent="0.25">
      <c r="J381" s="168"/>
    </row>
    <row r="382" spans="10:10" ht="16.149999999999999" customHeight="1" x14ac:dyDescent="0.25">
      <c r="J382" s="168"/>
    </row>
    <row r="383" spans="10:10" ht="16.149999999999999" customHeight="1" x14ac:dyDescent="0.25">
      <c r="J383" s="168"/>
    </row>
    <row r="384" spans="10:10" ht="16.149999999999999" customHeight="1" x14ac:dyDescent="0.25">
      <c r="J384" s="168"/>
    </row>
    <row r="385" spans="10:10" ht="16.149999999999999" customHeight="1" x14ac:dyDescent="0.25">
      <c r="J385" s="168"/>
    </row>
    <row r="386" spans="10:10" ht="16.149999999999999" customHeight="1" x14ac:dyDescent="0.25">
      <c r="J386" s="168"/>
    </row>
    <row r="387" spans="10:10" ht="16.149999999999999" customHeight="1" x14ac:dyDescent="0.25">
      <c r="J387" s="168"/>
    </row>
    <row r="388" spans="10:10" ht="16.149999999999999" customHeight="1" x14ac:dyDescent="0.25">
      <c r="J388" s="168"/>
    </row>
    <row r="389" spans="10:10" ht="16.149999999999999" customHeight="1" x14ac:dyDescent="0.25">
      <c r="J389" s="168"/>
    </row>
    <row r="390" spans="10:10" ht="16.149999999999999" customHeight="1" x14ac:dyDescent="0.25">
      <c r="J390" s="168"/>
    </row>
    <row r="391" spans="10:10" ht="16.149999999999999" customHeight="1" x14ac:dyDescent="0.25">
      <c r="J391" s="168"/>
    </row>
    <row r="392" spans="10:10" ht="16.149999999999999" customHeight="1" x14ac:dyDescent="0.25">
      <c r="J392" s="168"/>
    </row>
    <row r="393" spans="10:10" ht="16.149999999999999" customHeight="1" x14ac:dyDescent="0.25">
      <c r="J393" s="168"/>
    </row>
    <row r="394" spans="10:10" ht="16.149999999999999" customHeight="1" x14ac:dyDescent="0.25">
      <c r="J394" s="168"/>
    </row>
    <row r="395" spans="10:10" ht="16.149999999999999" customHeight="1" x14ac:dyDescent="0.25">
      <c r="J395" s="168"/>
    </row>
    <row r="396" spans="10:10" ht="16.149999999999999" customHeight="1" x14ac:dyDescent="0.25">
      <c r="J396" s="168"/>
    </row>
    <row r="397" spans="10:10" ht="16.149999999999999" customHeight="1" x14ac:dyDescent="0.25">
      <c r="J397" s="168"/>
    </row>
    <row r="398" spans="10:10" ht="16.149999999999999" customHeight="1" x14ac:dyDescent="0.25">
      <c r="J398" s="168"/>
    </row>
    <row r="399" spans="10:10" ht="16.149999999999999" customHeight="1" x14ac:dyDescent="0.25">
      <c r="J399" s="168"/>
    </row>
    <row r="400" spans="10:10" ht="16.149999999999999" customHeight="1" x14ac:dyDescent="0.25">
      <c r="J400" s="168"/>
    </row>
    <row r="401" spans="10:10" ht="16.149999999999999" customHeight="1" x14ac:dyDescent="0.25">
      <c r="J401" s="168"/>
    </row>
    <row r="402" spans="10:10" ht="16.149999999999999" customHeight="1" x14ac:dyDescent="0.25">
      <c r="J402" s="168"/>
    </row>
    <row r="403" spans="10:10" ht="16.149999999999999" customHeight="1" x14ac:dyDescent="0.25">
      <c r="J403" s="168"/>
    </row>
    <row r="404" spans="10:10" ht="16.149999999999999" customHeight="1" x14ac:dyDescent="0.25">
      <c r="J404" s="168"/>
    </row>
    <row r="405" spans="10:10" ht="16.149999999999999" customHeight="1" x14ac:dyDescent="0.25">
      <c r="J405" s="168"/>
    </row>
    <row r="406" spans="10:10" ht="16.149999999999999" customHeight="1" x14ac:dyDescent="0.25">
      <c r="J406" s="168"/>
    </row>
    <row r="407" spans="10:10" ht="16.149999999999999" customHeight="1" x14ac:dyDescent="0.25">
      <c r="J407" s="168"/>
    </row>
    <row r="408" spans="10:10" ht="16.149999999999999" customHeight="1" x14ac:dyDescent="0.25">
      <c r="J408" s="168"/>
    </row>
    <row r="409" spans="10:10" ht="16.149999999999999" customHeight="1" x14ac:dyDescent="0.25">
      <c r="J409" s="168"/>
    </row>
    <row r="410" spans="10:10" ht="16.149999999999999" customHeight="1" x14ac:dyDescent="0.25">
      <c r="J410" s="168"/>
    </row>
    <row r="411" spans="10:10" ht="16.149999999999999" customHeight="1" x14ac:dyDescent="0.25">
      <c r="J411" s="168"/>
    </row>
    <row r="412" spans="10:10" ht="16.149999999999999" customHeight="1" x14ac:dyDescent="0.25">
      <c r="J412" s="168"/>
    </row>
    <row r="413" spans="10:10" ht="16.149999999999999" customHeight="1" x14ac:dyDescent="0.25">
      <c r="J413" s="168"/>
    </row>
    <row r="414" spans="10:10" ht="16.149999999999999" customHeight="1" x14ac:dyDescent="0.25">
      <c r="J414" s="168"/>
    </row>
    <row r="415" spans="10:10" ht="16.149999999999999" customHeight="1" x14ac:dyDescent="0.25">
      <c r="J415" s="168"/>
    </row>
    <row r="416" spans="10:10" ht="16.149999999999999" customHeight="1" x14ac:dyDescent="0.25">
      <c r="J416" s="168"/>
    </row>
    <row r="417" spans="10:10" ht="16.149999999999999" customHeight="1" x14ac:dyDescent="0.25">
      <c r="J417" s="168"/>
    </row>
    <row r="418" spans="10:10" ht="16.149999999999999" customHeight="1" x14ac:dyDescent="0.25">
      <c r="J418" s="168"/>
    </row>
    <row r="419" spans="10:10" ht="16.149999999999999" customHeight="1" x14ac:dyDescent="0.25">
      <c r="J419" s="168"/>
    </row>
    <row r="420" spans="10:10" ht="16.149999999999999" customHeight="1" x14ac:dyDescent="0.25">
      <c r="J420" s="168"/>
    </row>
    <row r="421" spans="10:10" ht="16.149999999999999" customHeight="1" x14ac:dyDescent="0.25">
      <c r="J421" s="168"/>
    </row>
    <row r="422" spans="10:10" ht="16.149999999999999" customHeight="1" x14ac:dyDescent="0.25">
      <c r="J422" s="168"/>
    </row>
    <row r="423" spans="10:10" ht="16.149999999999999" customHeight="1" x14ac:dyDescent="0.25">
      <c r="J423" s="168"/>
    </row>
    <row r="424" spans="10:10" ht="16.149999999999999" customHeight="1" x14ac:dyDescent="0.25">
      <c r="J424" s="168"/>
    </row>
    <row r="425" spans="10:10" ht="16.149999999999999" customHeight="1" x14ac:dyDescent="0.25">
      <c r="J425" s="168"/>
    </row>
    <row r="426" spans="10:10" ht="16.149999999999999" customHeight="1" x14ac:dyDescent="0.25">
      <c r="J426" s="168"/>
    </row>
    <row r="427" spans="10:10" ht="16.149999999999999" customHeight="1" x14ac:dyDescent="0.25">
      <c r="J427" s="168"/>
    </row>
    <row r="428" spans="10:10" ht="16.149999999999999" customHeight="1" x14ac:dyDescent="0.25">
      <c r="J428" s="168"/>
    </row>
    <row r="429" spans="10:10" ht="16.149999999999999" customHeight="1" x14ac:dyDescent="0.25">
      <c r="J429" s="168"/>
    </row>
    <row r="430" spans="10:10" ht="16.149999999999999" customHeight="1" x14ac:dyDescent="0.25">
      <c r="J430" s="168"/>
    </row>
    <row r="431" spans="10:10" ht="16.149999999999999" customHeight="1" x14ac:dyDescent="0.25">
      <c r="J431" s="168"/>
    </row>
    <row r="432" spans="10:10" ht="16.149999999999999" customHeight="1" x14ac:dyDescent="0.25">
      <c r="J432" s="168"/>
    </row>
    <row r="433" spans="10:10" ht="16.149999999999999" customHeight="1" x14ac:dyDescent="0.25">
      <c r="J433" s="168"/>
    </row>
    <row r="434" spans="10:10" ht="16.149999999999999" customHeight="1" x14ac:dyDescent="0.25">
      <c r="J434" s="168"/>
    </row>
    <row r="435" spans="10:10" ht="16.149999999999999" customHeight="1" x14ac:dyDescent="0.25">
      <c r="J435" s="168"/>
    </row>
    <row r="436" spans="10:10" ht="16.149999999999999" customHeight="1" x14ac:dyDescent="0.25">
      <c r="J436" s="168"/>
    </row>
    <row r="437" spans="10:10" ht="16.149999999999999" customHeight="1" x14ac:dyDescent="0.25">
      <c r="J437" s="168"/>
    </row>
    <row r="438" spans="10:10" ht="16.149999999999999" customHeight="1" x14ac:dyDescent="0.25">
      <c r="J438" s="168"/>
    </row>
    <row r="439" spans="10:10" ht="16.149999999999999" customHeight="1" x14ac:dyDescent="0.25">
      <c r="J439" s="168"/>
    </row>
    <row r="440" spans="10:10" ht="16.149999999999999" customHeight="1" x14ac:dyDescent="0.25">
      <c r="J440" s="168"/>
    </row>
    <row r="441" spans="10:10" ht="16.149999999999999" customHeight="1" x14ac:dyDescent="0.25">
      <c r="J441" s="168"/>
    </row>
    <row r="442" spans="10:10" ht="16.149999999999999" customHeight="1" x14ac:dyDescent="0.25">
      <c r="J442" s="168"/>
    </row>
    <row r="443" spans="10:10" ht="16.149999999999999" customHeight="1" x14ac:dyDescent="0.25">
      <c r="J443" s="168"/>
    </row>
    <row r="444" spans="10:10" ht="16.149999999999999" customHeight="1" x14ac:dyDescent="0.25">
      <c r="J444" s="168"/>
    </row>
    <row r="445" spans="10:10" ht="16.149999999999999" customHeight="1" x14ac:dyDescent="0.25">
      <c r="J445" s="168"/>
    </row>
    <row r="446" spans="10:10" ht="16.149999999999999" customHeight="1" x14ac:dyDescent="0.25">
      <c r="J446" s="168"/>
    </row>
    <row r="447" spans="10:10" ht="16.149999999999999" customHeight="1" x14ac:dyDescent="0.25">
      <c r="J447" s="168"/>
    </row>
    <row r="448" spans="10:10" ht="16.149999999999999" customHeight="1" x14ac:dyDescent="0.25">
      <c r="J448" s="168"/>
    </row>
    <row r="449" spans="10:10" ht="16.149999999999999" customHeight="1" x14ac:dyDescent="0.25">
      <c r="J449" s="168"/>
    </row>
    <row r="450" spans="10:10" ht="16.149999999999999" customHeight="1" x14ac:dyDescent="0.25">
      <c r="J450" s="168"/>
    </row>
    <row r="451" spans="10:10" ht="16.149999999999999" customHeight="1" x14ac:dyDescent="0.25">
      <c r="J451" s="168"/>
    </row>
    <row r="452" spans="10:10" ht="16.149999999999999" customHeight="1" x14ac:dyDescent="0.25">
      <c r="J452" s="168"/>
    </row>
    <row r="453" spans="10:10" ht="16.149999999999999" customHeight="1" x14ac:dyDescent="0.25">
      <c r="J453" s="168"/>
    </row>
    <row r="454" spans="10:10" ht="16.149999999999999" customHeight="1" x14ac:dyDescent="0.25">
      <c r="J454" s="168"/>
    </row>
    <row r="455" spans="10:10" ht="16.149999999999999" customHeight="1" x14ac:dyDescent="0.25">
      <c r="J455" s="168"/>
    </row>
    <row r="456" spans="10:10" ht="16.149999999999999" customHeight="1" x14ac:dyDescent="0.25">
      <c r="J456" s="168"/>
    </row>
    <row r="457" spans="10:10" ht="16.149999999999999" customHeight="1" x14ac:dyDescent="0.25">
      <c r="J457" s="168"/>
    </row>
    <row r="458" spans="10:10" ht="16.149999999999999" customHeight="1" x14ac:dyDescent="0.25">
      <c r="J458" s="168"/>
    </row>
    <row r="459" spans="10:10" ht="16.149999999999999" customHeight="1" x14ac:dyDescent="0.25">
      <c r="J459" s="168"/>
    </row>
    <row r="460" spans="10:10" ht="16.149999999999999" customHeight="1" x14ac:dyDescent="0.25">
      <c r="J460" s="168"/>
    </row>
    <row r="461" spans="10:10" ht="16.149999999999999" customHeight="1" x14ac:dyDescent="0.25">
      <c r="J461" s="168"/>
    </row>
    <row r="462" spans="10:10" ht="16.149999999999999" customHeight="1" x14ac:dyDescent="0.25">
      <c r="J462" s="168"/>
    </row>
    <row r="463" spans="10:10" ht="16.149999999999999" customHeight="1" x14ac:dyDescent="0.25">
      <c r="J463" s="168"/>
    </row>
    <row r="464" spans="10:10" ht="16.149999999999999" customHeight="1" x14ac:dyDescent="0.25">
      <c r="J464" s="168"/>
    </row>
    <row r="465" spans="10:10" ht="16.149999999999999" customHeight="1" x14ac:dyDescent="0.25">
      <c r="J465" s="168"/>
    </row>
    <row r="466" spans="10:10" ht="16.149999999999999" customHeight="1" x14ac:dyDescent="0.25">
      <c r="J466" s="168"/>
    </row>
    <row r="467" spans="10:10" ht="16.149999999999999" customHeight="1" x14ac:dyDescent="0.25">
      <c r="J467" s="168"/>
    </row>
    <row r="468" spans="10:10" ht="16.149999999999999" customHeight="1" x14ac:dyDescent="0.25">
      <c r="J468" s="168"/>
    </row>
    <row r="469" spans="10:10" ht="16.149999999999999" customHeight="1" x14ac:dyDescent="0.25">
      <c r="J469" s="168"/>
    </row>
    <row r="470" spans="10:10" ht="16.149999999999999" customHeight="1" x14ac:dyDescent="0.25">
      <c r="J470" s="168"/>
    </row>
    <row r="471" spans="10:10" ht="16.149999999999999" customHeight="1" x14ac:dyDescent="0.25">
      <c r="J471" s="168"/>
    </row>
    <row r="472" spans="10:10" ht="16.149999999999999" customHeight="1" x14ac:dyDescent="0.25">
      <c r="J472" s="168"/>
    </row>
    <row r="473" spans="10:10" ht="16.149999999999999" customHeight="1" x14ac:dyDescent="0.25">
      <c r="J473" s="168"/>
    </row>
    <row r="474" spans="10:10" ht="16.149999999999999" customHeight="1" x14ac:dyDescent="0.25">
      <c r="J474" s="168"/>
    </row>
    <row r="475" spans="10:10" ht="16.149999999999999" customHeight="1" x14ac:dyDescent="0.25">
      <c r="J475" s="168"/>
    </row>
    <row r="476" spans="10:10" ht="16.149999999999999" customHeight="1" x14ac:dyDescent="0.25">
      <c r="J476" s="168"/>
    </row>
    <row r="477" spans="10:10" ht="16.149999999999999" customHeight="1" x14ac:dyDescent="0.25">
      <c r="J477" s="168"/>
    </row>
    <row r="478" spans="10:10" ht="16.149999999999999" customHeight="1" x14ac:dyDescent="0.25">
      <c r="J478" s="168"/>
    </row>
    <row r="479" spans="10:10" ht="16.149999999999999" customHeight="1" x14ac:dyDescent="0.25">
      <c r="J479" s="168"/>
    </row>
    <row r="480" spans="10:10" ht="16.149999999999999" customHeight="1" x14ac:dyDescent="0.25">
      <c r="J480" s="168"/>
    </row>
    <row r="481" spans="10:10" ht="16.149999999999999" customHeight="1" x14ac:dyDescent="0.25">
      <c r="J481" s="168"/>
    </row>
    <row r="482" spans="10:10" ht="16.149999999999999" customHeight="1" x14ac:dyDescent="0.25">
      <c r="J482" s="168"/>
    </row>
    <row r="483" spans="10:10" ht="16.149999999999999" customHeight="1" x14ac:dyDescent="0.25">
      <c r="J483" s="168"/>
    </row>
    <row r="484" spans="10:10" ht="16.149999999999999" customHeight="1" x14ac:dyDescent="0.25">
      <c r="J484" s="168"/>
    </row>
    <row r="485" spans="10:10" ht="16.149999999999999" customHeight="1" x14ac:dyDescent="0.25">
      <c r="J485" s="168"/>
    </row>
    <row r="486" spans="10:10" ht="16.149999999999999" customHeight="1" x14ac:dyDescent="0.25">
      <c r="J486" s="168"/>
    </row>
    <row r="487" spans="10:10" ht="16.149999999999999" customHeight="1" x14ac:dyDescent="0.25">
      <c r="J487" s="168"/>
    </row>
    <row r="488" spans="10:10" ht="16.149999999999999" customHeight="1" x14ac:dyDescent="0.25">
      <c r="J488" s="168"/>
    </row>
    <row r="489" spans="10:10" ht="16.149999999999999" customHeight="1" x14ac:dyDescent="0.25">
      <c r="J489" s="168"/>
    </row>
    <row r="490" spans="10:10" ht="16.149999999999999" customHeight="1" x14ac:dyDescent="0.25">
      <c r="J490" s="168"/>
    </row>
    <row r="491" spans="10:10" ht="16.149999999999999" customHeight="1" x14ac:dyDescent="0.25">
      <c r="J491" s="168"/>
    </row>
    <row r="492" spans="10:10" ht="16.149999999999999" customHeight="1" x14ac:dyDescent="0.25">
      <c r="J492" s="168"/>
    </row>
    <row r="493" spans="10:10" ht="16.149999999999999" customHeight="1" x14ac:dyDescent="0.25">
      <c r="J493" s="168"/>
    </row>
    <row r="494" spans="10:10" ht="16.149999999999999" customHeight="1" x14ac:dyDescent="0.25">
      <c r="J494" s="168"/>
    </row>
    <row r="495" spans="10:10" ht="16.149999999999999" customHeight="1" x14ac:dyDescent="0.25">
      <c r="J495" s="168"/>
    </row>
    <row r="496" spans="10:10" ht="16.149999999999999" customHeight="1" x14ac:dyDescent="0.25">
      <c r="J496" s="168"/>
    </row>
    <row r="497" spans="10:10" ht="16.149999999999999" customHeight="1" x14ac:dyDescent="0.25">
      <c r="J497" s="168"/>
    </row>
    <row r="498" spans="10:10" ht="16.149999999999999" customHeight="1" x14ac:dyDescent="0.25">
      <c r="J498" s="168"/>
    </row>
    <row r="499" spans="10:10" ht="16.149999999999999" customHeight="1" x14ac:dyDescent="0.25">
      <c r="J499" s="168"/>
    </row>
    <row r="500" spans="10:10" ht="16.149999999999999" customHeight="1" x14ac:dyDescent="0.25">
      <c r="J500" s="168"/>
    </row>
    <row r="501" spans="10:10" ht="16.149999999999999" customHeight="1" x14ac:dyDescent="0.25">
      <c r="J501" s="168"/>
    </row>
    <row r="502" spans="10:10" ht="16.149999999999999" customHeight="1" x14ac:dyDescent="0.25">
      <c r="J502" s="168"/>
    </row>
    <row r="503" spans="10:10" ht="16.149999999999999" customHeight="1" x14ac:dyDescent="0.25">
      <c r="J503" s="168"/>
    </row>
    <row r="504" spans="10:10" ht="16.149999999999999" customHeight="1" x14ac:dyDescent="0.25">
      <c r="J504" s="168"/>
    </row>
    <row r="505" spans="10:10" ht="16.149999999999999" customHeight="1" x14ac:dyDescent="0.25">
      <c r="J505" s="168"/>
    </row>
    <row r="506" spans="10:10" ht="16.149999999999999" customHeight="1" x14ac:dyDescent="0.25">
      <c r="J506" s="168"/>
    </row>
    <row r="507" spans="10:10" ht="16.149999999999999" customHeight="1" x14ac:dyDescent="0.25">
      <c r="J507" s="168"/>
    </row>
    <row r="508" spans="10:10" ht="16.149999999999999" customHeight="1" x14ac:dyDescent="0.25">
      <c r="J508" s="168"/>
    </row>
    <row r="509" spans="10:10" ht="16.149999999999999" customHeight="1" x14ac:dyDescent="0.25">
      <c r="J509" s="168"/>
    </row>
    <row r="510" spans="10:10" ht="16.149999999999999" customHeight="1" x14ac:dyDescent="0.25">
      <c r="J510" s="168"/>
    </row>
    <row r="511" spans="10:10" ht="16.149999999999999" customHeight="1" x14ac:dyDescent="0.25">
      <c r="J511" s="168"/>
    </row>
    <row r="512" spans="10:10" ht="16.149999999999999" customHeight="1" x14ac:dyDescent="0.25">
      <c r="J512" s="168"/>
    </row>
    <row r="513" spans="10:10" ht="16.149999999999999" customHeight="1" x14ac:dyDescent="0.25">
      <c r="J513" s="168"/>
    </row>
    <row r="514" spans="10:10" ht="16.149999999999999" customHeight="1" x14ac:dyDescent="0.25">
      <c r="J514" s="168"/>
    </row>
    <row r="515" spans="10:10" ht="16.149999999999999" customHeight="1" x14ac:dyDescent="0.25">
      <c r="J515" s="168"/>
    </row>
    <row r="516" spans="10:10" ht="16.149999999999999" customHeight="1" x14ac:dyDescent="0.25">
      <c r="J516" s="168"/>
    </row>
    <row r="517" spans="10:10" ht="16.149999999999999" customHeight="1" x14ac:dyDescent="0.25">
      <c r="J517" s="168"/>
    </row>
    <row r="518" spans="10:10" ht="16.149999999999999" customHeight="1" x14ac:dyDescent="0.25">
      <c r="J518" s="168"/>
    </row>
    <row r="519" spans="10:10" ht="16.149999999999999" customHeight="1" x14ac:dyDescent="0.25">
      <c r="J519" s="168"/>
    </row>
    <row r="520" spans="10:10" ht="16.149999999999999" customHeight="1" x14ac:dyDescent="0.25">
      <c r="J520" s="168"/>
    </row>
    <row r="521" spans="10:10" ht="16.149999999999999" customHeight="1" x14ac:dyDescent="0.25">
      <c r="J521" s="168"/>
    </row>
    <row r="522" spans="10:10" ht="16.149999999999999" customHeight="1" x14ac:dyDescent="0.25">
      <c r="J522" s="168"/>
    </row>
    <row r="523" spans="10:10" ht="16.149999999999999" customHeight="1" x14ac:dyDescent="0.25">
      <c r="J523" s="168"/>
    </row>
    <row r="524" spans="10:10" ht="16.149999999999999" customHeight="1" x14ac:dyDescent="0.25">
      <c r="J524" s="168"/>
    </row>
    <row r="525" spans="10:10" ht="16.149999999999999" customHeight="1" x14ac:dyDescent="0.25">
      <c r="J525" s="168"/>
    </row>
    <row r="526" spans="10:10" ht="16.149999999999999" customHeight="1" x14ac:dyDescent="0.25">
      <c r="J526" s="168"/>
    </row>
    <row r="527" spans="10:10" ht="16.149999999999999" customHeight="1" x14ac:dyDescent="0.25">
      <c r="J527" s="168"/>
    </row>
    <row r="528" spans="10:10" ht="16.149999999999999" customHeight="1" x14ac:dyDescent="0.25">
      <c r="J528" s="168"/>
    </row>
    <row r="529" spans="10:10" ht="16.149999999999999" customHeight="1" x14ac:dyDescent="0.25">
      <c r="J529" s="168"/>
    </row>
    <row r="530" spans="10:10" ht="16.149999999999999" customHeight="1" x14ac:dyDescent="0.25">
      <c r="J530" s="168"/>
    </row>
    <row r="531" spans="10:10" ht="16.149999999999999" customHeight="1" x14ac:dyDescent="0.25">
      <c r="J531" s="168"/>
    </row>
    <row r="532" spans="10:10" ht="16.149999999999999" customHeight="1" x14ac:dyDescent="0.25">
      <c r="J532" s="168"/>
    </row>
    <row r="533" spans="10:10" ht="16.149999999999999" customHeight="1" x14ac:dyDescent="0.25">
      <c r="J533" s="168"/>
    </row>
    <row r="534" spans="10:10" ht="16.149999999999999" customHeight="1" x14ac:dyDescent="0.25">
      <c r="J534" s="168"/>
    </row>
    <row r="535" spans="10:10" ht="16.149999999999999" customHeight="1" x14ac:dyDescent="0.25">
      <c r="J535" s="168"/>
    </row>
    <row r="536" spans="10:10" ht="16.149999999999999" customHeight="1" x14ac:dyDescent="0.25">
      <c r="J536" s="168"/>
    </row>
    <row r="537" spans="10:10" ht="16.149999999999999" customHeight="1" x14ac:dyDescent="0.25">
      <c r="J537" s="168"/>
    </row>
    <row r="538" spans="10:10" ht="16.149999999999999" customHeight="1" x14ac:dyDescent="0.25">
      <c r="J538" s="168"/>
    </row>
    <row r="539" spans="10:10" ht="16.149999999999999" customHeight="1" x14ac:dyDescent="0.25">
      <c r="J539" s="168"/>
    </row>
    <row r="540" spans="10:10" ht="16.149999999999999" customHeight="1" x14ac:dyDescent="0.25">
      <c r="J540" s="168"/>
    </row>
    <row r="541" spans="10:10" ht="16.149999999999999" customHeight="1" x14ac:dyDescent="0.25">
      <c r="J541" s="168"/>
    </row>
    <row r="542" spans="10:10" ht="16.149999999999999" customHeight="1" x14ac:dyDescent="0.25">
      <c r="J542" s="168"/>
    </row>
    <row r="543" spans="10:10" ht="16.149999999999999" customHeight="1" x14ac:dyDescent="0.25">
      <c r="J543" s="168"/>
    </row>
    <row r="544" spans="10:10" ht="16.149999999999999" customHeight="1" x14ac:dyDescent="0.25">
      <c r="J544" s="168"/>
    </row>
    <row r="545" spans="10:10" ht="16.149999999999999" customHeight="1" x14ac:dyDescent="0.25">
      <c r="J545" s="168"/>
    </row>
    <row r="546" spans="10:10" ht="16.149999999999999" customHeight="1" x14ac:dyDescent="0.25">
      <c r="J546" s="168"/>
    </row>
    <row r="547" spans="10:10" ht="16.149999999999999" customHeight="1" x14ac:dyDescent="0.25">
      <c r="J547" s="168"/>
    </row>
    <row r="548" spans="10:10" ht="16.149999999999999" customHeight="1" x14ac:dyDescent="0.25">
      <c r="J548" s="168"/>
    </row>
    <row r="549" spans="10:10" ht="16.149999999999999" customHeight="1" x14ac:dyDescent="0.25">
      <c r="J549" s="168"/>
    </row>
    <row r="550" spans="10:10" ht="16.149999999999999" customHeight="1" x14ac:dyDescent="0.25">
      <c r="J550" s="168"/>
    </row>
    <row r="551" spans="10:10" ht="16.149999999999999" customHeight="1" x14ac:dyDescent="0.25">
      <c r="J551" s="168"/>
    </row>
    <row r="552" spans="10:10" ht="16.149999999999999" customHeight="1" x14ac:dyDescent="0.25">
      <c r="J552" s="168"/>
    </row>
    <row r="553" spans="10:10" ht="16.149999999999999" customHeight="1" x14ac:dyDescent="0.25">
      <c r="J553" s="168"/>
    </row>
    <row r="554" spans="10:10" ht="16.149999999999999" customHeight="1" x14ac:dyDescent="0.25">
      <c r="J554" s="168"/>
    </row>
    <row r="555" spans="10:10" ht="16.149999999999999" customHeight="1" x14ac:dyDescent="0.25">
      <c r="J555" s="168"/>
    </row>
    <row r="556" spans="10:10" ht="16.149999999999999" customHeight="1" x14ac:dyDescent="0.25">
      <c r="J556" s="168"/>
    </row>
    <row r="557" spans="10:10" ht="16.149999999999999" customHeight="1" x14ac:dyDescent="0.25">
      <c r="J557" s="168"/>
    </row>
    <row r="558" spans="10:10" ht="16.149999999999999" customHeight="1" x14ac:dyDescent="0.25">
      <c r="J558" s="168"/>
    </row>
    <row r="559" spans="10:10" ht="16.149999999999999" customHeight="1" x14ac:dyDescent="0.25">
      <c r="J559" s="168"/>
    </row>
    <row r="560" spans="10:10" ht="16.149999999999999" customHeight="1" x14ac:dyDescent="0.25">
      <c r="J560" s="168"/>
    </row>
    <row r="561" spans="10:10" ht="16.149999999999999" customHeight="1" x14ac:dyDescent="0.25">
      <c r="J561" s="168"/>
    </row>
    <row r="562" spans="10:10" ht="16.149999999999999" customHeight="1" x14ac:dyDescent="0.25">
      <c r="J562" s="168"/>
    </row>
    <row r="563" spans="10:10" ht="16.149999999999999" customHeight="1" x14ac:dyDescent="0.25">
      <c r="J563" s="168"/>
    </row>
    <row r="564" spans="10:10" ht="16.149999999999999" customHeight="1" x14ac:dyDescent="0.25">
      <c r="J564" s="168"/>
    </row>
    <row r="565" spans="10:10" ht="16.149999999999999" customHeight="1" x14ac:dyDescent="0.25">
      <c r="J565" s="168"/>
    </row>
    <row r="566" spans="10:10" ht="16.149999999999999" customHeight="1" x14ac:dyDescent="0.25">
      <c r="J566" s="168"/>
    </row>
    <row r="567" spans="10:10" ht="16.149999999999999" customHeight="1" x14ac:dyDescent="0.25">
      <c r="J567" s="168"/>
    </row>
    <row r="568" spans="10:10" ht="16.149999999999999" customHeight="1" x14ac:dyDescent="0.25">
      <c r="J568" s="168"/>
    </row>
    <row r="569" spans="10:10" ht="16.149999999999999" customHeight="1" x14ac:dyDescent="0.25">
      <c r="J569" s="168"/>
    </row>
    <row r="570" spans="10:10" ht="16.149999999999999" customHeight="1" x14ac:dyDescent="0.25">
      <c r="J570" s="168"/>
    </row>
    <row r="571" spans="10:10" ht="16.149999999999999" customHeight="1" x14ac:dyDescent="0.25">
      <c r="J571" s="168"/>
    </row>
    <row r="572" spans="10:10" ht="16.149999999999999" customHeight="1" x14ac:dyDescent="0.25">
      <c r="J572" s="168"/>
    </row>
    <row r="573" spans="10:10" ht="16.149999999999999" customHeight="1" x14ac:dyDescent="0.25">
      <c r="J573" s="168"/>
    </row>
    <row r="574" spans="10:10" ht="16.149999999999999" customHeight="1" x14ac:dyDescent="0.25">
      <c r="J574" s="168"/>
    </row>
    <row r="575" spans="10:10" ht="16.149999999999999" customHeight="1" x14ac:dyDescent="0.25">
      <c r="J575" s="168"/>
    </row>
    <row r="576" spans="10:10" ht="16.149999999999999" customHeight="1" x14ac:dyDescent="0.25">
      <c r="J576" s="168"/>
    </row>
    <row r="577" spans="10:10" ht="16.149999999999999" customHeight="1" x14ac:dyDescent="0.25">
      <c r="J577" s="168"/>
    </row>
    <row r="578" spans="10:10" ht="16.149999999999999" customHeight="1" x14ac:dyDescent="0.25">
      <c r="J578" s="168"/>
    </row>
    <row r="579" spans="10:10" ht="16.149999999999999" customHeight="1" x14ac:dyDescent="0.25">
      <c r="J579" s="168"/>
    </row>
    <row r="580" spans="10:10" ht="16.149999999999999" customHeight="1" x14ac:dyDescent="0.25">
      <c r="J580" s="168"/>
    </row>
    <row r="581" spans="10:10" ht="16.149999999999999" customHeight="1" x14ac:dyDescent="0.25">
      <c r="J581" s="168"/>
    </row>
    <row r="582" spans="10:10" ht="16.149999999999999" customHeight="1" x14ac:dyDescent="0.25">
      <c r="J582" s="168"/>
    </row>
    <row r="583" spans="10:10" ht="16.149999999999999" customHeight="1" x14ac:dyDescent="0.25">
      <c r="J583" s="168"/>
    </row>
    <row r="584" spans="10:10" ht="16.149999999999999" customHeight="1" x14ac:dyDescent="0.25">
      <c r="J584" s="168"/>
    </row>
    <row r="585" spans="10:10" ht="16.149999999999999" customHeight="1" x14ac:dyDescent="0.25">
      <c r="J585" s="168"/>
    </row>
    <row r="586" spans="10:10" ht="16.149999999999999" customHeight="1" x14ac:dyDescent="0.25">
      <c r="J586" s="168"/>
    </row>
    <row r="587" spans="10:10" ht="16.149999999999999" customHeight="1" x14ac:dyDescent="0.25">
      <c r="J587" s="168"/>
    </row>
    <row r="588" spans="10:10" ht="16.149999999999999" customHeight="1" x14ac:dyDescent="0.25">
      <c r="J588" s="168"/>
    </row>
    <row r="589" spans="10:10" ht="16.149999999999999" customHeight="1" x14ac:dyDescent="0.25">
      <c r="J589" s="168"/>
    </row>
    <row r="590" spans="10:10" ht="16.149999999999999" customHeight="1" x14ac:dyDescent="0.25">
      <c r="J590" s="168"/>
    </row>
    <row r="591" spans="10:10" ht="16.149999999999999" customHeight="1" x14ac:dyDescent="0.25">
      <c r="J591" s="168"/>
    </row>
    <row r="592" spans="10:10" ht="16.149999999999999" customHeight="1" x14ac:dyDescent="0.25">
      <c r="J592" s="168"/>
    </row>
    <row r="593" spans="10:10" ht="16.149999999999999" customHeight="1" x14ac:dyDescent="0.25">
      <c r="J593" s="168"/>
    </row>
    <row r="594" spans="10:10" ht="16.149999999999999" customHeight="1" x14ac:dyDescent="0.25">
      <c r="J594" s="168"/>
    </row>
    <row r="595" spans="10:10" ht="16.149999999999999" customHeight="1" x14ac:dyDescent="0.25">
      <c r="J595" s="168"/>
    </row>
    <row r="596" spans="10:10" ht="16.149999999999999" customHeight="1" x14ac:dyDescent="0.25">
      <c r="J596" s="168"/>
    </row>
    <row r="597" spans="10:10" ht="16.149999999999999" customHeight="1" x14ac:dyDescent="0.25">
      <c r="J597" s="168"/>
    </row>
    <row r="598" spans="10:10" ht="16.149999999999999" customHeight="1" x14ac:dyDescent="0.25">
      <c r="J598" s="168"/>
    </row>
    <row r="599" spans="10:10" ht="16.149999999999999" customHeight="1" x14ac:dyDescent="0.25">
      <c r="J599" s="168"/>
    </row>
    <row r="600" spans="10:10" ht="16.149999999999999" customHeight="1" x14ac:dyDescent="0.25">
      <c r="J600" s="168"/>
    </row>
    <row r="601" spans="10:10" ht="16.149999999999999" customHeight="1" x14ac:dyDescent="0.25">
      <c r="J601" s="168"/>
    </row>
    <row r="602" spans="10:10" ht="16.149999999999999" customHeight="1" x14ac:dyDescent="0.25">
      <c r="J602" s="168"/>
    </row>
    <row r="603" spans="10:10" ht="16.149999999999999" customHeight="1" x14ac:dyDescent="0.25">
      <c r="J603" s="168"/>
    </row>
    <row r="604" spans="10:10" ht="16.149999999999999" customHeight="1" x14ac:dyDescent="0.25">
      <c r="J604" s="168"/>
    </row>
    <row r="605" spans="10:10" ht="16.149999999999999" customHeight="1" x14ac:dyDescent="0.25">
      <c r="J605" s="168"/>
    </row>
    <row r="606" spans="10:10" ht="16.149999999999999" customHeight="1" x14ac:dyDescent="0.25">
      <c r="J606" s="168"/>
    </row>
    <row r="607" spans="10:10" ht="16.149999999999999" customHeight="1" x14ac:dyDescent="0.25">
      <c r="J607" s="168"/>
    </row>
    <row r="608" spans="10:10" ht="16.149999999999999" customHeight="1" x14ac:dyDescent="0.25">
      <c r="J608" s="168"/>
    </row>
    <row r="609" spans="10:10" ht="16.149999999999999" customHeight="1" x14ac:dyDescent="0.25">
      <c r="J609" s="168"/>
    </row>
    <row r="610" spans="10:10" ht="16.149999999999999" customHeight="1" x14ac:dyDescent="0.25">
      <c r="J610" s="168"/>
    </row>
    <row r="611" spans="10:10" ht="16.149999999999999" customHeight="1" x14ac:dyDescent="0.25">
      <c r="J611" s="168"/>
    </row>
    <row r="612" spans="10:10" ht="16.149999999999999" customHeight="1" x14ac:dyDescent="0.25">
      <c r="J612" s="168"/>
    </row>
    <row r="613" spans="10:10" ht="16.149999999999999" customHeight="1" x14ac:dyDescent="0.25">
      <c r="J613" s="168"/>
    </row>
    <row r="614" spans="10:10" ht="16.149999999999999" customHeight="1" x14ac:dyDescent="0.25">
      <c r="J614" s="168"/>
    </row>
    <row r="615" spans="10:10" ht="16.149999999999999" customHeight="1" x14ac:dyDescent="0.25">
      <c r="J615" s="168"/>
    </row>
    <row r="616" spans="10:10" ht="16.149999999999999" customHeight="1" x14ac:dyDescent="0.25">
      <c r="J616" s="168"/>
    </row>
    <row r="617" spans="10:10" ht="16.149999999999999" customHeight="1" x14ac:dyDescent="0.25">
      <c r="J617" s="168"/>
    </row>
    <row r="618" spans="10:10" ht="16.149999999999999" customHeight="1" x14ac:dyDescent="0.25">
      <c r="J618" s="168"/>
    </row>
    <row r="619" spans="10:10" ht="16.149999999999999" customHeight="1" x14ac:dyDescent="0.25">
      <c r="J619" s="168"/>
    </row>
    <row r="620" spans="10:10" ht="16.149999999999999" customHeight="1" x14ac:dyDescent="0.25">
      <c r="J620" s="168"/>
    </row>
    <row r="621" spans="10:10" ht="16.149999999999999" customHeight="1" x14ac:dyDescent="0.25">
      <c r="J621" s="168"/>
    </row>
    <row r="622" spans="10:10" ht="16.149999999999999" customHeight="1" x14ac:dyDescent="0.25">
      <c r="J622" s="168"/>
    </row>
    <row r="623" spans="10:10" ht="16.149999999999999" customHeight="1" x14ac:dyDescent="0.25">
      <c r="J623" s="168"/>
    </row>
    <row r="624" spans="10:10" ht="16.149999999999999" customHeight="1" x14ac:dyDescent="0.25">
      <c r="J624" s="168"/>
    </row>
    <row r="625" spans="10:10" ht="16.149999999999999" customHeight="1" x14ac:dyDescent="0.25">
      <c r="J625" s="168"/>
    </row>
    <row r="626" spans="10:10" ht="16.149999999999999" customHeight="1" x14ac:dyDescent="0.25">
      <c r="J626" s="168"/>
    </row>
    <row r="627" spans="10:10" ht="16.149999999999999" customHeight="1" x14ac:dyDescent="0.25">
      <c r="J627" s="168"/>
    </row>
    <row r="628" spans="10:10" ht="16.149999999999999" customHeight="1" x14ac:dyDescent="0.25">
      <c r="J628" s="168"/>
    </row>
    <row r="629" spans="10:10" ht="16.149999999999999" customHeight="1" x14ac:dyDescent="0.25">
      <c r="J629" s="168"/>
    </row>
    <row r="630" spans="10:10" ht="16.149999999999999" customHeight="1" x14ac:dyDescent="0.25">
      <c r="J630" s="168"/>
    </row>
    <row r="631" spans="10:10" ht="16.149999999999999" customHeight="1" x14ac:dyDescent="0.25">
      <c r="J631" s="168"/>
    </row>
    <row r="632" spans="10:10" ht="16.149999999999999" customHeight="1" x14ac:dyDescent="0.25">
      <c r="J632" s="168"/>
    </row>
    <row r="633" spans="10:10" ht="16.149999999999999" customHeight="1" x14ac:dyDescent="0.25">
      <c r="J633" s="168"/>
    </row>
    <row r="634" spans="10:10" ht="16.149999999999999" customHeight="1" x14ac:dyDescent="0.25">
      <c r="J634" s="168"/>
    </row>
    <row r="635" spans="10:10" ht="16.149999999999999" customHeight="1" x14ac:dyDescent="0.25">
      <c r="J635" s="168"/>
    </row>
    <row r="636" spans="10:10" ht="16.149999999999999" customHeight="1" x14ac:dyDescent="0.25">
      <c r="J636" s="168"/>
    </row>
    <row r="637" spans="10:10" ht="16.149999999999999" customHeight="1" x14ac:dyDescent="0.25">
      <c r="J637" s="168"/>
    </row>
    <row r="638" spans="10:10" ht="16.149999999999999" customHeight="1" x14ac:dyDescent="0.25">
      <c r="J638" s="168"/>
    </row>
    <row r="639" spans="10:10" ht="16.149999999999999" customHeight="1" x14ac:dyDescent="0.25">
      <c r="J639" s="168"/>
    </row>
    <row r="640" spans="10:10" ht="16.149999999999999" customHeight="1" x14ac:dyDescent="0.25">
      <c r="J640" s="168"/>
    </row>
    <row r="641" spans="10:10" ht="16.149999999999999" customHeight="1" x14ac:dyDescent="0.25">
      <c r="J641" s="168"/>
    </row>
    <row r="642" spans="10:10" ht="16.149999999999999" customHeight="1" x14ac:dyDescent="0.25">
      <c r="J642" s="168"/>
    </row>
    <row r="643" spans="10:10" ht="16.149999999999999" customHeight="1" x14ac:dyDescent="0.25">
      <c r="J643" s="168"/>
    </row>
    <row r="644" spans="10:10" ht="16.149999999999999" customHeight="1" x14ac:dyDescent="0.25">
      <c r="J644" s="168"/>
    </row>
    <row r="645" spans="10:10" ht="16.149999999999999" customHeight="1" x14ac:dyDescent="0.25">
      <c r="J645" s="168"/>
    </row>
    <row r="646" spans="10:10" ht="16.149999999999999" customHeight="1" x14ac:dyDescent="0.25">
      <c r="J646" s="168"/>
    </row>
    <row r="647" spans="10:10" ht="16.149999999999999" customHeight="1" x14ac:dyDescent="0.25">
      <c r="J647" s="168"/>
    </row>
    <row r="648" spans="10:10" ht="16.149999999999999" customHeight="1" x14ac:dyDescent="0.25">
      <c r="J648" s="168"/>
    </row>
    <row r="649" spans="10:10" ht="16.149999999999999" customHeight="1" x14ac:dyDescent="0.25">
      <c r="J649" s="168"/>
    </row>
    <row r="650" spans="10:10" ht="16.149999999999999" customHeight="1" x14ac:dyDescent="0.25">
      <c r="J650" s="168"/>
    </row>
    <row r="651" spans="10:10" ht="16.149999999999999" customHeight="1" x14ac:dyDescent="0.25">
      <c r="J651" s="168"/>
    </row>
    <row r="652" spans="10:10" ht="16.149999999999999" customHeight="1" x14ac:dyDescent="0.25">
      <c r="J652" s="168"/>
    </row>
    <row r="653" spans="10:10" ht="16.149999999999999" customHeight="1" x14ac:dyDescent="0.25">
      <c r="J653" s="168"/>
    </row>
    <row r="654" spans="10:10" ht="16.149999999999999" customHeight="1" x14ac:dyDescent="0.25">
      <c r="J654" s="168"/>
    </row>
    <row r="655" spans="10:10" ht="16.149999999999999" customHeight="1" x14ac:dyDescent="0.25">
      <c r="J655" s="168"/>
    </row>
    <row r="656" spans="10:10" ht="16.149999999999999" customHeight="1" x14ac:dyDescent="0.25">
      <c r="J656" s="168"/>
    </row>
    <row r="657" spans="10:10" ht="16.149999999999999" customHeight="1" x14ac:dyDescent="0.25">
      <c r="J657" s="168"/>
    </row>
    <row r="658" spans="10:10" ht="16.149999999999999" customHeight="1" x14ac:dyDescent="0.25">
      <c r="J658" s="168"/>
    </row>
    <row r="659" spans="10:10" ht="16.149999999999999" customHeight="1" x14ac:dyDescent="0.25">
      <c r="J659" s="168"/>
    </row>
    <row r="660" spans="10:10" ht="16.149999999999999" customHeight="1" x14ac:dyDescent="0.25">
      <c r="J660" s="168"/>
    </row>
    <row r="661" spans="10:10" ht="16.149999999999999" customHeight="1" x14ac:dyDescent="0.25">
      <c r="J661" s="168"/>
    </row>
    <row r="662" spans="10:10" ht="16.149999999999999" customHeight="1" x14ac:dyDescent="0.25">
      <c r="J662" s="168"/>
    </row>
    <row r="663" spans="10:10" ht="16.149999999999999" customHeight="1" x14ac:dyDescent="0.25">
      <c r="J663" s="168"/>
    </row>
    <row r="664" spans="10:10" ht="16.149999999999999" customHeight="1" x14ac:dyDescent="0.25">
      <c r="J664" s="168"/>
    </row>
    <row r="665" spans="10:10" ht="16.149999999999999" customHeight="1" x14ac:dyDescent="0.25">
      <c r="J665" s="168"/>
    </row>
    <row r="666" spans="10:10" ht="16.149999999999999" customHeight="1" x14ac:dyDescent="0.25">
      <c r="J666" s="168"/>
    </row>
    <row r="667" spans="10:10" ht="16.149999999999999" customHeight="1" x14ac:dyDescent="0.25">
      <c r="J667" s="168"/>
    </row>
    <row r="668" spans="10:10" ht="16.149999999999999" customHeight="1" x14ac:dyDescent="0.25">
      <c r="J668" s="168"/>
    </row>
    <row r="669" spans="10:10" ht="16.149999999999999" customHeight="1" x14ac:dyDescent="0.25">
      <c r="J669" s="168"/>
    </row>
    <row r="670" spans="10:10" ht="16.149999999999999" customHeight="1" x14ac:dyDescent="0.25">
      <c r="J670" s="168"/>
    </row>
    <row r="671" spans="10:10" ht="16.149999999999999" customHeight="1" x14ac:dyDescent="0.25">
      <c r="J671" s="168"/>
    </row>
    <row r="672" spans="10:10" ht="16.149999999999999" customHeight="1" x14ac:dyDescent="0.25">
      <c r="J672" s="168"/>
    </row>
    <row r="673" spans="10:10" ht="16.149999999999999" customHeight="1" x14ac:dyDescent="0.25">
      <c r="J673" s="168"/>
    </row>
    <row r="674" spans="10:10" ht="16.149999999999999" customHeight="1" x14ac:dyDescent="0.25">
      <c r="J674" s="168"/>
    </row>
    <row r="675" spans="10:10" ht="16.149999999999999" customHeight="1" x14ac:dyDescent="0.25">
      <c r="J675" s="168"/>
    </row>
    <row r="676" spans="10:10" ht="16.149999999999999" customHeight="1" x14ac:dyDescent="0.25">
      <c r="J676" s="168"/>
    </row>
    <row r="677" spans="10:10" ht="16.149999999999999" customHeight="1" x14ac:dyDescent="0.25">
      <c r="J677" s="168"/>
    </row>
    <row r="678" spans="10:10" ht="16.149999999999999" customHeight="1" x14ac:dyDescent="0.25">
      <c r="J678" s="168"/>
    </row>
    <row r="679" spans="10:10" ht="16.149999999999999" customHeight="1" x14ac:dyDescent="0.25">
      <c r="J679" s="168"/>
    </row>
    <row r="680" spans="10:10" ht="16.149999999999999" customHeight="1" x14ac:dyDescent="0.25">
      <c r="J680" s="168"/>
    </row>
    <row r="681" spans="10:10" ht="16.149999999999999" customHeight="1" x14ac:dyDescent="0.25">
      <c r="J681" s="168"/>
    </row>
    <row r="682" spans="10:10" ht="16.149999999999999" customHeight="1" x14ac:dyDescent="0.25">
      <c r="J682" s="168"/>
    </row>
    <row r="683" spans="10:10" ht="16.149999999999999" customHeight="1" x14ac:dyDescent="0.25">
      <c r="J683" s="168"/>
    </row>
    <row r="684" spans="10:10" ht="16.149999999999999" customHeight="1" x14ac:dyDescent="0.25">
      <c r="J684" s="168"/>
    </row>
    <row r="685" spans="10:10" ht="16.149999999999999" customHeight="1" x14ac:dyDescent="0.25">
      <c r="J685" s="168"/>
    </row>
    <row r="686" spans="10:10" ht="16.149999999999999" customHeight="1" x14ac:dyDescent="0.25">
      <c r="J686" s="168"/>
    </row>
    <row r="687" spans="10:10" ht="16.149999999999999" customHeight="1" x14ac:dyDescent="0.25">
      <c r="J687" s="168"/>
    </row>
    <row r="688" spans="10:10" ht="16.149999999999999" customHeight="1" x14ac:dyDescent="0.25">
      <c r="J688" s="168"/>
    </row>
    <row r="689" spans="10:10" ht="16.149999999999999" customHeight="1" x14ac:dyDescent="0.25">
      <c r="J689" s="168"/>
    </row>
    <row r="690" spans="10:10" ht="16.149999999999999" customHeight="1" x14ac:dyDescent="0.25">
      <c r="J690" s="168"/>
    </row>
    <row r="691" spans="10:10" ht="16.149999999999999" customHeight="1" x14ac:dyDescent="0.25">
      <c r="J691" s="168"/>
    </row>
    <row r="692" spans="10:10" ht="16.149999999999999" customHeight="1" x14ac:dyDescent="0.25">
      <c r="J692" s="168"/>
    </row>
    <row r="693" spans="10:10" ht="16.149999999999999" customHeight="1" x14ac:dyDescent="0.25">
      <c r="J693" s="168"/>
    </row>
    <row r="694" spans="10:10" ht="16.149999999999999" customHeight="1" x14ac:dyDescent="0.25">
      <c r="J694" s="168"/>
    </row>
    <row r="695" spans="10:10" ht="16.149999999999999" customHeight="1" x14ac:dyDescent="0.25">
      <c r="J695" s="168"/>
    </row>
    <row r="696" spans="10:10" ht="16.149999999999999" customHeight="1" x14ac:dyDescent="0.25">
      <c r="J696" s="168"/>
    </row>
    <row r="697" spans="10:10" ht="16.149999999999999" customHeight="1" x14ac:dyDescent="0.25">
      <c r="J697" s="168"/>
    </row>
    <row r="698" spans="10:10" ht="16.149999999999999" customHeight="1" x14ac:dyDescent="0.25">
      <c r="J698" s="168"/>
    </row>
    <row r="699" spans="10:10" ht="16.149999999999999" customHeight="1" x14ac:dyDescent="0.25">
      <c r="J699" s="168"/>
    </row>
    <row r="700" spans="10:10" ht="16.149999999999999" customHeight="1" x14ac:dyDescent="0.25">
      <c r="J700" s="168"/>
    </row>
    <row r="701" spans="10:10" ht="16.149999999999999" customHeight="1" x14ac:dyDescent="0.25">
      <c r="J701" s="168"/>
    </row>
    <row r="702" spans="10:10" ht="16.149999999999999" customHeight="1" x14ac:dyDescent="0.25">
      <c r="J702" s="168"/>
    </row>
    <row r="703" spans="10:10" ht="16.149999999999999" customHeight="1" x14ac:dyDescent="0.25">
      <c r="J703" s="168"/>
    </row>
    <row r="704" spans="10:10" ht="16.149999999999999" customHeight="1" x14ac:dyDescent="0.25">
      <c r="J704" s="168"/>
    </row>
    <row r="705" spans="10:10" ht="16.149999999999999" customHeight="1" x14ac:dyDescent="0.25">
      <c r="J705" s="168"/>
    </row>
    <row r="706" spans="10:10" ht="16.149999999999999" customHeight="1" x14ac:dyDescent="0.25">
      <c r="J706" s="168"/>
    </row>
    <row r="707" spans="10:10" ht="16.149999999999999" customHeight="1" x14ac:dyDescent="0.25">
      <c r="J707" s="168"/>
    </row>
    <row r="708" spans="10:10" ht="16.149999999999999" customHeight="1" x14ac:dyDescent="0.25">
      <c r="J708" s="168"/>
    </row>
    <row r="709" spans="10:10" ht="16.149999999999999" customHeight="1" x14ac:dyDescent="0.25">
      <c r="J709" s="168"/>
    </row>
    <row r="710" spans="10:10" ht="16.149999999999999" customHeight="1" x14ac:dyDescent="0.25">
      <c r="J710" s="168"/>
    </row>
    <row r="711" spans="10:10" ht="16.149999999999999" customHeight="1" x14ac:dyDescent="0.25">
      <c r="J711" s="168"/>
    </row>
    <row r="712" spans="10:10" ht="16.149999999999999" customHeight="1" x14ac:dyDescent="0.25">
      <c r="J712" s="168"/>
    </row>
    <row r="713" spans="10:10" ht="16.149999999999999" customHeight="1" x14ac:dyDescent="0.25">
      <c r="J713" s="168"/>
    </row>
    <row r="714" spans="10:10" ht="16.149999999999999" customHeight="1" x14ac:dyDescent="0.25">
      <c r="J714" s="168"/>
    </row>
    <row r="715" spans="10:10" ht="16.149999999999999" customHeight="1" x14ac:dyDescent="0.25">
      <c r="J715" s="168"/>
    </row>
    <row r="716" spans="10:10" ht="16.149999999999999" customHeight="1" x14ac:dyDescent="0.25">
      <c r="J716" s="168"/>
    </row>
    <row r="717" spans="10:10" ht="16.149999999999999" customHeight="1" x14ac:dyDescent="0.25">
      <c r="J717" s="168"/>
    </row>
    <row r="718" spans="10:10" ht="16.149999999999999" customHeight="1" x14ac:dyDescent="0.25">
      <c r="J718" s="168"/>
    </row>
    <row r="719" spans="10:10" ht="16.149999999999999" customHeight="1" x14ac:dyDescent="0.25">
      <c r="J719" s="168"/>
    </row>
    <row r="720" spans="10:10" ht="16.149999999999999" customHeight="1" x14ac:dyDescent="0.25">
      <c r="J720" s="168"/>
    </row>
    <row r="721" spans="10:10" ht="16.149999999999999" customHeight="1" x14ac:dyDescent="0.25">
      <c r="J721" s="168"/>
    </row>
    <row r="722" spans="10:10" ht="16.149999999999999" customHeight="1" x14ac:dyDescent="0.25">
      <c r="J722" s="168"/>
    </row>
    <row r="723" spans="10:10" ht="16.149999999999999" customHeight="1" x14ac:dyDescent="0.25">
      <c r="J723" s="168"/>
    </row>
    <row r="724" spans="10:10" ht="16.149999999999999" customHeight="1" x14ac:dyDescent="0.25">
      <c r="J724" s="168"/>
    </row>
    <row r="725" spans="10:10" ht="16.149999999999999" customHeight="1" x14ac:dyDescent="0.25">
      <c r="J725" s="168"/>
    </row>
    <row r="726" spans="10:10" ht="16.149999999999999" customHeight="1" x14ac:dyDescent="0.25">
      <c r="J726" s="168"/>
    </row>
    <row r="727" spans="10:10" ht="16.149999999999999" customHeight="1" x14ac:dyDescent="0.25">
      <c r="J727" s="168"/>
    </row>
    <row r="728" spans="10:10" ht="16.149999999999999" customHeight="1" x14ac:dyDescent="0.25">
      <c r="J728" s="168"/>
    </row>
    <row r="729" spans="10:10" ht="16.149999999999999" customHeight="1" x14ac:dyDescent="0.25">
      <c r="J729" s="168"/>
    </row>
    <row r="730" spans="10:10" ht="16.149999999999999" customHeight="1" x14ac:dyDescent="0.25">
      <c r="J730" s="168"/>
    </row>
    <row r="731" spans="10:10" ht="16.149999999999999" customHeight="1" x14ac:dyDescent="0.25">
      <c r="J731" s="168"/>
    </row>
    <row r="732" spans="10:10" ht="16.149999999999999" customHeight="1" x14ac:dyDescent="0.25">
      <c r="J732" s="168"/>
    </row>
    <row r="733" spans="10:10" ht="16.149999999999999" customHeight="1" x14ac:dyDescent="0.25">
      <c r="J733" s="168"/>
    </row>
    <row r="734" spans="10:10" ht="16.149999999999999" customHeight="1" x14ac:dyDescent="0.25">
      <c r="J734" s="168"/>
    </row>
    <row r="735" spans="10:10" ht="16.149999999999999" customHeight="1" x14ac:dyDescent="0.25">
      <c r="J735" s="168"/>
    </row>
    <row r="736" spans="10:10" ht="16.149999999999999" customHeight="1" x14ac:dyDescent="0.25">
      <c r="J736" s="168"/>
    </row>
    <row r="737" spans="10:10" ht="16.149999999999999" customHeight="1" x14ac:dyDescent="0.25">
      <c r="J737" s="168"/>
    </row>
    <row r="738" spans="10:10" ht="16.149999999999999" customHeight="1" x14ac:dyDescent="0.25">
      <c r="J738" s="168"/>
    </row>
    <row r="739" spans="10:10" ht="16.149999999999999" customHeight="1" x14ac:dyDescent="0.25">
      <c r="J739" s="168"/>
    </row>
    <row r="740" spans="10:10" ht="16.149999999999999" customHeight="1" x14ac:dyDescent="0.25">
      <c r="J740" s="168"/>
    </row>
    <row r="741" spans="10:10" ht="16.149999999999999" customHeight="1" x14ac:dyDescent="0.25">
      <c r="J741" s="168"/>
    </row>
    <row r="742" spans="10:10" ht="16.149999999999999" customHeight="1" x14ac:dyDescent="0.25">
      <c r="J742" s="168"/>
    </row>
    <row r="743" spans="10:10" ht="16.149999999999999" customHeight="1" x14ac:dyDescent="0.25">
      <c r="J743" s="168"/>
    </row>
    <row r="744" spans="10:10" ht="16.149999999999999" customHeight="1" x14ac:dyDescent="0.25">
      <c r="J744" s="168"/>
    </row>
    <row r="745" spans="10:10" ht="16.149999999999999" customHeight="1" x14ac:dyDescent="0.25">
      <c r="J745" s="168"/>
    </row>
    <row r="746" spans="10:10" ht="16.149999999999999" customHeight="1" x14ac:dyDescent="0.25">
      <c r="J746" s="168"/>
    </row>
    <row r="747" spans="10:10" ht="16.149999999999999" customHeight="1" x14ac:dyDescent="0.25">
      <c r="J747" s="168"/>
    </row>
    <row r="748" spans="10:10" ht="16.149999999999999" customHeight="1" x14ac:dyDescent="0.25">
      <c r="J748" s="168"/>
    </row>
    <row r="749" spans="10:10" ht="16.149999999999999" customHeight="1" x14ac:dyDescent="0.25">
      <c r="J749" s="168"/>
    </row>
    <row r="750" spans="10:10" ht="16.149999999999999" customHeight="1" x14ac:dyDescent="0.25">
      <c r="J750" s="168"/>
    </row>
    <row r="751" spans="10:10" ht="16.149999999999999" customHeight="1" x14ac:dyDescent="0.25">
      <c r="J751" s="168"/>
    </row>
    <row r="752" spans="10:10" ht="16.149999999999999" customHeight="1" x14ac:dyDescent="0.25">
      <c r="J752" s="168"/>
    </row>
    <row r="753" spans="10:10" ht="16.149999999999999" customHeight="1" x14ac:dyDescent="0.25">
      <c r="J753" s="168"/>
    </row>
    <row r="754" spans="10:10" ht="16.149999999999999" customHeight="1" x14ac:dyDescent="0.25">
      <c r="J754" s="168"/>
    </row>
    <row r="755" spans="10:10" ht="16.149999999999999" customHeight="1" x14ac:dyDescent="0.25">
      <c r="J755" s="168"/>
    </row>
    <row r="756" spans="10:10" ht="16.149999999999999" customHeight="1" x14ac:dyDescent="0.25">
      <c r="J756" s="168"/>
    </row>
    <row r="757" spans="10:10" ht="16.149999999999999" customHeight="1" x14ac:dyDescent="0.25">
      <c r="J757" s="168"/>
    </row>
    <row r="758" spans="10:10" ht="16.149999999999999" customHeight="1" x14ac:dyDescent="0.25">
      <c r="J758" s="168"/>
    </row>
    <row r="759" spans="10:10" ht="16.149999999999999" customHeight="1" x14ac:dyDescent="0.25">
      <c r="J759" s="168"/>
    </row>
    <row r="760" spans="10:10" ht="16.149999999999999" customHeight="1" x14ac:dyDescent="0.25">
      <c r="J760" s="168"/>
    </row>
    <row r="761" spans="10:10" ht="16.149999999999999" customHeight="1" x14ac:dyDescent="0.25">
      <c r="J761" s="168"/>
    </row>
    <row r="762" spans="10:10" ht="16.149999999999999" customHeight="1" x14ac:dyDescent="0.25">
      <c r="J762" s="168"/>
    </row>
    <row r="763" spans="10:10" ht="16.149999999999999" customHeight="1" x14ac:dyDescent="0.25">
      <c r="J763" s="168"/>
    </row>
    <row r="764" spans="10:10" ht="16.149999999999999" customHeight="1" x14ac:dyDescent="0.25">
      <c r="J764" s="168"/>
    </row>
    <row r="765" spans="10:10" ht="16.149999999999999" customHeight="1" x14ac:dyDescent="0.25">
      <c r="J765" s="168"/>
    </row>
    <row r="766" spans="10:10" ht="16.149999999999999" customHeight="1" x14ac:dyDescent="0.25">
      <c r="J766" s="168"/>
    </row>
    <row r="767" spans="10:10" ht="16.149999999999999" customHeight="1" x14ac:dyDescent="0.25">
      <c r="J767" s="168"/>
    </row>
    <row r="768" spans="10:10" ht="16.149999999999999" customHeight="1" x14ac:dyDescent="0.25">
      <c r="J768" s="168"/>
    </row>
    <row r="769" spans="10:10" ht="16.149999999999999" customHeight="1" x14ac:dyDescent="0.25">
      <c r="J769" s="168"/>
    </row>
    <row r="770" spans="10:10" ht="16.149999999999999" customHeight="1" x14ac:dyDescent="0.25">
      <c r="J770" s="168"/>
    </row>
    <row r="771" spans="10:10" ht="16.149999999999999" customHeight="1" x14ac:dyDescent="0.25">
      <c r="J771" s="168"/>
    </row>
    <row r="772" spans="10:10" ht="16.149999999999999" customHeight="1" x14ac:dyDescent="0.25">
      <c r="J772" s="168"/>
    </row>
    <row r="773" spans="10:10" ht="16.149999999999999" customHeight="1" x14ac:dyDescent="0.25">
      <c r="J773" s="168"/>
    </row>
    <row r="774" spans="10:10" ht="16.149999999999999" customHeight="1" x14ac:dyDescent="0.25">
      <c r="J774" s="168"/>
    </row>
    <row r="775" spans="10:10" ht="16.149999999999999" customHeight="1" x14ac:dyDescent="0.25">
      <c r="J775" s="168"/>
    </row>
    <row r="776" spans="10:10" ht="16.149999999999999" customHeight="1" x14ac:dyDescent="0.25">
      <c r="J776" s="168"/>
    </row>
    <row r="777" spans="10:10" ht="16.149999999999999" customHeight="1" x14ac:dyDescent="0.25">
      <c r="J777" s="168"/>
    </row>
    <row r="778" spans="10:10" ht="16.149999999999999" customHeight="1" x14ac:dyDescent="0.25">
      <c r="J778" s="168"/>
    </row>
    <row r="779" spans="10:10" ht="16.149999999999999" customHeight="1" x14ac:dyDescent="0.25">
      <c r="J779" s="168"/>
    </row>
    <row r="780" spans="10:10" ht="16.149999999999999" customHeight="1" x14ac:dyDescent="0.25">
      <c r="J780" s="168"/>
    </row>
    <row r="781" spans="10:10" ht="16.149999999999999" customHeight="1" x14ac:dyDescent="0.25">
      <c r="J781" s="168"/>
    </row>
    <row r="782" spans="10:10" ht="16.149999999999999" customHeight="1" x14ac:dyDescent="0.25">
      <c r="J782" s="168"/>
    </row>
    <row r="783" spans="10:10" ht="16.149999999999999" customHeight="1" x14ac:dyDescent="0.25">
      <c r="J783" s="168"/>
    </row>
    <row r="784" spans="10:10" ht="16.149999999999999" customHeight="1" x14ac:dyDescent="0.25">
      <c r="J784" s="168"/>
    </row>
    <row r="785" spans="10:10" ht="16.149999999999999" customHeight="1" x14ac:dyDescent="0.25">
      <c r="J785" s="168"/>
    </row>
    <row r="786" spans="10:10" ht="16.149999999999999" customHeight="1" x14ac:dyDescent="0.25">
      <c r="J786" s="168"/>
    </row>
    <row r="787" spans="10:10" ht="16.149999999999999" customHeight="1" x14ac:dyDescent="0.25">
      <c r="J787" s="168"/>
    </row>
    <row r="788" spans="10:10" ht="16.149999999999999" customHeight="1" x14ac:dyDescent="0.25">
      <c r="J788" s="168"/>
    </row>
    <row r="789" spans="10:10" ht="16.149999999999999" customHeight="1" x14ac:dyDescent="0.25">
      <c r="J789" s="168"/>
    </row>
    <row r="790" spans="10:10" ht="16.149999999999999" customHeight="1" x14ac:dyDescent="0.25">
      <c r="J790" s="168"/>
    </row>
    <row r="791" spans="10:10" ht="16.149999999999999" customHeight="1" x14ac:dyDescent="0.25">
      <c r="J791" s="168"/>
    </row>
    <row r="792" spans="10:10" ht="16.149999999999999" customHeight="1" x14ac:dyDescent="0.25">
      <c r="J792" s="168"/>
    </row>
    <row r="793" spans="10:10" ht="16.149999999999999" customHeight="1" x14ac:dyDescent="0.25">
      <c r="J793" s="168"/>
    </row>
    <row r="794" spans="10:10" ht="16.149999999999999" customHeight="1" x14ac:dyDescent="0.25">
      <c r="J794" s="168"/>
    </row>
    <row r="795" spans="10:10" ht="16.149999999999999" customHeight="1" x14ac:dyDescent="0.25">
      <c r="J795" s="168"/>
    </row>
    <row r="796" spans="10:10" ht="16.149999999999999" customHeight="1" x14ac:dyDescent="0.25">
      <c r="J796" s="168"/>
    </row>
    <row r="797" spans="10:10" ht="16.149999999999999" customHeight="1" x14ac:dyDescent="0.25">
      <c r="J797" s="168"/>
    </row>
    <row r="798" spans="10:10" ht="16.149999999999999" customHeight="1" x14ac:dyDescent="0.25">
      <c r="J798" s="168"/>
    </row>
    <row r="799" spans="10:10" ht="16.149999999999999" customHeight="1" x14ac:dyDescent="0.25">
      <c r="J799" s="168"/>
    </row>
    <row r="800" spans="10:10" ht="16.149999999999999" customHeight="1" x14ac:dyDescent="0.25">
      <c r="J800" s="168"/>
    </row>
    <row r="801" spans="10:10" ht="16.149999999999999" customHeight="1" x14ac:dyDescent="0.25">
      <c r="J801" s="168"/>
    </row>
    <row r="802" spans="10:10" ht="16.149999999999999" customHeight="1" x14ac:dyDescent="0.25">
      <c r="J802" s="168"/>
    </row>
    <row r="803" spans="10:10" ht="16.149999999999999" customHeight="1" x14ac:dyDescent="0.25">
      <c r="J803" s="168"/>
    </row>
    <row r="804" spans="10:10" ht="16.149999999999999" customHeight="1" x14ac:dyDescent="0.25">
      <c r="J804" s="168"/>
    </row>
    <row r="805" spans="10:10" ht="16.149999999999999" customHeight="1" x14ac:dyDescent="0.25">
      <c r="J805" s="168"/>
    </row>
    <row r="806" spans="10:10" ht="16.149999999999999" customHeight="1" x14ac:dyDescent="0.25">
      <c r="J806" s="168"/>
    </row>
    <row r="807" spans="10:10" ht="16.149999999999999" customHeight="1" x14ac:dyDescent="0.25">
      <c r="J807" s="168"/>
    </row>
    <row r="808" spans="10:10" ht="16.149999999999999" customHeight="1" x14ac:dyDescent="0.25">
      <c r="J808" s="168"/>
    </row>
    <row r="809" spans="10:10" ht="16.149999999999999" customHeight="1" x14ac:dyDescent="0.25">
      <c r="J809" s="168"/>
    </row>
    <row r="810" spans="10:10" ht="16.149999999999999" customHeight="1" x14ac:dyDescent="0.25">
      <c r="J810" s="168"/>
    </row>
    <row r="811" spans="10:10" ht="16.149999999999999" customHeight="1" x14ac:dyDescent="0.25">
      <c r="J811" s="168"/>
    </row>
    <row r="812" spans="10:10" ht="16.149999999999999" customHeight="1" x14ac:dyDescent="0.25">
      <c r="J812" s="168"/>
    </row>
    <row r="813" spans="10:10" ht="16.149999999999999" customHeight="1" x14ac:dyDescent="0.25">
      <c r="J813" s="168"/>
    </row>
    <row r="814" spans="10:10" ht="16.149999999999999" customHeight="1" x14ac:dyDescent="0.25">
      <c r="J814" s="168"/>
    </row>
    <row r="815" spans="10:10" ht="16.149999999999999" customHeight="1" x14ac:dyDescent="0.25">
      <c r="J815" s="168"/>
    </row>
    <row r="816" spans="10:10" ht="16.149999999999999" customHeight="1" x14ac:dyDescent="0.25">
      <c r="J816" s="168"/>
    </row>
    <row r="817" spans="10:10" ht="16.149999999999999" customHeight="1" x14ac:dyDescent="0.25">
      <c r="J817" s="168"/>
    </row>
    <row r="818" spans="10:10" ht="16.149999999999999" customHeight="1" x14ac:dyDescent="0.25">
      <c r="J818" s="168"/>
    </row>
    <row r="819" spans="10:10" ht="16.149999999999999" customHeight="1" x14ac:dyDescent="0.25">
      <c r="J819" s="168"/>
    </row>
    <row r="820" spans="10:10" ht="16.149999999999999" customHeight="1" x14ac:dyDescent="0.25">
      <c r="J820" s="168"/>
    </row>
    <row r="821" spans="10:10" ht="16.149999999999999" customHeight="1" x14ac:dyDescent="0.25">
      <c r="J821" s="168"/>
    </row>
    <row r="822" spans="10:10" ht="16.149999999999999" customHeight="1" x14ac:dyDescent="0.25">
      <c r="J822" s="168"/>
    </row>
    <row r="823" spans="10:10" ht="16.149999999999999" customHeight="1" x14ac:dyDescent="0.25">
      <c r="J823" s="168"/>
    </row>
    <row r="824" spans="10:10" ht="16.149999999999999" customHeight="1" x14ac:dyDescent="0.25">
      <c r="J824" s="168"/>
    </row>
    <row r="825" spans="10:10" ht="16.149999999999999" customHeight="1" x14ac:dyDescent="0.25">
      <c r="J825" s="168"/>
    </row>
    <row r="826" spans="10:10" ht="16.149999999999999" customHeight="1" x14ac:dyDescent="0.25">
      <c r="J826" s="168"/>
    </row>
    <row r="827" spans="10:10" ht="16.149999999999999" customHeight="1" x14ac:dyDescent="0.25">
      <c r="J827" s="168"/>
    </row>
    <row r="828" spans="10:10" ht="16.149999999999999" customHeight="1" x14ac:dyDescent="0.25">
      <c r="J828" s="168"/>
    </row>
    <row r="829" spans="10:10" ht="16.149999999999999" customHeight="1" x14ac:dyDescent="0.25">
      <c r="J829" s="168"/>
    </row>
    <row r="830" spans="10:10" ht="16.149999999999999" customHeight="1" x14ac:dyDescent="0.25">
      <c r="J830" s="168"/>
    </row>
    <row r="831" spans="10:10" ht="16.149999999999999" customHeight="1" x14ac:dyDescent="0.25">
      <c r="J831" s="168"/>
    </row>
    <row r="832" spans="10:10" ht="16.149999999999999" customHeight="1" x14ac:dyDescent="0.25">
      <c r="J832" s="168"/>
    </row>
    <row r="833" spans="10:10" ht="16.149999999999999" customHeight="1" x14ac:dyDescent="0.25">
      <c r="J833" s="168"/>
    </row>
    <row r="834" spans="10:10" ht="16.149999999999999" customHeight="1" x14ac:dyDescent="0.25">
      <c r="J834" s="168"/>
    </row>
    <row r="835" spans="10:10" ht="16.149999999999999" customHeight="1" x14ac:dyDescent="0.25">
      <c r="J835" s="168"/>
    </row>
    <row r="836" spans="10:10" ht="16.149999999999999" customHeight="1" x14ac:dyDescent="0.25">
      <c r="J836" s="168"/>
    </row>
    <row r="837" spans="10:10" ht="16.149999999999999" customHeight="1" x14ac:dyDescent="0.25">
      <c r="J837" s="168"/>
    </row>
    <row r="838" spans="10:10" ht="16.149999999999999" customHeight="1" x14ac:dyDescent="0.25">
      <c r="J838" s="168"/>
    </row>
    <row r="839" spans="10:10" ht="16.149999999999999" customHeight="1" x14ac:dyDescent="0.25">
      <c r="J839" s="168"/>
    </row>
    <row r="840" spans="10:10" ht="16.149999999999999" customHeight="1" x14ac:dyDescent="0.25">
      <c r="J840" s="168"/>
    </row>
    <row r="841" spans="10:10" ht="16.149999999999999" customHeight="1" x14ac:dyDescent="0.25">
      <c r="J841" s="168"/>
    </row>
    <row r="842" spans="10:10" ht="16.149999999999999" customHeight="1" x14ac:dyDescent="0.25">
      <c r="J842" s="168"/>
    </row>
    <row r="843" spans="10:10" ht="16.149999999999999" customHeight="1" x14ac:dyDescent="0.25">
      <c r="J843" s="168"/>
    </row>
    <row r="844" spans="10:10" ht="16.149999999999999" customHeight="1" x14ac:dyDescent="0.25">
      <c r="J844" s="168"/>
    </row>
    <row r="845" spans="10:10" ht="16.149999999999999" customHeight="1" x14ac:dyDescent="0.25">
      <c r="J845" s="168"/>
    </row>
    <row r="846" spans="10:10" ht="16.149999999999999" customHeight="1" x14ac:dyDescent="0.25">
      <c r="J846" s="168"/>
    </row>
    <row r="847" spans="10:10" ht="16.149999999999999" customHeight="1" x14ac:dyDescent="0.25">
      <c r="J847" s="168"/>
    </row>
    <row r="848" spans="10:10" ht="16.149999999999999" customHeight="1" x14ac:dyDescent="0.25">
      <c r="J848" s="168"/>
    </row>
    <row r="849" spans="10:10" ht="16.149999999999999" customHeight="1" x14ac:dyDescent="0.25">
      <c r="J849" s="168"/>
    </row>
    <row r="850" spans="10:10" ht="16.149999999999999" customHeight="1" x14ac:dyDescent="0.25">
      <c r="J850" s="168"/>
    </row>
    <row r="851" spans="10:10" ht="16.149999999999999" customHeight="1" x14ac:dyDescent="0.25">
      <c r="J851" s="168"/>
    </row>
    <row r="852" spans="10:10" ht="16.149999999999999" customHeight="1" x14ac:dyDescent="0.25">
      <c r="J852" s="168"/>
    </row>
    <row r="853" spans="10:10" ht="16.149999999999999" customHeight="1" x14ac:dyDescent="0.25">
      <c r="J853" s="168"/>
    </row>
    <row r="854" spans="10:10" ht="16.149999999999999" customHeight="1" x14ac:dyDescent="0.25">
      <c r="J854" s="168"/>
    </row>
    <row r="855" spans="10:10" ht="16.149999999999999" customHeight="1" x14ac:dyDescent="0.25">
      <c r="J855" s="168"/>
    </row>
    <row r="856" spans="10:10" ht="16.149999999999999" customHeight="1" x14ac:dyDescent="0.25">
      <c r="J856" s="168"/>
    </row>
    <row r="857" spans="10:10" ht="16.149999999999999" customHeight="1" x14ac:dyDescent="0.25">
      <c r="J857" s="168"/>
    </row>
    <row r="858" spans="10:10" ht="16.149999999999999" customHeight="1" x14ac:dyDescent="0.25">
      <c r="J858" s="168"/>
    </row>
    <row r="859" spans="10:10" ht="16.149999999999999" customHeight="1" x14ac:dyDescent="0.25">
      <c r="J859" s="168"/>
    </row>
    <row r="860" spans="10:10" ht="16.149999999999999" customHeight="1" x14ac:dyDescent="0.25">
      <c r="J860" s="168"/>
    </row>
    <row r="861" spans="10:10" ht="16.149999999999999" customHeight="1" x14ac:dyDescent="0.25">
      <c r="J861" s="168"/>
    </row>
    <row r="862" spans="10:10" ht="16.149999999999999" customHeight="1" x14ac:dyDescent="0.25">
      <c r="J862" s="168"/>
    </row>
    <row r="863" spans="10:10" ht="16.149999999999999" customHeight="1" x14ac:dyDescent="0.25">
      <c r="J863" s="168"/>
    </row>
    <row r="864" spans="10:10" ht="16.149999999999999" customHeight="1" x14ac:dyDescent="0.25">
      <c r="J864" s="168"/>
    </row>
    <row r="865" spans="10:10" ht="16.149999999999999" customHeight="1" x14ac:dyDescent="0.25">
      <c r="J865" s="168"/>
    </row>
    <row r="866" spans="10:10" ht="16.149999999999999" customHeight="1" x14ac:dyDescent="0.25">
      <c r="J866" s="168"/>
    </row>
    <row r="867" spans="10:10" ht="16.149999999999999" customHeight="1" x14ac:dyDescent="0.25">
      <c r="J867" s="168"/>
    </row>
    <row r="868" spans="10:10" ht="16.149999999999999" customHeight="1" x14ac:dyDescent="0.25">
      <c r="J868" s="168"/>
    </row>
    <row r="869" spans="10:10" ht="16.149999999999999" customHeight="1" x14ac:dyDescent="0.25">
      <c r="J869" s="168"/>
    </row>
    <row r="870" spans="10:10" ht="16.149999999999999" customHeight="1" x14ac:dyDescent="0.25">
      <c r="J870" s="168"/>
    </row>
    <row r="871" spans="10:10" ht="16.149999999999999" customHeight="1" x14ac:dyDescent="0.25">
      <c r="J871" s="168"/>
    </row>
    <row r="872" spans="10:10" ht="16.149999999999999" customHeight="1" x14ac:dyDescent="0.25">
      <c r="J872" s="168"/>
    </row>
    <row r="873" spans="10:10" ht="16.149999999999999" customHeight="1" x14ac:dyDescent="0.25">
      <c r="J873" s="168"/>
    </row>
    <row r="874" spans="10:10" ht="16.149999999999999" customHeight="1" x14ac:dyDescent="0.25">
      <c r="J874" s="168"/>
    </row>
    <row r="875" spans="10:10" ht="16.149999999999999" customHeight="1" x14ac:dyDescent="0.25">
      <c r="J875" s="168"/>
    </row>
    <row r="876" spans="10:10" ht="16.149999999999999" customHeight="1" x14ac:dyDescent="0.25">
      <c r="J876" s="168"/>
    </row>
    <row r="877" spans="10:10" ht="16.149999999999999" customHeight="1" x14ac:dyDescent="0.25">
      <c r="J877" s="168"/>
    </row>
    <row r="878" spans="10:10" ht="16.149999999999999" customHeight="1" x14ac:dyDescent="0.25">
      <c r="J878" s="168"/>
    </row>
    <row r="879" spans="10:10" ht="16.149999999999999" customHeight="1" x14ac:dyDescent="0.25">
      <c r="J879" s="168"/>
    </row>
    <row r="880" spans="10:10" ht="16.149999999999999" customHeight="1" x14ac:dyDescent="0.25">
      <c r="J880" s="168"/>
    </row>
    <row r="881" spans="10:10" ht="16.149999999999999" customHeight="1" x14ac:dyDescent="0.25">
      <c r="J881" s="168"/>
    </row>
    <row r="882" spans="10:10" ht="16.149999999999999" customHeight="1" x14ac:dyDescent="0.25">
      <c r="J882" s="168"/>
    </row>
    <row r="883" spans="10:10" ht="16.149999999999999" customHeight="1" x14ac:dyDescent="0.25">
      <c r="J883" s="168"/>
    </row>
    <row r="884" spans="10:10" ht="16.149999999999999" customHeight="1" x14ac:dyDescent="0.25">
      <c r="J884" s="168"/>
    </row>
    <row r="885" spans="10:10" ht="16.149999999999999" customHeight="1" x14ac:dyDescent="0.25">
      <c r="J885" s="168"/>
    </row>
    <row r="886" spans="10:10" ht="16.149999999999999" customHeight="1" x14ac:dyDescent="0.25">
      <c r="J886" s="168"/>
    </row>
    <row r="887" spans="10:10" ht="16.149999999999999" customHeight="1" x14ac:dyDescent="0.25">
      <c r="J887" s="168"/>
    </row>
    <row r="888" spans="10:10" ht="16.149999999999999" customHeight="1" x14ac:dyDescent="0.25">
      <c r="J888" s="168"/>
    </row>
    <row r="889" spans="10:10" ht="16.149999999999999" customHeight="1" x14ac:dyDescent="0.25">
      <c r="J889" s="168"/>
    </row>
    <row r="890" spans="10:10" ht="16.149999999999999" customHeight="1" x14ac:dyDescent="0.25">
      <c r="J890" s="168"/>
    </row>
    <row r="891" spans="10:10" ht="16.149999999999999" customHeight="1" x14ac:dyDescent="0.25">
      <c r="J891" s="168"/>
    </row>
    <row r="892" spans="10:10" ht="16.149999999999999" customHeight="1" x14ac:dyDescent="0.25">
      <c r="J892" s="168"/>
    </row>
    <row r="893" spans="10:10" ht="16.149999999999999" customHeight="1" x14ac:dyDescent="0.25">
      <c r="J893" s="168"/>
    </row>
    <row r="894" spans="10:10" ht="16.149999999999999" customHeight="1" x14ac:dyDescent="0.25">
      <c r="J894" s="168"/>
    </row>
    <row r="895" spans="10:10" ht="16.149999999999999" customHeight="1" x14ac:dyDescent="0.25">
      <c r="J895" s="168"/>
    </row>
    <row r="896" spans="10:10" ht="16.149999999999999" customHeight="1" x14ac:dyDescent="0.25">
      <c r="J896" s="168"/>
    </row>
    <row r="897" spans="10:10" ht="16.149999999999999" customHeight="1" x14ac:dyDescent="0.25">
      <c r="J897" s="168"/>
    </row>
    <row r="898" spans="10:10" ht="16.149999999999999" customHeight="1" x14ac:dyDescent="0.25">
      <c r="J898" s="168"/>
    </row>
  </sheetData>
  <sheetProtection formatCells="0" formatColumns="0" formatRows="0"/>
  <phoneticPr fontId="3" type="noConversion"/>
  <conditionalFormatting sqref="J12">
    <cfRule type="expression" dxfId="18" priority="1" stopIfTrue="1">
      <formula>ISBLANK($J$12)=TRUE</formula>
    </cfRule>
  </conditionalFormatting>
  <dataValidations count="3">
    <dataValidation type="list" allowBlank="1" showInputMessage="1" showErrorMessage="1" errorTitle="Invalid Customer Code" error="Select a customer code from the list box. All customer codes need to be created on the Customers sheet before being available for selection." sqref="J11" xr:uid="{00000000-0002-0000-0900-000000000000}">
      <formula1>Customer_Code</formula1>
    </dataValidation>
    <dataValidation allowBlank="1" showInputMessage="1" showErrorMessage="1" errorTitle="Invalid Customer Code" error="Select a customer code from the list box. All customer codes need to be created on the Customers sheet before being available for selection." sqref="K11" xr:uid="{00000000-0002-0000-0900-000001000000}"/>
    <dataValidation type="date" operator="greaterThan" allowBlank="1" showInputMessage="1" showErrorMessage="1" errorTitle="Invalid Date" error="The date that you entered is invalid. Enter a valid date in accordance with the Regional Settings that have been specified in the System Control Panel." sqref="J12" xr:uid="{00000000-0002-0000-0900-000002000000}">
      <formula1>36526</formula1>
    </dataValidation>
  </dataValidations>
  <pageMargins left="0.55118110236220474" right="0.55118110236220474" top="0.59055118110236227" bottom="0.59055118110236227" header="0.39370078740157483" footer="0.39370078740157483"/>
  <pageSetup paperSize="9" scale="91" fitToHeight="0" orientation="portrait" r:id="rId1"/>
  <headerFooter alignWithMargins="0"/>
  <drawing r:id="rId2"/>
</worksheet>
</file>

<file path=customUI/customUI.xml><?xml version="1.0" encoding="utf-8"?>
<customUI xmlns="http://schemas.microsoft.com/office/2006/01/customui">
  <commands>
    <command idMso="FileSave" enabled="false"/>
    <command idMso="FileSaveAs" enabled="false"/>
    <command idMso="FileSaveAsMenu" enabled="false"/>
    <command idMso="FileSaveAsOtherFormats" enabled="false"/>
    <command idMso="FilePrintMenu" enabled="false"/>
    <command idMso="FilePrint" enabled="false"/>
    <command idMso="FilePrintQuick" enabled="false"/>
    <command idMso="FilePrintPreview" enabled="false"/>
    <command idMso="PageSetupPageDialog" enabled="false"/>
    <command idMso="FileSendMenu" enabled="false"/>
    <command idMso="ReviewSendForReview" enabled="false"/>
    <command idMso="SendCopySendNow" enabled="false"/>
    <command idMso="SendCopyToMailRecipient" enabled="false"/>
  </commands>
</customUI>
</file>

<file path=customUI/customUI14.xml><?xml version="1.0" encoding="utf-8"?>
<customUI xmlns="http://schemas.microsoft.com/office/2009/07/customui">
  <commands>
    <command idMso="FileSave" enabled="false"/>
    <command idMso="FileSaveAs" enabled="false"/>
    <command idMso="FileSaveAsMenu" enabled="false"/>
    <command idMso="FileSaveAsOtherFormats" enabled="false"/>
    <command idMso="FilePrintMenu" enabled="false"/>
    <command idMso="FilePrintQuick" enabled="false"/>
    <command idMso="FilePrintPreview" enabled="false"/>
    <command idMso="PrintPreviewAndPrint" enabled="false"/>
    <command idMso="GroupPrintPreviewPrint" enabled="false"/>
    <command idMso="FileSendMenu" enabled="false"/>
    <command idMso="ReviewSendForReview" enabled="false"/>
    <command idMso="SendCopySendNow" enabled="false"/>
    <command idMso="SendCopyToMailRecipient" enabled="false"/>
  </commands>
  <backstage>
    <tab idMso="TabShare" visible="false"/>
    <tab idMso="TabPrint" visible="false"/>
    <tab idMso="TabPublish" visible="false"/>
    <tab idMso="Publish2Tab" visible="false"/>
    <tab idMso="TabSave" visible="false"/>
  </backstage>
</customUI>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20</vt:i4>
      </vt:variant>
    </vt:vector>
  </HeadingPairs>
  <TitlesOfParts>
    <vt:vector size="22" baseType="lpstr">
      <vt:lpstr>Info</vt:lpstr>
      <vt:lpstr>ChartInfo</vt:lpstr>
      <vt:lpstr>Customer_Code</vt:lpstr>
      <vt:lpstr>Customers</vt:lpstr>
      <vt:lpstr>InvError</vt:lpstr>
      <vt:lpstr>Invoice_Number</vt:lpstr>
      <vt:lpstr>InvoiceAmount</vt:lpstr>
      <vt:lpstr>InvoiceCus</vt:lpstr>
      <vt:lpstr>InvoiceDate</vt:lpstr>
      <vt:lpstr>Invoices</vt:lpstr>
      <vt:lpstr>InvoiceStatus</vt:lpstr>
      <vt:lpstr>PayDate</vt:lpstr>
      <vt:lpstr>Invoice!Print_Area</vt:lpstr>
      <vt:lpstr>Quote!Print_Area</vt:lpstr>
      <vt:lpstr>Statement!Print_Area</vt:lpstr>
      <vt:lpstr>Balances!Print_Titles</vt:lpstr>
      <vt:lpstr>Customers!Print_Titles</vt:lpstr>
      <vt:lpstr>Details!Print_Titles</vt:lpstr>
      <vt:lpstr>Instructions!Print_Titles</vt:lpstr>
      <vt:lpstr>Statement!Print_Titles</vt:lpstr>
      <vt:lpstr>QNumber</vt:lpstr>
      <vt:lpstr>Quotes</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Invoice Template | Service Based - Excel Skills</dc:title>
  <dc:subject>Invoices</dc:subject>
  <dc:creator>Excel Skills International</dc:creator>
  <cp:keywords>invoice template</cp:keywords>
  <cp:lastModifiedBy>cloudconvert_20</cp:lastModifiedBy>
  <cp:lastPrinted>2021-01-30T12:53:22Z</cp:lastPrinted>
  <dcterms:created xsi:type="dcterms:W3CDTF">2010-02-02T08:35:25Z</dcterms:created>
  <dcterms:modified xsi:type="dcterms:W3CDTF">2024-01-30T18:09:45Z</dcterms:modified>
  <cp:category>Excel 2007+</cp:category>
  <cp:contentStatus>Version 3.0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3551bd62-84c8-42cf-8122-ae44b3fba15d</vt:lpwstr>
  </property>
</Properties>
</file>