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4137b3de4d104b9d" Type="http://schemas.microsoft.com/office/2006/relationships/ui/extensibility" Target="customUI/customUI.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ea4feda986e34643"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D:\fc\fcproduction\files_vol\task\65b93f4b9b26bf46271677df\"/>
    </mc:Choice>
  </mc:AlternateContent>
  <xr:revisionPtr revIDLastSave="0" documentId="8_{5C54BA42-8471-4469-AF10-774E974A6177}" xr6:coauthVersionLast="47" xr6:coauthVersionMax="47" xr10:uidLastSave="{00000000-0000-0000-0000-000000000000}"/>
  <bookViews>
    <workbookView xWindow="1520" yWindow="1520" windowWidth="16800" windowHeight="9760" tabRatio="795" xr2:uid="{00000000-000D-0000-FFFF-FFFF00000000}"/>
  </bookViews>
  <sheets>
    <sheet name="Info" sheetId="9" r:id="rId1"/>
    <sheet name="Trial" sheetId="8" state="veryHidden" r:id="rId2"/>
    <sheet name="Instructions" sheetId="4" state="veryHidden" r:id="rId3"/>
    <sheet name="TaxCalc" sheetId="10" state="veryHidden" r:id="rId4"/>
    <sheet name="Monthly" sheetId="6" state="veryHidden" r:id="rId5"/>
    <sheet name="Values" sheetId="11" state="veryHidden" r:id="rId6"/>
  </sheets>
  <definedNames>
    <definedName name="_xlnm.Print_Area" localSheetId="2">Instructions!$A$1:$A$108</definedName>
    <definedName name="_xlnm.Print_Area" localSheetId="4">Monthly!$A$1:$K$16</definedName>
    <definedName name="_xlnm.Print_Titles" localSheetId="2">Instructions!$1:$4</definedName>
    <definedName name="Records">10000</definedName>
    <definedName name="TaxAll">Values!$B$6:$D$12</definedName>
    <definedName name="TaxBracket">Values!$B$6:$B$12</definedName>
    <definedName name="TaxRate">Values!$C$6:$C$12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11" l="1"/>
  <c r="I3" i="6" l="1"/>
  <c r="E3" i="6"/>
  <c r="D3" i="6"/>
  <c r="C3" i="6"/>
  <c r="B3" i="6"/>
  <c r="J2" i="6" l="1"/>
  <c r="I2" i="6"/>
  <c r="F16" i="6"/>
  <c r="F15" i="6"/>
  <c r="F14" i="6"/>
  <c r="F13" i="6"/>
  <c r="F12" i="6"/>
  <c r="F11" i="6"/>
  <c r="F10" i="6"/>
  <c r="F9" i="6"/>
  <c r="F8" i="6"/>
  <c r="F7" i="6"/>
  <c r="F6" i="6"/>
  <c r="F5" i="6"/>
  <c r="A5" i="6"/>
  <c r="F3" i="6" l="1"/>
  <c r="L16" i="6"/>
  <c r="N16" i="6" s="1"/>
  <c r="L5" i="6"/>
  <c r="L13" i="6"/>
  <c r="N13" i="6" s="1"/>
  <c r="L6" i="6"/>
  <c r="N6" i="6" s="1"/>
  <c r="L10" i="6"/>
  <c r="N10" i="6" s="1"/>
  <c r="L14" i="6"/>
  <c r="N14" i="6" s="1"/>
  <c r="L9" i="6"/>
  <c r="N9" i="6" s="1"/>
  <c r="L7" i="6"/>
  <c r="N7" i="6" s="1"/>
  <c r="L11" i="6"/>
  <c r="N11" i="6" s="1"/>
  <c r="L15" i="6"/>
  <c r="N15" i="6" s="1"/>
  <c r="L8" i="6"/>
  <c r="N8" i="6" s="1"/>
  <c r="L12" i="6"/>
  <c r="N12" i="6" s="1"/>
  <c r="H20" i="10"/>
  <c r="H14" i="10"/>
  <c r="H8" i="10"/>
  <c r="H7" i="10"/>
  <c r="H6" i="10"/>
  <c r="E16" i="10"/>
  <c r="E15" i="10"/>
  <c r="E9" i="10"/>
  <c r="E8" i="10"/>
  <c r="E7" i="10"/>
  <c r="E6" i="10"/>
  <c r="D7" i="10"/>
  <c r="N5" i="6" l="1"/>
  <c r="H5" i="6" s="1"/>
  <c r="M7" i="6"/>
  <c r="M16" i="6"/>
  <c r="M8" i="6"/>
  <c r="M9" i="6"/>
  <c r="M13" i="6"/>
  <c r="M12" i="6"/>
  <c r="M6" i="6"/>
  <c r="M15" i="6"/>
  <c r="M14" i="6"/>
  <c r="M11" i="6"/>
  <c r="M10" i="6"/>
  <c r="O16" i="6"/>
  <c r="O6" i="6"/>
  <c r="O8" i="6"/>
  <c r="O9" i="6"/>
  <c r="O13" i="6"/>
  <c r="O7" i="6"/>
  <c r="O5" i="6"/>
  <c r="O12" i="6"/>
  <c r="O11" i="6"/>
  <c r="O10" i="6"/>
  <c r="O14" i="6"/>
  <c r="O15" i="6"/>
  <c r="H9" i="10"/>
  <c r="E10" i="10"/>
  <c r="A6" i="11"/>
  <c r="D6" i="11"/>
  <c r="E6" i="11" s="1"/>
  <c r="A7" i="11"/>
  <c r="A8" i="11"/>
  <c r="A10" i="11"/>
  <c r="A11" i="11"/>
  <c r="A12" i="11"/>
  <c r="D7" i="11" l="1"/>
  <c r="E7" i="11" s="1"/>
  <c r="H6" i="6"/>
  <c r="H7" i="6" s="1"/>
  <c r="M5" i="6"/>
  <c r="E11" i="10"/>
  <c r="D8" i="11" l="1"/>
  <c r="D9" i="11" s="1"/>
  <c r="E9" i="11" s="1"/>
  <c r="H8" i="6"/>
  <c r="E12" i="10"/>
  <c r="H18" i="10"/>
  <c r="A6" i="6"/>
  <c r="A7" i="6" s="1"/>
  <c r="A8" i="6" s="1"/>
  <c r="A9" i="6" s="1"/>
  <c r="A10" i="6" s="1"/>
  <c r="A11" i="6" s="1"/>
  <c r="A12" i="6" s="1"/>
  <c r="A13" i="6" s="1"/>
  <c r="A14" i="6" s="1"/>
  <c r="A15" i="6" s="1"/>
  <c r="A16" i="6" s="1"/>
  <c r="E8" i="11" l="1"/>
  <c r="H9" i="6"/>
  <c r="H13" i="10"/>
  <c r="H22" i="10" s="1"/>
  <c r="D10" i="11"/>
  <c r="H10" i="6" l="1"/>
  <c r="H11" i="6" s="1"/>
  <c r="H12" i="6" s="1"/>
  <c r="H13" i="6" s="1"/>
  <c r="H14" i="6" s="1"/>
  <c r="H15" i="6" s="1"/>
  <c r="H16" i="6" s="1"/>
  <c r="Q5" i="6"/>
  <c r="Q16" i="6"/>
  <c r="Q12" i="6"/>
  <c r="Q8" i="6"/>
  <c r="Q9" i="6"/>
  <c r="Q15" i="6"/>
  <c r="Q11" i="6"/>
  <c r="Q7" i="6"/>
  <c r="Q14" i="6"/>
  <c r="Q10" i="6"/>
  <c r="Q6" i="6"/>
  <c r="Q13" i="6"/>
  <c r="P5" i="6"/>
  <c r="P16" i="6"/>
  <c r="P12" i="6"/>
  <c r="P8" i="6"/>
  <c r="P15" i="6"/>
  <c r="P11" i="6"/>
  <c r="P7" i="6"/>
  <c r="P14" i="6"/>
  <c r="P10" i="6"/>
  <c r="P6" i="6"/>
  <c r="P13" i="6"/>
  <c r="P9" i="6"/>
  <c r="E10" i="11"/>
  <c r="D11" i="11"/>
  <c r="E11" i="11" s="1"/>
  <c r="R12" i="6" l="1"/>
  <c r="R5" i="6"/>
  <c r="G5" i="6" s="1"/>
  <c r="R16" i="6"/>
  <c r="R9" i="6"/>
  <c r="R15" i="6"/>
  <c r="R6" i="6"/>
  <c r="R10" i="6"/>
  <c r="R13" i="6"/>
  <c r="R8" i="6"/>
  <c r="R7" i="6"/>
  <c r="R14" i="6"/>
  <c r="R11" i="6"/>
  <c r="E14" i="10"/>
  <c r="E17" i="10" s="1"/>
  <c r="H12" i="10"/>
  <c r="H15" i="10" s="1"/>
  <c r="H17" i="10" s="1"/>
  <c r="H3" i="6" l="1"/>
  <c r="G6" i="6"/>
  <c r="G7" i="6" s="1"/>
  <c r="J5" i="6"/>
  <c r="H21" i="10"/>
  <c r="H23" i="10" s="1"/>
  <c r="E18" i="10"/>
  <c r="K5" i="6" l="1"/>
  <c r="G8" i="6"/>
  <c r="J7" i="6"/>
  <c r="K7" i="6" s="1"/>
  <c r="J6" i="6"/>
  <c r="K6" i="6" s="1"/>
  <c r="G9" i="6" l="1"/>
  <c r="G10" i="6" s="1"/>
  <c r="G11" i="6" s="1"/>
  <c r="G12" i="6" s="1"/>
  <c r="G13" i="6" s="1"/>
  <c r="G14" i="6" s="1"/>
  <c r="G15" i="6" s="1"/>
  <c r="G16" i="6" s="1"/>
  <c r="J8" i="6"/>
  <c r="K8" i="6" s="1"/>
  <c r="G3" i="6" l="1"/>
  <c r="J9" i="6"/>
  <c r="K9" i="6" s="1"/>
  <c r="J10" i="6" l="1"/>
  <c r="K10" i="6" s="1"/>
  <c r="J11" i="6" l="1"/>
  <c r="K11" i="6" s="1"/>
  <c r="J12" i="6" l="1"/>
  <c r="K12" i="6" s="1"/>
  <c r="J13" i="6" l="1"/>
  <c r="K13" i="6" s="1"/>
  <c r="J14" i="6" l="1"/>
  <c r="K14" i="6" s="1"/>
  <c r="J15" i="6" l="1"/>
  <c r="K15" i="6" s="1"/>
  <c r="J16" i="6"/>
  <c r="K16" i="6" l="1"/>
  <c r="K3" i="6" s="1"/>
  <c r="J3" i="6"/>
</calcChain>
</file>

<file path=xl/sharedStrings.xml><?xml version="1.0" encoding="utf-8"?>
<sst xmlns="http://schemas.openxmlformats.org/spreadsheetml/2006/main" count="155" uniqueCount="136">
  <si>
    <t>Instructions</t>
  </si>
  <si>
    <t>www.excel-skills.com</t>
  </si>
  <si>
    <t>Help &amp; Customization</t>
  </si>
  <si>
    <t>Income Tax Brackets</t>
  </si>
  <si>
    <t>Tax Bracket Value</t>
  </si>
  <si>
    <t>Income Tax %</t>
  </si>
  <si>
    <t>Excel Skills | Income Tax Calculation Template</t>
  </si>
  <si>
    <t>Monthly Income Tax Calculations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</si>
  <si>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</si>
  <si>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</si>
  <si>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</si>
  <si>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www.excel-skills.com</t>
  </si>
  <si>
    <t>Tax payer &amp; first dependent</t>
  </si>
  <si>
    <t>Additional dependents</t>
  </si>
  <si>
    <t>Salary &amp; Income Tax Calculator</t>
  </si>
  <si>
    <t>Basic Monthly Salary</t>
  </si>
  <si>
    <t>Travel Allowance</t>
  </si>
  <si>
    <t>Other Allowances</t>
  </si>
  <si>
    <t>Annual Bonus</t>
  </si>
  <si>
    <t>Pension Deduction</t>
  </si>
  <si>
    <t>Medical Dependents</t>
  </si>
  <si>
    <t>Your Age</t>
  </si>
  <si>
    <t>Annual Income Tax Calculation</t>
  </si>
  <si>
    <t>Taxable Earnings:</t>
  </si>
  <si>
    <t>Basic Salary</t>
  </si>
  <si>
    <t>Total Taxable Earnings</t>
  </si>
  <si>
    <t>Less: Taxable Pension</t>
  </si>
  <si>
    <t>Taxable Income</t>
  </si>
  <si>
    <t>Total Taxation</t>
  </si>
  <si>
    <t>Less: Rebate</t>
  </si>
  <si>
    <t>Less: Medical Tax Credits</t>
  </si>
  <si>
    <t>Annual Tax Payable</t>
  </si>
  <si>
    <t>Monthly Salary Calculation</t>
  </si>
  <si>
    <t>Earnings:</t>
  </si>
  <si>
    <t>Gross Pay</t>
  </si>
  <si>
    <t>Deductions:</t>
  </si>
  <si>
    <t>Income Tax (PAYE)</t>
  </si>
  <si>
    <t>Unemployment Insurance (UIF)</t>
  </si>
  <si>
    <t>Pension Fund</t>
  </si>
  <si>
    <t>Total Deductions</t>
  </si>
  <si>
    <t>Net Monthly Pay</t>
  </si>
  <si>
    <t>Annual Bonus Payment</t>
  </si>
  <si>
    <t>Less: Tax On Bonus</t>
  </si>
  <si>
    <t>Less: UIF On Bonus</t>
  </si>
  <si>
    <t>Net Annual Bonus</t>
  </si>
  <si>
    <t>Income Tax Calculator Variables</t>
  </si>
  <si>
    <t>Income Tax Rates</t>
  </si>
  <si>
    <t>Rebates</t>
  </si>
  <si>
    <t>Primary</t>
  </si>
  <si>
    <t>Secondary</t>
  </si>
  <si>
    <t>Tertiary</t>
  </si>
  <si>
    <t>Min Age</t>
  </si>
  <si>
    <t>Unemployment Insurance Fund (UIF)</t>
  </si>
  <si>
    <t>Contribution %</t>
  </si>
  <si>
    <t>Medical Aid Tax Credits</t>
  </si>
  <si>
    <t>Annual contribution limit</t>
  </si>
  <si>
    <t>Maximum tax deduction value</t>
  </si>
  <si>
    <t>Maximum tax deduction %</t>
  </si>
  <si>
    <t>Taxable portion of allowance</t>
  </si>
  <si>
    <t>Monthly Salary Amounts</t>
  </si>
  <si>
    <t>Annual Eqv - Monthly Pay</t>
  </si>
  <si>
    <t>Annual 
Bonus</t>
  </si>
  <si>
    <t>Pension 
Fund</t>
  </si>
  <si>
    <t>Total 
Deductions</t>
  </si>
  <si>
    <t>Net Pay</t>
  </si>
  <si>
    <t>AGE</t>
  </si>
  <si>
    <t>MED DEPENDENTS</t>
  </si>
  <si>
    <t>PERIOD START</t>
  </si>
  <si>
    <t>Period</t>
  </si>
  <si>
    <t>Monthly Calculations</t>
  </si>
  <si>
    <t>Pay Period</t>
  </si>
  <si>
    <t>Medical Tax Credits</t>
  </si>
  <si>
    <t>Annual Taxable Income</t>
  </si>
  <si>
    <t>Taxable Income Monthly EQV</t>
  </si>
  <si>
    <t>REBATE</t>
  </si>
  <si>
    <t>MED TAX CREDIT</t>
  </si>
  <si>
    <t>Pension Tax Deduction</t>
  </si>
  <si>
    <t>Tax Payable Annual</t>
  </si>
  <si>
    <t>Tax Payable Monthly EQV</t>
  </si>
  <si>
    <t>Tax Payable Total</t>
  </si>
  <si>
    <t>The template includes three sheets:</t>
  </si>
  <si>
    <t>This template enables users to perform annual income tax &amp; monthly salary calculations based on multiple tax brackets (also referred to as a sliding income scale) and a number of other income tax &amp; salary calculation variables. The template design incorporates seven default tax brackets but you can add additional tax brackets if your region requires more tax brackets. All the income tax &amp; monthly salary calculations are automated and user input is limited to only a few earnings &amp; deduction amounts.</t>
  </si>
  <si>
    <t>How to calculate annual income tax payable</t>
  </si>
  <si>
    <t>How to calculate your net monthly salary</t>
  </si>
  <si>
    <t>The TaxCalc sheet also includes a section for the monthly salary calculations in columns G &amp; H. These calculations are also based on the user input values on this sheet and the default tax brackets and other variable values on the Values sheet. If your monthly salary does not consist of the same earnings and deduction amounts each month, you can use the Monthly sheet to perform your salary calculations.</t>
  </si>
  <si>
    <t>How to calculate your net annual bonus</t>
  </si>
  <si>
    <t>What about annual changes in income tax rates?</t>
  </si>
  <si>
    <t>The income tax brackets which are used in all income tax calculations in this template are included at the top of the Values sheet. At the start of a new tax year, you need to update all of the values on this sheet for the new tax year including the income tax bracket values and percentages.</t>
  </si>
  <si>
    <t>Income Tax &amp; Monthly Salary Calculation Guidance</t>
  </si>
  <si>
    <t>Aside from the income tax brackets, this template includes a number of other variables in the calculation of monthly &amp; annual income tax and net pay. We will therefore provide guidance on how each of these items are included in the template calculations:</t>
  </si>
  <si>
    <t>Earnings</t>
  </si>
  <si>
    <t>Travel allowances are not typically taxed fully for monthly income tax (PAYE) purposes and an income tax inclusion percentage needs to be used to include only the specified percentage in the income tax calculations. This percentage needs to be specified on the Values sheet.</t>
  </si>
  <si>
    <t>Note: If travel allowances are only paid to employees with a high percentage of business travel, the norm is to use an inclusion rate of 20% for travel allowances. If travel allowances are paid to employees who also have a lot of private travel, the inclusion percentage should be 80%. If in doubt, use the higher percentage of 80%.</t>
  </si>
  <si>
    <t>Note: If medical tax credits are not applicable and should not be included in the income tax calculations, entering zero dependents will result in a zero medical tax credit amount.</t>
  </si>
  <si>
    <t>Age</t>
  </si>
  <si>
    <t>Amount</t>
  </si>
  <si>
    <t>The rate and annual contribution limit for UIF calculation purposes is specified on the Values sheet. If you are in a region which does not have UIF, you can enter zero percent as the rate to exclude this salary deduction from the template calculations.</t>
  </si>
  <si>
    <t>If you use the Monthly sheet, the annual bonus needs to be included in the appropriate month (which can be any of the 12 monthly periods) and the income tax and UIF amounts attributable to the bonus payment will also be included in this month.</t>
  </si>
  <si>
    <t>The Monthly sheet also contains input cells for age and the number of medical aid dependents at the top of the sheet. The income tax rebate amount next to this section is calculated based on the age and the medical tax credits amount is calculated based on the number of dependents. Both of these amounts are annual amounts which are included in the annual income tax payable calculation.</t>
  </si>
  <si>
    <t>User input is also required for the monthly earnings amounts and the monthly pension contributions. All the other columns (with blue cell backgrounds) contain formulas which should not be edited or replaced otherwise the template calculations may become inaccurate.</t>
  </si>
  <si>
    <t>These calculated columns contain the following calculations:</t>
  </si>
  <si>
    <t>Income Tax 
(PAYE)</t>
  </si>
  <si>
    <t>Note: This template has been designed for income tax and monthly salary calculation purposes and does not represent a full payroll solution. If you are interested in a payroll solution which includes pay slips and much more comprehensive functionality, please refer to our Monthly Payroll template.</t>
  </si>
  <si>
    <t>You can calculate your annual income tax payable on the TaxCalc sheet by simply entering values in all the cells with yellow cell backgrounds. The annual income tax payable is then automatically calculated in columns D &amp; E based on the specified user input values and the default tax calculation variable amounts which are included on the Values sheet (including the tax brackets at the top of the sheet).</t>
  </si>
  <si>
    <t>The TaxCalc sheet also includes a section for the calculation of the net annual bonus amount. You can also use the Monthly sheet to display the all of the income tax and net pay calculations for the full 12 months.</t>
  </si>
  <si>
    <t>Only the cells with yellow cell backgrounds need to be updated - all the other cells contain formulas which will be updated automatically when the user input values are amended. If you need to add more income tax brackets, you can insert a new row anywhere between the first and last rows, copy the formulas from one of the existing rows (not the first or last) and enter the new bracket value and percentage in the cells with yellow cell backgrounds.</t>
  </si>
  <si>
    <t>You can also delete tax brackets if less than the standard number of tax brackets are required by simply deleting one of the existing tax brackets (the entire row) excluding the first or last tax bracket. When you delete a row, the other tax bracket values will update automatically.</t>
  </si>
  <si>
    <t>Note: All our templates are sold on a once-off basis and therefore do not include any annual updates. You can however use this template for multiple tax years by simply updating the default tax calculation variables on the Values sheet at the beginning of each new tax year.</t>
  </si>
  <si>
    <t>We include 4 earnings items in this template namely the basic monthly salary, monthly travel allowance, other monthly allowances and the annual bonus. The earnings item amounts need to be specified by the user by entering the appropriate values on the TaxCalc or Monthly sheets. The first three require monthly amounts to be entered and the bonus requires the annual amount.</t>
  </si>
  <si>
    <t>Note: At the end of a tax year, most employees who receive a travel allowance need to submit their vehicle logbooks as part of their income tax return and the actual exempt portion of their travel allowance would then be determined based on the actual total business mileage travelled. The inclusion rate which is used in this template is therefore for monthly PAYE purposes and does not reflect the actual tax return amounts.</t>
  </si>
  <si>
    <t>The monthly pension deduction amounts (if any) need to be entered by the user on the TaxCalc and Monthly sheets. Pension contributions are deductible for income tax purposes but limited to a maximum allowable percentage and/or maximum annual amount as specified on the Values sheet.</t>
  </si>
  <si>
    <t>The tax payer age which is specified on the TaxCalc and Monthly sheets is used only in calculating which income tax rebate (primary, secondary or tertiary) is applicable to the tax payer. The minimum age and amount of each rebate category can be maintained on the Values sheet.</t>
  </si>
  <si>
    <t>If you therefore want to know what the net bonus amount after tax and the UIF deduction would be, refer to this separate section for the calculated net bonus amount and the income tax which will be deducted from the bonus.</t>
  </si>
  <si>
    <t>Note: The Monthly sheet also includes totals above the column headings for all columns which contain monthly values. These totals will agree with the amounts which are calculated on the TaxCalc sheet. The Monthly sheet therefore provides a more comprehensive view of annual earnings, income tax and deductions especially if an annual bonus forms part of remuneration.</t>
  </si>
  <si>
    <t>Medical aid tax credits are calculated as a rebate (therefore after tax payable has been calculated) and the calculation is based on the number of dependents which are included in a person's medical aid. The number of dependents needs to be specified by the user on the TaxCalc and Monthly sheets and should include the tax payer or primary member. The monthly allowed tax credit amounts per dependent are included on the Values sheet and these values are multiplied by the number of dependents to determine the amount of the tax credit.</t>
  </si>
  <si>
    <t>If you enter an annual bonus amount, this earnings amount will be included in the annual tax payable calculation on the TaxCalc sheet and also included separately below the monthly salary calculation section. The annual bonus therefore does not form part of the monthly salary calculation section on the TaxCalc sheet.</t>
  </si>
  <si>
    <t>The Monthly sheet can be used for calculating income tax and net monthly salary for each of the 12 months which form part of the appropriate tax year. This is especially useful where the monthly earnings amounts are not consistent from month to month and also provides a clearer picture of earnings, deductions and income tax calculations for the entire tax year.</t>
  </si>
  <si>
    <t>Tax 
Rate</t>
  </si>
  <si>
    <t>Equivalent 
Value</t>
  </si>
  <si>
    <t>Effective 
Rate</t>
  </si>
  <si>
    <r>
      <t>TaxCalc</t>
    </r>
    <r>
      <rPr>
        <sz val="10"/>
        <rFont val="Arial"/>
        <family val="2"/>
      </rPr>
      <t xml:space="preserve"> - this sheet contains the annual income tax, monthly salary and annual bonus calculations. Only the cells with yellow cell backgrounds require user input and all calculations are automated.</t>
    </r>
  </si>
  <si>
    <r>
      <t>Monthly</t>
    </r>
    <r>
      <rPr>
        <sz val="10"/>
        <rFont val="Arial"/>
        <family val="2"/>
      </rPr>
      <t xml:space="preserve"> - this sheet enables users to perform monthly income tax calculations based on variable monthly earnings and annual bonus amounts. Only the cells with yellow cell backgrounds require user input - all other calculations are automated.</t>
    </r>
  </si>
  <si>
    <r>
      <t>Values</t>
    </r>
    <r>
      <rPr>
        <sz val="10"/>
        <rFont val="Arial"/>
        <family val="2"/>
      </rPr>
      <t xml:space="preserve"> - all the default values which are used in the income tax &amp; salary calculations need to be specified on this sheet. This includes the income tax rates at the top of the sheet, tax rebate amounts, medical tax credit amounts, unemployment insurance limit and percentage, pension fund tax deduction limits and the travel allowance inclusion percentage. All of these default values need to be updated at the start of a new tax year by entering the new values in the cells with yellow cell backgrounds.</t>
    </r>
  </si>
  <si>
    <r>
      <rPr>
        <b/>
        <sz val="10"/>
        <rFont val="Arial"/>
        <family val="2"/>
      </rPr>
      <t>Gross Pay</t>
    </r>
    <r>
      <rPr>
        <sz val="10"/>
        <rFont val="Arial"/>
        <family val="2"/>
      </rPr>
      <t xml:space="preserve"> - the total of all of the earnings columns.</t>
    </r>
  </si>
  <si>
    <r>
      <rPr>
        <b/>
        <sz val="10"/>
        <rFont val="Arial"/>
        <family val="2"/>
      </rPr>
      <t>Income Tax (PAYE)</t>
    </r>
    <r>
      <rPr>
        <sz val="10"/>
        <rFont val="Arial"/>
        <family val="2"/>
      </rPr>
      <t xml:space="preserve"> - the monthly income tax amount which is based on the tax payable monthly EQV and tax payable annual columns. These columns are included for the detailed income tax calculations from the tax brackets and the formula in this column basically just combines the monthly calculations and the tax on the annual bonus so that the tax on the bonus is not spread over the remaining months in the tax year.</t>
    </r>
  </si>
  <si>
    <r>
      <rPr>
        <b/>
        <sz val="10"/>
        <rFont val="Arial"/>
        <family val="2"/>
      </rPr>
      <t>Unemployment Insurance (UIF)</t>
    </r>
    <r>
      <rPr>
        <sz val="10"/>
        <rFont val="Arial"/>
        <family val="2"/>
      </rPr>
      <t xml:space="preserve"> - this is the calculation of the UIF salary deduction based on the maximum percentage and maximum contribution value which is specified on the Values sheet.</t>
    </r>
  </si>
  <si>
    <r>
      <rPr>
        <b/>
        <sz val="10"/>
        <rFont val="Arial"/>
        <family val="2"/>
      </rPr>
      <t>Total Deductions</t>
    </r>
    <r>
      <rPr>
        <sz val="10"/>
        <rFont val="Arial"/>
        <family val="2"/>
      </rPr>
      <t xml:space="preserve"> - the sum of the income tax, pension and UIF deductions.</t>
    </r>
  </si>
  <si>
    <r>
      <rPr>
        <b/>
        <sz val="10"/>
        <rFont val="Arial"/>
        <family val="2"/>
      </rPr>
      <t>Pension Tax Deduction</t>
    </r>
    <r>
      <rPr>
        <sz val="10"/>
        <rFont val="Arial"/>
        <family val="2"/>
      </rPr>
      <t xml:space="preserve"> - this is the allowable tax deduction for the pension contribution based on the maximum percentage and maximum amount values which are included on the Values sheet. These annualized amounts are deducted from the annual taxable earnings to calculate the annual tax payable.</t>
    </r>
  </si>
  <si>
    <r>
      <rPr>
        <b/>
        <sz val="10"/>
        <rFont val="Arial"/>
        <family val="2"/>
      </rPr>
      <t>Annual Taxable Income</t>
    </r>
    <r>
      <rPr>
        <sz val="10"/>
        <rFont val="Arial"/>
        <family val="2"/>
      </rPr>
      <t xml:space="preserve"> - this is the annualized total of all earnings. Note that the travel allowance is multiplied by the inclusion percentage on the Values sheet and the amount in this column may therefore differ from the annualized gross pay amount.</t>
    </r>
  </si>
  <si>
    <r>
      <rPr>
        <b/>
        <sz val="10"/>
        <rFont val="Arial"/>
        <family val="2"/>
      </rPr>
      <t>Taxable Income Monthly EQV</t>
    </r>
    <r>
      <rPr>
        <sz val="10"/>
        <rFont val="Arial"/>
        <family val="2"/>
      </rPr>
      <t xml:space="preserve"> - this is the taxable income on all earnings amounts excluding the annual bonus.</t>
    </r>
  </si>
  <si>
    <r>
      <rPr>
        <b/>
        <sz val="10"/>
        <rFont val="Arial"/>
        <family val="2"/>
      </rPr>
      <t>Tax Payable Total</t>
    </r>
    <r>
      <rPr>
        <sz val="10"/>
        <rFont val="Arial"/>
        <family val="2"/>
      </rPr>
      <t xml:space="preserve"> - this is the total annual tax payable.</t>
    </r>
  </si>
  <si>
    <r>
      <rPr>
        <b/>
        <sz val="10"/>
        <rFont val="Arial"/>
        <family val="2"/>
      </rPr>
      <t>Tax Payable Monthly EQV</t>
    </r>
    <r>
      <rPr>
        <sz val="10"/>
        <rFont val="Arial"/>
        <family val="2"/>
      </rPr>
      <t xml:space="preserve"> - this is the total annual tax payable based on earnings and deductions which are paid on a monthly basis (only the annual bonus is therefore excluded).</t>
    </r>
  </si>
  <si>
    <r>
      <rPr>
        <b/>
        <sz val="10"/>
        <rFont val="Arial"/>
        <family val="2"/>
      </rPr>
      <t>Tax Payable Annual</t>
    </r>
    <r>
      <rPr>
        <sz val="10"/>
        <rFont val="Arial"/>
        <family val="2"/>
      </rPr>
      <t xml:space="preserve"> - this is the tax payable on the annual bonus amount and is the difference between the total annual tax payable and the tax payable on monthly equivalents (amounts paid every month).</t>
    </r>
  </si>
  <si>
    <t>Only cells with yellow cell backgrounds require user input - all other cells contain formulas which automatically calculate the appropriate amounts. The period start date which is specified at the top of the sheet determines which monthly periods are included in column A. The date which should be entered in this cell should be the first day of the appropriate tax year. If you leave the period start cell blank, the template will default to the current date and the first period would start from the end of the current month.</t>
  </si>
  <si>
    <r>
      <rPr>
        <b/>
        <sz val="10"/>
        <rFont val="Arial"/>
        <family val="2"/>
      </rPr>
      <t>Net Pay</t>
    </r>
    <r>
      <rPr>
        <sz val="10"/>
        <rFont val="Arial"/>
        <family val="2"/>
      </rPr>
      <t xml:space="preserve"> - the net amount paid to the employee and is the difference between the total earnings (gross pay) and total deductions.</t>
    </r>
  </si>
  <si>
    <r>
      <rPr>
        <b/>
        <sz val="10"/>
        <rFont val="Arial"/>
        <family val="2"/>
      </rPr>
      <t>Pay Period</t>
    </r>
    <r>
      <rPr>
        <sz val="10"/>
        <rFont val="Arial"/>
        <family val="2"/>
      </rPr>
      <t xml:space="preserve"> - the pay periods start from the first month where the gross pay is not nil. If you start entering earnings amounts in month 6, the first pay period will be in month 6 and there will be less than 12 pay periods in the tax year. The annual taxable income calculation will still be based on a full 12 months in the tax year to ensure that the correct income tax amounts are 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</si>
</sst>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 #,##0_ ;_ * \-#,##0_ ;_ * &quot;-&quot;??_ ;_ @_ "/>
    <numFmt numFmtId="167" formatCode="mmmm\-yyyy"/>
  </numFmts>
  <fonts count="17"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i/>
      <sz val="10"/>
      <color theme="0"/>
      <name val="Century Gothic"/>
      <family val="2"/>
      <scheme val="minor"/>
    </font>
    <font>
      <b/>
      <sz val="10"/>
      <color indexed="9"/>
      <name val="Century Gothic"/>
      <family val="2"/>
      <scheme val="minor"/>
    </font>
    <font>
      <sz val="10"/>
      <color indexed="9"/>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6">
    <fill>
      <patternFill patternType="none"/>
    </fill>
    <fill>
      <patternFill patternType="gray125"/>
    </fill>
    <fill>
      <patternFill patternType="solid">
        <fgColor indexed="43"/>
        <bgColor indexed="64"/>
      </patternFill>
    </fill>
    <fill>
      <patternFill patternType="solid">
        <fgColor theme="1"/>
        <bgColor indexed="64"/>
      </patternFill>
    </fill>
    <fill>
      <patternFill patternType="solid">
        <fgColor rgb="FFCCFFFF"/>
        <bgColor indexed="64"/>
      </patternFill>
    </fill>
    <fill>
      <patternFill patternType="solid">
        <fgColor rgb="FFFFFF99"/>
        <bgColor indexed="64"/>
      </patternFill>
    </fill>
  </fills>
  <borders count="12">
    <border>
      <left/>
      <right/>
      <top/>
      <bottom/>
      <diagonal/>
    </border>
    <border>
      <left style="thin">
        <color indexed="22"/>
      </left>
      <right style="thin">
        <color indexed="22"/>
      </right>
      <top/>
      <bottom style="thin">
        <color indexed="2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top style="medium">
        <color auto="1"/>
      </top>
      <bottom style="medium">
        <color auto="1"/>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63">
    <xf numFmtId="0" fontId="0" fillId="0" borderId="0" xfId="0"/>
    <xf numFmtId="0" fontId="4" fillId="0" borderId="0" xfId="0" applyFont="1"/>
    <xf numFmtId="0" fontId="6" fillId="0" borderId="0" xfId="0" applyFont="1" applyProtection="1">
      <protection hidden="1"/>
    </xf>
    <xf numFmtId="0" fontId="5" fillId="0" borderId="0" xfId="0" applyFont="1" applyProtection="1">
      <protection hidden="1"/>
    </xf>
    <xf numFmtId="37" fontId="6" fillId="0" borderId="0" xfId="1" applyNumberFormat="1" applyFont="1" applyProtection="1">
      <protection hidden="1"/>
    </xf>
    <xf numFmtId="164" fontId="6" fillId="0" borderId="0" xfId="1" applyFont="1" applyProtection="1">
      <protection hidden="1"/>
    </xf>
    <xf numFmtId="0" fontId="9" fillId="0" borderId="0" xfId="0" applyFont="1" applyProtection="1">
      <protection hidden="1"/>
    </xf>
    <xf numFmtId="37" fontId="5" fillId="0" borderId="0" xfId="1" applyNumberFormat="1" applyFont="1" applyProtection="1">
      <protection hidden="1"/>
    </xf>
    <xf numFmtId="164" fontId="5" fillId="0" borderId="0" xfId="1" applyFont="1" applyProtection="1">
      <protection hidden="1"/>
    </xf>
    <xf numFmtId="37" fontId="6" fillId="5" borderId="9" xfId="1" applyNumberFormat="1" applyFont="1" applyFill="1" applyBorder="1" applyProtection="1">
      <protection hidden="1"/>
    </xf>
    <xf numFmtId="0" fontId="7" fillId="0" borderId="0" xfId="0" applyFont="1" applyProtection="1">
      <protection hidden="1"/>
    </xf>
    <xf numFmtId="164" fontId="6" fillId="0" borderId="11" xfId="1" applyFont="1" applyBorder="1" applyProtection="1">
      <protection hidden="1"/>
    </xf>
    <xf numFmtId="164" fontId="6" fillId="0" borderId="10" xfId="1" applyFont="1" applyBorder="1" applyProtection="1">
      <protection hidden="1"/>
    </xf>
    <xf numFmtId="164" fontId="5" fillId="0" borderId="11" xfId="1" applyFont="1" applyBorder="1" applyProtection="1">
      <protection hidden="1"/>
    </xf>
    <xf numFmtId="165" fontId="5" fillId="0" borderId="0" xfId="3" applyNumberFormat="1" applyFont="1" applyProtection="1">
      <protection hidden="1"/>
    </xf>
    <xf numFmtId="0" fontId="10" fillId="0" borderId="0" xfId="0" applyFont="1" applyProtection="1">
      <protection hidden="1"/>
    </xf>
    <xf numFmtId="164" fontId="10" fillId="0" borderId="0" xfId="1" applyFont="1" applyProtection="1">
      <protection hidden="1"/>
    </xf>
    <xf numFmtId="166" fontId="5" fillId="0" borderId="0" xfId="1" applyNumberFormat="1" applyFont="1" applyAlignment="1" applyProtection="1">
      <alignment horizontal="center"/>
      <protection hidden="1"/>
    </xf>
    <xf numFmtId="166" fontId="5" fillId="0" borderId="0" xfId="1" applyNumberFormat="1" applyFont="1" applyProtection="1">
      <protection hidden="1"/>
    </xf>
    <xf numFmtId="167" fontId="7" fillId="0" borderId="0" xfId="0" applyNumberFormat="1" applyFont="1" applyProtection="1">
      <protection hidden="1"/>
    </xf>
    <xf numFmtId="166" fontId="6" fillId="0" borderId="0" xfId="1" applyNumberFormat="1" applyFont="1" applyAlignment="1" applyProtection="1">
      <alignment horizontal="center"/>
      <protection hidden="1"/>
    </xf>
    <xf numFmtId="14" fontId="6" fillId="2" borderId="9" xfId="1" applyNumberFormat="1" applyFont="1" applyFill="1" applyBorder="1" applyAlignment="1" applyProtection="1">
      <alignment horizontal="center"/>
      <protection hidden="1"/>
    </xf>
    <xf numFmtId="3" fontId="6" fillId="2" borderId="9" xfId="1" applyNumberFormat="1" applyFont="1" applyFill="1" applyBorder="1" applyAlignment="1" applyProtection="1">
      <alignment horizontal="center"/>
      <protection hidden="1"/>
    </xf>
    <xf numFmtId="3" fontId="6" fillId="4" borderId="9" xfId="1" applyNumberFormat="1" applyFont="1" applyFill="1" applyBorder="1" applyAlignment="1" applyProtection="1">
      <alignment horizontal="center"/>
      <protection hidden="1"/>
    </xf>
    <xf numFmtId="166" fontId="6" fillId="0" borderId="0" xfId="1" applyNumberFormat="1" applyFont="1" applyProtection="1">
      <protection hidden="1"/>
    </xf>
    <xf numFmtId="166" fontId="7" fillId="0" borderId="0" xfId="1" applyNumberFormat="1" applyFont="1" applyAlignment="1" applyProtection="1">
      <alignment horizontal="center"/>
      <protection hidden="1"/>
    </xf>
    <xf numFmtId="166" fontId="7" fillId="0" borderId="0" xfId="1" applyNumberFormat="1" applyFont="1" applyProtection="1">
      <protection hidden="1"/>
    </xf>
    <xf numFmtId="167" fontId="11" fillId="3" borderId="2" xfId="0" applyNumberFormat="1" applyFont="1" applyFill="1" applyBorder="1" applyAlignment="1" applyProtection="1">
      <alignment horizontal="left" vertical="center" wrapText="1"/>
      <protection hidden="1"/>
    </xf>
    <xf numFmtId="166" fontId="11" fillId="3" borderId="2"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67" fontId="6" fillId="4" borderId="1" xfId="0" applyNumberFormat="1" applyFont="1" applyFill="1" applyBorder="1" applyAlignment="1" applyProtection="1">
      <alignment horizontal="left"/>
      <protection hidden="1"/>
    </xf>
    <xf numFmtId="166" fontId="6" fillId="2" borderId="6" xfId="1" applyNumberFormat="1" applyFont="1" applyFill="1" applyBorder="1" applyAlignment="1" applyProtection="1">
      <alignment horizontal="center"/>
      <protection hidden="1"/>
    </xf>
    <xf numFmtId="166" fontId="6" fillId="4" borderId="6" xfId="1" applyNumberFormat="1" applyFont="1" applyFill="1" applyBorder="1" applyAlignment="1" applyProtection="1">
      <alignment horizontal="center"/>
      <protection hidden="1"/>
    </xf>
    <xf numFmtId="166" fontId="6" fillId="4" borderId="5" xfId="1" applyNumberFormat="1" applyFont="1" applyFill="1" applyBorder="1" applyAlignment="1" applyProtection="1">
      <alignment horizontal="center"/>
      <protection hidden="1"/>
    </xf>
    <xf numFmtId="166" fontId="6" fillId="4" borderId="1" xfId="1" applyNumberFormat="1" applyFont="1" applyFill="1" applyBorder="1" applyAlignment="1" applyProtection="1">
      <alignment horizontal="center"/>
      <protection hidden="1"/>
    </xf>
    <xf numFmtId="167" fontId="6" fillId="0" borderId="0" xfId="0" applyNumberFormat="1" applyFont="1" applyProtection="1">
      <protection hidden="1"/>
    </xf>
    <xf numFmtId="14" fontId="11" fillId="3" borderId="2" xfId="0" applyNumberFormat="1" applyFont="1" applyFill="1" applyBorder="1" applyAlignment="1" applyProtection="1">
      <alignment horizontal="left" vertical="center" wrapText="1"/>
      <protection hidden="1"/>
    </xf>
    <xf numFmtId="165" fontId="11" fillId="3" borderId="2" xfId="3" applyNumberFormat="1" applyFont="1" applyFill="1" applyBorder="1" applyAlignment="1" applyProtection="1">
      <alignment horizontal="center" vertical="center" wrapText="1"/>
      <protection hidden="1"/>
    </xf>
    <xf numFmtId="14" fontId="12" fillId="3" borderId="2" xfId="0" applyNumberFormat="1" applyFont="1" applyFill="1" applyBorder="1" applyAlignment="1" applyProtection="1">
      <alignment horizontal="left"/>
      <protection hidden="1"/>
    </xf>
    <xf numFmtId="165" fontId="6" fillId="2" borderId="1" xfId="3" applyNumberFormat="1" applyFont="1" applyFill="1" applyBorder="1" applyAlignment="1" applyProtection="1">
      <alignment horizontal="center"/>
      <protection hidden="1"/>
    </xf>
    <xf numFmtId="165" fontId="6" fillId="4" borderId="1" xfId="3" applyNumberFormat="1" applyFont="1" applyFill="1" applyBorder="1" applyAlignment="1" applyProtection="1">
      <alignment horizontal="center"/>
      <protection hidden="1"/>
    </xf>
    <xf numFmtId="14" fontId="6" fillId="4" borderId="1" xfId="0" applyNumberFormat="1" applyFont="1" applyFill="1" applyBorder="1" applyAlignment="1" applyProtection="1">
      <alignment horizontal="left"/>
      <protection hidden="1"/>
    </xf>
    <xf numFmtId="166" fontId="6" fillId="2" borderId="5" xfId="1" applyNumberFormat="1" applyFont="1" applyFill="1" applyBorder="1" applyAlignment="1" applyProtection="1">
      <alignment horizontal="center"/>
      <protection hidden="1"/>
    </xf>
    <xf numFmtId="165" fontId="6" fillId="2" borderId="5" xfId="3" applyNumberFormat="1" applyFont="1" applyFill="1" applyBorder="1" applyAlignment="1" applyProtection="1">
      <alignment horizontal="center"/>
      <protection hidden="1"/>
    </xf>
    <xf numFmtId="166" fontId="6" fillId="2" borderId="7" xfId="1" applyNumberFormat="1" applyFont="1" applyFill="1" applyBorder="1" applyAlignment="1" applyProtection="1">
      <alignment horizontal="center"/>
      <protection hidden="1"/>
    </xf>
    <xf numFmtId="14" fontId="12" fillId="3" borderId="3" xfId="0" applyNumberFormat="1" applyFont="1" applyFill="1" applyBorder="1" applyProtection="1">
      <protection hidden="1"/>
    </xf>
    <xf numFmtId="14" fontId="12" fillId="3" borderId="4" xfId="0" applyNumberFormat="1" applyFont="1" applyFill="1" applyBorder="1" applyProtection="1">
      <protection hidden="1"/>
    </xf>
    <xf numFmtId="165" fontId="6" fillId="2" borderId="8" xfId="3" applyNumberFormat="1" applyFont="1" applyFill="1" applyBorder="1" applyAlignment="1" applyProtection="1">
      <alignment horizontal="center"/>
      <protection hidden="1"/>
    </xf>
    <xf numFmtId="166" fontId="12" fillId="3" borderId="2" xfId="1" applyNumberFormat="1" applyFont="1" applyFill="1" applyBorder="1" applyAlignment="1" applyProtection="1">
      <alignment horizontal="center"/>
      <protection hidden="1"/>
    </xf>
    <xf numFmtId="165" fontId="12" fillId="3" borderId="2" xfId="3" applyNumberFormat="1" applyFont="1" applyFill="1" applyBorder="1" applyAlignment="1" applyProtection="1">
      <alignment horizontal="center"/>
      <protection hidden="1"/>
    </xf>
    <xf numFmtId="0" fontId="5" fillId="0" borderId="0" xfId="0" applyFont="1" applyAlignment="1" applyProtection="1">
      <alignment horizontal="center"/>
      <protection hidden="1"/>
    </xf>
    <xf numFmtId="166" fontId="6" fillId="5" borderId="9" xfId="1" applyNumberFormat="1" applyFont="1" applyFill="1" applyBorder="1" applyProtection="1">
      <protection hidden="1"/>
    </xf>
    <xf numFmtId="37" fontId="6" fillId="5" borderId="9" xfId="1" applyNumberFormat="1" applyFont="1" applyFill="1" applyBorder="1" applyAlignment="1" applyProtection="1">
      <alignment horizontal="center"/>
      <protection hidden="1"/>
    </xf>
    <xf numFmtId="165" fontId="6" fillId="5" borderId="9" xfId="3" applyNumberFormat="1" applyFont="1" applyFill="1" applyBorder="1" applyProtection="1">
      <protection hidden="1"/>
    </xf>
    <xf numFmtId="0" fontId="8" fillId="0" borderId="0" xfId="0" applyFont="1" applyProtection="1">
      <protection hidden="1"/>
    </xf>
    <xf numFmtId="167" fontId="8" fillId="0" borderId="0" xfId="0" applyNumberFormat="1" applyFont="1" applyProtection="1">
      <protection hidden="1"/>
    </xf>
    <xf numFmtId="0" fontId="13" fillId="0" borderId="0" xfId="0" applyFont="1" applyAlignment="1" applyProtection="1">
      <alignment horizontal="left" wrapText="1"/>
      <protection hidden="1"/>
    </xf>
    <xf numFmtId="0" fontId="1" fillId="0" borderId="0" xfId="0" applyFont="1" applyProtection="1">
      <protection hidden="1"/>
    </xf>
    <xf numFmtId="0" fontId="14" fillId="0" borderId="0" xfId="0" applyFont="1" applyAlignment="1" applyProtection="1">
      <alignment horizontal="left" wrapText="1"/>
      <protection hidden="1"/>
    </xf>
    <xf numFmtId="0" fontId="15"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4" fillId="0" borderId="0" xfId="0" applyFont="1" applyAlignment="1" applyProtection="1">
      <alignment horizontal="justify" wrapText="1"/>
      <protection hidden="1"/>
    </xf>
  </cellXfs>
  <cellStyles count="4">
    <cellStyle name="Comma" xfId="1" builtinId="3"/>
    <cellStyle name="Hyperlink" xfId="2" builtinId="8"/>
    <cellStyle name="Normal" xfId="0" builtinId="0" customBuiltin="1"/>
    <cellStyle name="Percent" xfId="3" builtinId="5"/>
  </cellStyles>
  <dxfs count="0"/>
  <tableStyles count="0" defaultTableStyle="TableStyleMedium9" defaultPivotStyle="PivotStyleLight16"/>
  <colors>
    <mruColors>
      <color rgb="FFCCFFFF"/>
      <color rgb="FFFFFF99"/>
      <color rgb="FFFFFFCC"/>
      <color rgb="FF249602"/>
      <color rgb="FF00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2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omputation-of-income-tax-in-excel.php"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youtu.be/mTBcLq3K2Yk" TargetMode="External"/></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AE6BE50C-2F3F-4693-842F-8B6C4862C3A6}"/>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3B1D2334-E12C-42C7-AE86-1E3C4760621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3657B02-3424-44E1-A80F-D785ED8C0FD8}"/>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EF8BFA86-78E7-4E06-9048-868A8E7EBCDC}"/>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0473CF40-83FD-4123-AD26-3D0BEB43FEFD}"/>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BD95A7E7-4E7F-4DF8-A510-70465D9A1727}"/>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INCOME TAX CALCULATIONS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perform annual income tax &amp; monthly salary calculations based on multiple tax brackets (also referred to as a sliding income scale) and a number of other income tax &amp; salary calculation variables. The template design incorporates seven default tax brackets but you can add additional tax brackets if your region requires more tax brackets. All the income tax &amp; monthly salary calculations are automated and user input is limited to only a few earnings &amp; deduction amounts.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73E5561-AF98-4459-9A1E-F8A76EEBEAF8}"/>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A00253F6-C0D5-48DE-8DB4-B5A20FCBCBE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25A5F89-93D5-4AF3-B43C-055460FC2E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137160</xdr:colOff>
      <xdr:row>4</xdr:row>
      <xdr:rowOff>129540</xdr:rowOff>
    </xdr:from>
    <xdr:ext cx="3512820" cy="1306851"/>
    <xdr:sp macro="" textlink="">
      <xdr:nvSpPr>
        <xdr:cNvPr id="10" name="Rectangle 17">
          <a:extLst>
            <a:ext uri="{FF2B5EF4-FFF2-40B4-BE49-F238E27FC236}">
              <a16:creationId xmlns:a16="http://schemas.microsoft.com/office/drawing/2014/main" id="{8A897D11-32AE-4F18-BD0C-F3E61148709C}"/>
            </a:ext>
          </a:extLst>
        </xdr:cNvPr>
        <xdr:cNvSpPr>
          <a:spLocks noChangeArrowheads="1"/>
        </xdr:cNvSpPr>
      </xdr:nvSpPr>
      <xdr:spPr bwMode="auto">
        <a:xfrm>
          <a:off x="8763000" y="868680"/>
          <a:ext cx="3512820" cy="130685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You can also click the YouTube logo to view our quick start and support videos.</a:t>
          </a:r>
        </a:p>
      </xdr:txBody>
    </xdr:sp>
    <xdr:clientData fLocksWithSheet="0" fPrintsWithSheet="0"/>
  </xdr:oneCellAnchor>
  <xdr:twoCellAnchor editAs="oneCell">
    <xdr:from>
      <xdr:col>0</xdr:col>
      <xdr:colOff>6332220</xdr:colOff>
      <xdr:row>1</xdr:row>
      <xdr:rowOff>0</xdr:rowOff>
    </xdr:from>
    <xdr:to>
      <xdr:col>0</xdr:col>
      <xdr:colOff>7465695</xdr:colOff>
      <xdr:row>2</xdr:row>
      <xdr:rowOff>59055</xdr:rowOff>
    </xdr:to>
    <xdr:pic>
      <xdr:nvPicPr>
        <xdr:cNvPr id="5" name="Picture 4">
          <a:hlinkClick xmlns:r="http://schemas.openxmlformats.org/officeDocument/2006/relationships" r:id="rId1"/>
          <a:extLst>
            <a:ext uri="{FF2B5EF4-FFF2-40B4-BE49-F238E27FC236}">
              <a16:creationId xmlns:a16="http://schemas.microsoft.com/office/drawing/2014/main" id="{70042678-C21C-471C-B392-5BD51D1744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32220" y="198120"/>
          <a:ext cx="1133475" cy="249555"/>
        </a:xfrm>
        <a:prstGeom prst="rect">
          <a:avLst/>
        </a:prstGeom>
        <a:solidFill>
          <a:schemeClr val="bg1"/>
        </a:solidFill>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72189</xdr:colOff>
      <xdr:row>18</xdr:row>
      <xdr:rowOff>80212</xdr:rowOff>
    </xdr:from>
    <xdr:ext cx="6288506" cy="1308261"/>
    <xdr:sp macro="" textlink="">
      <xdr:nvSpPr>
        <xdr:cNvPr id="3" name="Rectangle 17">
          <a:extLst>
            <a:ext uri="{FF2B5EF4-FFF2-40B4-BE49-F238E27FC236}">
              <a16:creationId xmlns:a16="http://schemas.microsoft.com/office/drawing/2014/main" id="{A2F5B4E9-0DC8-440B-B155-95AA8F9F8FC2}"/>
            </a:ext>
          </a:extLst>
        </xdr:cNvPr>
        <xdr:cNvSpPr>
          <a:spLocks noChangeArrowheads="1"/>
        </xdr:cNvSpPr>
      </xdr:nvSpPr>
      <xdr:spPr bwMode="auto">
        <a:xfrm>
          <a:off x="72189" y="3689686"/>
          <a:ext cx="628850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Our salary &amp; income tax calculator calculates the annual income tax payable, monthly salary including tax and net pay and an annual net bonus. Only the cells with yellow cell backgrounds require user input. All tax &amp; deduction calculations are based on the tax tables &amp; variables which are included on the Values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855043</xdr:colOff>
      <xdr:row>16</xdr:row>
      <xdr:rowOff>109487</xdr:rowOff>
    </xdr:from>
    <xdr:ext cx="6420051" cy="1500622"/>
    <xdr:sp macro="" textlink="">
      <xdr:nvSpPr>
        <xdr:cNvPr id="3" name="Rectangle 17">
          <a:extLst>
            <a:ext uri="{FF2B5EF4-FFF2-40B4-BE49-F238E27FC236}">
              <a16:creationId xmlns:a16="http://schemas.microsoft.com/office/drawing/2014/main" id="{2DF9B547-2F1E-449B-9602-4ACB5BDC39DC}"/>
            </a:ext>
          </a:extLst>
        </xdr:cNvPr>
        <xdr:cNvSpPr>
          <a:spLocks noChangeArrowheads="1"/>
        </xdr:cNvSpPr>
      </xdr:nvSpPr>
      <xdr:spPr bwMode="auto">
        <a:xfrm>
          <a:off x="2282790" y="3438224"/>
          <a:ext cx="642005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monthly earnings and pension fund deduction amounts in the cells with yellow column headings. Also specify the period start, age and medical aid dependents at the top of the sheet. All other calculations are automated. The monthly calculations on this sheet are especially useful if the earnings amounts are not consistent from month to month or if an annual bonus is paid.</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128337</xdr:colOff>
      <xdr:row>12</xdr:row>
      <xdr:rowOff>136431</xdr:rowOff>
    </xdr:from>
    <xdr:ext cx="6521115" cy="1692982"/>
    <xdr:sp macro="" textlink="">
      <xdr:nvSpPr>
        <xdr:cNvPr id="3" name="Rectangle 17">
          <a:extLst>
            <a:ext uri="{FF2B5EF4-FFF2-40B4-BE49-F238E27FC236}">
              <a16:creationId xmlns:a16="http://schemas.microsoft.com/office/drawing/2014/main" id="{24D364D4-A25C-4E0F-BCE5-EE2CD9329092}"/>
            </a:ext>
          </a:extLst>
        </xdr:cNvPr>
        <xdr:cNvSpPr>
          <a:spLocks noChangeArrowheads="1"/>
        </xdr:cNvSpPr>
      </xdr:nvSpPr>
      <xdr:spPr bwMode="auto">
        <a:xfrm>
          <a:off x="4523874" y="2663063"/>
          <a:ext cx="652111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default values which are used in the income tax &amp; salary calculations need to be specified on this sheet. This includes the income tax rates at the top of the sheet, tax rebate amounts, medical tax credit amounts, unemployment insurance limit and percentage, pension fund tax deduction limits and the travel allowance inclusion percentage. All these default values need to be updated at the start of a new tax year by entering the new values in the cells with yellow cell backgrounds.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108"/>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60" customWidth="1"/>
    <col min="2" max="2" width="50.81640625" style="57" customWidth="1"/>
    <col min="3" max="16" width="15.6328125" style="57" customWidth="1"/>
    <col min="17" max="16384" width="9.08984375" style="57"/>
  </cols>
  <sheetData>
    <row r="1" spans="1:1" ht="15.5" x14ac:dyDescent="0.35">
      <c r="A1" s="56" t="s">
        <v>6</v>
      </c>
    </row>
    <row r="2" spans="1:1" ht="15" customHeight="1" x14ac:dyDescent="0.3">
      <c r="A2" s="58" t="s">
        <v>0</v>
      </c>
    </row>
    <row r="3" spans="1:1" ht="15" customHeight="1" x14ac:dyDescent="0.3">
      <c r="A3" s="59" t="s">
        <v>1</v>
      </c>
    </row>
    <row r="5" spans="1:1" ht="50" x14ac:dyDescent="0.25">
      <c r="A5" s="60" t="s">
        <v>81</v>
      </c>
    </row>
    <row r="7" spans="1:1" x14ac:dyDescent="0.25">
      <c r="A7" s="60" t="s">
        <v>80</v>
      </c>
    </row>
    <row r="8" spans="1:1" ht="25.5" x14ac:dyDescent="0.25">
      <c r="A8" s="61" t="s">
        <v>120</v>
      </c>
    </row>
    <row r="9" spans="1:1" ht="25.5" x14ac:dyDescent="0.25">
      <c r="A9" s="61" t="s">
        <v>121</v>
      </c>
    </row>
    <row r="10" spans="1:1" ht="50.5" x14ac:dyDescent="0.25">
      <c r="A10" s="61" t="s">
        <v>122</v>
      </c>
    </row>
    <row r="11" spans="1:1" ht="13" x14ac:dyDescent="0.3">
      <c r="A11" s="61"/>
    </row>
    <row r="12" spans="1:1" ht="39" x14ac:dyDescent="0.3">
      <c r="A12" s="62" t="s">
        <v>102</v>
      </c>
    </row>
    <row r="14" spans="1:1" ht="13" x14ac:dyDescent="0.3">
      <c r="A14" s="61" t="s">
        <v>82</v>
      </c>
    </row>
    <row r="16" spans="1:1" ht="50" x14ac:dyDescent="0.25">
      <c r="A16" s="60" t="s">
        <v>103</v>
      </c>
    </row>
    <row r="18" spans="1:1" ht="13" x14ac:dyDescent="0.3">
      <c r="A18" s="61" t="s">
        <v>83</v>
      </c>
    </row>
    <row r="20" spans="1:1" ht="50" x14ac:dyDescent="0.25">
      <c r="A20" s="60" t="s">
        <v>84</v>
      </c>
    </row>
    <row r="22" spans="1:1" ht="13" x14ac:dyDescent="0.3">
      <c r="A22" s="61" t="s">
        <v>85</v>
      </c>
    </row>
    <row r="24" spans="1:1" ht="25" x14ac:dyDescent="0.25">
      <c r="A24" s="60" t="s">
        <v>104</v>
      </c>
    </row>
    <row r="26" spans="1:1" ht="13" x14ac:dyDescent="0.3">
      <c r="A26" s="61" t="s">
        <v>86</v>
      </c>
    </row>
    <row r="28" spans="1:1" ht="37.5" x14ac:dyDescent="0.25">
      <c r="A28" s="60" t="s">
        <v>87</v>
      </c>
    </row>
    <row r="30" spans="1:1" ht="50" x14ac:dyDescent="0.25">
      <c r="A30" s="60" t="s">
        <v>105</v>
      </c>
    </row>
    <row r="32" spans="1:1" ht="37.5" x14ac:dyDescent="0.25">
      <c r="A32" s="60" t="s">
        <v>106</v>
      </c>
    </row>
    <row r="34" spans="1:1" ht="39" x14ac:dyDescent="0.3">
      <c r="A34" s="62" t="s">
        <v>107</v>
      </c>
    </row>
    <row r="36" spans="1:1" ht="13" x14ac:dyDescent="0.3">
      <c r="A36" s="61" t="s">
        <v>88</v>
      </c>
    </row>
    <row r="37" spans="1:1" ht="13" x14ac:dyDescent="0.3">
      <c r="A37" s="61"/>
    </row>
    <row r="38" spans="1:1" ht="25" x14ac:dyDescent="0.25">
      <c r="A38" s="60" t="s">
        <v>89</v>
      </c>
    </row>
    <row r="40" spans="1:1" ht="13" x14ac:dyDescent="0.3">
      <c r="A40" s="61" t="s">
        <v>90</v>
      </c>
    </row>
    <row r="42" spans="1:1" ht="37.5" x14ac:dyDescent="0.25">
      <c r="A42" s="60" t="s">
        <v>108</v>
      </c>
    </row>
    <row r="44" spans="1:1" ht="37.5" x14ac:dyDescent="0.25">
      <c r="A44" s="60" t="s">
        <v>91</v>
      </c>
    </row>
    <row r="46" spans="1:1" ht="39" x14ac:dyDescent="0.3">
      <c r="A46" s="62" t="s">
        <v>92</v>
      </c>
    </row>
    <row r="48" spans="1:1" ht="52" x14ac:dyDescent="0.3">
      <c r="A48" s="62" t="s">
        <v>109</v>
      </c>
    </row>
    <row r="50" spans="1:1" ht="13" x14ac:dyDescent="0.3">
      <c r="A50" s="61" t="s">
        <v>19</v>
      </c>
    </row>
    <row r="52" spans="1:1" ht="37.5" x14ac:dyDescent="0.25">
      <c r="A52" s="60" t="s">
        <v>110</v>
      </c>
    </row>
    <row r="54" spans="1:1" ht="13" x14ac:dyDescent="0.3">
      <c r="A54" s="61" t="s">
        <v>71</v>
      </c>
    </row>
    <row r="56" spans="1:1" ht="62.5" x14ac:dyDescent="0.25">
      <c r="A56" s="60" t="s">
        <v>114</v>
      </c>
    </row>
    <row r="58" spans="1:1" ht="26" x14ac:dyDescent="0.3">
      <c r="A58" s="62" t="s">
        <v>93</v>
      </c>
    </row>
    <row r="60" spans="1:1" ht="13" x14ac:dyDescent="0.3">
      <c r="A60" s="61" t="s">
        <v>94</v>
      </c>
    </row>
    <row r="62" spans="1:1" ht="37.5" x14ac:dyDescent="0.25">
      <c r="A62" s="60" t="s">
        <v>111</v>
      </c>
    </row>
    <row r="64" spans="1:1" ht="13" x14ac:dyDescent="0.3">
      <c r="A64" s="61" t="s">
        <v>52</v>
      </c>
    </row>
    <row r="66" spans="1:1" ht="25" x14ac:dyDescent="0.25">
      <c r="A66" s="60" t="s">
        <v>96</v>
      </c>
    </row>
    <row r="68" spans="1:1" ht="13" x14ac:dyDescent="0.3">
      <c r="A68" s="61" t="s">
        <v>18</v>
      </c>
    </row>
    <row r="70" spans="1:1" ht="37.5" x14ac:dyDescent="0.25">
      <c r="A70" s="60" t="s">
        <v>115</v>
      </c>
    </row>
    <row r="72" spans="1:1" ht="25" x14ac:dyDescent="0.25">
      <c r="A72" s="60" t="s">
        <v>112</v>
      </c>
    </row>
    <row r="74" spans="1:1" ht="25" x14ac:dyDescent="0.25">
      <c r="A74" s="60" t="s">
        <v>97</v>
      </c>
    </row>
    <row r="76" spans="1:1" ht="13" x14ac:dyDescent="0.3">
      <c r="A76" s="61" t="s">
        <v>7</v>
      </c>
    </row>
    <row r="78" spans="1:1" ht="37.5" x14ac:dyDescent="0.25">
      <c r="A78" s="60" t="s">
        <v>116</v>
      </c>
    </row>
    <row r="80" spans="1:1" ht="50" x14ac:dyDescent="0.25">
      <c r="A80" s="60" t="s">
        <v>133</v>
      </c>
    </row>
    <row r="82" spans="1:1" ht="37.5" x14ac:dyDescent="0.25">
      <c r="A82" s="60" t="s">
        <v>98</v>
      </c>
    </row>
    <row r="84" spans="1:1" ht="37.5" x14ac:dyDescent="0.25">
      <c r="A84" s="60" t="s">
        <v>99</v>
      </c>
    </row>
    <row r="86" spans="1:1" x14ac:dyDescent="0.25">
      <c r="A86" s="60" t="s">
        <v>100</v>
      </c>
    </row>
    <row r="87" spans="1:1" ht="13" x14ac:dyDescent="0.3">
      <c r="A87" s="60" t="s">
        <v>123</v>
      </c>
    </row>
    <row r="88" spans="1:1" ht="50.5" x14ac:dyDescent="0.25">
      <c r="A88" s="60" t="s">
        <v>124</v>
      </c>
    </row>
    <row r="89" spans="1:1" ht="25.5" x14ac:dyDescent="0.25">
      <c r="A89" s="60" t="s">
        <v>125</v>
      </c>
    </row>
    <row r="90" spans="1:1" ht="13" x14ac:dyDescent="0.3">
      <c r="A90" s="60" t="s">
        <v>126</v>
      </c>
    </row>
    <row r="91" spans="1:1" ht="13" x14ac:dyDescent="0.3">
      <c r="A91" s="60" t="s">
        <v>134</v>
      </c>
    </row>
    <row r="92" spans="1:1" ht="38" x14ac:dyDescent="0.25">
      <c r="A92" s="60" t="s">
        <v>135</v>
      </c>
    </row>
    <row r="93" spans="1:1" ht="38" x14ac:dyDescent="0.25">
      <c r="A93" s="60" t="s">
        <v>127</v>
      </c>
    </row>
    <row r="94" spans="1:1" ht="25.5" x14ac:dyDescent="0.25">
      <c r="A94" s="60" t="s">
        <v>128</v>
      </c>
    </row>
    <row r="95" spans="1:1" ht="13" x14ac:dyDescent="0.3">
      <c r="A95" s="60" t="s">
        <v>129</v>
      </c>
    </row>
    <row r="96" spans="1:1" ht="13" x14ac:dyDescent="0.3">
      <c r="A96" s="60" t="s">
        <v>130</v>
      </c>
    </row>
    <row r="97" spans="1:1" ht="25.5" x14ac:dyDescent="0.25">
      <c r="A97" s="60" t="s">
        <v>131</v>
      </c>
    </row>
    <row r="98" spans="1:1" ht="25.5" x14ac:dyDescent="0.25">
      <c r="A98" s="60" t="s">
        <v>132</v>
      </c>
    </row>
    <row r="100" spans="1:1" ht="39" x14ac:dyDescent="0.3">
      <c r="A100" s="62" t="s">
        <v>113</v>
      </c>
    </row>
    <row r="102" spans="1:1" ht="13" x14ac:dyDescent="0.3">
      <c r="A102" s="61" t="s">
        <v>2</v>
      </c>
    </row>
    <row r="104" spans="1:1" ht="50" x14ac:dyDescent="0.25">
      <c r="A104" s="60" t="s">
        <v>8</v>
      </c>
    </row>
    <row r="106" spans="1:1" ht="13" x14ac:dyDescent="0.3">
      <c r="A106" s="61" t="s">
        <v>9</v>
      </c>
    </row>
    <row r="108" spans="1:1" ht="75" x14ac:dyDescent="0.25">
      <c r="A108" s="60" t="s">
        <v>10</v>
      </c>
    </row>
  </sheetData>
  <sheetProtection formatCells="0" formatColumns="0" formatRows="0" selectLockedCells="1"/>
  <phoneticPr fontId="2" type="noConversion"/>
  <hyperlinks>
    <hyperlink ref="A3" r:id="rId1" xr:uid="{00000000-0004-0000-0300-000000000000}"/>
  </hyperlinks>
  <pageMargins left="0.55118110236220474" right="0.55118110236220474" top="0.78740157480314965" bottom="0.78740157480314965" header="0.39370078740157483" footer="0.39370078740157483"/>
  <pageSetup paperSize="9" scale="84" fitToHeight="0" orientation="portrait"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CD7F-346A-4531-AF66-27EEE709977D}">
  <sheetPr codeName="Sheet3">
    <pageSetUpPr fitToPage="1"/>
  </sheetPr>
  <dimension ref="A1:H23"/>
  <sheetViews>
    <sheetView zoomScale="95" zoomScaleNormal="95" workbookViewId="0">
      <selection activeCell="B5" sqref="B5"/>
    </sheetView>
  </sheetViews>
  <sheetFormatPr defaultColWidth="9.08984375" defaultRowHeight="16" customHeight="1" x14ac:dyDescent="0.25"/>
  <cols>
    <col min="1" max="1" width="20.81640625" style="2" customWidth="1"/>
    <col min="2" max="2" width="16.81640625" style="4" customWidth="1"/>
    <col min="3" max="3" width="4.6328125" style="2" customWidth="1"/>
    <col min="4" max="4" width="30.81640625" style="2" customWidth="1"/>
    <col min="5" max="5" width="16.81640625" style="5" customWidth="1"/>
    <col min="6" max="6" width="4.6328125" style="2" customWidth="1"/>
    <col min="7" max="7" width="30.81640625" style="2" customWidth="1"/>
    <col min="8" max="8" width="16.81640625" style="5" customWidth="1"/>
    <col min="9" max="16384" width="9.08984375" style="2"/>
  </cols>
  <sheetData>
    <row r="1" spans="1:8" ht="16" customHeight="1" x14ac:dyDescent="0.3">
      <c r="A1" s="54" t="s">
        <v>14</v>
      </c>
    </row>
    <row r="2" spans="1:8" ht="16" customHeight="1" x14ac:dyDescent="0.25">
      <c r="A2" s="6" t="s">
        <v>11</v>
      </c>
    </row>
    <row r="3" spans="1:8" s="3" customFormat="1" ht="16" customHeight="1" x14ac:dyDescent="0.25">
      <c r="A3" s="3" t="s">
        <v>59</v>
      </c>
      <c r="B3" s="7"/>
      <c r="D3" s="3" t="s">
        <v>22</v>
      </c>
      <c r="E3" s="8"/>
      <c r="G3" s="3" t="s">
        <v>32</v>
      </c>
      <c r="H3" s="8"/>
    </row>
    <row r="5" spans="1:8" ht="16" customHeight="1" x14ac:dyDescent="0.25">
      <c r="A5" s="2" t="s">
        <v>15</v>
      </c>
      <c r="B5" s="9">
        <v>50000</v>
      </c>
      <c r="D5" s="10" t="s">
        <v>23</v>
      </c>
      <c r="G5" s="10" t="s">
        <v>33</v>
      </c>
    </row>
    <row r="6" spans="1:8" ht="16" customHeight="1" x14ac:dyDescent="0.25">
      <c r="D6" s="2" t="s">
        <v>24</v>
      </c>
      <c r="E6" s="5">
        <f>$B$5*12</f>
        <v>600000</v>
      </c>
      <c r="G6" s="2" t="s">
        <v>24</v>
      </c>
      <c r="H6" s="5">
        <f>$B$5</f>
        <v>50000</v>
      </c>
    </row>
    <row r="7" spans="1:8" ht="16" customHeight="1" x14ac:dyDescent="0.25">
      <c r="A7" s="2" t="s">
        <v>16</v>
      </c>
      <c r="B7" s="9">
        <v>0</v>
      </c>
      <c r="D7" s="2" t="str">
        <f>"Travel Allowance (only "&amp;Values!$B$32*100&amp;"%)"</f>
        <v>Travel Allowance (only 80%)</v>
      </c>
      <c r="E7" s="5">
        <f>$B$7*12*Values!$B$32</f>
        <v>0</v>
      </c>
      <c r="G7" s="2" t="s">
        <v>16</v>
      </c>
      <c r="H7" s="5">
        <f>$B$7</f>
        <v>0</v>
      </c>
    </row>
    <row r="8" spans="1:8" ht="16" customHeight="1" thickBot="1" x14ac:dyDescent="0.3">
      <c r="D8" s="2" t="s">
        <v>17</v>
      </c>
      <c r="E8" s="5">
        <f>$B$9*12</f>
        <v>0</v>
      </c>
      <c r="G8" s="2" t="s">
        <v>17</v>
      </c>
      <c r="H8" s="5">
        <f>$B$9</f>
        <v>0</v>
      </c>
    </row>
    <row r="9" spans="1:8" ht="16" customHeight="1" thickBot="1" x14ac:dyDescent="0.3">
      <c r="A9" s="2" t="s">
        <v>17</v>
      </c>
      <c r="B9" s="9">
        <v>0</v>
      </c>
      <c r="D9" s="2" t="s">
        <v>18</v>
      </c>
      <c r="E9" s="5">
        <f>$B$11</f>
        <v>50000</v>
      </c>
      <c r="G9" s="2" t="s">
        <v>34</v>
      </c>
      <c r="H9" s="11">
        <f>SUM(H6:H8)</f>
        <v>50000</v>
      </c>
    </row>
    <row r="10" spans="1:8" ht="16" customHeight="1" x14ac:dyDescent="0.25">
      <c r="D10" s="2" t="s">
        <v>25</v>
      </c>
      <c r="E10" s="12">
        <f>SUM(E6:E9)</f>
        <v>650000</v>
      </c>
    </row>
    <row r="11" spans="1:8" ht="16" customHeight="1" thickBot="1" x14ac:dyDescent="0.3">
      <c r="A11" s="2" t="s">
        <v>18</v>
      </c>
      <c r="B11" s="9">
        <v>50000</v>
      </c>
      <c r="D11" s="2" t="s">
        <v>26</v>
      </c>
      <c r="E11" s="5">
        <f>IF($E$10=0,0,IF($B$13*12/$E$10&gt;Values!$B$29,MIN($E$10*Values!$B$29,Values!$B$28),MIN($B$13*12,Values!$B$28)))</f>
        <v>0</v>
      </c>
      <c r="G11" s="10" t="s">
        <v>35</v>
      </c>
    </row>
    <row r="12" spans="1:8" ht="16" customHeight="1" thickBot="1" x14ac:dyDescent="0.3">
      <c r="D12" s="2" t="s">
        <v>27</v>
      </c>
      <c r="E12" s="11">
        <f>E10-E11</f>
        <v>650000</v>
      </c>
      <c r="G12" s="2" t="s">
        <v>36</v>
      </c>
      <c r="H12" s="5">
        <f ca="1">MAX(0,IF($H$18&lt;Values!$B$6,IF($H$18*Values!$C$6&lt;0,0,$H$18*Values!$C$6),(($H$18-VLOOKUP($H$18,TaxAll,1,1))*OFFSET(Values!$C$6,MATCH($H$18,TaxBracket,1),0,1,1)+OFFSET(Values!$D$5,MATCH($H$18,TaxBracket,1),0,1,1)))-$E$15-$E$16)/12</f>
        <v>11302.666666666666</v>
      </c>
    </row>
    <row r="13" spans="1:8" ht="16" customHeight="1" x14ac:dyDescent="0.25">
      <c r="A13" s="2" t="s">
        <v>19</v>
      </c>
      <c r="B13" s="9">
        <v>0</v>
      </c>
      <c r="G13" s="2" t="s">
        <v>37</v>
      </c>
      <c r="H13" s="5">
        <f>IF(($H$18+$E$11)&gt;Values!$B$25,Values!$B$25*Values!$B$24,($H$18+$E$11)*Values!$B$24)/12</f>
        <v>177.12</v>
      </c>
    </row>
    <row r="14" spans="1:8" ht="16" customHeight="1" thickBot="1" x14ac:dyDescent="0.3">
      <c r="D14" s="2" t="s">
        <v>28</v>
      </c>
      <c r="E14" s="5">
        <f ca="1">IF($E$12&lt;Values!$B$6,IF($E$12*Values!$C$6&lt;0,0,$E$12*Values!$C$6),(($E$12-VLOOKUP($E$12,TaxAll,1,1))*OFFSET(Values!$C$6,MATCH($E$12,TaxBracket,1),0,1,1)+OFFSET(Values!$D$5,MATCH($E$12,TaxBracket,1),0,1,1)))</f>
        <v>170867</v>
      </c>
      <c r="G14" s="2" t="s">
        <v>38</v>
      </c>
      <c r="H14" s="5">
        <f>$B$13</f>
        <v>0</v>
      </c>
    </row>
    <row r="15" spans="1:8" ht="16" customHeight="1" thickBot="1" x14ac:dyDescent="0.3">
      <c r="A15" s="2" t="s">
        <v>20</v>
      </c>
      <c r="B15" s="9">
        <v>0</v>
      </c>
      <c r="D15" s="2" t="s">
        <v>29</v>
      </c>
      <c r="E15" s="5">
        <f>IF($B$17&gt;=Values!$C$17,Values!$B$17,IF($B$17&gt;=Values!$C$16,Values!$B$16,Values!$B$15))</f>
        <v>17235</v>
      </c>
      <c r="G15" s="2" t="s">
        <v>39</v>
      </c>
      <c r="H15" s="11">
        <f ca="1">SUM(H12:H14)</f>
        <v>11479.786666666667</v>
      </c>
    </row>
    <row r="16" spans="1:8" ht="16" customHeight="1" thickBot="1" x14ac:dyDescent="0.3">
      <c r="D16" s="2" t="s">
        <v>30</v>
      </c>
      <c r="E16" s="5">
        <f>IF($B$15=0,0,IF($B$15&lt;=2,Values!$B$20*$B$15,(($B$15-2)*Values!$B$21)+(2*Values!$B$20)))*12</f>
        <v>0</v>
      </c>
    </row>
    <row r="17" spans="1:8" ht="16" customHeight="1" thickBot="1" x14ac:dyDescent="0.3">
      <c r="A17" s="2" t="s">
        <v>21</v>
      </c>
      <c r="B17" s="9">
        <v>30</v>
      </c>
      <c r="D17" s="3" t="s">
        <v>31</v>
      </c>
      <c r="E17" s="13">
        <f ca="1">MAX(E14-E15-E16,0)</f>
        <v>153632</v>
      </c>
      <c r="G17" s="3" t="s">
        <v>40</v>
      </c>
      <c r="H17" s="8">
        <f ca="1">SUM(H9,-H15)</f>
        <v>38520.213333333333</v>
      </c>
    </row>
    <row r="18" spans="1:8" ht="16" customHeight="1" x14ac:dyDescent="0.25">
      <c r="D18" s="3" t="s">
        <v>5</v>
      </c>
      <c r="E18" s="14">
        <f ca="1">IF(E12=0,0,E17/E12)</f>
        <v>0.23635692307692308</v>
      </c>
      <c r="G18" s="15" t="s">
        <v>60</v>
      </c>
      <c r="H18" s="16">
        <f>SUM(E6:E8,-E11)</f>
        <v>600000</v>
      </c>
    </row>
    <row r="19" spans="1:8" ht="16" customHeight="1" x14ac:dyDescent="0.25">
      <c r="G19" s="3" t="s">
        <v>41</v>
      </c>
    </row>
    <row r="20" spans="1:8" ht="16" customHeight="1" x14ac:dyDescent="0.25">
      <c r="G20" s="2" t="s">
        <v>18</v>
      </c>
      <c r="H20" s="5">
        <f>$B$11</f>
        <v>50000</v>
      </c>
    </row>
    <row r="21" spans="1:8" ht="16" customHeight="1" x14ac:dyDescent="0.25">
      <c r="G21" s="2" t="s">
        <v>42</v>
      </c>
      <c r="H21" s="5">
        <f ca="1">$E$17-($H$12*12)</f>
        <v>18000</v>
      </c>
    </row>
    <row r="22" spans="1:8" ht="16" customHeight="1" thickBot="1" x14ac:dyDescent="0.3">
      <c r="G22" s="2" t="s">
        <v>43</v>
      </c>
      <c r="H22" s="5">
        <f>IF($E$10&gt;Values!$B$25,Values!$B$25*Values!$B$24,$E$10*Values!$B$24)-($H$13*12)</f>
        <v>0</v>
      </c>
    </row>
    <row r="23" spans="1:8" ht="16" customHeight="1" thickBot="1" x14ac:dyDescent="0.3">
      <c r="G23" s="3" t="s">
        <v>44</v>
      </c>
      <c r="H23" s="13">
        <f ca="1">H20-H21-H22</f>
        <v>32000</v>
      </c>
    </row>
  </sheetData>
  <dataValidations count="1">
    <dataValidation type="decimal" operator="greaterThanOrEqual" allowBlank="1" showInputMessage="1" showErrorMessage="1" errorTitle="Enter Positive Values" error="All input values must be entered as positive values." sqref="B5 B7 B9 B11 B13 B15 B17" xr:uid="{3DEBB9E7-8735-43A0-8A5B-6AFF35CB4101}">
      <formula1>0</formula1>
    </dataValidation>
  </dataValidations>
  <pageMargins left="0.59055118110236227" right="0.59055118110236227" top="0.59055118110236227" bottom="0.59055118110236227" header="0.39370078740157483" footer="0.39370078740157483"/>
  <pageSetup paperSize="9" orientation="landscape" verticalDpi="1200" r:id="rId1"/>
  <headerFooter>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
  <sheetViews>
    <sheetView zoomScale="95" zoomScaleNormal="95" workbookViewId="0">
      <pane xSplit="1" ySplit="4" topLeftCell="B5" activePane="bottomRight" state="frozen"/>
      <selection pane="topRight" activeCell="B1" sqref="B1"/>
      <selection pane="bottomLeft" activeCell="A6" sqref="A6"/>
      <selection pane="bottomRight" activeCell="F2" sqref="F2"/>
    </sheetView>
  </sheetViews>
  <sheetFormatPr defaultColWidth="9.08984375" defaultRowHeight="16" customHeight="1" x14ac:dyDescent="0.25"/>
  <cols>
    <col min="1" max="1" width="20.81640625" style="35" customWidth="1"/>
    <col min="2" max="13" width="16.81640625" style="20" customWidth="1"/>
    <col min="14" max="18" width="16.81640625" style="24" customWidth="1"/>
    <col min="19" max="21" width="14.6328125" style="2" customWidth="1"/>
    <col min="22" max="16384" width="9.08984375" style="2"/>
  </cols>
  <sheetData>
    <row r="1" spans="1:18" s="3" customFormat="1" ht="16" customHeight="1" x14ac:dyDescent="0.3">
      <c r="A1" s="55" t="s">
        <v>14</v>
      </c>
      <c r="B1" s="17"/>
      <c r="C1" s="17"/>
      <c r="D1" s="17"/>
      <c r="E1" s="17"/>
      <c r="F1" s="17" t="s">
        <v>67</v>
      </c>
      <c r="G1" s="17" t="s">
        <v>65</v>
      </c>
      <c r="H1" s="17" t="s">
        <v>66</v>
      </c>
      <c r="I1" s="17" t="s">
        <v>74</v>
      </c>
      <c r="J1" s="17" t="s">
        <v>75</v>
      </c>
      <c r="K1" s="17"/>
      <c r="L1" s="17"/>
      <c r="M1" s="17"/>
      <c r="N1" s="18"/>
      <c r="O1" s="18"/>
      <c r="P1" s="18"/>
      <c r="Q1" s="18"/>
      <c r="R1" s="18"/>
    </row>
    <row r="2" spans="1:18" ht="16" customHeight="1" x14ac:dyDescent="0.25">
      <c r="A2" s="19" t="s">
        <v>69</v>
      </c>
      <c r="C2" s="2"/>
      <c r="D2" s="2"/>
      <c r="E2" s="2"/>
      <c r="F2" s="21">
        <v>44986</v>
      </c>
      <c r="G2" s="22">
        <v>30</v>
      </c>
      <c r="H2" s="22">
        <v>0</v>
      </c>
      <c r="I2" s="23">
        <f>IF($G$2&gt;=Values!$C$17,Values!$B$17,IF($G$2&gt;=Values!$C$16,Values!$B$16,Values!$B$15))</f>
        <v>17235</v>
      </c>
      <c r="J2" s="23">
        <f>IF($H$2=0,0,IF($H$2&lt;=2,Values!$B$20*$H$2,(($H$2-2)*Values!$B$21)+(2*Values!$B$20)))*12</f>
        <v>0</v>
      </c>
      <c r="K2" s="2"/>
    </row>
    <row r="3" spans="1:18" s="10" customFormat="1" ht="16" customHeight="1" x14ac:dyDescent="0.25">
      <c r="A3" s="15" t="s">
        <v>11</v>
      </c>
      <c r="B3" s="25">
        <f>SUM(B5:B16)</f>
        <v>600000</v>
      </c>
      <c r="C3" s="25">
        <f t="shared" ref="C3:K3" si="0">SUM(C5:C16)</f>
        <v>0</v>
      </c>
      <c r="D3" s="25">
        <f t="shared" si="0"/>
        <v>0</v>
      </c>
      <c r="E3" s="25">
        <f t="shared" si="0"/>
        <v>50000</v>
      </c>
      <c r="F3" s="25">
        <f t="shared" si="0"/>
        <v>650000</v>
      </c>
      <c r="G3" s="25">
        <f t="shared" ca="1" si="0"/>
        <v>153632</v>
      </c>
      <c r="H3" s="25">
        <f t="shared" ca="1" si="0"/>
        <v>2125.44</v>
      </c>
      <c r="I3" s="25">
        <f t="shared" si="0"/>
        <v>0</v>
      </c>
      <c r="J3" s="25">
        <f t="shared" ca="1" si="0"/>
        <v>155757.43999999997</v>
      </c>
      <c r="K3" s="25">
        <f t="shared" ca="1" si="0"/>
        <v>494242.55999999994</v>
      </c>
      <c r="L3" s="25"/>
      <c r="M3" s="25"/>
      <c r="N3" s="26"/>
      <c r="O3" s="26"/>
      <c r="P3" s="26"/>
      <c r="Q3" s="26"/>
      <c r="R3" s="26"/>
    </row>
    <row r="4" spans="1:18" s="29" customFormat="1" ht="25" x14ac:dyDescent="0.25">
      <c r="A4" s="27" t="s">
        <v>68</v>
      </c>
      <c r="B4" s="28" t="s">
        <v>15</v>
      </c>
      <c r="C4" s="28" t="s">
        <v>16</v>
      </c>
      <c r="D4" s="28" t="s">
        <v>17</v>
      </c>
      <c r="E4" s="28" t="s">
        <v>61</v>
      </c>
      <c r="F4" s="28" t="s">
        <v>34</v>
      </c>
      <c r="G4" s="28" t="s">
        <v>101</v>
      </c>
      <c r="H4" s="28" t="s">
        <v>37</v>
      </c>
      <c r="I4" s="28" t="s">
        <v>62</v>
      </c>
      <c r="J4" s="28" t="s">
        <v>63</v>
      </c>
      <c r="K4" s="28" t="s">
        <v>64</v>
      </c>
      <c r="L4" s="28" t="s">
        <v>70</v>
      </c>
      <c r="M4" s="28" t="s">
        <v>76</v>
      </c>
      <c r="N4" s="28" t="s">
        <v>72</v>
      </c>
      <c r="O4" s="28" t="s">
        <v>73</v>
      </c>
      <c r="P4" s="28" t="s">
        <v>79</v>
      </c>
      <c r="Q4" s="28" t="s">
        <v>78</v>
      </c>
      <c r="R4" s="28" t="s">
        <v>77</v>
      </c>
    </row>
    <row r="5" spans="1:18" ht="16" customHeight="1" x14ac:dyDescent="0.25">
      <c r="A5" s="30">
        <f ca="1">IF(ISBLANK($F$2),DATE(YEAR(TODAY()),MONTH(TODAY())+1,0),DATE(YEAR(F2),MONTH(F2)+1,0))</f>
        <v>45016</v>
      </c>
      <c r="B5" s="31">
        <v>50000</v>
      </c>
      <c r="C5" s="31">
        <v>0</v>
      </c>
      <c r="D5" s="31">
        <v>0</v>
      </c>
      <c r="E5" s="31">
        <v>0</v>
      </c>
      <c r="F5" s="32">
        <f>SUM(B5:E5)</f>
        <v>50000</v>
      </c>
      <c r="G5" s="32">
        <f ca="1">(($Q5/12*$L5)+$R5)-IF(ROW($A5)-ROW($A$4)-1=0,0,SUM(OFFSET($G$4,1,0,ROW($A5)-ROW($A$4)-1,1)))</f>
        <v>11302.666666666666</v>
      </c>
      <c r="H5" s="32">
        <f ca="1">IF($N5&gt;Values!$B$25,Values!$B$25*Values!$B$24/12*$L5,($O5*Values!$B$24/12*$L5)+(SUM($E$5:$E5)*Values!$B$24))-IF(ROW($A5)-ROW($A$4)-1=0,0,SUM(OFFSET($H$4,1,0,ROW($A5)-ROW($A$4)-1,1)))</f>
        <v>177.12</v>
      </c>
      <c r="I5" s="31">
        <v>0</v>
      </c>
      <c r="J5" s="32">
        <f ca="1">SUM(G5:I5)</f>
        <v>11479.786666666667</v>
      </c>
      <c r="K5" s="32">
        <f ca="1">SUM(F5,-J5)</f>
        <v>38520.213333333333</v>
      </c>
      <c r="L5" s="33">
        <f>COUNTIF($F$5:$F5,"&gt;0")</f>
        <v>1</v>
      </c>
      <c r="M5" s="34">
        <f>IF($L5=0,0,IF($N5=0,0,IF(SUM($I$5:$I5)/$L5*12/$N5&gt;Values!$B$29,MIN($N5*Values!$B$29,Values!$B$28),MIN(SUM($I$5:$I5)/$L5*12,Values!$B$28))))</f>
        <v>0</v>
      </c>
      <c r="N5" s="34">
        <f>IF($L5=0,0,((SUM($B$5:$B5)+(SUM($C$5:$C5)*Values!$B$32)+SUM($D$5:$D5))/$L5*12)+SUM($E$5:$E5))</f>
        <v>600000</v>
      </c>
      <c r="O5" s="34">
        <f>IF($L5=0,0,(SUM($B$5:$B5)+(SUM($C$5:$C5)*Values!$B$32)+SUM($D$5:$D5))/$L5*12)</f>
        <v>600000</v>
      </c>
      <c r="P5" s="34">
        <f ca="1">MAX(0,IF(($N5-$M5)&lt;Values!$B$6,IF(($N5-$M5)*Values!$C$6&lt;0,0,($N5-$M5)*Values!$C$6),((($N5-$M5)-VLOOKUP(($N5-$M5),TaxAll,1,1))*OFFSET(Values!$C$6,MATCH(($N5-$M5),TaxBracket,1),0,1,1)+OFFSET(Values!$D$5,MATCH(($N5-$M5),TaxBracket,1),0,1,1)))-$I$2-$J$2)</f>
        <v>135632</v>
      </c>
      <c r="Q5" s="34">
        <f ca="1">MAX(0,IF(($O5-$M5)&lt;Values!$B$6,IF(($O5-$M5)*Values!$C$6&lt;0,0,($O5-$M5)*Values!$C$6),((($O5-$M5)-VLOOKUP(($O5-$M5),TaxAll,1,1))*OFFSET(Values!$C$6,MATCH(($O5-$M5),TaxBracket,1),0,1,1)+OFFSET(Values!$D$5,MATCH(($O5-$M5),TaxBracket,1),0,1,1)))-$I$2-$J$2)</f>
        <v>135632</v>
      </c>
      <c r="R5" s="34">
        <f ca="1">P5-Q5</f>
        <v>0</v>
      </c>
    </row>
    <row r="6" spans="1:18" ht="16" customHeight="1" x14ac:dyDescent="0.25">
      <c r="A6" s="30">
        <f ca="1">DATE(YEAR(A5),MONTH(A5)+2,0)</f>
        <v>45046</v>
      </c>
      <c r="B6" s="31">
        <v>50000</v>
      </c>
      <c r="C6" s="31">
        <v>0</v>
      </c>
      <c r="D6" s="31">
        <v>0</v>
      </c>
      <c r="E6" s="31">
        <v>0</v>
      </c>
      <c r="F6" s="32">
        <f t="shared" ref="F6:F16" si="1">SUM(B6:E6)</f>
        <v>50000</v>
      </c>
      <c r="G6" s="32">
        <f t="shared" ref="G6:G16" ca="1" si="2">(($Q6/12*$L6)+$R6)-IF(ROW($A6)-ROW($A$4)-1=0,0,SUM(OFFSET($G$4,1,0,ROW($A6)-ROW($A$4)-1,1)))</f>
        <v>11302.666666666666</v>
      </c>
      <c r="H6" s="32">
        <f ca="1">IF($N6&gt;Values!$B$25,Values!$B$25*Values!$B$24/12*$L6,($O6*Values!$B$24/12*$L6)+(SUM($E$5:$E6)*Values!$B$24))-IF(ROW($A6)-ROW($A$4)-1=0,0,SUM(OFFSET($H$4,1,0,ROW($A6)-ROW($A$4)-1,1)))</f>
        <v>177.12</v>
      </c>
      <c r="I6" s="31">
        <v>0</v>
      </c>
      <c r="J6" s="32">
        <f t="shared" ref="J6:J16" ca="1" si="3">SUM(G6:I6)</f>
        <v>11479.786666666667</v>
      </c>
      <c r="K6" s="32">
        <f t="shared" ref="K6:K16" ca="1" si="4">SUM(F6,-J6)</f>
        <v>38520.213333333333</v>
      </c>
      <c r="L6" s="33">
        <f>COUNTIF($F$5:$F6,"&gt;0")</f>
        <v>2</v>
      </c>
      <c r="M6" s="34">
        <f>IF($L6=0,0,IF($N6=0,0,IF(SUM($I$5:$I6)/$L6*12/$N6&gt;Values!$B$29,MIN($N6*Values!$B$29,Values!$B$28),MIN(SUM($I$5:$I6)/$L6*12,Values!$B$28))))</f>
        <v>0</v>
      </c>
      <c r="N6" s="34">
        <f>IF($L6=0,0,((SUM($B$5:$B6)+(SUM($C$5:$C6)*Values!$B$32)+SUM($D$5:$D6))/$L6*12)+SUM($E$5:$E6))</f>
        <v>600000</v>
      </c>
      <c r="O6" s="34">
        <f>IF($L6=0,0,(SUM($B$5:$B6)+(SUM($C$5:$C6)*Values!$B$32)+SUM($D$5:$D6))/$L6*12)</f>
        <v>600000</v>
      </c>
      <c r="P6" s="34">
        <f ca="1">MAX(0,IF(($N6-$M6)&lt;Values!$B$6,IF(($N6-$M6)*Values!$C$6&lt;0,0,($N6-$M6)*Values!$C$6),((($N6-$M6)-VLOOKUP(($N6-$M6),TaxAll,1,1))*OFFSET(Values!$C$6,MATCH(($N6-$M6),TaxBracket,1),0,1,1)+OFFSET(Values!$D$5,MATCH(($N6-$M6),TaxBracket,1),0,1,1)))-$I$2-$J$2)</f>
        <v>135632</v>
      </c>
      <c r="Q6" s="34">
        <f ca="1">MAX(0,IF(($O6-$M6)&lt;Values!$B$6,IF(($O6-$M6)*Values!$C$6&lt;0,0,($O6-$M6)*Values!$C$6),((($O6-$M6)-VLOOKUP(($O6-$M6),TaxAll,1,1))*OFFSET(Values!$C$6,MATCH(($O6-$M6),TaxBracket,1),0,1,1)+OFFSET(Values!$D$5,MATCH(($O6-$M6),TaxBracket,1),0,1,1)))-$I$2-$J$2)</f>
        <v>135632</v>
      </c>
      <c r="R6" s="34">
        <f t="shared" ref="R6:R16" ca="1" si="5">P6-Q6</f>
        <v>0</v>
      </c>
    </row>
    <row r="7" spans="1:18" ht="16" customHeight="1" x14ac:dyDescent="0.25">
      <c r="A7" s="30">
        <f t="shared" ref="A7:A16" ca="1" si="6">DATE(YEAR(A6),MONTH(A6)+2,0)</f>
        <v>45077</v>
      </c>
      <c r="B7" s="31">
        <v>50000</v>
      </c>
      <c r="C7" s="31">
        <v>0</v>
      </c>
      <c r="D7" s="31">
        <v>0</v>
      </c>
      <c r="E7" s="31">
        <v>0</v>
      </c>
      <c r="F7" s="32">
        <f t="shared" si="1"/>
        <v>50000</v>
      </c>
      <c r="G7" s="32">
        <f t="shared" ca="1" si="2"/>
        <v>11302.666666666668</v>
      </c>
      <c r="H7" s="32">
        <f ca="1">IF($N7&gt;Values!$B$25,Values!$B$25*Values!$B$24/12*$L7,($O7*Values!$B$24/12*$L7)+(SUM($E$5:$E7)*Values!$B$24))-IF(ROW($A7)-ROW($A$4)-1=0,0,SUM(OFFSET($H$4,1,0,ROW($A7)-ROW($A$4)-1,1)))</f>
        <v>177.12</v>
      </c>
      <c r="I7" s="31">
        <v>0</v>
      </c>
      <c r="J7" s="32">
        <f t="shared" ca="1" si="3"/>
        <v>11479.786666666669</v>
      </c>
      <c r="K7" s="32">
        <f t="shared" ca="1" si="4"/>
        <v>38520.213333333333</v>
      </c>
      <c r="L7" s="33">
        <f>COUNTIF($F$5:$F7,"&gt;0")</f>
        <v>3</v>
      </c>
      <c r="M7" s="34">
        <f>IF($L7=0,0,IF($N7=0,0,IF(SUM($I$5:$I7)/$L7*12/$N7&gt;Values!$B$29,MIN($N7*Values!$B$29,Values!$B$28),MIN(SUM($I$5:$I7)/$L7*12,Values!$B$28))))</f>
        <v>0</v>
      </c>
      <c r="N7" s="34">
        <f>IF($L7=0,0,((SUM($B$5:$B7)+(SUM($C$5:$C7)*Values!$B$32)+SUM($D$5:$D7))/$L7*12)+SUM($E$5:$E7))</f>
        <v>600000</v>
      </c>
      <c r="O7" s="34">
        <f>IF($L7=0,0,(SUM($B$5:$B7)+(SUM($C$5:$C7)*Values!$B$32)+SUM($D$5:$D7))/$L7*12)</f>
        <v>600000</v>
      </c>
      <c r="P7" s="34">
        <f ca="1">MAX(0,IF(($N7-$M7)&lt;Values!$B$6,IF(($N7-$M7)*Values!$C$6&lt;0,0,($N7-$M7)*Values!$C$6),((($N7-$M7)-VLOOKUP(($N7-$M7),TaxAll,1,1))*OFFSET(Values!$C$6,MATCH(($N7-$M7),TaxBracket,1),0,1,1)+OFFSET(Values!$D$5,MATCH(($N7-$M7),TaxBracket,1),0,1,1)))-$I$2-$J$2)</f>
        <v>135632</v>
      </c>
      <c r="Q7" s="34">
        <f ca="1">MAX(0,IF(($O7-$M7)&lt;Values!$B$6,IF(($O7-$M7)*Values!$C$6&lt;0,0,($O7-$M7)*Values!$C$6),((($O7-$M7)-VLOOKUP(($O7-$M7),TaxAll,1,1))*OFFSET(Values!$C$6,MATCH(($O7-$M7),TaxBracket,1),0,1,1)+OFFSET(Values!$D$5,MATCH(($O7-$M7),TaxBracket,1),0,1,1)))-$I$2-$J$2)</f>
        <v>135632</v>
      </c>
      <c r="R7" s="34">
        <f t="shared" ca="1" si="5"/>
        <v>0</v>
      </c>
    </row>
    <row r="8" spans="1:18" ht="16" customHeight="1" x14ac:dyDescent="0.25">
      <c r="A8" s="30">
        <f t="shared" ca="1" si="6"/>
        <v>45107</v>
      </c>
      <c r="B8" s="31">
        <v>50000</v>
      </c>
      <c r="C8" s="31">
        <v>0</v>
      </c>
      <c r="D8" s="31">
        <v>0</v>
      </c>
      <c r="E8" s="31">
        <v>0</v>
      </c>
      <c r="F8" s="32">
        <f t="shared" si="1"/>
        <v>50000</v>
      </c>
      <c r="G8" s="32">
        <f t="shared" ca="1" si="2"/>
        <v>11302.666666666664</v>
      </c>
      <c r="H8" s="32">
        <f ca="1">IF($N8&gt;Values!$B$25,Values!$B$25*Values!$B$24/12*$L8,($O8*Values!$B$24/12*$L8)+(SUM($E$5:$E8)*Values!$B$24))-IF(ROW($A8)-ROW($A$4)-1=0,0,SUM(OFFSET($H$4,1,0,ROW($A8)-ROW($A$4)-1,1)))</f>
        <v>177.12</v>
      </c>
      <c r="I8" s="31">
        <v>0</v>
      </c>
      <c r="J8" s="32">
        <f t="shared" ca="1" si="3"/>
        <v>11479.786666666665</v>
      </c>
      <c r="K8" s="32">
        <f t="shared" ca="1" si="4"/>
        <v>38520.213333333333</v>
      </c>
      <c r="L8" s="33">
        <f>COUNTIF($F$5:$F8,"&gt;0")</f>
        <v>4</v>
      </c>
      <c r="M8" s="34">
        <f>IF($L8=0,0,IF($N8=0,0,IF(SUM($I$5:$I8)/$L8*12/$N8&gt;Values!$B$29,MIN($N8*Values!$B$29,Values!$B$28),MIN(SUM($I$5:$I8)/$L8*12,Values!$B$28))))</f>
        <v>0</v>
      </c>
      <c r="N8" s="34">
        <f>IF($L8=0,0,((SUM($B$5:$B8)+(SUM($C$5:$C8)*Values!$B$32)+SUM($D$5:$D8))/$L8*12)+SUM($E$5:$E8))</f>
        <v>600000</v>
      </c>
      <c r="O8" s="34">
        <f>IF($L8=0,0,(SUM($B$5:$B8)+(SUM($C$5:$C8)*Values!$B$32)+SUM($D$5:$D8))/$L8*12)</f>
        <v>600000</v>
      </c>
      <c r="P8" s="34">
        <f ca="1">MAX(0,IF(($N8-$M8)&lt;Values!$B$6,IF(($N8-$M8)*Values!$C$6&lt;0,0,($N8-$M8)*Values!$C$6),((($N8-$M8)-VLOOKUP(($N8-$M8),TaxAll,1,1))*OFFSET(Values!$C$6,MATCH(($N8-$M8),TaxBracket,1),0,1,1)+OFFSET(Values!$D$5,MATCH(($N8-$M8),TaxBracket,1),0,1,1)))-$I$2-$J$2)</f>
        <v>135632</v>
      </c>
      <c r="Q8" s="34">
        <f ca="1">MAX(0,IF(($O8-$M8)&lt;Values!$B$6,IF(($O8-$M8)*Values!$C$6&lt;0,0,($O8-$M8)*Values!$C$6),((($O8-$M8)-VLOOKUP(($O8-$M8),TaxAll,1,1))*OFFSET(Values!$C$6,MATCH(($O8-$M8),TaxBracket,1),0,1,1)+OFFSET(Values!$D$5,MATCH(($O8-$M8),TaxBracket,1),0,1,1)))-$I$2-$J$2)</f>
        <v>135632</v>
      </c>
      <c r="R8" s="34">
        <f t="shared" ca="1" si="5"/>
        <v>0</v>
      </c>
    </row>
    <row r="9" spans="1:18" ht="16" customHeight="1" x14ac:dyDescent="0.25">
      <c r="A9" s="30">
        <f t="shared" ca="1" si="6"/>
        <v>45138</v>
      </c>
      <c r="B9" s="31">
        <v>50000</v>
      </c>
      <c r="C9" s="31">
        <v>0</v>
      </c>
      <c r="D9" s="31">
        <v>0</v>
      </c>
      <c r="E9" s="31">
        <v>0</v>
      </c>
      <c r="F9" s="32">
        <f t="shared" si="1"/>
        <v>50000</v>
      </c>
      <c r="G9" s="32">
        <f t="shared" ca="1" si="2"/>
        <v>11302.666666666664</v>
      </c>
      <c r="H9" s="32">
        <f ca="1">IF($N9&gt;Values!$B$25,Values!$B$25*Values!$B$24/12*$L9,($O9*Values!$B$24/12*$L9)+(SUM($E$5:$E9)*Values!$B$24))-IF(ROW($A9)-ROW($A$4)-1=0,0,SUM(OFFSET($H$4,1,0,ROW($A9)-ROW($A$4)-1,1)))</f>
        <v>177.12</v>
      </c>
      <c r="I9" s="31">
        <v>0</v>
      </c>
      <c r="J9" s="32">
        <f t="shared" ca="1" si="3"/>
        <v>11479.786666666665</v>
      </c>
      <c r="K9" s="32">
        <f t="shared" ca="1" si="4"/>
        <v>38520.213333333333</v>
      </c>
      <c r="L9" s="33">
        <f>COUNTIF($F$5:$F9,"&gt;0")</f>
        <v>5</v>
      </c>
      <c r="M9" s="34">
        <f>IF($L9=0,0,IF($N9=0,0,IF(SUM($I$5:$I9)/$L9*12/$N9&gt;Values!$B$29,MIN($N9*Values!$B$29,Values!$B$28),MIN(SUM($I$5:$I9)/$L9*12,Values!$B$28))))</f>
        <v>0</v>
      </c>
      <c r="N9" s="34">
        <f>IF($L9=0,0,((SUM($B$5:$B9)+(SUM($C$5:$C9)*Values!$B$32)+SUM($D$5:$D9))/$L9*12)+SUM($E$5:$E9))</f>
        <v>600000</v>
      </c>
      <c r="O9" s="34">
        <f>IF($L9=0,0,(SUM($B$5:$B9)+(SUM($C$5:$C9)*Values!$B$32)+SUM($D$5:$D9))/$L9*12)</f>
        <v>600000</v>
      </c>
      <c r="P9" s="34">
        <f ca="1">MAX(0,IF(($N9-$M9)&lt;Values!$B$6,IF(($N9-$M9)*Values!$C$6&lt;0,0,($N9-$M9)*Values!$C$6),((($N9-$M9)-VLOOKUP(($N9-$M9),TaxAll,1,1))*OFFSET(Values!$C$6,MATCH(($N9-$M9),TaxBracket,1),0,1,1)+OFFSET(Values!$D$5,MATCH(($N9-$M9),TaxBracket,1),0,1,1)))-$I$2-$J$2)</f>
        <v>135632</v>
      </c>
      <c r="Q9" s="34">
        <f ca="1">MAX(0,IF(($O9-$M9)&lt;Values!$B$6,IF(($O9-$M9)*Values!$C$6&lt;0,0,($O9-$M9)*Values!$C$6),((($O9-$M9)-VLOOKUP(($O9-$M9),TaxAll,1,1))*OFFSET(Values!$C$6,MATCH(($O9-$M9),TaxBracket,1),0,1,1)+OFFSET(Values!$D$5,MATCH(($O9-$M9),TaxBracket,1),0,1,1)))-$I$2-$J$2)</f>
        <v>135632</v>
      </c>
      <c r="R9" s="34">
        <f t="shared" ca="1" si="5"/>
        <v>0</v>
      </c>
    </row>
    <row r="10" spans="1:18" ht="16" customHeight="1" x14ac:dyDescent="0.25">
      <c r="A10" s="30">
        <f t="shared" ca="1" si="6"/>
        <v>45169</v>
      </c>
      <c r="B10" s="31">
        <v>50000</v>
      </c>
      <c r="C10" s="31">
        <v>0</v>
      </c>
      <c r="D10" s="31">
        <v>0</v>
      </c>
      <c r="E10" s="31">
        <v>0</v>
      </c>
      <c r="F10" s="32">
        <f t="shared" si="1"/>
        <v>50000</v>
      </c>
      <c r="G10" s="32">
        <f t="shared" ca="1" si="2"/>
        <v>11302.666666666672</v>
      </c>
      <c r="H10" s="32">
        <f ca="1">IF($N10&gt;Values!$B$25,Values!$B$25*Values!$B$24/12*$L10,($O10*Values!$B$24/12*$L10)+(SUM($E$5:$E10)*Values!$B$24))-IF(ROW($A10)-ROW($A$4)-1=0,0,SUM(OFFSET($H$4,1,0,ROW($A10)-ROW($A$4)-1,1)))</f>
        <v>177.12</v>
      </c>
      <c r="I10" s="31">
        <v>0</v>
      </c>
      <c r="J10" s="32">
        <f t="shared" ca="1" si="3"/>
        <v>11479.786666666672</v>
      </c>
      <c r="K10" s="32">
        <f t="shared" ca="1" si="4"/>
        <v>38520.213333333326</v>
      </c>
      <c r="L10" s="33">
        <f>COUNTIF($F$5:$F10,"&gt;0")</f>
        <v>6</v>
      </c>
      <c r="M10" s="34">
        <f>IF($L10=0,0,IF($N10=0,0,IF(SUM($I$5:$I10)/$L10*12/$N10&gt;Values!$B$29,MIN($N10*Values!$B$29,Values!$B$28),MIN(SUM($I$5:$I10)/$L10*12,Values!$B$28))))</f>
        <v>0</v>
      </c>
      <c r="N10" s="34">
        <f>IF($L10=0,0,((SUM($B$5:$B10)+(SUM($C$5:$C10)*Values!$B$32)+SUM($D$5:$D10))/$L10*12)+SUM($E$5:$E10))</f>
        <v>600000</v>
      </c>
      <c r="O10" s="34">
        <f>IF($L10=0,0,(SUM($B$5:$B10)+(SUM($C$5:$C10)*Values!$B$32)+SUM($D$5:$D10))/$L10*12)</f>
        <v>600000</v>
      </c>
      <c r="P10" s="34">
        <f ca="1">MAX(0,IF(($N10-$M10)&lt;Values!$B$6,IF(($N10-$M10)*Values!$C$6&lt;0,0,($N10-$M10)*Values!$C$6),((($N10-$M10)-VLOOKUP(($N10-$M10),TaxAll,1,1))*OFFSET(Values!$C$6,MATCH(($N10-$M10),TaxBracket,1),0,1,1)+OFFSET(Values!$D$5,MATCH(($N10-$M10),TaxBracket,1),0,1,1)))-$I$2-$J$2)</f>
        <v>135632</v>
      </c>
      <c r="Q10" s="34">
        <f ca="1">MAX(0,IF(($O10-$M10)&lt;Values!$B$6,IF(($O10-$M10)*Values!$C$6&lt;0,0,($O10-$M10)*Values!$C$6),((($O10-$M10)-VLOOKUP(($O10-$M10),TaxAll,1,1))*OFFSET(Values!$C$6,MATCH(($O10-$M10),TaxBracket,1),0,1,1)+OFFSET(Values!$D$5,MATCH(($O10-$M10),TaxBracket,1),0,1,1)))-$I$2-$J$2)</f>
        <v>135632</v>
      </c>
      <c r="R10" s="34">
        <f t="shared" ca="1" si="5"/>
        <v>0</v>
      </c>
    </row>
    <row r="11" spans="1:18" ht="16" customHeight="1" x14ac:dyDescent="0.25">
      <c r="A11" s="30">
        <f t="shared" ca="1" si="6"/>
        <v>45199</v>
      </c>
      <c r="B11" s="31">
        <v>50000</v>
      </c>
      <c r="C11" s="31">
        <v>0</v>
      </c>
      <c r="D11" s="31">
        <v>0</v>
      </c>
      <c r="E11" s="31">
        <v>0</v>
      </c>
      <c r="F11" s="32">
        <f t="shared" si="1"/>
        <v>50000</v>
      </c>
      <c r="G11" s="32">
        <f t="shared" ca="1" si="2"/>
        <v>11302.666666666657</v>
      </c>
      <c r="H11" s="32">
        <f ca="1">IF($N11&gt;Values!$B$25,Values!$B$25*Values!$B$24/12*$L11,($O11*Values!$B$24/12*$L11)+(SUM($E$5:$E11)*Values!$B$24))-IF(ROW($A11)-ROW($A$4)-1=0,0,SUM(OFFSET($H$4,1,0,ROW($A11)-ROW($A$4)-1,1)))</f>
        <v>177.12000000000012</v>
      </c>
      <c r="I11" s="31">
        <v>0</v>
      </c>
      <c r="J11" s="32">
        <f t="shared" ca="1" si="3"/>
        <v>11479.786666666658</v>
      </c>
      <c r="K11" s="32">
        <f t="shared" ca="1" si="4"/>
        <v>38520.21333333334</v>
      </c>
      <c r="L11" s="33">
        <f>COUNTIF($F$5:$F11,"&gt;0")</f>
        <v>7</v>
      </c>
      <c r="M11" s="34">
        <f>IF($L11=0,0,IF($N11=0,0,IF(SUM($I$5:$I11)/$L11*12/$N11&gt;Values!$B$29,MIN($N11*Values!$B$29,Values!$B$28),MIN(SUM($I$5:$I11)/$L11*12,Values!$B$28))))</f>
        <v>0</v>
      </c>
      <c r="N11" s="34">
        <f>IF($L11=0,0,((SUM($B$5:$B11)+(SUM($C$5:$C11)*Values!$B$32)+SUM($D$5:$D11))/$L11*12)+SUM($E$5:$E11))</f>
        <v>600000</v>
      </c>
      <c r="O11" s="34">
        <f>IF($L11=0,0,(SUM($B$5:$B11)+(SUM($C$5:$C11)*Values!$B$32)+SUM($D$5:$D11))/$L11*12)</f>
        <v>600000</v>
      </c>
      <c r="P11" s="34">
        <f ca="1">MAX(0,IF(($N11-$M11)&lt;Values!$B$6,IF(($N11-$M11)*Values!$C$6&lt;0,0,($N11-$M11)*Values!$C$6),((($N11-$M11)-VLOOKUP(($N11-$M11),TaxAll,1,1))*OFFSET(Values!$C$6,MATCH(($N11-$M11),TaxBracket,1),0,1,1)+OFFSET(Values!$D$5,MATCH(($N11-$M11),TaxBracket,1),0,1,1)))-$I$2-$J$2)</f>
        <v>135632</v>
      </c>
      <c r="Q11" s="34">
        <f ca="1">MAX(0,IF(($O11-$M11)&lt;Values!$B$6,IF(($O11-$M11)*Values!$C$6&lt;0,0,($O11-$M11)*Values!$C$6),((($O11-$M11)-VLOOKUP(($O11-$M11),TaxAll,1,1))*OFFSET(Values!$C$6,MATCH(($O11-$M11),TaxBracket,1),0,1,1)+OFFSET(Values!$D$5,MATCH(($O11-$M11),TaxBracket,1),0,1,1)))-$I$2-$J$2)</f>
        <v>135632</v>
      </c>
      <c r="R11" s="34">
        <f t="shared" ca="1" si="5"/>
        <v>0</v>
      </c>
    </row>
    <row r="12" spans="1:18" ht="16" customHeight="1" x14ac:dyDescent="0.25">
      <c r="A12" s="30">
        <f t="shared" ca="1" si="6"/>
        <v>45230</v>
      </c>
      <c r="B12" s="31">
        <v>50000</v>
      </c>
      <c r="C12" s="31">
        <v>0</v>
      </c>
      <c r="D12" s="31">
        <v>0</v>
      </c>
      <c r="E12" s="31">
        <v>0</v>
      </c>
      <c r="F12" s="32">
        <f t="shared" si="1"/>
        <v>50000</v>
      </c>
      <c r="G12" s="32">
        <f t="shared" ca="1" si="2"/>
        <v>11302.666666666672</v>
      </c>
      <c r="H12" s="32">
        <f ca="1">IF($N12&gt;Values!$B$25,Values!$B$25*Values!$B$24/12*$L12,($O12*Values!$B$24/12*$L12)+(SUM($E$5:$E12)*Values!$B$24))-IF(ROW($A12)-ROW($A$4)-1=0,0,SUM(OFFSET($H$4,1,0,ROW($A12)-ROW($A$4)-1,1)))</f>
        <v>177.11999999999989</v>
      </c>
      <c r="I12" s="31">
        <v>0</v>
      </c>
      <c r="J12" s="32">
        <f t="shared" ca="1" si="3"/>
        <v>11479.78666666667</v>
      </c>
      <c r="K12" s="32">
        <f t="shared" ca="1" si="4"/>
        <v>38520.213333333333</v>
      </c>
      <c r="L12" s="33">
        <f>COUNTIF($F$5:$F12,"&gt;0")</f>
        <v>8</v>
      </c>
      <c r="M12" s="34">
        <f>IF($L12=0,0,IF($N12=0,0,IF(SUM($I$5:$I12)/$L12*12/$N12&gt;Values!$B$29,MIN($N12*Values!$B$29,Values!$B$28),MIN(SUM($I$5:$I12)/$L12*12,Values!$B$28))))</f>
        <v>0</v>
      </c>
      <c r="N12" s="34">
        <f>IF($L12=0,0,((SUM($B$5:$B12)+(SUM($C$5:$C12)*Values!$B$32)+SUM($D$5:$D12))/$L12*12)+SUM($E$5:$E12))</f>
        <v>600000</v>
      </c>
      <c r="O12" s="34">
        <f>IF($L12=0,0,(SUM($B$5:$B12)+(SUM($C$5:$C12)*Values!$B$32)+SUM($D$5:$D12))/$L12*12)</f>
        <v>600000</v>
      </c>
      <c r="P12" s="34">
        <f ca="1">MAX(0,IF(($N12-$M12)&lt;Values!$B$6,IF(($N12-$M12)*Values!$C$6&lt;0,0,($N12-$M12)*Values!$C$6),((($N12-$M12)-VLOOKUP(($N12-$M12),TaxAll,1,1))*OFFSET(Values!$C$6,MATCH(($N12-$M12),TaxBracket,1),0,1,1)+OFFSET(Values!$D$5,MATCH(($N12-$M12),TaxBracket,1),0,1,1)))-$I$2-$J$2)</f>
        <v>135632</v>
      </c>
      <c r="Q12" s="34">
        <f ca="1">MAX(0,IF(($O12-$M12)&lt;Values!$B$6,IF(($O12-$M12)*Values!$C$6&lt;0,0,($O12-$M12)*Values!$C$6),((($O12-$M12)-VLOOKUP(($O12-$M12),TaxAll,1,1))*OFFSET(Values!$C$6,MATCH(($O12-$M12),TaxBracket,1),0,1,1)+OFFSET(Values!$D$5,MATCH(($O12-$M12),TaxBracket,1),0,1,1)))-$I$2-$J$2)</f>
        <v>135632</v>
      </c>
      <c r="R12" s="34">
        <f t="shared" ca="1" si="5"/>
        <v>0</v>
      </c>
    </row>
    <row r="13" spans="1:18" ht="16" customHeight="1" x14ac:dyDescent="0.25">
      <c r="A13" s="30">
        <f t="shared" ca="1" si="6"/>
        <v>45260</v>
      </c>
      <c r="B13" s="31">
        <v>50000</v>
      </c>
      <c r="C13" s="31">
        <v>0</v>
      </c>
      <c r="D13" s="31">
        <v>0</v>
      </c>
      <c r="E13" s="31">
        <v>0</v>
      </c>
      <c r="F13" s="32">
        <f t="shared" si="1"/>
        <v>50000</v>
      </c>
      <c r="G13" s="32">
        <f t="shared" ca="1" si="2"/>
        <v>11302.666666666672</v>
      </c>
      <c r="H13" s="32">
        <f ca="1">IF($N13&gt;Values!$B$25,Values!$B$25*Values!$B$24/12*$L13,($O13*Values!$B$24/12*$L13)+(SUM($E$5:$E13)*Values!$B$24))-IF(ROW($A13)-ROW($A$4)-1=0,0,SUM(OFFSET($H$4,1,0,ROW($A13)-ROW($A$4)-1,1)))</f>
        <v>177.11999999999989</v>
      </c>
      <c r="I13" s="31">
        <v>0</v>
      </c>
      <c r="J13" s="32">
        <f t="shared" ca="1" si="3"/>
        <v>11479.78666666667</v>
      </c>
      <c r="K13" s="32">
        <f t="shared" ca="1" si="4"/>
        <v>38520.213333333333</v>
      </c>
      <c r="L13" s="33">
        <f>COUNTIF($F$5:$F13,"&gt;0")</f>
        <v>9</v>
      </c>
      <c r="M13" s="34">
        <f>IF($L13=0,0,IF($N13=0,0,IF(SUM($I$5:$I13)/$L13*12/$N13&gt;Values!$B$29,MIN($N13*Values!$B$29,Values!$B$28),MIN(SUM($I$5:$I13)/$L13*12,Values!$B$28))))</f>
        <v>0</v>
      </c>
      <c r="N13" s="34">
        <f>IF($L13=0,0,((SUM($B$5:$B13)+(SUM($C$5:$C13)*Values!$B$32)+SUM($D$5:$D13))/$L13*12)+SUM($E$5:$E13))</f>
        <v>600000</v>
      </c>
      <c r="O13" s="34">
        <f>IF($L13=0,0,(SUM($B$5:$B13)+(SUM($C$5:$C13)*Values!$B$32)+SUM($D$5:$D13))/$L13*12)</f>
        <v>600000</v>
      </c>
      <c r="P13" s="34">
        <f ca="1">MAX(0,IF(($N13-$M13)&lt;Values!$B$6,IF(($N13-$M13)*Values!$C$6&lt;0,0,($N13-$M13)*Values!$C$6),((($N13-$M13)-VLOOKUP(($N13-$M13),TaxAll,1,1))*OFFSET(Values!$C$6,MATCH(($N13-$M13),TaxBracket,1),0,1,1)+OFFSET(Values!$D$5,MATCH(($N13-$M13),TaxBracket,1),0,1,1)))-$I$2-$J$2)</f>
        <v>135632</v>
      </c>
      <c r="Q13" s="34">
        <f ca="1">MAX(0,IF(($O13-$M13)&lt;Values!$B$6,IF(($O13-$M13)*Values!$C$6&lt;0,0,($O13-$M13)*Values!$C$6),((($O13-$M13)-VLOOKUP(($O13-$M13),TaxAll,1,1))*OFFSET(Values!$C$6,MATCH(($O13-$M13),TaxBracket,1),0,1,1)+OFFSET(Values!$D$5,MATCH(($O13-$M13),TaxBracket,1),0,1,1)))-$I$2-$J$2)</f>
        <v>135632</v>
      </c>
      <c r="R13" s="34">
        <f t="shared" ca="1" si="5"/>
        <v>0</v>
      </c>
    </row>
    <row r="14" spans="1:18" ht="16" customHeight="1" x14ac:dyDescent="0.25">
      <c r="A14" s="30">
        <f t="shared" ca="1" si="6"/>
        <v>45291</v>
      </c>
      <c r="B14" s="31">
        <v>50000</v>
      </c>
      <c r="C14" s="31">
        <v>0</v>
      </c>
      <c r="D14" s="31">
        <v>0</v>
      </c>
      <c r="E14" s="31">
        <v>50000</v>
      </c>
      <c r="F14" s="32">
        <f t="shared" si="1"/>
        <v>100000</v>
      </c>
      <c r="G14" s="32">
        <f t="shared" ca="1" si="2"/>
        <v>29302.666666666657</v>
      </c>
      <c r="H14" s="32">
        <f ca="1">IF($N14&gt;Values!$B$25,Values!$B$25*Values!$B$24/12*$L14,($O14*Values!$B$24/12*$L14)+(SUM($E$5:$E14)*Values!$B$24))-IF(ROW($A14)-ROW($A$4)-1=0,0,SUM(OFFSET($H$4,1,0,ROW($A14)-ROW($A$4)-1,1)))</f>
        <v>177.12000000000012</v>
      </c>
      <c r="I14" s="31">
        <v>0</v>
      </c>
      <c r="J14" s="32">
        <f t="shared" ca="1" si="3"/>
        <v>29479.786666666656</v>
      </c>
      <c r="K14" s="32">
        <f t="shared" ca="1" si="4"/>
        <v>70520.213333333348</v>
      </c>
      <c r="L14" s="33">
        <f>COUNTIF($F$5:$F14,"&gt;0")</f>
        <v>10</v>
      </c>
      <c r="M14" s="34">
        <f>IF($L14=0,0,IF($N14=0,0,IF(SUM($I$5:$I14)/$L14*12/$N14&gt;Values!$B$29,MIN($N14*Values!$B$29,Values!$B$28),MIN(SUM($I$5:$I14)/$L14*12,Values!$B$28))))</f>
        <v>0</v>
      </c>
      <c r="N14" s="34">
        <f>IF($L14=0,0,((SUM($B$5:$B14)+(SUM($C$5:$C14)*Values!$B$32)+SUM($D$5:$D14))/$L14*12)+SUM($E$5:$E14))</f>
        <v>650000</v>
      </c>
      <c r="O14" s="34">
        <f>IF($L14=0,0,(SUM($B$5:$B14)+(SUM($C$5:$C14)*Values!$B$32)+SUM($D$5:$D14))/$L14*12)</f>
        <v>600000</v>
      </c>
      <c r="P14" s="34">
        <f ca="1">MAX(0,IF(($N14-$M14)&lt;Values!$B$6,IF(($N14-$M14)*Values!$C$6&lt;0,0,($N14-$M14)*Values!$C$6),((($N14-$M14)-VLOOKUP(($N14-$M14),TaxAll,1,1))*OFFSET(Values!$C$6,MATCH(($N14-$M14),TaxBracket,1),0,1,1)+OFFSET(Values!$D$5,MATCH(($N14-$M14),TaxBracket,1),0,1,1)))-$I$2-$J$2)</f>
        <v>153632</v>
      </c>
      <c r="Q14" s="34">
        <f ca="1">MAX(0,IF(($O14-$M14)&lt;Values!$B$6,IF(($O14-$M14)*Values!$C$6&lt;0,0,($O14-$M14)*Values!$C$6),((($O14-$M14)-VLOOKUP(($O14-$M14),TaxAll,1,1))*OFFSET(Values!$C$6,MATCH(($O14-$M14),TaxBracket,1),0,1,1)+OFFSET(Values!$D$5,MATCH(($O14-$M14),TaxBracket,1),0,1,1)))-$I$2-$J$2)</f>
        <v>135632</v>
      </c>
      <c r="R14" s="34">
        <f t="shared" ca="1" si="5"/>
        <v>18000</v>
      </c>
    </row>
    <row r="15" spans="1:18" ht="16" customHeight="1" x14ac:dyDescent="0.25">
      <c r="A15" s="30">
        <f t="shared" ca="1" si="6"/>
        <v>45322</v>
      </c>
      <c r="B15" s="31">
        <v>50000</v>
      </c>
      <c r="C15" s="31">
        <v>0</v>
      </c>
      <c r="D15" s="31">
        <v>0</v>
      </c>
      <c r="E15" s="31">
        <v>0</v>
      </c>
      <c r="F15" s="32">
        <f t="shared" si="1"/>
        <v>50000</v>
      </c>
      <c r="G15" s="32">
        <f t="shared" ca="1" si="2"/>
        <v>11302.666666666657</v>
      </c>
      <c r="H15" s="32">
        <f ca="1">IF($N15&gt;Values!$B$25,Values!$B$25*Values!$B$24/12*$L15,($O15*Values!$B$24/12*$L15)+(SUM($E$5:$E15)*Values!$B$24))-IF(ROW($A15)-ROW($A$4)-1=0,0,SUM(OFFSET($H$4,1,0,ROW($A15)-ROW($A$4)-1,1)))</f>
        <v>177.12000000000012</v>
      </c>
      <c r="I15" s="31">
        <v>0</v>
      </c>
      <c r="J15" s="32">
        <f t="shared" ca="1" si="3"/>
        <v>11479.786666666658</v>
      </c>
      <c r="K15" s="32">
        <f t="shared" ca="1" si="4"/>
        <v>38520.21333333334</v>
      </c>
      <c r="L15" s="33">
        <f>COUNTIF($F$5:$F15,"&gt;0")</f>
        <v>11</v>
      </c>
      <c r="M15" s="34">
        <f>IF($L15=0,0,IF($N15=0,0,IF(SUM($I$5:$I15)/$L15*12/$N15&gt;Values!$B$29,MIN($N15*Values!$B$29,Values!$B$28),MIN(SUM($I$5:$I15)/$L15*12,Values!$B$28))))</f>
        <v>0</v>
      </c>
      <c r="N15" s="34">
        <f>IF($L15=0,0,((SUM($B$5:$B15)+(SUM($C$5:$C15)*Values!$B$32)+SUM($D$5:$D15))/$L15*12)+SUM($E$5:$E15))</f>
        <v>650000</v>
      </c>
      <c r="O15" s="34">
        <f>IF($L15=0,0,(SUM($B$5:$B15)+(SUM($C$5:$C15)*Values!$B$32)+SUM($D$5:$D15))/$L15*12)</f>
        <v>600000</v>
      </c>
      <c r="P15" s="34">
        <f ca="1">MAX(0,IF(($N15-$M15)&lt;Values!$B$6,IF(($N15-$M15)*Values!$C$6&lt;0,0,($N15-$M15)*Values!$C$6),((($N15-$M15)-VLOOKUP(($N15-$M15),TaxAll,1,1))*OFFSET(Values!$C$6,MATCH(($N15-$M15),TaxBracket,1),0,1,1)+OFFSET(Values!$D$5,MATCH(($N15-$M15),TaxBracket,1),0,1,1)))-$I$2-$J$2)</f>
        <v>153632</v>
      </c>
      <c r="Q15" s="34">
        <f ca="1">MAX(0,IF(($O15-$M15)&lt;Values!$B$6,IF(($O15-$M15)*Values!$C$6&lt;0,0,($O15-$M15)*Values!$C$6),((($O15-$M15)-VLOOKUP(($O15-$M15),TaxAll,1,1))*OFFSET(Values!$C$6,MATCH(($O15-$M15),TaxBracket,1),0,1,1)+OFFSET(Values!$D$5,MATCH(($O15-$M15),TaxBracket,1),0,1,1)))-$I$2-$J$2)</f>
        <v>135632</v>
      </c>
      <c r="R15" s="34">
        <f t="shared" ca="1" si="5"/>
        <v>18000</v>
      </c>
    </row>
    <row r="16" spans="1:18" ht="16" customHeight="1" x14ac:dyDescent="0.25">
      <c r="A16" s="30">
        <f t="shared" ca="1" si="6"/>
        <v>45351</v>
      </c>
      <c r="B16" s="31">
        <v>50000</v>
      </c>
      <c r="C16" s="31">
        <v>0</v>
      </c>
      <c r="D16" s="31">
        <v>0</v>
      </c>
      <c r="E16" s="31">
        <v>0</v>
      </c>
      <c r="F16" s="32">
        <f t="shared" si="1"/>
        <v>50000</v>
      </c>
      <c r="G16" s="32">
        <f t="shared" ca="1" si="2"/>
        <v>11302.666666666686</v>
      </c>
      <c r="H16" s="32">
        <f ca="1">IF($N16&gt;Values!$B$25,Values!$B$25*Values!$B$24/12*$L16,($O16*Values!$B$24/12*$L16)+(SUM($E$5:$E16)*Values!$B$24))-IF(ROW($A16)-ROW($A$4)-1=0,0,SUM(OFFSET($H$4,1,0,ROW($A16)-ROW($A$4)-1,1)))</f>
        <v>177.11999999999989</v>
      </c>
      <c r="I16" s="31">
        <v>0</v>
      </c>
      <c r="J16" s="32">
        <f t="shared" ca="1" si="3"/>
        <v>11479.786666666685</v>
      </c>
      <c r="K16" s="32">
        <f t="shared" ca="1" si="4"/>
        <v>38520.213333333319</v>
      </c>
      <c r="L16" s="33">
        <f>COUNTIF($F$5:$F16,"&gt;0")</f>
        <v>12</v>
      </c>
      <c r="M16" s="34">
        <f>IF($L16=0,0,IF($N16=0,0,IF(SUM($I$5:$I16)/$L16*12/$N16&gt;Values!$B$29,MIN($N16*Values!$B$29,Values!$B$28),MIN(SUM($I$5:$I16)/$L16*12,Values!$B$28))))</f>
        <v>0</v>
      </c>
      <c r="N16" s="34">
        <f>IF($L16=0,0,((SUM($B$5:$B16)+(SUM($C$5:$C16)*Values!$B$32)+SUM($D$5:$D16))/$L16*12)+SUM($E$5:$E16))</f>
        <v>650000</v>
      </c>
      <c r="O16" s="34">
        <f>IF($L16=0,0,(SUM($B$5:$B16)+(SUM($C$5:$C16)*Values!$B$32)+SUM($D$5:$D16))/$L16*12)</f>
        <v>600000</v>
      </c>
      <c r="P16" s="34">
        <f ca="1">MAX(0,IF(($N16-$M16)&lt;Values!$B$6,IF(($N16-$M16)*Values!$C$6&lt;0,0,($N16-$M16)*Values!$C$6),((($N16-$M16)-VLOOKUP(($N16-$M16),TaxAll,1,1))*OFFSET(Values!$C$6,MATCH(($N16-$M16),TaxBracket,1),0,1,1)+OFFSET(Values!$D$5,MATCH(($N16-$M16),TaxBracket,1),0,1,1)))-$I$2-$J$2)</f>
        <v>153632</v>
      </c>
      <c r="Q16" s="34">
        <f ca="1">MAX(0,IF(($O16-$M16)&lt;Values!$B$6,IF(($O16-$M16)*Values!$C$6&lt;0,0,($O16-$M16)*Values!$C$6),((($O16-$M16)-VLOOKUP(($O16-$M16),TaxAll,1,1))*OFFSET(Values!$C$6,MATCH(($O16-$M16),TaxBracket,1),0,1,1)+OFFSET(Values!$D$5,MATCH(($O16-$M16),TaxBracket,1),0,1,1)))-$I$2-$J$2)</f>
        <v>135632</v>
      </c>
      <c r="R16" s="34">
        <f t="shared" ca="1" si="5"/>
        <v>18000</v>
      </c>
    </row>
  </sheetData>
  <sheetProtection formatCells="0" formatColumns="0" formatRows="0"/>
  <phoneticPr fontId="2" type="noConversion"/>
  <dataValidations count="2">
    <dataValidation type="decimal" operator="greaterThanOrEqual" allowBlank="1" showInputMessage="1" showErrorMessage="1" errorTitle="Enter Positive Values" error="All earnings and deduction amounts need to be entered as positive values." sqref="B5:E16 I5:I16" xr:uid="{36932E1E-BE66-4B76-BDBD-BFC278CC9C93}">
      <formula1>0</formula1>
    </dataValidation>
    <dataValidation type="date" operator="greaterThan" allowBlank="1" showInputMessage="1" showErrorMessage="1" errorTitle="Invalid Date" error="Your input is not a valid date. Enter a valid date in accordance with your regional date settings." sqref="F2" xr:uid="{367F778C-6E39-4AA9-9D26-40615B51B294}">
      <formula1>36526</formula1>
    </dataValidation>
  </dataValidations>
  <pageMargins left="0.59055118110236227" right="0.59055118110236227" top="0.59055118110236227" bottom="0.59055118110236227" header="0.39370078740157483" footer="0.39370078740157483"/>
  <pageSetup paperSize="9" scale="84" orientation="landscape" r:id="rId1"/>
  <headerFooter alignWithMargins="0">
    <oddFooter>&amp;C&amp;9Page &amp;P of &amp;N</oddFooter>
  </headerFooter>
  <ignoredErrors>
    <ignoredError sqref="O6:O15 M6:M15 N6:N15 H6:H15"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4C74-B30C-4BBA-A8D6-6224F675B133}">
  <sheetPr codeName="Sheet5">
    <pageSetUpPr fitToPage="1"/>
  </sheetPr>
  <dimension ref="A1:E32"/>
  <sheetViews>
    <sheetView zoomScale="95" zoomScaleNormal="95" workbookViewId="0">
      <selection activeCell="C12" sqref="C12"/>
    </sheetView>
  </sheetViews>
  <sheetFormatPr defaultColWidth="9.08984375" defaultRowHeight="16" customHeight="1" x14ac:dyDescent="0.25"/>
  <cols>
    <col min="1" max="1" width="30.6328125" style="2" customWidth="1"/>
    <col min="2" max="5" width="16.6328125" style="2" customWidth="1"/>
    <col min="6" max="16384" width="9.08984375" style="2"/>
  </cols>
  <sheetData>
    <row r="1" spans="1:5" ht="16" customHeight="1" x14ac:dyDescent="0.3">
      <c r="A1" s="54" t="s">
        <v>45</v>
      </c>
    </row>
    <row r="2" spans="1:5" ht="16" customHeight="1" x14ac:dyDescent="0.25">
      <c r="A2" s="6" t="s">
        <v>11</v>
      </c>
    </row>
    <row r="3" spans="1:5" s="3" customFormat="1" ht="16" customHeight="1" x14ac:dyDescent="0.25">
      <c r="A3" s="3" t="s">
        <v>46</v>
      </c>
    </row>
    <row r="5" spans="1:5" ht="25" x14ac:dyDescent="0.25">
      <c r="A5" s="36" t="s">
        <v>3</v>
      </c>
      <c r="B5" s="28" t="s">
        <v>4</v>
      </c>
      <c r="C5" s="37" t="s">
        <v>117</v>
      </c>
      <c r="D5" s="28" t="s">
        <v>118</v>
      </c>
      <c r="E5" s="28" t="s">
        <v>119</v>
      </c>
    </row>
    <row r="6" spans="1:5" ht="16" customHeight="1" x14ac:dyDescent="0.25">
      <c r="A6" s="38" t="str">
        <f>"From 0 to "&amp;FIXED(B6,0,0)</f>
        <v>From 0 to 237,100</v>
      </c>
      <c r="B6" s="31">
        <v>237100</v>
      </c>
      <c r="C6" s="39">
        <v>0.18</v>
      </c>
      <c r="D6" s="34">
        <f>B6*C6</f>
        <v>42678</v>
      </c>
      <c r="E6" s="40">
        <f t="shared" ref="E6:E11" si="0">IF(B6=0,0,D6/B6)</f>
        <v>0.18</v>
      </c>
    </row>
    <row r="7" spans="1:5" ht="16" customHeight="1" x14ac:dyDescent="0.25">
      <c r="A7" s="41" t="str">
        <f ca="1">"From "&amp;FIXED(OFFSET($A$5,ROW(B7)-ROW(B$5)-1,1,1,1),0,0)&amp;" to "&amp;FIXED(B7,0,0)</f>
        <v>From 237,100 to 370,500</v>
      </c>
      <c r="B7" s="42">
        <v>370500</v>
      </c>
      <c r="C7" s="43">
        <v>0.26</v>
      </c>
      <c r="D7" s="33">
        <f ca="1">((B7-OFFSET($B$5,ROW(B7)-ROW(B$5)-1,0,1,1))*C7)+OFFSET($D$5,ROW(B7)-ROW(B$5)-1,0,1,1)</f>
        <v>77362</v>
      </c>
      <c r="E7" s="40">
        <f t="shared" ca="1" si="0"/>
        <v>0.20880431848852901</v>
      </c>
    </row>
    <row r="8" spans="1:5" ht="16" customHeight="1" x14ac:dyDescent="0.25">
      <c r="A8" s="41" t="str">
        <f ca="1">"From "&amp;FIXED(OFFSET($A$5,ROW(B8)-ROW(B$5)-1,1,1,1),0,0)&amp;" to "&amp;FIXED(B8,0,0)</f>
        <v>From 370,500 to 512,800</v>
      </c>
      <c r="B8" s="42">
        <v>512800</v>
      </c>
      <c r="C8" s="43">
        <v>0.31</v>
      </c>
      <c r="D8" s="33">
        <f ca="1">((B8-OFFSET($B$5,ROW(B8)-ROW(B$5)-1,0,1,1))*C8)+OFFSET($D$5,ROW(B8)-ROW(B$5)-1,0,1,1)</f>
        <v>121475</v>
      </c>
      <c r="E8" s="40">
        <f t="shared" ca="1" si="0"/>
        <v>0.23688572542901717</v>
      </c>
    </row>
    <row r="9" spans="1:5" ht="16" customHeight="1" x14ac:dyDescent="0.25">
      <c r="A9" s="41" t="str">
        <f ca="1">"From "&amp;FIXED(OFFSET($A$5,ROW(B9)-ROW(B$5)-1,1,1,1),0,0)&amp;" to "&amp;FIXED(B9,0,0)</f>
        <v>From 512,800 to 673,000</v>
      </c>
      <c r="B9" s="42">
        <v>673000</v>
      </c>
      <c r="C9" s="43">
        <v>0.36</v>
      </c>
      <c r="D9" s="33">
        <f ca="1">((B9-OFFSET($B$5,ROW(B9)-ROW(B$5)-1,0,1,1))*C9)+OFFSET($D$5,ROW(B9)-ROW(B$5)-1,0,1,1)</f>
        <v>179147</v>
      </c>
      <c r="E9" s="40">
        <f t="shared" ca="1" si="0"/>
        <v>0.26619167904903418</v>
      </c>
    </row>
    <row r="10" spans="1:5" ht="16" customHeight="1" x14ac:dyDescent="0.25">
      <c r="A10" s="41" t="str">
        <f ca="1">"From "&amp;FIXED(OFFSET($A$5,ROW(B10)-ROW(B$5)-1,1,1,1),0,0)&amp;" to "&amp;FIXED(B10,0,0)</f>
        <v>From 673,000 to 857,900</v>
      </c>
      <c r="B10" s="42">
        <v>857900</v>
      </c>
      <c r="C10" s="43">
        <v>0.39</v>
      </c>
      <c r="D10" s="33">
        <f ca="1">((B10-OFFSET($B$5,ROW(B10)-ROW(B$5)-1,0,1,1))*C10)+OFFSET($D$5,ROW(B10)-ROW(B$5)-1,0,1,1)</f>
        <v>251258</v>
      </c>
      <c r="E10" s="40">
        <f t="shared" ca="1" si="0"/>
        <v>0.29287562652989857</v>
      </c>
    </row>
    <row r="11" spans="1:5" ht="16" customHeight="1" x14ac:dyDescent="0.25">
      <c r="A11" s="41" t="str">
        <f ca="1">"From "&amp;FIXED(OFFSET($A$5,ROW(B11)-ROW(B$5)-1,1,1,1),0,0)&amp;" to "&amp;FIXED(B11,0,0)</f>
        <v>From 857,900 to 1,817,000</v>
      </c>
      <c r="B11" s="44">
        <v>1817000</v>
      </c>
      <c r="C11" s="43">
        <v>0.41</v>
      </c>
      <c r="D11" s="33">
        <f ca="1">((B11-OFFSET($B$5,ROW(B11)-ROW(B$5)-1,0,1,1))*C11)+OFFSET($D$5,ROW(B11)-ROW(B$5)-1,0,1,1)</f>
        <v>644489</v>
      </c>
      <c r="E11" s="40">
        <f t="shared" ca="1" si="0"/>
        <v>0.35469950467804073</v>
      </c>
    </row>
    <row r="12" spans="1:5" ht="16" customHeight="1" x14ac:dyDescent="0.25">
      <c r="A12" s="45" t="str">
        <f ca="1">"From "&amp;FIXED(OFFSET($A$5,ROW(B12)-ROW(B$5)-1,1,1,1),0,0)&amp;" and above"</f>
        <v>From 1,817,000 and above</v>
      </c>
      <c r="B12" s="46"/>
      <c r="C12" s="47">
        <v>0.45</v>
      </c>
      <c r="D12" s="48"/>
      <c r="E12" s="49"/>
    </row>
    <row r="14" spans="1:5" s="3" customFormat="1" ht="16" customHeight="1" x14ac:dyDescent="0.25">
      <c r="A14" s="3" t="s">
        <v>47</v>
      </c>
      <c r="B14" s="50" t="s">
        <v>95</v>
      </c>
      <c r="C14" s="50" t="s">
        <v>51</v>
      </c>
    </row>
    <row r="15" spans="1:5" ht="16" customHeight="1" x14ac:dyDescent="0.25">
      <c r="A15" s="2" t="s">
        <v>48</v>
      </c>
      <c r="B15" s="51">
        <v>17235</v>
      </c>
      <c r="C15" s="52">
        <v>0</v>
      </c>
    </row>
    <row r="16" spans="1:5" ht="16" customHeight="1" x14ac:dyDescent="0.25">
      <c r="A16" s="2" t="s">
        <v>49</v>
      </c>
      <c r="B16" s="51">
        <v>26679</v>
      </c>
      <c r="C16" s="52">
        <v>65</v>
      </c>
    </row>
    <row r="17" spans="1:3" ht="16" customHeight="1" x14ac:dyDescent="0.25">
      <c r="A17" s="2" t="s">
        <v>50</v>
      </c>
      <c r="B17" s="51">
        <v>29824</v>
      </c>
      <c r="C17" s="52">
        <v>75</v>
      </c>
    </row>
    <row r="19" spans="1:3" s="3" customFormat="1" ht="16" customHeight="1" x14ac:dyDescent="0.25">
      <c r="A19" s="3" t="s">
        <v>54</v>
      </c>
    </row>
    <row r="20" spans="1:3" ht="16" customHeight="1" x14ac:dyDescent="0.25">
      <c r="A20" s="2" t="s">
        <v>12</v>
      </c>
      <c r="B20" s="51">
        <v>364</v>
      </c>
    </row>
    <row r="21" spans="1:3" ht="16" customHeight="1" x14ac:dyDescent="0.25">
      <c r="A21" s="2" t="s">
        <v>13</v>
      </c>
      <c r="B21" s="51">
        <v>246</v>
      </c>
    </row>
    <row r="23" spans="1:3" s="3" customFormat="1" ht="16" customHeight="1" x14ac:dyDescent="0.25">
      <c r="A23" s="3" t="s">
        <v>52</v>
      </c>
    </row>
    <row r="24" spans="1:3" ht="16" customHeight="1" x14ac:dyDescent="0.25">
      <c r="A24" s="2" t="s">
        <v>53</v>
      </c>
      <c r="B24" s="53">
        <v>0.01</v>
      </c>
    </row>
    <row r="25" spans="1:3" ht="16" customHeight="1" x14ac:dyDescent="0.25">
      <c r="A25" s="2" t="s">
        <v>55</v>
      </c>
      <c r="B25" s="51">
        <v>212544</v>
      </c>
    </row>
    <row r="27" spans="1:3" ht="16" customHeight="1" x14ac:dyDescent="0.25">
      <c r="A27" s="3" t="s">
        <v>19</v>
      </c>
    </row>
    <row r="28" spans="1:3" ht="16" customHeight="1" x14ac:dyDescent="0.25">
      <c r="A28" s="2" t="s">
        <v>56</v>
      </c>
      <c r="B28" s="51">
        <v>350000</v>
      </c>
    </row>
    <row r="29" spans="1:3" ht="16" customHeight="1" x14ac:dyDescent="0.25">
      <c r="A29" s="2" t="s">
        <v>57</v>
      </c>
      <c r="B29" s="53">
        <v>0.27500000000000002</v>
      </c>
    </row>
    <row r="31" spans="1:3" s="3" customFormat="1" ht="16" customHeight="1" x14ac:dyDescent="0.25">
      <c r="A31" s="3" t="s">
        <v>16</v>
      </c>
    </row>
    <row r="32" spans="1:3" ht="16" customHeight="1" x14ac:dyDescent="0.25">
      <c r="A32" s="2" t="s">
        <v>58</v>
      </c>
      <c r="B32" s="53">
        <v>0.8</v>
      </c>
    </row>
  </sheetData>
  <dataValidations count="1">
    <dataValidation type="decimal" operator="greaterThanOrEqual" allowBlank="1" showInputMessage="1" showErrorMessage="1" errorTitle="Enter Positive Values" error="All input values must be entered as positive values." sqref="B15:C17 B24:B25 B20:B21 B28:B29 B32" xr:uid="{12C6707B-1F7F-4E97-B56A-8F2CBA709958}">
      <formula1>0</formula1>
    </dataValidation>
  </dataValidations>
  <pageMargins left="0.59055118110236227" right="0.59055118110236227" top="0.59055118110236227" bottom="0.59055118110236227" header="0.39370078740157483" footer="0.39370078740157483"/>
  <pageSetup paperSize="9" scale="94" orientation="portrait" verticalDpi="1200" r:id="rId1"/>
  <headerFooter>
    <oddFooter>&amp;C&amp;9Page &amp;P of &amp;N</oddFooter>
  </headerFooter>
  <drawing r:id="rId2"/>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Info</vt:lpstr>
      <vt:lpstr>Instructions!Print_Area</vt:lpstr>
      <vt:lpstr>Monthly!Print_Area</vt:lpstr>
      <vt:lpstr>Instructions!Print_Titles</vt:lpstr>
      <vt:lpstr>TaxAll</vt:lpstr>
      <vt:lpstr>TaxBracket</vt:lpstr>
      <vt:lpstr>TaxRate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Tax Calculation Template - Excel Skills</dc:title>
  <dc:subject>Income Tax</dc:subject>
  <dc:creator>Excel Skills International</dc:creator>
  <cp:keywords>tax calculator, computation of income tax, paye, sars</cp:keywords>
  <cp:lastModifiedBy>app</cp:lastModifiedBy>
  <cp:lastPrinted>2020-09-28T12:25:45Z</cp:lastPrinted>
  <dcterms:created xsi:type="dcterms:W3CDTF">2009-12-01T12:45:32Z</dcterms:created>
  <dcterms:modified xsi:type="dcterms:W3CDTF">2024-01-30T18:26:41Z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8d4c7d87-bdfa-4e06-a4ec-bdd6fd088caf</vt:lpwstr>
  </property>
</Properties>
</file>