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b1e72b551d3b41ce" Type="http://schemas.microsoft.com/office/2006/relationships/ui/extensibility" Target="customUI/customUI.xml"/><Relationship Id="R607b1777bffa4ac4" Type="http://schemas.microsoft.com/office/2007/relationships/ui/extensibility" Target="customUI/customUI14.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126"/>
  <workbookPr codeName="ThisWorkbook"/>
  <mc:AlternateContent xmlns:mc="http://schemas.openxmlformats.org/markup-compatibility/2006">
    <mc:Choice Requires="x15">
      <x15ac:absPath xmlns:x15ac="http://schemas.microsoft.com/office/spreadsheetml/2010/11/ac" url="D:\fc\fcproduction\files_vol\task\65b93f9549e88fc994c28611\"/>
    </mc:Choice>
  </mc:AlternateContent>
  <xr:revisionPtr revIDLastSave="0" documentId="8_{11D34655-22A5-4DB0-B28B-39BB06E1FCBE}" xr6:coauthVersionLast="47" xr6:coauthVersionMax="47" xr10:uidLastSave="{00000000-0000-0000-0000-000000000000}"/>
  <bookViews>
    <workbookView xWindow="1520" yWindow="1520" windowWidth="16800" windowHeight="9760" tabRatio="793" xr2:uid="{00000000-000D-0000-FFFF-FFFF00000000}"/>
  </bookViews>
  <sheets>
    <sheet name="Info" sheetId="7" r:id="rId1"/>
    <sheet name="Trial" sheetId="5" state="veryHidden" r:id="rId2"/>
    <sheet name="Instructions" sheetId="4" state="veryHidden" r:id="rId3"/>
    <sheet name="Logbook" sheetId="2" state="veryHidden" r:id="rId4"/>
    <sheet name="Clients" sheetId="9" state="veryHidden" r:id="rId5"/>
    <sheet name="Vehicles" sheetId="8" state="veryHidden" r:id="rId6"/>
    <sheet name="Form" sheetId="10" state="veryHidden" r:id="rId7"/>
  </sheets>
  <definedNames>
    <definedName name="_xlnm._FilterDatabase" localSheetId="4" hidden="1">Clients!$A$8:$O$28</definedName>
    <definedName name="_xlnm._FilterDatabase" localSheetId="3" hidden="1">Logbook!$A$3:$R$215</definedName>
    <definedName name="ClientAll">OFFSET(Clients!$A$8,1,0,ClientCount,COLUMN(Clients!$O$8))</definedName>
    <definedName name="ClientCount">COUNTA(OFFSET(Clients!$A$8,1,0,CRecords,1))</definedName>
    <definedName name="ClientID">OFFSET(Clients!$A$8,1,0,ClientCount,1)</definedName>
    <definedName name="CRecords">200</definedName>
    <definedName name="LogClient">Logbook[[#Data],[Client Code]]</definedName>
    <definedName name="LogCost">Logbook[[#Data],[Total Trip Charges]]</definedName>
    <definedName name="LogDate">Logbook[[#Data],[Travel Date]]</definedName>
    <definedName name="LogDistance">Logbook[[#Data],[Total Trip Distance]]</definedName>
    <definedName name="LogError">Logbook[[#Data],[Error Code]]</definedName>
    <definedName name="LogType">Logbook[[#Data],[Travel Type]]</definedName>
    <definedName name="LogVehicle">Logbook[[#Data],[Vehicle Reg Number]]</definedName>
    <definedName name="_xlnm.Print_Area" localSheetId="6">Form!$B$2:$L$28</definedName>
    <definedName name="_xlnm.Print_Titles" localSheetId="4">Clients!$1:$8</definedName>
    <definedName name="_xlnm.Print_Titles" localSheetId="6">Form!$2:$7</definedName>
    <definedName name="_xlnm.Print_Titles" localSheetId="2">Instructions!$1:$4</definedName>
    <definedName name="_xlnm.Print_Titles" localSheetId="3">Logbook!$1:$3</definedName>
    <definedName name="_xlnm.Print_Titles" localSheetId="5">Vehicles!$1:$8</definedName>
    <definedName name="VehicleAll">OFFSET(Vehicles!$A$8,1,0,VehicleCount,COLUMN(Vehicles!$Q$8))</definedName>
    <definedName name="VehicleCount">COUNTA(OFFSET(Vehicles!$A$8,1,0,VRecords,1))</definedName>
    <definedName name="VehicleID">OFFSET(Vehicles!$A$8,1,0,VehicleCount,1)</definedName>
    <definedName name="VRecords">200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4" i="2" l="1"/>
  <c r="P5" i="2"/>
  <c r="P6" i="2"/>
  <c r="P7" i="2"/>
  <c r="P8" i="2"/>
  <c r="P9" i="2"/>
  <c r="P10" i="2"/>
  <c r="P11" i="2"/>
  <c r="P12" i="2"/>
  <c r="P13" i="2"/>
  <c r="P14" i="2"/>
  <c r="P15" i="2"/>
  <c r="P16" i="2"/>
  <c r="P17" i="2"/>
  <c r="P18" i="2"/>
  <c r="P19" i="2"/>
  <c r="P20" i="2"/>
  <c r="P21" i="2"/>
  <c r="P22" i="2"/>
  <c r="P23" i="2"/>
  <c r="P24" i="2"/>
  <c r="P25" i="2"/>
  <c r="P26" i="2"/>
  <c r="P27" i="2"/>
  <c r="P28" i="2"/>
  <c r="P29" i="2"/>
  <c r="P30" i="2"/>
  <c r="P31" i="2"/>
  <c r="P32" i="2"/>
  <c r="P33" i="2"/>
  <c r="P34" i="2"/>
  <c r="P35" i="2"/>
  <c r="P36" i="2"/>
  <c r="P37" i="2"/>
  <c r="P38" i="2"/>
  <c r="P39" i="2"/>
  <c r="P40" i="2"/>
  <c r="P41" i="2"/>
  <c r="P42" i="2"/>
  <c r="P43" i="2"/>
  <c r="P44" i="2"/>
  <c r="P45" i="2"/>
  <c r="P46" i="2"/>
  <c r="P47" i="2"/>
  <c r="P48" i="2"/>
  <c r="P49" i="2"/>
  <c r="P50" i="2"/>
  <c r="P51" i="2"/>
  <c r="P52" i="2"/>
  <c r="P53" i="2"/>
  <c r="P54" i="2"/>
  <c r="P55" i="2"/>
  <c r="P56" i="2"/>
  <c r="P57" i="2"/>
  <c r="P58" i="2"/>
  <c r="P59" i="2"/>
  <c r="P60" i="2"/>
  <c r="P61" i="2"/>
  <c r="P62" i="2"/>
  <c r="P63" i="2"/>
  <c r="P64" i="2"/>
  <c r="P65" i="2"/>
  <c r="P66" i="2"/>
  <c r="P67" i="2"/>
  <c r="P68" i="2"/>
  <c r="P69" i="2"/>
  <c r="P70" i="2"/>
  <c r="P71" i="2"/>
  <c r="P72" i="2"/>
  <c r="P73" i="2"/>
  <c r="P74" i="2"/>
  <c r="P75" i="2"/>
  <c r="P76" i="2"/>
  <c r="P77" i="2"/>
  <c r="P78" i="2"/>
  <c r="P79" i="2"/>
  <c r="P80" i="2"/>
  <c r="P81" i="2"/>
  <c r="P82" i="2"/>
  <c r="P83" i="2"/>
  <c r="P84" i="2"/>
  <c r="P85" i="2"/>
  <c r="P86" i="2"/>
  <c r="P87" i="2"/>
  <c r="P88" i="2"/>
  <c r="P89" i="2"/>
  <c r="P90" i="2"/>
  <c r="P91" i="2"/>
  <c r="P92" i="2"/>
  <c r="P93" i="2"/>
  <c r="P94" i="2"/>
  <c r="P95" i="2"/>
  <c r="P96" i="2"/>
  <c r="P97" i="2"/>
  <c r="P98" i="2"/>
  <c r="P99" i="2"/>
  <c r="P100" i="2"/>
  <c r="P101" i="2"/>
  <c r="P102" i="2"/>
  <c r="P103" i="2"/>
  <c r="P104" i="2"/>
  <c r="P105" i="2"/>
  <c r="P106" i="2"/>
  <c r="P107" i="2"/>
  <c r="P108" i="2"/>
  <c r="P109" i="2"/>
  <c r="P110" i="2"/>
  <c r="P111" i="2"/>
  <c r="P112" i="2"/>
  <c r="P113" i="2"/>
  <c r="P114" i="2"/>
  <c r="P115" i="2"/>
  <c r="P116" i="2"/>
  <c r="P117" i="2"/>
  <c r="P118" i="2"/>
  <c r="P119" i="2"/>
  <c r="P120" i="2"/>
  <c r="P121" i="2"/>
  <c r="P122" i="2"/>
  <c r="P123" i="2"/>
  <c r="P124" i="2"/>
  <c r="P125" i="2"/>
  <c r="P126" i="2"/>
  <c r="P127" i="2"/>
  <c r="P128" i="2"/>
  <c r="P129" i="2"/>
  <c r="P130" i="2"/>
  <c r="P131" i="2"/>
  <c r="P132" i="2"/>
  <c r="P133" i="2"/>
  <c r="P134" i="2"/>
  <c r="P135" i="2"/>
  <c r="P136" i="2"/>
  <c r="P137" i="2"/>
  <c r="P138" i="2"/>
  <c r="P139" i="2"/>
  <c r="P140" i="2"/>
  <c r="P141" i="2"/>
  <c r="P142" i="2"/>
  <c r="P143" i="2"/>
  <c r="P144" i="2"/>
  <c r="P145" i="2"/>
  <c r="P146" i="2"/>
  <c r="P147" i="2"/>
  <c r="P148" i="2"/>
  <c r="P149" i="2"/>
  <c r="P150" i="2"/>
  <c r="P151" i="2"/>
  <c r="P152" i="2"/>
  <c r="P153" i="2"/>
  <c r="P154" i="2"/>
  <c r="P155" i="2"/>
  <c r="P156" i="2"/>
  <c r="P157" i="2"/>
  <c r="P158" i="2"/>
  <c r="P159" i="2"/>
  <c r="P160" i="2"/>
  <c r="P161" i="2"/>
  <c r="P162" i="2"/>
  <c r="P163" i="2"/>
  <c r="P164" i="2"/>
  <c r="P165" i="2"/>
  <c r="P166" i="2"/>
  <c r="P167" i="2"/>
  <c r="P168" i="2"/>
  <c r="P169" i="2"/>
  <c r="P170" i="2"/>
  <c r="P171" i="2"/>
  <c r="P172" i="2"/>
  <c r="P173" i="2"/>
  <c r="P174" i="2"/>
  <c r="P175" i="2"/>
  <c r="P176" i="2"/>
  <c r="P177" i="2"/>
  <c r="P178" i="2"/>
  <c r="P179" i="2"/>
  <c r="P180" i="2"/>
  <c r="P181" i="2"/>
  <c r="P182" i="2"/>
  <c r="P183" i="2"/>
  <c r="P184" i="2"/>
  <c r="P185" i="2"/>
  <c r="P186" i="2"/>
  <c r="P187" i="2"/>
  <c r="P188" i="2"/>
  <c r="P189" i="2"/>
  <c r="P190" i="2"/>
  <c r="P191" i="2"/>
  <c r="P192" i="2"/>
  <c r="P193" i="2"/>
  <c r="P194" i="2"/>
  <c r="P195" i="2"/>
  <c r="P196" i="2"/>
  <c r="P197" i="2"/>
  <c r="P198" i="2"/>
  <c r="P199" i="2"/>
  <c r="P200" i="2"/>
  <c r="P201" i="2"/>
  <c r="P202" i="2"/>
  <c r="P203" i="2"/>
  <c r="P204" i="2"/>
  <c r="P205" i="2"/>
  <c r="P206" i="2"/>
  <c r="P207" i="2"/>
  <c r="P208" i="2"/>
  <c r="P209" i="2"/>
  <c r="P210" i="2"/>
  <c r="P211" i="2"/>
  <c r="P212" i="2"/>
  <c r="P213" i="2"/>
  <c r="P214" i="2"/>
  <c r="P215" i="2"/>
  <c r="R215" i="2" l="1"/>
  <c r="R214" i="2"/>
  <c r="R213" i="2"/>
  <c r="R212" i="2"/>
  <c r="R211" i="2"/>
  <c r="R210" i="2"/>
  <c r="R209" i="2"/>
  <c r="R208" i="2"/>
  <c r="R207" i="2"/>
  <c r="R206" i="2"/>
  <c r="R205" i="2"/>
  <c r="R204" i="2"/>
  <c r="R203" i="2"/>
  <c r="R202" i="2"/>
  <c r="R201" i="2"/>
  <c r="R200" i="2"/>
  <c r="R199" i="2"/>
  <c r="R198" i="2"/>
  <c r="R197" i="2"/>
  <c r="R196" i="2"/>
  <c r="R195" i="2"/>
  <c r="R194" i="2"/>
  <c r="R193" i="2"/>
  <c r="R192" i="2"/>
  <c r="R191" i="2"/>
  <c r="R190" i="2"/>
  <c r="R189" i="2"/>
  <c r="R188" i="2"/>
  <c r="R187" i="2"/>
  <c r="R186" i="2"/>
  <c r="R185" i="2"/>
  <c r="R184" i="2"/>
  <c r="R183" i="2"/>
  <c r="R182" i="2"/>
  <c r="R181" i="2"/>
  <c r="R180" i="2"/>
  <c r="R179" i="2"/>
  <c r="R178" i="2"/>
  <c r="R177" i="2"/>
  <c r="R176" i="2"/>
  <c r="R175" i="2"/>
  <c r="R174" i="2"/>
  <c r="R173" i="2"/>
  <c r="R172" i="2"/>
  <c r="R171" i="2"/>
  <c r="R170" i="2"/>
  <c r="R169" i="2"/>
  <c r="R168" i="2"/>
  <c r="R167" i="2"/>
  <c r="R166" i="2"/>
  <c r="R165" i="2"/>
  <c r="R164" i="2"/>
  <c r="R163" i="2"/>
  <c r="R162" i="2"/>
  <c r="R161" i="2"/>
  <c r="R160" i="2"/>
  <c r="R159" i="2"/>
  <c r="R158" i="2"/>
  <c r="R157" i="2"/>
  <c r="R156" i="2"/>
  <c r="R155" i="2"/>
  <c r="R154" i="2"/>
  <c r="R153" i="2"/>
  <c r="R152" i="2"/>
  <c r="R151" i="2"/>
  <c r="R150" i="2"/>
  <c r="R149" i="2"/>
  <c r="R148" i="2"/>
  <c r="R147" i="2"/>
  <c r="R146" i="2"/>
  <c r="R145" i="2"/>
  <c r="R144" i="2"/>
  <c r="R143" i="2"/>
  <c r="R142" i="2"/>
  <c r="R141" i="2"/>
  <c r="R140" i="2"/>
  <c r="R139" i="2"/>
  <c r="R138" i="2"/>
  <c r="R137" i="2"/>
  <c r="R136" i="2"/>
  <c r="R135" i="2"/>
  <c r="R134" i="2"/>
  <c r="R133" i="2"/>
  <c r="R132" i="2"/>
  <c r="R131" i="2"/>
  <c r="R130" i="2"/>
  <c r="R129" i="2"/>
  <c r="R128" i="2"/>
  <c r="R127" i="2"/>
  <c r="R126" i="2"/>
  <c r="R125" i="2"/>
  <c r="R124" i="2"/>
  <c r="R123" i="2"/>
  <c r="R122" i="2"/>
  <c r="R121" i="2"/>
  <c r="R120" i="2"/>
  <c r="R119" i="2"/>
  <c r="R118" i="2"/>
  <c r="R117" i="2"/>
  <c r="R116" i="2"/>
  <c r="R115" i="2"/>
  <c r="R114" i="2"/>
  <c r="R113" i="2"/>
  <c r="R112" i="2"/>
  <c r="R111" i="2"/>
  <c r="R110" i="2"/>
  <c r="R109" i="2"/>
  <c r="R108" i="2"/>
  <c r="R107" i="2"/>
  <c r="R106" i="2"/>
  <c r="R105" i="2"/>
  <c r="R104" i="2"/>
  <c r="R103" i="2"/>
  <c r="R102" i="2"/>
  <c r="R101" i="2"/>
  <c r="R100" i="2"/>
  <c r="R99" i="2"/>
  <c r="R98" i="2"/>
  <c r="R97" i="2"/>
  <c r="R96" i="2"/>
  <c r="R95" i="2"/>
  <c r="R94" i="2"/>
  <c r="R93" i="2"/>
  <c r="R92" i="2"/>
  <c r="R91" i="2"/>
  <c r="R90" i="2"/>
  <c r="R89" i="2"/>
  <c r="R88" i="2"/>
  <c r="R87" i="2"/>
  <c r="R86" i="2"/>
  <c r="R85" i="2"/>
  <c r="R84" i="2"/>
  <c r="R83" i="2"/>
  <c r="R82" i="2"/>
  <c r="R81" i="2"/>
  <c r="R80" i="2"/>
  <c r="R79" i="2"/>
  <c r="R78" i="2"/>
  <c r="R77" i="2"/>
  <c r="R76" i="2"/>
  <c r="R75" i="2"/>
  <c r="R74" i="2"/>
  <c r="R73" i="2"/>
  <c r="R72" i="2"/>
  <c r="R71" i="2"/>
  <c r="R70" i="2"/>
  <c r="R69" i="2"/>
  <c r="R68" i="2"/>
  <c r="R67" i="2"/>
  <c r="R66" i="2"/>
  <c r="R65" i="2"/>
  <c r="R64" i="2"/>
  <c r="R63" i="2"/>
  <c r="R62" i="2"/>
  <c r="R61" i="2"/>
  <c r="R60" i="2"/>
  <c r="R59" i="2"/>
  <c r="R58" i="2"/>
  <c r="R57" i="2"/>
  <c r="R56" i="2"/>
  <c r="R55" i="2"/>
  <c r="R54" i="2"/>
  <c r="R53" i="2"/>
  <c r="R52" i="2"/>
  <c r="R51" i="2"/>
  <c r="R50" i="2"/>
  <c r="R49" i="2"/>
  <c r="R48" i="2"/>
  <c r="R47" i="2"/>
  <c r="R46" i="2"/>
  <c r="R45" i="2"/>
  <c r="R44" i="2"/>
  <c r="R43" i="2"/>
  <c r="R42" i="2"/>
  <c r="R41" i="2"/>
  <c r="R40" i="2"/>
  <c r="R39" i="2"/>
  <c r="R38" i="2"/>
  <c r="R37" i="2"/>
  <c r="R36" i="2"/>
  <c r="R35" i="2"/>
  <c r="R34" i="2"/>
  <c r="R33" i="2"/>
  <c r="R32" i="2"/>
  <c r="R31" i="2"/>
  <c r="R30" i="2"/>
  <c r="R29" i="2"/>
  <c r="R28" i="2"/>
  <c r="R27" i="2"/>
  <c r="R26" i="2"/>
  <c r="R25" i="2"/>
  <c r="R24" i="2"/>
  <c r="R23" i="2"/>
  <c r="R22" i="2"/>
  <c r="R21" i="2"/>
  <c r="R20" i="2"/>
  <c r="R19" i="2"/>
  <c r="R18" i="2"/>
  <c r="R17" i="2"/>
  <c r="R16" i="2"/>
  <c r="R15" i="2"/>
  <c r="R14" i="2"/>
  <c r="R13" i="2"/>
  <c r="R12" i="2"/>
  <c r="R11" i="2"/>
  <c r="R10" i="2"/>
  <c r="R9" i="2"/>
  <c r="R8" i="2"/>
  <c r="R7" i="2"/>
  <c r="R6" i="2"/>
  <c r="R5" i="2"/>
  <c r="R4" i="2"/>
  <c r="B6" i="10"/>
  <c r="K5" i="8"/>
  <c r="L4" i="8"/>
  <c r="I5" i="8"/>
  <c r="I8" i="8" s="1"/>
  <c r="G5" i="8"/>
  <c r="I5" i="9"/>
  <c r="M8" i="9" s="1"/>
  <c r="K5" i="9"/>
  <c r="L4" i="9" s="1"/>
  <c r="G5" i="9"/>
  <c r="Q213" i="2"/>
  <c r="Q212" i="2"/>
  <c r="Q209" i="2"/>
  <c r="Q208" i="2"/>
  <c r="Q205" i="2"/>
  <c r="Q204" i="2"/>
  <c r="Q201" i="2"/>
  <c r="Q200" i="2"/>
  <c r="Q197" i="2"/>
  <c r="Q196" i="2"/>
  <c r="Q193" i="2"/>
  <c r="Q192" i="2"/>
  <c r="Q189" i="2"/>
  <c r="Q188" i="2"/>
  <c r="Q185" i="2"/>
  <c r="Q184" i="2"/>
  <c r="Q180" i="2"/>
  <c r="Q179" i="2"/>
  <c r="Q176" i="2"/>
  <c r="Q175" i="2"/>
  <c r="Q172" i="2"/>
  <c r="Q171" i="2"/>
  <c r="Q168" i="2"/>
  <c r="Q167" i="2"/>
  <c r="Q163" i="2"/>
  <c r="Q162" i="2"/>
  <c r="Q159" i="2"/>
  <c r="Q158" i="2"/>
  <c r="Q155" i="2"/>
  <c r="Q154" i="2"/>
  <c r="Q151" i="2"/>
  <c r="Q150" i="2"/>
  <c r="Q147" i="2"/>
  <c r="Q146" i="2"/>
  <c r="Q142" i="2"/>
  <c r="Q141" i="2"/>
  <c r="Q138" i="2"/>
  <c r="Q137" i="2"/>
  <c r="Q134" i="2"/>
  <c r="Q133" i="2"/>
  <c r="Q128" i="2"/>
  <c r="Q127" i="2"/>
  <c r="Q124" i="2"/>
  <c r="Q123" i="2"/>
  <c r="Q120" i="2"/>
  <c r="Q119" i="2"/>
  <c r="Q115" i="2"/>
  <c r="Q114" i="2"/>
  <c r="Q110" i="2"/>
  <c r="Q109" i="2"/>
  <c r="Q106" i="2"/>
  <c r="Q105" i="2"/>
  <c r="Q102" i="2"/>
  <c r="Q101" i="2"/>
  <c r="Q98" i="2"/>
  <c r="Q97" i="2"/>
  <c r="Q93" i="2"/>
  <c r="Q92" i="2"/>
  <c r="Q88" i="2"/>
  <c r="Q87" i="2"/>
  <c r="Q84" i="2"/>
  <c r="Q83" i="2"/>
  <c r="Q80" i="2"/>
  <c r="Q79" i="2"/>
  <c r="Q75" i="2"/>
  <c r="Q74" i="2"/>
  <c r="Q71" i="2"/>
  <c r="Q70" i="2"/>
  <c r="Q67" i="2"/>
  <c r="Q66" i="2"/>
  <c r="Q63" i="2"/>
  <c r="Q62" i="2"/>
  <c r="Q59" i="2"/>
  <c r="Q58" i="2"/>
  <c r="Q54" i="2"/>
  <c r="Q53" i="2"/>
  <c r="Q50" i="2"/>
  <c r="Q49" i="2"/>
  <c r="Q46" i="2"/>
  <c r="Q45" i="2"/>
  <c r="Q42" i="2"/>
  <c r="Q41" i="2"/>
  <c r="Q36" i="2"/>
  <c r="Q35" i="2"/>
  <c r="Q32" i="2"/>
  <c r="Q31" i="2"/>
  <c r="Q28" i="2"/>
  <c r="Q27" i="2"/>
  <c r="Q24" i="2"/>
  <c r="Q23" i="2"/>
  <c r="Q19" i="2"/>
  <c r="Q18" i="2"/>
  <c r="Q15" i="2"/>
  <c r="Q14" i="2"/>
  <c r="Q11" i="2"/>
  <c r="Q10" i="2"/>
  <c r="Q7" i="2"/>
  <c r="Q6" i="2"/>
  <c r="N4" i="2"/>
  <c r="O4" i="2" s="1"/>
  <c r="N181" i="2"/>
  <c r="O181" i="2" s="1"/>
  <c r="N166" i="2"/>
  <c r="O166" i="2" s="1"/>
  <c r="N145" i="2"/>
  <c r="Q145" i="2" s="1"/>
  <c r="O145" i="2"/>
  <c r="N132" i="2"/>
  <c r="O132" i="2" s="1"/>
  <c r="N129" i="2"/>
  <c r="O129" i="2" s="1"/>
  <c r="N116" i="2"/>
  <c r="O116" i="2" s="1"/>
  <c r="N113" i="2"/>
  <c r="O113" i="2" s="1"/>
  <c r="N96" i="2"/>
  <c r="O96" i="2" s="1"/>
  <c r="N91" i="2"/>
  <c r="O91" i="2" s="1"/>
  <c r="N78" i="2"/>
  <c r="O78" i="2" s="1"/>
  <c r="N57" i="2"/>
  <c r="Q57" i="2" s="1"/>
  <c r="N40" i="2"/>
  <c r="O40" i="2" s="1"/>
  <c r="N39" i="2"/>
  <c r="O39" i="2" s="1"/>
  <c r="N22" i="2"/>
  <c r="O22" i="2" s="1"/>
  <c r="N215" i="2"/>
  <c r="O215" i="2" s="1"/>
  <c r="N213" i="2"/>
  <c r="O213" i="2" s="1"/>
  <c r="N211" i="2"/>
  <c r="O211" i="2" s="1"/>
  <c r="N209" i="2"/>
  <c r="O209" i="2" s="1"/>
  <c r="N207" i="2"/>
  <c r="O207" i="2" s="1"/>
  <c r="N205" i="2"/>
  <c r="O205" i="2" s="1"/>
  <c r="N203" i="2"/>
  <c r="O203" i="2" s="1"/>
  <c r="N201" i="2"/>
  <c r="O201" i="2" s="1"/>
  <c r="N199" i="2"/>
  <c r="O199" i="2" s="1"/>
  <c r="N197" i="2"/>
  <c r="O197" i="2" s="1"/>
  <c r="N195" i="2"/>
  <c r="O195" i="2" s="1"/>
  <c r="N193" i="2"/>
  <c r="O193" i="2" s="1"/>
  <c r="N191" i="2"/>
  <c r="O191" i="2" s="1"/>
  <c r="N189" i="2"/>
  <c r="O189" i="2" s="1"/>
  <c r="N187" i="2"/>
  <c r="O187" i="2" s="1"/>
  <c r="N185" i="2"/>
  <c r="O185" i="2" s="1"/>
  <c r="N183" i="2"/>
  <c r="O183" i="2" s="1"/>
  <c r="N180" i="2"/>
  <c r="O180" i="2" s="1"/>
  <c r="N177" i="2"/>
  <c r="O177" i="2" s="1"/>
  <c r="N176" i="2"/>
  <c r="O176" i="2" s="1"/>
  <c r="N174" i="2"/>
  <c r="O174" i="2" s="1"/>
  <c r="N172" i="2"/>
  <c r="O172" i="2" s="1"/>
  <c r="N170" i="2"/>
  <c r="O170" i="2" s="1"/>
  <c r="N168" i="2"/>
  <c r="O168" i="2" s="1"/>
  <c r="N165" i="2"/>
  <c r="O165" i="2" s="1"/>
  <c r="N163" i="2"/>
  <c r="O163" i="2" s="1"/>
  <c r="N161" i="2"/>
  <c r="O161" i="2" s="1"/>
  <c r="N159" i="2"/>
  <c r="O159" i="2" s="1"/>
  <c r="N157" i="2"/>
  <c r="O157" i="2" s="1"/>
  <c r="N155" i="2"/>
  <c r="O155" i="2" s="1"/>
  <c r="N153" i="2"/>
  <c r="O153" i="2" s="1"/>
  <c r="N151" i="2"/>
  <c r="O151" i="2" s="1"/>
  <c r="N149" i="2"/>
  <c r="O149" i="2" s="1"/>
  <c r="N147" i="2"/>
  <c r="O147" i="2" s="1"/>
  <c r="N144" i="2"/>
  <c r="O144" i="2" s="1"/>
  <c r="N142" i="2"/>
  <c r="O142" i="2" s="1"/>
  <c r="N140" i="2"/>
  <c r="O140" i="2" s="1"/>
  <c r="N138" i="2"/>
  <c r="O138" i="2" s="1"/>
  <c r="N136" i="2"/>
  <c r="O136" i="2" s="1"/>
  <c r="N134" i="2"/>
  <c r="O134" i="2" s="1"/>
  <c r="N131" i="2"/>
  <c r="O131" i="2" s="1"/>
  <c r="N128" i="2"/>
  <c r="O128" i="2" s="1"/>
  <c r="N126" i="2"/>
  <c r="O126" i="2" s="1"/>
  <c r="N124" i="2"/>
  <c r="O124" i="2" s="1"/>
  <c r="N122" i="2"/>
  <c r="O122" i="2" s="1"/>
  <c r="N120" i="2"/>
  <c r="O120" i="2" s="1"/>
  <c r="N118" i="2"/>
  <c r="O118" i="2" s="1"/>
  <c r="N115" i="2"/>
  <c r="O115" i="2" s="1"/>
  <c r="N112" i="2"/>
  <c r="O112" i="2" s="1"/>
  <c r="N110" i="2"/>
  <c r="O110" i="2" s="1"/>
  <c r="N108" i="2"/>
  <c r="O108" i="2" s="1"/>
  <c r="N106" i="2"/>
  <c r="O106" i="2" s="1"/>
  <c r="N104" i="2"/>
  <c r="O104" i="2" s="1"/>
  <c r="N102" i="2"/>
  <c r="O102" i="2" s="1"/>
  <c r="N100" i="2"/>
  <c r="O100" i="2" s="1"/>
  <c r="N98" i="2"/>
  <c r="O98" i="2" s="1"/>
  <c r="N95" i="2"/>
  <c r="O95" i="2" s="1"/>
  <c r="N93" i="2"/>
  <c r="O93" i="2" s="1"/>
  <c r="N90" i="2"/>
  <c r="O90" i="2" s="1"/>
  <c r="N88" i="2"/>
  <c r="O88" i="2" s="1"/>
  <c r="N86" i="2"/>
  <c r="O86" i="2" s="1"/>
  <c r="N84" i="2"/>
  <c r="O84" i="2" s="1"/>
  <c r="N82" i="2"/>
  <c r="O82" i="2" s="1"/>
  <c r="N80" i="2"/>
  <c r="O80" i="2" s="1"/>
  <c r="N77" i="2"/>
  <c r="O77" i="2" s="1"/>
  <c r="N75" i="2"/>
  <c r="O75" i="2" s="1"/>
  <c r="N73" i="2"/>
  <c r="O73" i="2" s="1"/>
  <c r="N71" i="2"/>
  <c r="O71" i="2" s="1"/>
  <c r="N69" i="2"/>
  <c r="Q69" i="2" s="1"/>
  <c r="N67" i="2"/>
  <c r="O67" i="2" s="1"/>
  <c r="N65" i="2"/>
  <c r="O65" i="2" s="1"/>
  <c r="N63" i="2"/>
  <c r="O63" i="2" s="1"/>
  <c r="N61" i="2"/>
  <c r="O61" i="2" s="1"/>
  <c r="N59" i="2"/>
  <c r="O59" i="2" s="1"/>
  <c r="N56" i="2"/>
  <c r="O56" i="2" s="1"/>
  <c r="N54" i="2"/>
  <c r="O54" i="2" s="1"/>
  <c r="N52" i="2"/>
  <c r="O52" i="2" s="1"/>
  <c r="N50" i="2"/>
  <c r="O50" i="2" s="1"/>
  <c r="N48" i="2"/>
  <c r="O48" i="2" s="1"/>
  <c r="N46" i="2"/>
  <c r="O46" i="2" s="1"/>
  <c r="N44" i="2"/>
  <c r="O44" i="2" s="1"/>
  <c r="N42" i="2"/>
  <c r="O42" i="2" s="1"/>
  <c r="N38" i="2"/>
  <c r="O38" i="2" s="1"/>
  <c r="N36" i="2"/>
  <c r="O36" i="2" s="1"/>
  <c r="N34" i="2"/>
  <c r="O34" i="2" s="1"/>
  <c r="N32" i="2"/>
  <c r="O32" i="2" s="1"/>
  <c r="N30" i="2"/>
  <c r="O30" i="2" s="1"/>
  <c r="N28" i="2"/>
  <c r="O28" i="2" s="1"/>
  <c r="N26" i="2"/>
  <c r="O26" i="2" s="1"/>
  <c r="N24" i="2"/>
  <c r="O24" i="2" s="1"/>
  <c r="N21" i="2"/>
  <c r="O21" i="2" s="1"/>
  <c r="N19" i="2"/>
  <c r="O19" i="2" s="1"/>
  <c r="N17" i="2"/>
  <c r="O17" i="2" s="1"/>
  <c r="N15" i="2"/>
  <c r="O15" i="2" s="1"/>
  <c r="N13" i="2"/>
  <c r="O13" i="2" s="1"/>
  <c r="N11" i="2"/>
  <c r="O11" i="2" s="1"/>
  <c r="N9" i="2"/>
  <c r="O9" i="2" s="1"/>
  <c r="N7" i="2"/>
  <c r="O7" i="2" s="1"/>
  <c r="N5" i="2"/>
  <c r="O5" i="2" s="1"/>
  <c r="N214" i="2"/>
  <c r="O214" i="2" s="1"/>
  <c r="N212" i="2"/>
  <c r="O212" i="2" s="1"/>
  <c r="N210" i="2"/>
  <c r="O210" i="2" s="1"/>
  <c r="N208" i="2"/>
  <c r="O208" i="2" s="1"/>
  <c r="N206" i="2"/>
  <c r="O206" i="2" s="1"/>
  <c r="N204" i="2"/>
  <c r="O204" i="2" s="1"/>
  <c r="N202" i="2"/>
  <c r="O202" i="2" s="1"/>
  <c r="N200" i="2"/>
  <c r="O200" i="2" s="1"/>
  <c r="N198" i="2"/>
  <c r="O198" i="2" s="1"/>
  <c r="N196" i="2"/>
  <c r="O196" i="2" s="1"/>
  <c r="N194" i="2"/>
  <c r="O194" i="2" s="1"/>
  <c r="N192" i="2"/>
  <c r="O192" i="2" s="1"/>
  <c r="N190" i="2"/>
  <c r="O190" i="2" s="1"/>
  <c r="N188" i="2"/>
  <c r="O188" i="2" s="1"/>
  <c r="N186" i="2"/>
  <c r="O186" i="2" s="1"/>
  <c r="N184" i="2"/>
  <c r="O184" i="2" s="1"/>
  <c r="N182" i="2"/>
  <c r="O182" i="2" s="1"/>
  <c r="N179" i="2"/>
  <c r="O179" i="2" s="1"/>
  <c r="N178" i="2"/>
  <c r="O178" i="2" s="1"/>
  <c r="N175" i="2"/>
  <c r="O175" i="2" s="1"/>
  <c r="N173" i="2"/>
  <c r="O173" i="2" s="1"/>
  <c r="N171" i="2"/>
  <c r="O171" i="2" s="1"/>
  <c r="N169" i="2"/>
  <c r="O169" i="2" s="1"/>
  <c r="N167" i="2"/>
  <c r="O167" i="2" s="1"/>
  <c r="N164" i="2"/>
  <c r="O164" i="2" s="1"/>
  <c r="N162" i="2"/>
  <c r="O162" i="2" s="1"/>
  <c r="N160" i="2"/>
  <c r="O160" i="2" s="1"/>
  <c r="N158" i="2"/>
  <c r="O158" i="2" s="1"/>
  <c r="N156" i="2"/>
  <c r="O156" i="2" s="1"/>
  <c r="N154" i="2"/>
  <c r="O154" i="2" s="1"/>
  <c r="N152" i="2"/>
  <c r="O152" i="2" s="1"/>
  <c r="N150" i="2"/>
  <c r="O150" i="2" s="1"/>
  <c r="N148" i="2"/>
  <c r="O148" i="2" s="1"/>
  <c r="N146" i="2"/>
  <c r="O146" i="2" s="1"/>
  <c r="N143" i="2"/>
  <c r="O143" i="2" s="1"/>
  <c r="N141" i="2"/>
  <c r="O141" i="2" s="1"/>
  <c r="N139" i="2"/>
  <c r="O139" i="2" s="1"/>
  <c r="N137" i="2"/>
  <c r="O137" i="2" s="1"/>
  <c r="N135" i="2"/>
  <c r="O135" i="2" s="1"/>
  <c r="N133" i="2"/>
  <c r="O133" i="2" s="1"/>
  <c r="N130" i="2"/>
  <c r="O130" i="2" s="1"/>
  <c r="N127" i="2"/>
  <c r="O127" i="2" s="1"/>
  <c r="N125" i="2"/>
  <c r="O125" i="2" s="1"/>
  <c r="N123" i="2"/>
  <c r="O123" i="2" s="1"/>
  <c r="N121" i="2"/>
  <c r="O121" i="2" s="1"/>
  <c r="N119" i="2"/>
  <c r="O119" i="2" s="1"/>
  <c r="N117" i="2"/>
  <c r="O117" i="2" s="1"/>
  <c r="N114" i="2"/>
  <c r="O114" i="2" s="1"/>
  <c r="N111" i="2"/>
  <c r="O111" i="2" s="1"/>
  <c r="N109" i="2"/>
  <c r="O109" i="2" s="1"/>
  <c r="N107" i="2"/>
  <c r="O107" i="2" s="1"/>
  <c r="N105" i="2"/>
  <c r="O105" i="2" s="1"/>
  <c r="N103" i="2"/>
  <c r="O103" i="2" s="1"/>
  <c r="N101" i="2"/>
  <c r="O101" i="2" s="1"/>
  <c r="N99" i="2"/>
  <c r="O99" i="2" s="1"/>
  <c r="N97" i="2"/>
  <c r="O97" i="2" s="1"/>
  <c r="N94" i="2"/>
  <c r="O94" i="2" s="1"/>
  <c r="N92" i="2"/>
  <c r="O92" i="2" s="1"/>
  <c r="N89" i="2"/>
  <c r="O89" i="2" s="1"/>
  <c r="N87" i="2"/>
  <c r="O87" i="2" s="1"/>
  <c r="N85" i="2"/>
  <c r="O85" i="2" s="1"/>
  <c r="N83" i="2"/>
  <c r="O83" i="2" s="1"/>
  <c r="N81" i="2"/>
  <c r="O81" i="2" s="1"/>
  <c r="N79" i="2"/>
  <c r="O79" i="2" s="1"/>
  <c r="N76" i="2"/>
  <c r="O76" i="2" s="1"/>
  <c r="N74" i="2"/>
  <c r="O74" i="2" s="1"/>
  <c r="N72" i="2"/>
  <c r="O72" i="2" s="1"/>
  <c r="N70" i="2"/>
  <c r="O70" i="2" s="1"/>
  <c r="N68" i="2"/>
  <c r="O68" i="2" s="1"/>
  <c r="N66" i="2"/>
  <c r="O66" i="2" s="1"/>
  <c r="N64" i="2"/>
  <c r="O64" i="2" s="1"/>
  <c r="N62" i="2"/>
  <c r="O62" i="2" s="1"/>
  <c r="N60" i="2"/>
  <c r="O60" i="2" s="1"/>
  <c r="N58" i="2"/>
  <c r="O58" i="2" s="1"/>
  <c r="N55" i="2"/>
  <c r="O55" i="2" s="1"/>
  <c r="N53" i="2"/>
  <c r="O53" i="2" s="1"/>
  <c r="N51" i="2"/>
  <c r="O51" i="2" s="1"/>
  <c r="N49" i="2"/>
  <c r="O49" i="2" s="1"/>
  <c r="N47" i="2"/>
  <c r="O47" i="2" s="1"/>
  <c r="N45" i="2"/>
  <c r="O45" i="2" s="1"/>
  <c r="N43" i="2"/>
  <c r="O43" i="2" s="1"/>
  <c r="N41" i="2"/>
  <c r="O41" i="2" s="1"/>
  <c r="N37" i="2"/>
  <c r="O37" i="2" s="1"/>
  <c r="N35" i="2"/>
  <c r="O35" i="2" s="1"/>
  <c r="N33" i="2"/>
  <c r="O33" i="2" s="1"/>
  <c r="N31" i="2"/>
  <c r="O31" i="2" s="1"/>
  <c r="N29" i="2"/>
  <c r="O29" i="2" s="1"/>
  <c r="N27" i="2"/>
  <c r="O27" i="2" s="1"/>
  <c r="N25" i="2"/>
  <c r="O25" i="2" s="1"/>
  <c r="N23" i="2"/>
  <c r="O23" i="2" s="1"/>
  <c r="N20" i="2"/>
  <c r="O20" i="2" s="1"/>
  <c r="N18" i="2"/>
  <c r="O18" i="2" s="1"/>
  <c r="N16" i="2"/>
  <c r="O16" i="2" s="1"/>
  <c r="N14" i="2"/>
  <c r="O14" i="2" s="1"/>
  <c r="N12" i="2"/>
  <c r="O12" i="2" s="1"/>
  <c r="N10" i="2"/>
  <c r="O10" i="2" s="1"/>
  <c r="N8" i="2"/>
  <c r="O8" i="2" s="1"/>
  <c r="N6" i="2"/>
  <c r="O6" i="2" s="1"/>
  <c r="Q157" i="2" l="1"/>
  <c r="O69" i="2"/>
  <c r="O57" i="2"/>
  <c r="E14" i="9" s="1"/>
  <c r="Q4" i="2"/>
  <c r="Q17" i="2"/>
  <c r="Q73" i="2"/>
  <c r="Q21" i="2"/>
  <c r="Q113" i="2"/>
  <c r="N2" i="2"/>
  <c r="Q5" i="2"/>
  <c r="Q29" i="2"/>
  <c r="Q37" i="2"/>
  <c r="Q61" i="2"/>
  <c r="Q77" i="2"/>
  <c r="Q85" i="2"/>
  <c r="Q117" i="2"/>
  <c r="Q125" i="2"/>
  <c r="Q149" i="2"/>
  <c r="Q165" i="2"/>
  <c r="Q181" i="2"/>
  <c r="Q9" i="2"/>
  <c r="Q25" i="2"/>
  <c r="Q33" i="2"/>
  <c r="Q81" i="2"/>
  <c r="Q89" i="2"/>
  <c r="Q121" i="2"/>
  <c r="Q129" i="2"/>
  <c r="O2" i="2"/>
  <c r="Q13" i="2"/>
  <c r="Q65" i="2"/>
  <c r="Q161" i="2"/>
  <c r="Q169" i="2"/>
  <c r="Q173" i="2"/>
  <c r="Q177" i="2"/>
  <c r="Q153" i="2"/>
  <c r="Q22" i="2"/>
  <c r="Q26" i="2"/>
  <c r="Q30" i="2"/>
  <c r="Q34" i="2"/>
  <c r="Q38" i="2"/>
  <c r="Q78" i="2"/>
  <c r="Q82" i="2"/>
  <c r="Q86" i="2"/>
  <c r="Q90" i="2"/>
  <c r="Q94" i="2"/>
  <c r="Q118" i="2"/>
  <c r="Q122" i="2"/>
  <c r="Q126" i="2"/>
  <c r="Q130" i="2"/>
  <c r="Q166" i="2"/>
  <c r="Q170" i="2"/>
  <c r="Q174" i="2"/>
  <c r="Q178" i="2"/>
  <c r="Q182" i="2"/>
  <c r="Q186" i="2"/>
  <c r="Q190" i="2"/>
  <c r="Q194" i="2"/>
  <c r="Q198" i="2"/>
  <c r="Q202" i="2"/>
  <c r="Q206" i="2"/>
  <c r="Q210" i="2"/>
  <c r="Q214" i="2"/>
  <c r="Q8" i="2"/>
  <c r="Q12" i="2"/>
  <c r="Q16" i="2"/>
  <c r="Q20" i="2"/>
  <c r="Q40" i="2"/>
  <c r="Q44" i="2"/>
  <c r="Q48" i="2"/>
  <c r="Q52" i="2"/>
  <c r="Q56" i="2"/>
  <c r="Q60" i="2"/>
  <c r="Q64" i="2"/>
  <c r="Q68" i="2"/>
  <c r="Q72" i="2"/>
  <c r="Q76" i="2"/>
  <c r="Q96" i="2"/>
  <c r="Q100" i="2"/>
  <c r="Q104" i="2"/>
  <c r="Q108" i="2"/>
  <c r="Q112" i="2"/>
  <c r="Q116" i="2"/>
  <c r="Q132" i="2"/>
  <c r="Q136" i="2"/>
  <c r="Q140" i="2"/>
  <c r="Q144" i="2"/>
  <c r="Q148" i="2"/>
  <c r="Q152" i="2"/>
  <c r="Q156" i="2"/>
  <c r="Q160" i="2"/>
  <c r="Q164" i="2"/>
  <c r="Q39" i="2"/>
  <c r="Q43" i="2"/>
  <c r="Q47" i="2"/>
  <c r="Q51" i="2"/>
  <c r="Q55" i="2"/>
  <c r="Q91" i="2"/>
  <c r="Q95" i="2"/>
  <c r="Q99" i="2"/>
  <c r="Q103" i="2"/>
  <c r="Q107" i="2"/>
  <c r="Q111" i="2"/>
  <c r="Q131" i="2"/>
  <c r="Q135" i="2"/>
  <c r="Q139" i="2"/>
  <c r="Q143" i="2"/>
  <c r="Q183" i="2"/>
  <c r="Q187" i="2"/>
  <c r="Q191" i="2"/>
  <c r="Q195" i="2"/>
  <c r="Q199" i="2"/>
  <c r="Q203" i="2"/>
  <c r="Q207" i="2"/>
  <c r="Q211" i="2"/>
  <c r="Q215" i="2"/>
  <c r="G17" i="9"/>
  <c r="D20" i="9"/>
  <c r="E23" i="9"/>
  <c r="D25" i="9"/>
  <c r="F25" i="9" s="1"/>
  <c r="H11" i="8"/>
  <c r="D19" i="9"/>
  <c r="E19" i="9"/>
  <c r="E17" i="9"/>
  <c r="J8" i="9"/>
  <c r="J25" i="9" s="1"/>
  <c r="G12" i="9"/>
  <c r="D28" i="9"/>
  <c r="C11" i="8"/>
  <c r="L10" i="8"/>
  <c r="K8" i="8"/>
  <c r="Q10" i="8" s="1"/>
  <c r="I9" i="8"/>
  <c r="L9" i="8"/>
  <c r="I11" i="8"/>
  <c r="O11" i="8"/>
  <c r="O9" i="8"/>
  <c r="L8" i="8"/>
  <c r="O8" i="8"/>
  <c r="Q8" i="8" s="1"/>
  <c r="G26" i="9"/>
  <c r="G14" i="9"/>
  <c r="E21" i="9"/>
  <c r="D15" i="9"/>
  <c r="E9" i="9"/>
  <c r="C4" i="9"/>
  <c r="G16" i="9"/>
  <c r="H16" i="9" s="1"/>
  <c r="I16" i="9" s="1"/>
  <c r="D18" i="9"/>
  <c r="E27" i="9"/>
  <c r="G19" i="9"/>
  <c r="G27" i="9"/>
  <c r="D21" i="9"/>
  <c r="G22" i="9"/>
  <c r="D23" i="9"/>
  <c r="E22" i="9"/>
  <c r="G9" i="9"/>
  <c r="D10" i="9"/>
  <c r="C3" i="9"/>
  <c r="G23" i="9"/>
  <c r="E18" i="9"/>
  <c r="D27" i="9"/>
  <c r="E16" i="9"/>
  <c r="E15" i="9"/>
  <c r="E24" i="9"/>
  <c r="E26" i="9"/>
  <c r="G18" i="9"/>
  <c r="D9" i="9"/>
  <c r="D26" i="9"/>
  <c r="D16" i="9"/>
  <c r="F16" i="9" s="1"/>
  <c r="G21" i="9"/>
  <c r="E12" i="9"/>
  <c r="G20" i="9"/>
  <c r="E20" i="9"/>
  <c r="D24" i="9"/>
  <c r="G11" i="9"/>
  <c r="G13" i="9"/>
  <c r="G24" i="9"/>
  <c r="E13" i="9"/>
  <c r="D14" i="9"/>
  <c r="E28" i="9"/>
  <c r="E10" i="9"/>
  <c r="G28" i="9"/>
  <c r="D12" i="9"/>
  <c r="G15" i="9"/>
  <c r="E11" i="9"/>
  <c r="E25" i="9"/>
  <c r="D13" i="9"/>
  <c r="G25" i="9"/>
  <c r="H25" i="9" s="1"/>
  <c r="I25" i="9" s="1"/>
  <c r="G10" i="9"/>
  <c r="D17" i="9"/>
  <c r="D11" i="9"/>
  <c r="D22" i="9"/>
  <c r="D11" i="8"/>
  <c r="C4" i="8"/>
  <c r="C9" i="8"/>
  <c r="D10" i="8"/>
  <c r="E10" i="8"/>
  <c r="H9" i="8"/>
  <c r="C10" i="8"/>
  <c r="E11" i="8"/>
  <c r="E9" i="8"/>
  <c r="C3" i="8"/>
  <c r="D9" i="8"/>
  <c r="H10" i="8"/>
  <c r="I10" i="8"/>
  <c r="L11" i="8"/>
  <c r="O10" i="8"/>
  <c r="J8" i="8"/>
  <c r="M12" i="9"/>
  <c r="M28" i="9"/>
  <c r="M15" i="9"/>
  <c r="M20" i="9"/>
  <c r="M21" i="9"/>
  <c r="M11" i="9"/>
  <c r="M26" i="9"/>
  <c r="M14" i="9"/>
  <c r="M9" i="9"/>
  <c r="M18" i="9"/>
  <c r="M13" i="9"/>
  <c r="M24" i="9"/>
  <c r="M16" i="9"/>
  <c r="M10" i="9"/>
  <c r="M25" i="9"/>
  <c r="O8" i="9"/>
  <c r="M19" i="9"/>
  <c r="M23" i="9"/>
  <c r="M22" i="9"/>
  <c r="M17" i="9"/>
  <c r="M27" i="9"/>
  <c r="N8" i="9"/>
  <c r="D7" i="8" l="1" a="1"/>
  <c r="D7" i="8" s="1"/>
  <c r="C7" i="8" a="1"/>
  <c r="C7" i="8" s="1"/>
  <c r="E7" i="9" a="1"/>
  <c r="E7" i="9" s="1"/>
  <c r="D7" i="9" a="1"/>
  <c r="D7" i="9" s="1"/>
  <c r="J14" i="9"/>
  <c r="J19" i="9"/>
  <c r="L8" i="9"/>
  <c r="L24" i="9" s="1"/>
  <c r="J22" i="9"/>
  <c r="J10" i="9"/>
  <c r="J28" i="9"/>
  <c r="J18" i="9"/>
  <c r="J27" i="9"/>
  <c r="J26" i="9"/>
  <c r="J13" i="9"/>
  <c r="H10" i="9"/>
  <c r="I10" i="9" s="1"/>
  <c r="F27" i="9"/>
  <c r="F12" i="9"/>
  <c r="H20" i="9"/>
  <c r="I20" i="9" s="1"/>
  <c r="J24" i="9"/>
  <c r="F20" i="9"/>
  <c r="J11" i="9"/>
  <c r="F14" i="9"/>
  <c r="J9" i="9"/>
  <c r="J15" i="9"/>
  <c r="C5" i="8"/>
  <c r="D4" i="8" s="1"/>
  <c r="Q9" i="8"/>
  <c r="F23" i="9"/>
  <c r="H28" i="9"/>
  <c r="I28" i="9" s="1"/>
  <c r="F28" i="9"/>
  <c r="F22" i="9"/>
  <c r="H15" i="9"/>
  <c r="I15" i="9" s="1"/>
  <c r="F11" i="8"/>
  <c r="F17" i="9"/>
  <c r="N11" i="8"/>
  <c r="K10" i="8"/>
  <c r="F24" i="9"/>
  <c r="H21" i="9"/>
  <c r="I21" i="9" s="1"/>
  <c r="H18" i="9"/>
  <c r="I18" i="9" s="1"/>
  <c r="C5" i="9"/>
  <c r="D3" i="9" s="1"/>
  <c r="H19" i="9"/>
  <c r="I19" i="9" s="1"/>
  <c r="K9" i="8"/>
  <c r="N9" i="8"/>
  <c r="K11" i="8"/>
  <c r="Q11" i="8"/>
  <c r="N10" i="8"/>
  <c r="F19" i="9"/>
  <c r="G10" i="8"/>
  <c r="P8" i="8"/>
  <c r="F10" i="8"/>
  <c r="F11" i="9"/>
  <c r="J20" i="9"/>
  <c r="J21" i="9"/>
  <c r="K8" i="9"/>
  <c r="J12" i="9"/>
  <c r="J17" i="9"/>
  <c r="J23" i="9"/>
  <c r="J16" i="9"/>
  <c r="F21" i="9"/>
  <c r="F13" i="9"/>
  <c r="H23" i="9"/>
  <c r="I23" i="9" s="1"/>
  <c r="M8" i="8"/>
  <c r="N8" i="8"/>
  <c r="L28" i="9"/>
  <c r="H26" i="9"/>
  <c r="I26" i="9" s="1"/>
  <c r="H24" i="9"/>
  <c r="I24" i="9" s="1"/>
  <c r="F10" i="9"/>
  <c r="H22" i="9"/>
  <c r="I22" i="9" s="1"/>
  <c r="F15" i="9"/>
  <c r="M10" i="8"/>
  <c r="P9" i="8"/>
  <c r="P10" i="8"/>
  <c r="M11" i="8"/>
  <c r="J11" i="8"/>
  <c r="P11" i="8"/>
  <c r="M9" i="8"/>
  <c r="J9" i="8"/>
  <c r="J10" i="8"/>
  <c r="G11" i="8"/>
  <c r="H13" i="9"/>
  <c r="I13" i="9" s="1"/>
  <c r="F26" i="9"/>
  <c r="H9" i="9"/>
  <c r="I9" i="9" s="1"/>
  <c r="F18" i="9"/>
  <c r="G9" i="8"/>
  <c r="F9" i="8"/>
  <c r="H11" i="9"/>
  <c r="I11" i="9" s="1"/>
  <c r="F9" i="9"/>
  <c r="H27" i="9"/>
  <c r="I27" i="9" s="1"/>
  <c r="H17" i="9"/>
  <c r="I17" i="9" s="1"/>
  <c r="H14" i="9"/>
  <c r="I14" i="9" s="1"/>
  <c r="H12" i="9"/>
  <c r="I12" i="9" s="1"/>
  <c r="O16" i="9"/>
  <c r="O23" i="9"/>
  <c r="O17" i="9"/>
  <c r="O20" i="9"/>
  <c r="O26" i="9"/>
  <c r="O21" i="9"/>
  <c r="O9" i="9"/>
  <c r="O11" i="9"/>
  <c r="O18" i="9"/>
  <c r="O10" i="9"/>
  <c r="O19" i="9"/>
  <c r="O27" i="9"/>
  <c r="O14" i="9"/>
  <c r="O15" i="9"/>
  <c r="O12" i="9"/>
  <c r="O13" i="9"/>
  <c r="O25" i="9"/>
  <c r="O22" i="9"/>
  <c r="O24" i="9"/>
  <c r="O28" i="9"/>
  <c r="N23" i="9"/>
  <c r="N18" i="9"/>
  <c r="N22" i="9"/>
  <c r="N10" i="9"/>
  <c r="N19" i="9"/>
  <c r="N28" i="9"/>
  <c r="N27" i="9"/>
  <c r="N15" i="9"/>
  <c r="N11" i="9"/>
  <c r="N17" i="9"/>
  <c r="N12" i="9"/>
  <c r="N24" i="9"/>
  <c r="N16" i="9"/>
  <c r="N25" i="9"/>
  <c r="N20" i="9"/>
  <c r="N13" i="9"/>
  <c r="N21" i="9"/>
  <c r="N9" i="9"/>
  <c r="N26" i="9"/>
  <c r="N14" i="9"/>
  <c r="L11" i="9" l="1"/>
  <c r="L13" i="9"/>
  <c r="L17" i="9"/>
  <c r="L16" i="9"/>
  <c r="L26" i="9"/>
  <c r="L25" i="9"/>
  <c r="L21" i="9"/>
  <c r="L15" i="9"/>
  <c r="L20" i="9"/>
  <c r="L14" i="9"/>
  <c r="L19" i="9"/>
  <c r="L22" i="9"/>
  <c r="L23" i="9"/>
  <c r="L18" i="9"/>
  <c r="L9" i="9"/>
  <c r="L12" i="9"/>
  <c r="L27" i="9"/>
  <c r="L10" i="9"/>
  <c r="D3" i="8"/>
  <c r="D4" i="9"/>
  <c r="K16" i="9"/>
  <c r="K23" i="9"/>
  <c r="K13" i="9"/>
  <c r="K19" i="9"/>
  <c r="K28" i="9"/>
  <c r="K17" i="9"/>
  <c r="K12" i="9"/>
  <c r="K14" i="9"/>
  <c r="K21" i="9"/>
  <c r="K27" i="9"/>
  <c r="K22" i="9"/>
  <c r="K26" i="9"/>
  <c r="K11" i="9"/>
  <c r="K24" i="9"/>
  <c r="K10" i="9"/>
  <c r="K15" i="9"/>
  <c r="K9" i="9"/>
  <c r="K18" i="9"/>
  <c r="K25" i="9"/>
  <c r="K20"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<sst xmlns="http://schemas.openxmlformats.org/spreadsheetml/2006/main" count="1924" uniqueCount="214">
  <si>
    <t>© www.excel-skills.com</t>
  </si>
  <si>
    <t>Instructions</t>
  </si>
  <si>
    <t>www.excel-skills.com</t>
  </si>
  <si>
    <t>Help &amp; Customization</t>
  </si>
  <si>
    <t>If you experience any difficulty while using this template and you are not able to find the appropriate guidance in these instructions, please e-mail us at support@excel-skills.com for assistance. This template has been designed with flexibility in mind to ensure that it can be used in most business environments. If however you need an Excel based template that is customized specifically for your business requirements, please e-mail our Support function and provide a brief explanation of your requirements.</t>
  </si>
  <si>
    <t>© Copyright</t>
  </si>
  <si>
    <t>This template remains the intellectual property of www.excel-skills.com and is protected by international copyright laws. Any publication or distribution of this template outside the scope of the permitted use of the template is expressly prohibited. In terms of the permitted use of this template, only the distribution of the template to persons within the same organisation as the registered user or persons outside the organisation who can reasonably be expected to require access to the template as a direct result of the use of the template by the registered user is allowed. Subsequent distribution of the template by parties outside of the organisation is however expressly prohibited and represents an infringement of international copyright laws.</t>
  </si>
  <si>
    <t>Travel Type</t>
  </si>
  <si>
    <t>From</t>
  </si>
  <si>
    <t>To</t>
  </si>
  <si>
    <t>Purpose</t>
  </si>
  <si>
    <t>Vehicle Reg Number</t>
  </si>
  <si>
    <t>Rate</t>
  </si>
  <si>
    <t>Odometer Opening</t>
  </si>
  <si>
    <t>Odometer Closing</t>
  </si>
  <si>
    <t>Total Trip Distance</t>
  </si>
  <si>
    <t>Travel Date</t>
  </si>
  <si>
    <t>Travel Time</t>
  </si>
  <si>
    <t>Client Charge Sheet</t>
  </si>
  <si>
    <t>Client Code</t>
  </si>
  <si>
    <t>Client Name</t>
  </si>
  <si>
    <t>DFM01</t>
  </si>
  <si>
    <t>DF Manufacturing</t>
  </si>
  <si>
    <t>DIG01</t>
  </si>
  <si>
    <t>Digicom</t>
  </si>
  <si>
    <t>ECE01</t>
  </si>
  <si>
    <t>EC Estate Agents</t>
  </si>
  <si>
    <t>ENE01</t>
  </si>
  <si>
    <t>Energy Incorporated</t>
  </si>
  <si>
    <t>FSF01</t>
  </si>
  <si>
    <t>FS Financial Services</t>
  </si>
  <si>
    <t>GPA01</t>
  </si>
  <si>
    <t>GP Accountants</t>
  </si>
  <si>
    <t>INS01</t>
  </si>
  <si>
    <t>Insurance Solutions</t>
  </si>
  <si>
    <t>ITS01</t>
  </si>
  <si>
    <t>IT Solutions</t>
  </si>
  <si>
    <t>KZB01</t>
  </si>
  <si>
    <t>KZN Bonds</t>
  </si>
  <si>
    <t>PTY01</t>
  </si>
  <si>
    <t>PTY Consultants</t>
  </si>
  <si>
    <t>SAB01</t>
  </si>
  <si>
    <t>SA Bonds</t>
  </si>
  <si>
    <t>TPS01</t>
  </si>
  <si>
    <t>The Paint Shop</t>
  </si>
  <si>
    <t>TRF01</t>
  </si>
  <si>
    <t>TRF Solutions</t>
  </si>
  <si>
    <t>WCA01</t>
  </si>
  <si>
    <t>WC Financial Advisors</t>
  </si>
  <si>
    <t>WWR01</t>
  </si>
  <si>
    <t>WW Retail</t>
  </si>
  <si>
    <t>XXB01</t>
  </si>
  <si>
    <t>XX Building Supplies</t>
  </si>
  <si>
    <t>XYS01</t>
  </si>
  <si>
    <t>XY Services</t>
  </si>
  <si>
    <t>XXX01</t>
  </si>
  <si>
    <t>ABC01</t>
  </si>
  <si>
    <t>ABC Limited</t>
  </si>
  <si>
    <t>CCS01</t>
  </si>
  <si>
    <t>CC Supplies</t>
  </si>
  <si>
    <t>Total Mileage</t>
  </si>
  <si>
    <t>Total Charges</t>
  </si>
  <si>
    <t>Filter Selections:</t>
  </si>
  <si>
    <t>From Date:</t>
  </si>
  <si>
    <t>To Date:</t>
  </si>
  <si>
    <t>Vehicle:</t>
  </si>
  <si>
    <t>Vehicle Charge Sheet</t>
  </si>
  <si>
    <t>Vehicle Description</t>
  </si>
  <si>
    <t>Unassigned Private Travel</t>
  </si>
  <si>
    <t>Rate Charged</t>
  </si>
  <si>
    <t>EXS111WC</t>
  </si>
  <si>
    <t>EXS222WC</t>
  </si>
  <si>
    <t>EXS333WC</t>
  </si>
  <si>
    <t>BMW - A Smith</t>
  </si>
  <si>
    <t>Toyota - C Wilson</t>
  </si>
  <si>
    <t>Ford - Pool Car</t>
  </si>
  <si>
    <t>Driver</t>
  </si>
  <si>
    <t>Error Code</t>
  </si>
  <si>
    <t>Work</t>
  </si>
  <si>
    <t>Total Trip Charges</t>
  </si>
  <si>
    <t>Private</t>
  </si>
  <si>
    <t>Business</t>
  </si>
  <si>
    <t>A Smith</t>
  </si>
  <si>
    <t>Client</t>
  </si>
  <si>
    <t>Client Consultation</t>
  </si>
  <si>
    <t>Private Travel</t>
  </si>
  <si>
    <t>Various Private</t>
  </si>
  <si>
    <t>C Wilson</t>
  </si>
  <si>
    <t>R Hughes</t>
  </si>
  <si>
    <t>P Butler</t>
  </si>
  <si>
    <t>Travel Distance</t>
  </si>
  <si>
    <t>Standard Distance</t>
  </si>
  <si>
    <t>Distance Variance</t>
  </si>
  <si>
    <t>Number of Trips</t>
  </si>
  <si>
    <t>Average Distance</t>
  </si>
  <si>
    <t>Total Business Trip Mileage</t>
  </si>
  <si>
    <t>Total Private Trip Mileage</t>
  </si>
  <si>
    <t>Total All Trip Mileage</t>
  </si>
  <si>
    <t>Client:</t>
  </si>
  <si>
    <t>Business Mileage</t>
  </si>
  <si>
    <t>Business Travel %</t>
  </si>
  <si>
    <t>Business %</t>
  </si>
  <si>
    <t>Number of Business Trips</t>
  </si>
  <si>
    <t>Vehicle Registration Number:</t>
  </si>
  <si>
    <t>Form Number:</t>
  </si>
  <si>
    <t>TL00001</t>
  </si>
  <si>
    <t>Signature</t>
  </si>
  <si>
    <t>AAA001</t>
  </si>
  <si>
    <t>Client Consulation</t>
  </si>
  <si>
    <t>XXXXXXXXXXXXXXXXXXXXXXX</t>
  </si>
  <si>
    <t>Form Number</t>
  </si>
  <si>
    <t>TL0001</t>
  </si>
  <si>
    <t>TL0004</t>
  </si>
  <si>
    <t>TL0007</t>
  </si>
  <si>
    <t>TL0010</t>
  </si>
  <si>
    <t>TL0002</t>
  </si>
  <si>
    <t>TL0006</t>
  </si>
  <si>
    <t>TL0008</t>
  </si>
  <si>
    <t>TL0005</t>
  </si>
  <si>
    <t>TL0009</t>
  </si>
  <si>
    <t>TL0011</t>
  </si>
  <si>
    <t>TL0003</t>
  </si>
  <si>
    <t>Error Codes</t>
  </si>
  <si>
    <t>Vehicle Logbook Entries</t>
  </si>
  <si>
    <t>Vehicle Logbook Form</t>
  </si>
  <si>
    <t>Excel Skills | Vehicle Logbook Template</t>
  </si>
  <si>
    <t>The template includes the following sheets:</t>
  </si>
  <si>
    <t>Vehicle Logbook Details</t>
  </si>
  <si>
    <t>The Logbook sheet contains the following user input columns (columns with yellow column headings):</t>
  </si>
  <si>
    <t>The Logbook sheet contains the following calculated columns (columns with light blue column headings):</t>
  </si>
  <si>
    <t>Note: Trips can be added to the logbook on a single or round trip basis. If you are basically travelling to and from a client, it may not be necessary to add both trips to the logbook as it will only result in additional entries needing to be recorded. If round trips are used, the odometer readings should be entered accordingly in order for the correct distance to be calculated and the basis of entering round trips should be applied consistently to all the business &amp; private trips that are added to this template.</t>
  </si>
  <si>
    <t>Note: Aside from the mileage that is travelled, private trips usually do not need to be specified in detail on a per trip basis. The mileage of multiple private trips can therefore be determined at the start of the next business trip based on the odometer reading at the time. The template does however provide for entering individual private trips - this basis of input will only result in more entries having to be added to the template.</t>
  </si>
  <si>
    <t>Note: A customer code of "XXX01" needs to be assigned to all private trips. This customer code has been created specifically for private trips and has been added to the Clients sheet. This default private trip client code therefore needs to be retained in the list of client codes.</t>
  </si>
  <si>
    <t>The Clients sheet can be used to calculate the travel charges that needs to be invoiced to each client based on any user defined date range. Simply create a new client code for all client accounts, enter a client name and enter the standard distance which is applicable when travelling to the particular client. The columns with light blue column headings contain formulas which need to be copied for all new client codes that are created.</t>
  </si>
  <si>
    <t>Note: All the client codes that are created on the Clients sheet need to be entered in a continuous cell range otherwise some entries may not be included in the template calculations. You should therefore not insert any blank rows between the rows that contain data.</t>
  </si>
  <si>
    <t>The Client sheet contains the following user input columns:</t>
  </si>
  <si>
    <t>The Clients sheet contains the following calculated columns (columns with light blue column headings) which are all based on the filter selections at the top of the sheet:</t>
  </si>
  <si>
    <t>Filter Selection Options</t>
  </si>
  <si>
    <t>All the calculations in the light blue columns on the Clients sheet are based on the filter selections which have been specified at the top of the sheet. These selections enable users to compile a client charge sheet based on any user defined date range and for any individual vehicle. The filter selections on the Client sheet include the following user input cells:</t>
  </si>
  <si>
    <t>Note: The total business &amp; private mileage as well as the appropriate percentages are displayed in column C and D at the top of the sheet.</t>
  </si>
  <si>
    <t>Note: All the vehicle registration numbers that are added to the Vehicles sheet need to be entered in a continuous cell range otherwise some entries may not be included in the template calculations. You should therefore not insert any blank rows between the rows that contain data.</t>
  </si>
  <si>
    <t>The Vehicles sheet contains the following user input columns:</t>
  </si>
  <si>
    <t>The Vehicles sheet contains the following calculated columns (columns with light blue column headings) which are all based on the filter selections at the top of the sheet:</t>
  </si>
  <si>
    <t>All the calculations in the light blue columns on the Vehicles sheet are based on the filter selections which have been specified at the top of the sheet. These selections enable users to compile a vehicle charge sheet based on any user defined date range and for any individual client. The filter selections on the Vehicles sheet include the following user input cells:</t>
  </si>
  <si>
    <t>The vehicle logbook form on the Form sheet can be printed and supplied to drivers in order for them to record all business &amp; private trips. The contents of these forms can then be recorded on the Logbook sheet.</t>
  </si>
  <si>
    <t>Note: An example of the input which is required in each column is supplied at the top of the sheet.</t>
  </si>
  <si>
    <t>Note: We strongly recommend issuing these forms in a numeric sequence by changing the form number at the top of the sheet before printing the form. This will enable users to check the form sequence in order to ensure that all vehicle logbook entries have been recorded.</t>
  </si>
  <si>
    <t>Note: The Filter feature can be used to display the detailed logbook records for any of the individual or combined totals on the Clients or Vehicles sheet by simply applying the same filter criteria as has been applied to the appropriate sheet to the columns on the Logbook sheet. This is especially useful if you want to supply a client with the detailed logbook entries which make up the total that is charged to the client for any particular period.</t>
  </si>
  <si>
    <t>The following error codes may result from inaccurate input on the Logbook sheet and will be displayed in the Error Code column. The heading of the affected input column will also be highlighted in orange:</t>
  </si>
  <si>
    <t>■ E1 - this error code means that the vehicle registration number that has been selected in column D is invalid. All the vehicle registration numbers that have been added to the Vehicles sheet will be included in the list boxes in column D and the error can therefore be rectified by simply selecting a valid vehicle registration number from the list box. New vehicle registration numbers must be created on the Vehicles sheet before being available for selection.</t>
  </si>
  <si>
    <t>■ E4 - this error code indicates that an incorrect client code has been specified for a business trip on the Logbook sheet. All private trips must be allocated to the default "XXX01" client code in column H on the Logbook sheet. If you use this default private trip code for a business trip, this error will be displayed. The error can be corrected by simply selecting the correct client code in column H or changing the type of travel to private.</t>
  </si>
  <si>
    <t>■ E3 - this error code indicates that an incorrect client code has been specified for a private trip on the Logbook sheet. All private trips must be allocated to the default "XXX01" client code in column H on the Logbook sheet.  The error can be corrected by simply selecting the correct client code ("XXX01") in column H or changing the type of travel to business and selecting the correct client code.</t>
  </si>
  <si>
    <t>Note: Input errors may result in inaccurate template calculations and it is therefore imperative that all errors are resolved before reviewing the template calculations.</t>
  </si>
  <si>
    <t>This unique template enables users to compile a complete vehicle logbook for all business and private travel. The template accommodates multiple vehicles and can also be used to calculate travel charges for invoicing to clients. The template is suitable for individuals who need to compile a vehicle logbook for income tax purposes and for businesses that need to manage a fleet of vehicles, calculate amounts that need to be charged to clients, manage pool cars and analyse business &amp; private use of vehicles.</t>
  </si>
  <si>
    <t>The Vehicle sheet can be used to analyse the business &amp; private mileage of any vehicle based on any user defined date range. Simply add a new vehicle registration number and enter a description for the vehicle. The columns with light blue column headings contain formulas which need to be copied for all new vehicles that are added to the sheet.</t>
  </si>
  <si>
    <t>All the column headings on the Logbook sheet contain filter selection arrows which indicate that the Filter feature has been activated on the Logbook sheet. This feature can be used to filter the data on the sheet based on requirements. Note that the totals above the column headings will also only be based on the filtered records once a filter has been applied to the sheet.</t>
  </si>
  <si>
    <t>All business &amp; private trip details for each of the vehicles that are included in this template need to be recorded on the Logbook sheet. All the columns with yellow column headings require user input while the columns with light blue column headings contain formulas which are automatically copied for all the new rows that are added to this sheet.</t>
  </si>
  <si>
    <t>Note: The contents on the Logbook sheet have been included in an Excel data table. All the columns on the Logbook sheet with yellow column headings require user input. The columns with light blue column headings contain formulas that are automatically copied for all new entries that are added to the table. Entries can be added to the table by simply entering a travel date in the first empty cell in column A - the table will be extended automatically to include the new entry.</t>
  </si>
  <si>
    <t>Note: The template calculations only include the first 200 client codes on the Clients sheet. If this default value is not sufficient, open the Name Manager feature (Formulas tab on the ribbon) and simply change the value of 200 which is specified for the CRecords named range to the required number of client codes which need to be included in the template calculations.</t>
  </si>
  <si>
    <t>Note: The template calculations only include the first 200 vehicle registration numbers on the Vehicles sheet. If this default value is not sufficient, open the Name Manager feature (Formulas tab on the ribbon) and simply change the value of 200 which is specified for the VRecords named range to the required number of vehicle registration numbers which need to be included in the template calculations.</t>
  </si>
  <si>
    <r>
      <rPr>
        <b/>
        <sz val="10"/>
        <rFont val="Arial"/>
        <family val="2"/>
      </rPr>
      <t>Logbook</t>
    </r>
    <r>
      <rPr>
        <sz val="10"/>
        <rFont val="Arial"/>
        <family val="2"/>
      </rPr>
      <t xml:space="preserve"> - this sheet can be used to compile a comprehensive vehicle logbook for multiple vehicles. The vehicle registration number and client code selections are based on the contents of the Vehicles and Clients sheets. The travel distance is calculated based on the opening &amp; closing odometer readings and is compared to the standard distance for the selected client which is defined on the Clients sheet.</t>
    </r>
  </si>
  <si>
    <r>
      <rPr>
        <b/>
        <sz val="10"/>
        <rFont val="Arial"/>
        <family val="2"/>
      </rPr>
      <t>Clients</t>
    </r>
    <r>
      <rPr>
        <sz val="10"/>
        <rFont val="Arial"/>
        <family val="2"/>
      </rPr>
      <t xml:space="preserve"> - create client codes for all clients on this sheet and enter a client name &amp; standard travel distance. The calculations on this sheet can be used to calculate the amounts that need to be charged to clients based on any user defined date range &amp; vehicle selection. The sheet also contains calculations which can be used to analyse the travel that is charged to clients on a monthly basis.</t>
    </r>
  </si>
  <si>
    <r>
      <rPr>
        <b/>
        <sz val="10"/>
        <rFont val="Arial"/>
        <family val="2"/>
      </rPr>
      <t>Form</t>
    </r>
    <r>
      <rPr>
        <sz val="10"/>
        <rFont val="Arial"/>
        <family val="2"/>
      </rPr>
      <t xml:space="preserve"> - this sheet contains a form which can be printed and supplied to all drivers in order to record all business &amp; private trip details. The trip details that are recorded on these forms can then be entered on the Logbook sheet in order to compile a comprehensive logbook for each vehicle.</t>
    </r>
  </si>
  <si>
    <r>
      <rPr>
        <b/>
        <sz val="10"/>
        <rFont val="Arial"/>
        <family val="2"/>
      </rPr>
      <t>Travel Date</t>
    </r>
    <r>
      <rPr>
        <sz val="10"/>
        <rFont val="Arial"/>
        <family val="2"/>
      </rPr>
      <t xml:space="preserve"> - enter the date of the trip in this column. All dates must be entered in accordance with the regional date settings that are specified in your System Control Panel.</t>
    </r>
  </si>
  <si>
    <r>
      <rPr>
        <b/>
        <sz val="10"/>
        <rFont val="Arial"/>
        <family val="2"/>
      </rPr>
      <t>Travel Time</t>
    </r>
    <r>
      <rPr>
        <sz val="10"/>
        <rFont val="Arial"/>
        <family val="2"/>
      </rPr>
      <t xml:space="preserve"> - enter the time of the trip in this column. All times must be entered in accordance with the regional time settings that are specified in your System Control Panel.</t>
    </r>
  </si>
  <si>
    <r>
      <rPr>
        <b/>
        <sz val="10"/>
        <rFont val="Arial"/>
        <family val="2"/>
      </rPr>
      <t>Form Number</t>
    </r>
    <r>
      <rPr>
        <sz val="10"/>
        <rFont val="Arial"/>
        <family val="2"/>
      </rPr>
      <t xml:space="preserve"> - enter the form number of the printed form which was used to record all the trip details. If forms are printed with sequential form numbers, the sequence of the form numbers can be checked in order to ensure that all forms have been recorded on the Logbook sheet.</t>
    </r>
  </si>
  <si>
    <r>
      <rPr>
        <b/>
        <sz val="10"/>
        <rFont val="Arial"/>
        <family val="2"/>
      </rPr>
      <t xml:space="preserve">Vehicle Reg Number </t>
    </r>
    <r>
      <rPr>
        <sz val="10"/>
        <rFont val="Arial"/>
        <family val="2"/>
      </rPr>
      <t>- select the vehicle registration number from the list box in this column. The list box includes all the vehicles that have been added to the Vehicles sheet. New vehicles must therefore be added to the Vehicles sheet before the registration number will be available for selection on this sheet.</t>
    </r>
  </si>
  <si>
    <r>
      <rPr>
        <b/>
        <sz val="10"/>
        <rFont val="Arial"/>
        <family val="2"/>
      </rPr>
      <t>Odometer Opening</t>
    </r>
    <r>
      <rPr>
        <sz val="10"/>
        <rFont val="Arial"/>
        <family val="2"/>
      </rPr>
      <t xml:space="preserve"> - enter the odometer reading at the start of the trip in this column.</t>
    </r>
  </si>
  <si>
    <r>
      <rPr>
        <b/>
        <sz val="10"/>
        <rFont val="Arial"/>
        <family val="2"/>
      </rPr>
      <t>Odometer Closing</t>
    </r>
    <r>
      <rPr>
        <sz val="10"/>
        <rFont val="Arial"/>
        <family val="2"/>
      </rPr>
      <t xml:space="preserve"> - enter the odometer reading at the end of the trip in this column.</t>
    </r>
  </si>
  <si>
    <r>
      <rPr>
        <b/>
        <sz val="10"/>
        <rFont val="Arial"/>
        <family val="2"/>
      </rPr>
      <t>Travel Type</t>
    </r>
    <r>
      <rPr>
        <sz val="10"/>
        <rFont val="Arial"/>
        <family val="2"/>
      </rPr>
      <t xml:space="preserve"> - select either "Business" or "Private" from the list box in this column. If any cell in this column is left blank, the trip will be seen as a private trip.</t>
    </r>
  </si>
  <si>
    <r>
      <rPr>
        <b/>
        <sz val="10"/>
        <rFont val="Arial"/>
        <family val="2"/>
      </rPr>
      <t>From</t>
    </r>
    <r>
      <rPr>
        <sz val="10"/>
        <rFont val="Arial"/>
        <family val="2"/>
      </rPr>
      <t xml:space="preserve"> - enter the location from which the trip started.</t>
    </r>
  </si>
  <si>
    <r>
      <rPr>
        <b/>
        <sz val="10"/>
        <rFont val="Arial"/>
        <family val="2"/>
      </rPr>
      <t>To</t>
    </r>
    <r>
      <rPr>
        <sz val="10"/>
        <rFont val="Arial"/>
        <family val="2"/>
      </rPr>
      <t xml:space="preserve"> - enter the trip destination in this column.</t>
    </r>
  </si>
  <si>
    <r>
      <rPr>
        <b/>
        <sz val="10"/>
        <rFont val="Arial"/>
        <family val="2"/>
      </rPr>
      <t>Purpose</t>
    </r>
    <r>
      <rPr>
        <sz val="10"/>
        <rFont val="Arial"/>
        <family val="2"/>
      </rPr>
      <t xml:space="preserve"> - enter the purpose of the trip in this column.</t>
    </r>
  </si>
  <si>
    <r>
      <rPr>
        <b/>
        <sz val="10"/>
        <rFont val="Arial"/>
        <family val="2"/>
      </rPr>
      <t>Rate</t>
    </r>
    <r>
      <rPr>
        <sz val="10"/>
        <rFont val="Arial"/>
        <family val="2"/>
      </rPr>
      <t xml:space="preserve"> - enter the rate per mile or kilometre that needs to be charged to the client. Charges are typically only applicable to business trips and a nil value is usually therefore specified for private trips.</t>
    </r>
  </si>
  <si>
    <r>
      <rPr>
        <b/>
        <sz val="10"/>
        <rFont val="Arial"/>
        <family val="2"/>
      </rPr>
      <t>Driver</t>
    </r>
    <r>
      <rPr>
        <sz val="10"/>
        <rFont val="Arial"/>
        <family val="2"/>
      </rPr>
      <t xml:space="preserve"> - enter the name of the driver in this column.</t>
    </r>
  </si>
  <si>
    <r>
      <rPr>
        <b/>
        <sz val="10"/>
        <rFont val="Arial"/>
        <family val="2"/>
      </rPr>
      <t>Total Trip Distance</t>
    </r>
    <r>
      <rPr>
        <sz val="10"/>
        <rFont val="Arial"/>
        <family val="2"/>
      </rPr>
      <t xml:space="preserve"> - the distance of the trip is calculated by deducting the opening odometer reading from the closing odometer reading. If the odometer reading is in miles, the trip distance will be in miles. If the odometer reading is in kilometres, the trip distance will be in kilometres.</t>
    </r>
  </si>
  <si>
    <r>
      <rPr>
        <b/>
        <sz val="10"/>
        <rFont val="Arial"/>
        <family val="2"/>
      </rPr>
      <t>Total Trip Charges</t>
    </r>
    <r>
      <rPr>
        <sz val="10"/>
        <rFont val="Arial"/>
        <family val="2"/>
      </rPr>
      <t xml:space="preserve"> - this amount is calculated by multiplying the rate in column L by the trip distance in the previous column.</t>
    </r>
  </si>
  <si>
    <r>
      <rPr>
        <b/>
        <sz val="10"/>
        <rFont val="Arial"/>
        <family val="2"/>
      </rPr>
      <t>Standard Distance</t>
    </r>
    <r>
      <rPr>
        <sz val="10"/>
        <rFont val="Arial"/>
        <family val="2"/>
      </rPr>
      <t xml:space="preserve"> - the standard trip distance is defined for each client on the Clients sheet.</t>
    </r>
  </si>
  <si>
    <r>
      <rPr>
        <b/>
        <sz val="10"/>
        <rFont val="Arial"/>
        <family val="2"/>
      </rPr>
      <t>Distance Variance</t>
    </r>
    <r>
      <rPr>
        <sz val="10"/>
        <rFont val="Arial"/>
        <family val="2"/>
      </rPr>
      <t xml:space="preserve"> - this calculation is the difference between the standard client distance in the previous column and the trip distance which is calculated in column N. It therefore indicates a variance between the logbook entry and the standard distance to the appropriate client location and can be used to identify errors in recording the distance travelled for business purposes. There is no standard distance for private travel which means that this calculation is not performed for private trips.</t>
    </r>
  </si>
  <si>
    <r>
      <rPr>
        <b/>
        <sz val="10"/>
        <rFont val="Arial"/>
        <family val="2"/>
      </rPr>
      <t>Error Code</t>
    </r>
    <r>
      <rPr>
        <sz val="10"/>
        <rFont val="Arial"/>
        <family val="2"/>
      </rPr>
      <t xml:space="preserve"> - this column will contain an error code if there is a problem with the input in any of the user input columns. Refer to the Error Codes section of the instructions for more info on the error codes that may be encountered. All error codes must be resolved in order to ensure that the template calculations remain accurate.</t>
    </r>
  </si>
  <si>
    <r>
      <rPr>
        <b/>
        <sz val="10"/>
        <rFont val="Arial"/>
        <family val="2"/>
      </rPr>
      <t>Client Code</t>
    </r>
    <r>
      <rPr>
        <sz val="10"/>
        <rFont val="Arial"/>
        <family val="2"/>
      </rPr>
      <t xml:space="preserve"> - a unique client code needs to be created for each client account. Our sample data uses three letters and two numbers but client codes can be created in any format (we do recommend using a combination of letters and numbers though).</t>
    </r>
  </si>
  <si>
    <r>
      <rPr>
        <b/>
        <sz val="10"/>
        <rFont val="Arial"/>
        <family val="2"/>
      </rPr>
      <t>Client Name</t>
    </r>
    <r>
      <rPr>
        <sz val="10"/>
        <rFont val="Arial"/>
        <family val="2"/>
      </rPr>
      <t xml:space="preserve"> - enter the client name in this column.</t>
    </r>
  </si>
  <si>
    <r>
      <rPr>
        <b/>
        <sz val="10"/>
        <rFont val="Arial"/>
        <family val="2"/>
      </rPr>
      <t>Travel Distance</t>
    </r>
    <r>
      <rPr>
        <sz val="10"/>
        <rFont val="Arial"/>
        <family val="2"/>
      </rPr>
      <t xml:space="preserve"> - enter the standard distance which is applicable when travelling to the client. The distance should be based on the same measurement (miles or kilometres) which the odometer readings on the Logbook sheet are in. This standard distance is compared to the trip distances on the Logbook sheet in order to ensure that accurate travel distances are recorded.</t>
    </r>
  </si>
  <si>
    <r>
      <rPr>
        <b/>
        <sz val="10"/>
        <rFont val="Arial"/>
        <family val="2"/>
      </rPr>
      <t>Total Mileage</t>
    </r>
    <r>
      <rPr>
        <sz val="10"/>
        <rFont val="Arial"/>
        <family val="2"/>
      </rPr>
      <t xml:space="preserve"> - this is the total mileage that has been travelled to the client during the user defined period based on the logbook entries which have been recorded on the Logbook sheet.</t>
    </r>
  </si>
  <si>
    <r>
      <rPr>
        <b/>
        <sz val="10"/>
        <rFont val="Arial"/>
        <family val="2"/>
      </rPr>
      <t>Total Charges</t>
    </r>
    <r>
      <rPr>
        <sz val="10"/>
        <rFont val="Arial"/>
        <family val="2"/>
      </rPr>
      <t xml:space="preserve"> - this is the total charges which have been allocated to the client code and is calculated by multiplying the travel distance in column N on the Logbook sheet by the rate in column L on the Logbook sheet.</t>
    </r>
  </si>
  <si>
    <r>
      <rPr>
        <b/>
        <sz val="10"/>
        <rFont val="Arial"/>
        <family val="2"/>
      </rPr>
      <t>Rate Charged</t>
    </r>
    <r>
      <rPr>
        <sz val="10"/>
        <rFont val="Arial"/>
        <family val="2"/>
      </rPr>
      <t xml:space="preserve"> - this is the average rate which has been charged for travelling to the client and is calculated by dividing the total charges by the total mileage.</t>
    </r>
  </si>
  <si>
    <r>
      <rPr>
        <b/>
        <sz val="10"/>
        <rFont val="Arial"/>
        <family val="2"/>
      </rPr>
      <t>Number of Trips</t>
    </r>
    <r>
      <rPr>
        <sz val="10"/>
        <rFont val="Arial"/>
        <family val="2"/>
      </rPr>
      <t xml:space="preserve"> - this is the number of trips which have been allocated to the client. If round trips are recorded as a single trip, the number of trips would reflect round trips.</t>
    </r>
  </si>
  <si>
    <r>
      <rPr>
        <b/>
        <sz val="10"/>
        <rFont val="Arial"/>
        <family val="2"/>
      </rPr>
      <t>Average Distance</t>
    </r>
    <r>
      <rPr>
        <sz val="10"/>
        <rFont val="Arial"/>
        <family val="2"/>
      </rPr>
      <t xml:space="preserve"> - this is the average distance of the trips to the client as recorded on the Logbook sheet and is calculated by dividing the total mileage by the number of trips.</t>
    </r>
  </si>
  <si>
    <r>
      <rPr>
        <b/>
        <sz val="10"/>
        <rFont val="Arial"/>
        <family val="2"/>
      </rPr>
      <t>Distance Variance</t>
    </r>
    <r>
      <rPr>
        <sz val="10"/>
        <rFont val="Arial"/>
        <family val="2"/>
      </rPr>
      <t xml:space="preserve"> - this is the variance between the standard client distance in column C and the average distance in the previous column. This calculation indicates whether the trip distance which is recorded on the Logbook sheet is consistent with the standard distance which is specified for the particular client.</t>
    </r>
  </si>
  <si>
    <r>
      <rPr>
        <b/>
        <sz val="10"/>
        <rFont val="Arial"/>
        <family val="2"/>
      </rPr>
      <t>Total Mileage by Month</t>
    </r>
    <r>
      <rPr>
        <sz val="10"/>
        <rFont val="Arial"/>
        <family val="2"/>
      </rPr>
      <t xml:space="preserve"> - these three columns display the total mileage per month which has been allocated to the client. The monthly reporting periods are determined by the To Date which is specified in cell I4. The calculations in these columns can be used to review the mileage which have been allocated to clients for the appropriate quarter.</t>
    </r>
  </si>
  <si>
    <r>
      <rPr>
        <b/>
        <sz val="10"/>
        <rFont val="Arial"/>
        <family val="2"/>
      </rPr>
      <t>Number of Trips by Month</t>
    </r>
    <r>
      <rPr>
        <sz val="10"/>
        <rFont val="Arial"/>
        <family val="2"/>
      </rPr>
      <t xml:space="preserve"> - these three columns display the number of trips per month which has been allocated to the client. The monthly reporting periods are determined by the To Date which is specified in cell I4. The calculations in these columns can be used to review the number of trips which have been allocated to clients for the appropriate quarter. This is especially useful when you need to monitor sales representatives with fixed routes.</t>
    </r>
  </si>
  <si>
    <r>
      <rPr>
        <b/>
        <sz val="10"/>
        <rFont val="Arial"/>
        <family val="2"/>
      </rPr>
      <t>From Date</t>
    </r>
    <r>
      <rPr>
        <sz val="10"/>
        <rFont val="Arial"/>
        <family val="2"/>
      </rPr>
      <t xml:space="preserve"> - the date range for which the calculations on the sheet are performed starts on the user defined date in cell G4. The date should be entered based on the regional date settings which are specified in the System Control Panel. If this cell is left blank, the date range will commence on the first day of the year that is five years before the current year (it can therefore be reasonably expected that all logbook entries for the past 5 years will be included in the calculations on the Clients sheet).</t>
    </r>
  </si>
  <si>
    <r>
      <rPr>
        <b/>
        <sz val="10"/>
        <rFont val="Arial"/>
        <family val="2"/>
      </rPr>
      <t>To Date</t>
    </r>
    <r>
      <rPr>
        <sz val="10"/>
        <rFont val="Arial"/>
        <family val="2"/>
      </rPr>
      <t xml:space="preserve"> - the date range for which the calculations on the sheet are performed ends on the user defined date in cell I4. The date should be entered based on the regional date settings which are specified in the System Control Panel. If this cell is left blank, the date range will end on the last day of the current calendar month (which is determined based on the current system date).</t>
    </r>
  </si>
  <si>
    <r>
      <rPr>
        <b/>
        <sz val="10"/>
        <rFont val="Arial"/>
        <family val="2"/>
      </rPr>
      <t>Vehicle Reg Number</t>
    </r>
    <r>
      <rPr>
        <sz val="10"/>
        <rFont val="Arial"/>
        <family val="2"/>
      </rPr>
      <t xml:space="preserve"> - a unique vehicle registration number needs to be entered for each vehicle.</t>
    </r>
  </si>
  <si>
    <r>
      <rPr>
        <b/>
        <sz val="10"/>
        <rFont val="Arial"/>
        <family val="2"/>
      </rPr>
      <t>Vehicle Description</t>
    </r>
    <r>
      <rPr>
        <sz val="10"/>
        <rFont val="Arial"/>
        <family val="2"/>
      </rPr>
      <t xml:space="preserve"> - enter a description of the vehicle in this column.</t>
    </r>
  </si>
  <si>
    <r>
      <rPr>
        <b/>
        <sz val="10"/>
        <rFont val="Arial"/>
        <family val="2"/>
      </rPr>
      <t>Total Mileage</t>
    </r>
    <r>
      <rPr>
        <sz val="10"/>
        <rFont val="Arial"/>
        <family val="2"/>
      </rPr>
      <t xml:space="preserve"> - this is the total mileage that has been recorded for the particular vehicle during the user defined period based on the logbook entries on the Logbook sheet.</t>
    </r>
  </si>
  <si>
    <r>
      <rPr>
        <b/>
        <sz val="10"/>
        <rFont val="Arial"/>
        <family val="2"/>
      </rPr>
      <t>Total Charges</t>
    </r>
    <r>
      <rPr>
        <sz val="10"/>
        <rFont val="Arial"/>
        <family val="2"/>
      </rPr>
      <t xml:space="preserve"> - this is the total charges which have been allocated to the vehicle and is calculated by multiplying the travel distance in column N on the Logbook sheet by the rate in column L on the Logbook sheet.</t>
    </r>
  </si>
  <si>
    <r>
      <rPr>
        <b/>
        <sz val="10"/>
        <rFont val="Arial"/>
        <family val="2"/>
      </rPr>
      <t>Business Mileage</t>
    </r>
    <r>
      <rPr>
        <sz val="10"/>
        <rFont val="Arial"/>
        <family val="2"/>
      </rPr>
      <t xml:space="preserve"> - this is the total business trip mileage that has been recorded for the particular vehicle during the user defined period based on the logbook entries on the Logbook sheet.</t>
    </r>
  </si>
  <si>
    <r>
      <rPr>
        <b/>
        <sz val="10"/>
        <rFont val="Arial"/>
        <family val="2"/>
      </rPr>
      <t>Business Travel %</t>
    </r>
    <r>
      <rPr>
        <sz val="10"/>
        <rFont val="Arial"/>
        <family val="2"/>
      </rPr>
      <t xml:space="preserve"> - this is the percentage of travel for business purposes associated with the particular vehicle. This calculation indicates the level of usage of the vehicle for business purposes and can be compared to the same calculation for other vehicles in order to identify excessive private use of vehicles.</t>
    </r>
  </si>
  <si>
    <r>
      <rPr>
        <b/>
        <sz val="10"/>
        <rFont val="Arial"/>
        <family val="2"/>
      </rPr>
      <t>Rate Charged</t>
    </r>
    <r>
      <rPr>
        <sz val="10"/>
        <rFont val="Arial"/>
        <family val="2"/>
      </rPr>
      <t xml:space="preserve"> - this is the average rate which has been charged to clients based on the use of the vehicle for business purposes and is calculated by dividing the total charges by the business mileage.</t>
    </r>
  </si>
  <si>
    <r>
      <rPr>
        <b/>
        <sz val="10"/>
        <rFont val="Arial"/>
        <family val="2"/>
      </rPr>
      <t>Business Trips</t>
    </r>
    <r>
      <rPr>
        <sz val="10"/>
        <rFont val="Arial"/>
        <family val="2"/>
      </rPr>
      <t xml:space="preserve"> - this is the number of business trips which have been allocated to the vehicle. If round trips are recorded as a single trip, the number of business trips would reflect round trips.</t>
    </r>
  </si>
  <si>
    <r>
      <rPr>
        <b/>
        <sz val="10"/>
        <rFont val="Arial"/>
        <family val="2"/>
      </rPr>
      <t>Total Mileage by Month</t>
    </r>
    <r>
      <rPr>
        <sz val="10"/>
        <rFont val="Arial"/>
        <family val="2"/>
      </rPr>
      <t xml:space="preserve"> - these three columns display the total mileage per month which has been allocated to the vehicle. The monthly reporting periods are determined by the To Date which is specified in cell I4. The calculations in these columns can be used to review the total mileage which have been allocated to each vehicle for the appropriate quarter.</t>
    </r>
  </si>
  <si>
    <r>
      <rPr>
        <b/>
        <sz val="10"/>
        <rFont val="Arial"/>
        <family val="2"/>
      </rPr>
      <t>Business % by Month</t>
    </r>
    <r>
      <rPr>
        <sz val="10"/>
        <rFont val="Arial"/>
        <family val="2"/>
      </rPr>
      <t xml:space="preserve"> - these three columns display the percentage monthly business use of the vehicle. The monthly reporting periods are determined by the To Date which is specified in cell I4. The calculations in these columns can be used to review the business use of the vehicle for the appropriate quarter.</t>
    </r>
  </si>
  <si>
    <r>
      <rPr>
        <b/>
        <sz val="10"/>
        <rFont val="Arial"/>
        <family val="2"/>
      </rPr>
      <t>Number of Business Trips by Month</t>
    </r>
    <r>
      <rPr>
        <sz val="10"/>
        <rFont val="Arial"/>
        <family val="2"/>
      </rPr>
      <t xml:space="preserve"> - these three columns display the number of business trips per month which has been allocated to the vehicle. The monthly reporting periods are determined by the To Date which is specified in cell I4. The calculations in these columns can be used to review the number of trips which have been allocated to the vehicle for the appropriate quarter. This is especially useful when you need to monitor sales representatives with fixed routes where each sales representative uses a separate vehicle.</t>
    </r>
  </si>
  <si>
    <r>
      <rPr>
        <b/>
        <sz val="10"/>
        <rFont val="Arial"/>
        <family val="2"/>
      </rPr>
      <t>From Date</t>
    </r>
    <r>
      <rPr>
        <sz val="10"/>
        <rFont val="Arial"/>
        <family val="2"/>
      </rPr>
      <t xml:space="preserve"> - the date range for which the calculations on the sheet are performed starts on the user defined date in cell G4. The date should be entered based on the regional date settings which are specified in the System Control Panel. If this cell is left blank, the date range will commence on the first day of the year that is five years before the current year (it can therefore be reasonably expected that all logbook entries for the past 5 years will be included in the calculations on the Vehicles sheet).</t>
    </r>
  </si>
  <si>
    <r>
      <rPr>
        <b/>
        <sz val="10"/>
        <rFont val="Arial"/>
        <family val="2"/>
      </rPr>
      <t>Client</t>
    </r>
    <r>
      <rPr>
        <sz val="10"/>
        <rFont val="Arial"/>
        <family val="2"/>
      </rPr>
      <t xml:space="preserve"> - the calculations on the Vehicles sheet can be performed based on a single client or all the client codes which have been added to the Clients sheet. If you want the calculations to be based on a specific client code, simple select the appropriate client code from the list box in cell K4. If you want the calculations to be based on all clients, simply delete the contents of cell K4 in order to display a blank cell.</t>
    </r>
  </si>
  <si>
    <r>
      <rPr>
        <b/>
        <sz val="10"/>
        <rFont val="Arial"/>
        <family val="2"/>
      </rPr>
      <t>Vehicles</t>
    </r>
    <r>
      <rPr>
        <sz val="10"/>
        <rFont val="Arial"/>
        <family val="2"/>
      </rPr>
      <t xml:space="preserve"> - add vehicle registration numbers for all vehicles and enter a vehicle description. The calculations on this sheet can be used to calculate the business &amp; private mileage of each vehicle based on any user defined date range &amp; client selection. The sheet also contains a monthly analysis of the total mileage, business travel % and number of business trips over a three month period.</t>
    </r>
  </si>
  <si>
    <r>
      <rPr>
        <b/>
        <sz val="10"/>
        <rFont val="Arial"/>
        <family val="2"/>
      </rPr>
      <t xml:space="preserve">Client Code </t>
    </r>
    <r>
      <rPr>
        <sz val="10"/>
        <rFont val="Arial"/>
        <family val="2"/>
      </rPr>
      <t>- select the client code from the list box in this column. The list box includes all the client codes added to the Clients sheet. New client codes must therefore be created on the Clients sheet before being available for selection on this sheet.</t>
    </r>
  </si>
  <si>
    <r>
      <rPr>
        <b/>
        <sz val="10"/>
        <rFont val="Arial"/>
        <family val="2"/>
      </rPr>
      <t>Vehicle</t>
    </r>
    <r>
      <rPr>
        <sz val="10"/>
        <rFont val="Arial"/>
        <family val="2"/>
      </rPr>
      <t xml:space="preserve"> - the calculations on the Clients sheet can be performed based on a single vehicle or all the vehicles added to the Vehicles sheet. If you want the calculations to be based on a specific vehicle, simple select the appropriate vehicle from the list box in cell K4. If you want the calculations to be based on all vehicles, simply delete the contents of cell K4 in order to display a blank cell.</t>
    </r>
  </si>
  <si>
    <t>■ E2 - this error code means that the client code selected in column H is invalid. All the client codes that have been added to the Clients sheet will be included in the list boxes in column H and the error can therefore be rectified by simply selecting a valid client code from the list box. New client codes must be created on the Clients sheet before being available for selection.</t>
  </si>
  <si>
    <t>Rate 
Charged</t>
  </si>
  <si>
    <t>Total 
Mileage</t>
  </si>
  <si>
    <t>Total 
Charges</t>
  </si>
  <si>
    <t>Business 
Trips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</si>
</sst>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_ * \-#,##0.00_ ;_ * &quot;-&quot;??_ ;_ @_ "/>
    <numFmt numFmtId="165" formatCode="0.0%"/>
    <numFmt numFmtId="166" formatCode="_ * #,##0_ ;_ * \-#,##0_ ;_ * &quot;-&quot;??_ ;_ @_ "/>
    <numFmt numFmtId="167" formatCode="[$-F400]h:mm:ss\ AM/PM"/>
    <numFmt numFmtId="168" formatCode="mmm/yyyy"/>
  </numFmts>
  <fonts count="18" x14ac:knownFonts="1">
    <font>
      <sz val="10"/>
      <name val="Century Gothic"/>
      <family val="2"/>
      <scheme val="minor"/>
    </font>
    <font>
      <sz val="10"/>
      <name val="Arial"/>
      <family val="2"/>
    </font>
    <font>
      <u/>
      <sz val="10"/>
      <color indexed="12"/>
      <name val="Arial"/>
      <family val="2"/>
    </font>
    <font>
      <sz val="11"/>
      <name val="Century Gothic"/>
      <family val="2"/>
      <scheme val="minor"/>
    </font>
    <font>
      <b/>
      <sz val="10"/>
      <name val="Century Gothic"/>
      <family val="2"/>
      <scheme val="minor"/>
    </font>
    <font>
      <sz val="10"/>
      <name val="Century Gothic"/>
      <family val="2"/>
      <scheme val="minor"/>
    </font>
    <font>
      <i/>
      <sz val="10"/>
      <name val="Century Gothic"/>
      <family val="2"/>
      <scheme val="minor"/>
    </font>
    <font>
      <b/>
      <sz val="12"/>
      <name val="Century Gothic"/>
      <family val="2"/>
      <scheme val="minor"/>
    </font>
    <font>
      <sz val="10"/>
      <color theme="0"/>
      <name val="Century Gothic"/>
      <family val="2"/>
      <scheme val="minor"/>
    </font>
    <font>
      <i/>
      <sz val="10"/>
      <color theme="0"/>
      <name val="Century Gothic"/>
      <family val="2"/>
      <scheme val="minor"/>
    </font>
    <font>
      <b/>
      <sz val="10"/>
      <color theme="1"/>
      <name val="Century Gothic"/>
      <family val="2"/>
      <scheme val="minor"/>
    </font>
    <font>
      <b/>
      <sz val="10"/>
      <color theme="0"/>
      <name val="Century Gothic"/>
      <family val="2"/>
      <scheme val="minor"/>
    </font>
    <font>
      <b/>
      <sz val="12"/>
      <name val="Arial"/>
      <family val="2"/>
    </font>
    <font>
      <i/>
      <sz val="10"/>
      <name val="Arial"/>
      <family val="2"/>
    </font>
    <font>
      <b/>
      <u/>
      <sz val="10"/>
      <color theme="4" tint="-0.249977111117893"/>
      <name val="Arial"/>
      <family val="2"/>
    </font>
    <font>
      <b/>
      <sz val="10"/>
      <name val="Arial"/>
      <family val="2"/>
    </font>
    <font>
      <b/>
      <i/>
      <sz val="10"/>
      <name val="Arial"/>
      <family val="2"/>
    </font>
    <font>
      <b/>
      <sz val="10"/>
      <color indexed="8"/>
      <name val="Arial"/>
      <family val="2"/>
    </font>
  </fonts>
  <fills count="6">
    <fill>
      <patternFill patternType="none"/>
    </fill>
    <fill>
      <patternFill patternType="gray125"/>
    </fill>
    <fill>
      <patternFill patternType="solid">
        <fgColor rgb="FFCCFFFF"/>
        <bgColor indexed="64"/>
      </patternFill>
    </fill>
    <fill>
      <patternFill patternType="solid">
        <fgColor rgb="FFFFFF99"/>
        <bgColor indexed="64"/>
      </patternFill>
    </fill>
    <fill>
      <patternFill patternType="solid">
        <fgColor theme="1"/>
        <bgColor indexed="64"/>
      </patternFill>
    </fill>
    <fill>
      <patternFill patternType="solid">
        <fgColor rgb="FF292929"/>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s>
  <cellStyleXfs count="4">
    <xf numFmtId="0" fontId="0" fillId="0" borderId="0"/>
    <xf numFmtId="164" fontId="1" fillId="0" borderId="0" applyFont="0" applyFill="0" applyBorder="0" applyAlignment="0" applyProtection="0"/>
    <xf numFmtId="0" fontId="2" fillId="0" borderId="0" applyNumberFormat="0" applyFill="0" applyBorder="0" applyAlignment="0" applyProtection="0">
      <alignment vertical="top"/>
      <protection locked="0"/>
    </xf>
    <xf numFmtId="9" fontId="1" fillId="0" borderId="0" applyFont="0" applyFill="0" applyBorder="0" applyAlignment="0" applyProtection="0"/>
  </cellStyleXfs>
  <cellXfs count="138">
    <xf numFmtId="0" fontId="0" fillId="0" borderId="0" xfId="0"/>
    <xf numFmtId="0" fontId="3" fillId="0" borderId="0" xfId="0" applyFont="1"/>
    <xf numFmtId="14" fontId="4" fillId="0" borderId="0" xfId="0" applyNumberFormat="1" applyFont="1" applyAlignment="1" applyProtection="1">
      <alignment horizontal="left"/>
      <protection hidden="1"/>
    </xf>
    <xf numFmtId="167" fontId="4" fillId="0" borderId="0" xfId="0" applyNumberFormat="1" applyFont="1" applyAlignment="1" applyProtection="1">
      <alignment horizontal="center"/>
      <protection hidden="1"/>
    </xf>
    <xf numFmtId="0" fontId="4" fillId="0" borderId="0" xfId="0" applyFont="1" applyProtection="1">
      <protection hidden="1"/>
    </xf>
    <xf numFmtId="166" fontId="5" fillId="0" borderId="0" xfId="1" applyNumberFormat="1" applyFont="1" applyProtection="1">
      <protection hidden="1"/>
    </xf>
    <xf numFmtId="0" fontId="5" fillId="0" borderId="0" xfId="1" applyNumberFormat="1" applyFont="1" applyAlignment="1" applyProtection="1">
      <alignment horizontal="center"/>
      <protection hidden="1"/>
    </xf>
    <xf numFmtId="0" fontId="5" fillId="0" borderId="0" xfId="1" applyNumberFormat="1" applyFont="1" applyProtection="1">
      <protection hidden="1"/>
    </xf>
    <xf numFmtId="164" fontId="5" fillId="0" borderId="0" xfId="1" applyFont="1" applyProtection="1">
      <protection hidden="1"/>
    </xf>
    <xf numFmtId="164" fontId="5" fillId="0" borderId="0" xfId="1" applyFont="1" applyAlignment="1" applyProtection="1">
      <alignment horizontal="center"/>
      <protection hidden="1"/>
    </xf>
    <xf numFmtId="0" fontId="5" fillId="0" borderId="0" xfId="0" applyFont="1" applyAlignment="1" applyProtection="1">
      <alignment horizontal="center"/>
      <protection hidden="1"/>
    </xf>
    <xf numFmtId="0" fontId="5" fillId="0" borderId="0" xfId="0" applyFont="1" applyProtection="1">
      <protection hidden="1"/>
    </xf>
    <xf numFmtId="14" fontId="8" fillId="0" borderId="0" xfId="0" applyNumberFormat="1" applyFont="1" applyAlignment="1" applyProtection="1">
      <alignment horizontal="left"/>
      <protection hidden="1"/>
    </xf>
    <xf numFmtId="167" fontId="9" fillId="0" borderId="0" xfId="0" applyNumberFormat="1" applyFont="1" applyAlignment="1" applyProtection="1">
      <alignment horizontal="center"/>
      <protection hidden="1"/>
    </xf>
    <xf numFmtId="0" fontId="9" fillId="0" borderId="0" xfId="0" applyFont="1" applyProtection="1">
      <protection hidden="1"/>
    </xf>
    <xf numFmtId="166" fontId="6" fillId="0" borderId="0" xfId="1" applyNumberFormat="1" applyFont="1" applyProtection="1">
      <protection hidden="1"/>
    </xf>
    <xf numFmtId="0" fontId="6" fillId="0" borderId="0" xfId="1" applyNumberFormat="1" applyFont="1" applyAlignment="1" applyProtection="1">
      <alignment horizontal="center"/>
      <protection hidden="1"/>
    </xf>
    <xf numFmtId="0" fontId="6" fillId="0" borderId="0" xfId="1" applyNumberFormat="1" applyFont="1" applyProtection="1">
      <protection hidden="1"/>
    </xf>
    <xf numFmtId="164" fontId="6" fillId="0" borderId="0" xfId="1" applyFont="1" applyProtection="1">
      <protection hidden="1"/>
    </xf>
    <xf numFmtId="164" fontId="6" fillId="0" borderId="0" xfId="1" applyFont="1" applyAlignment="1" applyProtection="1">
      <alignment horizontal="center"/>
      <protection hidden="1"/>
    </xf>
    <xf numFmtId="0" fontId="6" fillId="0" borderId="0" xfId="0" applyFont="1" applyAlignment="1" applyProtection="1">
      <alignment horizontal="center"/>
      <protection hidden="1"/>
    </xf>
    <xf numFmtId="0" fontId="6" fillId="0" borderId="0" xfId="0" applyFont="1" applyProtection="1">
      <protection hidden="1"/>
    </xf>
    <xf numFmtId="0" fontId="10" fillId="3" borderId="3" xfId="0" applyFont="1" applyFill="1" applyBorder="1" applyAlignment="1" applyProtection="1">
      <alignment horizontal="left" wrapText="1"/>
      <protection hidden="1"/>
    </xf>
    <xf numFmtId="0" fontId="10" fillId="3" borderId="3" xfId="0" applyFont="1" applyFill="1" applyBorder="1" applyAlignment="1" applyProtection="1">
      <alignment horizontal="center" wrapText="1"/>
      <protection hidden="1"/>
    </xf>
    <xf numFmtId="0" fontId="10" fillId="3" borderId="3" xfId="1" applyNumberFormat="1" applyFont="1" applyFill="1" applyBorder="1" applyAlignment="1" applyProtection="1">
      <alignment horizontal="center" wrapText="1"/>
      <protection hidden="1"/>
    </xf>
    <xf numFmtId="0" fontId="10" fillId="2" borderId="3" xfId="1" applyNumberFormat="1" applyFont="1" applyFill="1" applyBorder="1" applyAlignment="1" applyProtection="1">
      <alignment horizontal="center" wrapText="1"/>
      <protection hidden="1"/>
    </xf>
    <xf numFmtId="0" fontId="10" fillId="0" borderId="0" xfId="0" applyFont="1" applyAlignment="1" applyProtection="1">
      <alignment horizontal="center" wrapText="1"/>
      <protection hidden="1"/>
    </xf>
    <xf numFmtId="14" fontId="5" fillId="0" borderId="0" xfId="0" applyNumberFormat="1" applyFont="1" applyAlignment="1" applyProtection="1">
      <alignment horizontal="left"/>
      <protection hidden="1"/>
    </xf>
    <xf numFmtId="167" fontId="5" fillId="0" borderId="0" xfId="0" applyNumberFormat="1" applyFont="1" applyAlignment="1" applyProtection="1">
      <alignment horizontal="center"/>
      <protection hidden="1"/>
    </xf>
    <xf numFmtId="0" fontId="8" fillId="0" borderId="0" xfId="0" applyFont="1" applyAlignment="1" applyProtection="1">
      <alignment vertical="center"/>
      <protection hidden="1"/>
    </xf>
    <xf numFmtId="0" fontId="5" fillId="0" borderId="0" xfId="0" applyFont="1" applyAlignment="1" applyProtection="1">
      <alignment vertical="center"/>
      <protection hidden="1"/>
    </xf>
    <xf numFmtId="164" fontId="5" fillId="0" borderId="0" xfId="1" applyFont="1" applyAlignment="1" applyProtection="1">
      <alignment vertical="center"/>
      <protection hidden="1"/>
    </xf>
    <xf numFmtId="0" fontId="8" fillId="0" borderId="0" xfId="0" applyFont="1" applyProtection="1">
      <protection hidden="1"/>
    </xf>
    <xf numFmtId="0" fontId="6" fillId="0" borderId="0" xfId="0" applyFont="1" applyAlignment="1" applyProtection="1">
      <alignment horizontal="right" indent="1"/>
      <protection hidden="1"/>
    </xf>
    <xf numFmtId="164" fontId="6" fillId="0" borderId="0" xfId="1" applyFont="1" applyAlignment="1" applyProtection="1">
      <alignment horizontal="right" indent="1"/>
      <protection hidden="1"/>
    </xf>
    <xf numFmtId="165" fontId="6" fillId="0" borderId="0" xfId="3" applyNumberFormat="1" applyFont="1" applyProtection="1">
      <protection hidden="1"/>
    </xf>
    <xf numFmtId="164" fontId="11" fillId="4" borderId="5" xfId="1" applyFont="1" applyFill="1" applyBorder="1" applyAlignment="1" applyProtection="1">
      <alignment horizontal="left" vertical="center" indent="1"/>
      <protection hidden="1"/>
    </xf>
    <xf numFmtId="164" fontId="11" fillId="4" borderId="2" xfId="1" applyFont="1" applyFill="1" applyBorder="1" applyAlignment="1" applyProtection="1">
      <alignment vertical="center"/>
      <protection hidden="1"/>
    </xf>
    <xf numFmtId="0" fontId="5" fillId="4" borderId="2" xfId="0" applyFont="1" applyFill="1" applyBorder="1" applyAlignment="1" applyProtection="1">
      <alignment vertical="center"/>
      <protection hidden="1"/>
    </xf>
    <xf numFmtId="164" fontId="5" fillId="4" borderId="2" xfId="1" applyFont="1" applyFill="1" applyBorder="1" applyAlignment="1" applyProtection="1">
      <alignment vertical="center"/>
      <protection hidden="1"/>
    </xf>
    <xf numFmtId="164" fontId="5" fillId="4" borderId="2" xfId="1" applyFont="1" applyFill="1" applyBorder="1" applyProtection="1">
      <protection hidden="1"/>
    </xf>
    <xf numFmtId="164" fontId="5" fillId="4" borderId="4" xfId="1" applyFont="1" applyFill="1" applyBorder="1" applyProtection="1">
      <protection hidden="1"/>
    </xf>
    <xf numFmtId="164" fontId="5" fillId="0" borderId="3" xfId="1" applyFont="1" applyBorder="1" applyAlignment="1" applyProtection="1">
      <alignment horizontal="right"/>
      <protection hidden="1"/>
    </xf>
    <xf numFmtId="14" fontId="5" fillId="3" borderId="3" xfId="1" applyNumberFormat="1" applyFont="1" applyFill="1" applyBorder="1" applyAlignment="1" applyProtection="1">
      <alignment horizontal="center"/>
      <protection hidden="1"/>
    </xf>
    <xf numFmtId="164" fontId="5" fillId="3" borderId="3" xfId="1" applyFont="1" applyFill="1" applyBorder="1" applyAlignment="1" applyProtection="1">
      <alignment horizontal="center"/>
      <protection hidden="1"/>
    </xf>
    <xf numFmtId="164" fontId="8" fillId="0" borderId="0" xfId="1" applyFont="1" applyProtection="1">
      <protection hidden="1"/>
    </xf>
    <xf numFmtId="14" fontId="8" fillId="0" borderId="0" xfId="1" applyNumberFormat="1" applyFont="1" applyAlignment="1" applyProtection="1">
      <alignment horizontal="center"/>
      <protection hidden="1"/>
    </xf>
    <xf numFmtId="164" fontId="8" fillId="0" borderId="0" xfId="1" applyFont="1" applyAlignment="1" applyProtection="1">
      <alignment horizontal="center"/>
      <protection hidden="1"/>
    </xf>
    <xf numFmtId="0" fontId="5" fillId="0" borderId="0" xfId="0" applyFont="1" applyAlignment="1" applyProtection="1">
      <alignment horizontal="right" indent="1"/>
      <protection hidden="1"/>
    </xf>
    <xf numFmtId="164" fontId="5" fillId="0" borderId="0" xfId="1" applyFont="1" applyAlignment="1" applyProtection="1">
      <alignment horizontal="right" indent="1"/>
      <protection hidden="1"/>
    </xf>
    <xf numFmtId="164" fontId="5" fillId="0" borderId="0" xfId="1" applyFont="1" applyBorder="1" applyProtection="1">
      <protection hidden="1"/>
    </xf>
    <xf numFmtId="0" fontId="9" fillId="0" borderId="0" xfId="0" applyFont="1" applyAlignment="1" applyProtection="1">
      <alignment vertical="center"/>
      <protection hidden="1"/>
    </xf>
    <xf numFmtId="0" fontId="6" fillId="0" borderId="0" xfId="0" applyFont="1" applyAlignment="1" applyProtection="1">
      <alignment horizontal="right" vertical="center"/>
      <protection hidden="1"/>
    </xf>
    <xf numFmtId="164" fontId="6" fillId="0" borderId="0" xfId="1" applyFont="1" applyAlignment="1" applyProtection="1">
      <alignment horizontal="right" vertical="center"/>
      <protection hidden="1"/>
    </xf>
    <xf numFmtId="164" fontId="6" fillId="0" borderId="0" xfId="1" applyFont="1" applyAlignment="1" applyProtection="1">
      <alignment vertical="center"/>
      <protection hidden="1"/>
    </xf>
    <xf numFmtId="164" fontId="6" fillId="0" borderId="0" xfId="1" applyFont="1" applyBorder="1" applyAlignment="1" applyProtection="1">
      <alignment vertical="center"/>
      <protection hidden="1"/>
    </xf>
    <xf numFmtId="0" fontId="6" fillId="0" borderId="0" xfId="0" applyFont="1" applyAlignment="1" applyProtection="1">
      <alignment vertical="center"/>
      <protection hidden="1"/>
    </xf>
    <xf numFmtId="0" fontId="4" fillId="3" borderId="1" xfId="0" applyFont="1" applyFill="1" applyBorder="1" applyAlignment="1" applyProtection="1">
      <alignment horizontal="left" wrapText="1"/>
      <protection hidden="1"/>
    </xf>
    <xf numFmtId="0" fontId="4" fillId="3" borderId="1" xfId="1" applyNumberFormat="1" applyFont="1" applyFill="1" applyBorder="1" applyAlignment="1" applyProtection="1">
      <alignment horizontal="center" wrapText="1"/>
      <protection hidden="1"/>
    </xf>
    <xf numFmtId="0" fontId="4" fillId="2" borderId="1" xfId="1" applyNumberFormat="1" applyFont="1" applyFill="1" applyBorder="1" applyAlignment="1" applyProtection="1">
      <alignment horizontal="center" wrapText="1"/>
      <protection hidden="1"/>
    </xf>
    <xf numFmtId="168" fontId="4" fillId="2" borderId="1" xfId="1" applyNumberFormat="1" applyFont="1" applyFill="1" applyBorder="1" applyAlignment="1" applyProtection="1">
      <alignment horizontal="center" wrapText="1"/>
      <protection hidden="1"/>
    </xf>
    <xf numFmtId="0" fontId="4" fillId="0" borderId="0" xfId="0" applyFont="1" applyAlignment="1" applyProtection="1">
      <alignment horizontal="center" wrapText="1"/>
      <protection hidden="1"/>
    </xf>
    <xf numFmtId="0" fontId="5" fillId="0" borderId="0" xfId="3" applyNumberFormat="1" applyFont="1" applyProtection="1">
      <protection hidden="1"/>
    </xf>
    <xf numFmtId="0" fontId="5" fillId="0" borderId="0" xfId="3" applyNumberFormat="1" applyFont="1" applyAlignment="1" applyProtection="1">
      <alignment vertical="center"/>
      <protection hidden="1"/>
    </xf>
    <xf numFmtId="0" fontId="11" fillId="4" borderId="5" xfId="3" applyNumberFormat="1" applyFont="1" applyFill="1" applyBorder="1" applyAlignment="1" applyProtection="1">
      <alignment horizontal="left" vertical="center" indent="1"/>
      <protection hidden="1"/>
    </xf>
    <xf numFmtId="0" fontId="5" fillId="4" borderId="2" xfId="3" applyNumberFormat="1" applyFont="1" applyFill="1" applyBorder="1" applyProtection="1">
      <protection hidden="1"/>
    </xf>
    <xf numFmtId="0" fontId="5" fillId="4" borderId="4" xfId="3" applyNumberFormat="1" applyFont="1" applyFill="1" applyBorder="1" applyProtection="1">
      <protection hidden="1"/>
    </xf>
    <xf numFmtId="0" fontId="5" fillId="0" borderId="3" xfId="3" applyNumberFormat="1" applyFont="1" applyBorder="1" applyAlignment="1" applyProtection="1">
      <alignment horizontal="right"/>
      <protection hidden="1"/>
    </xf>
    <xf numFmtId="0" fontId="8" fillId="0" borderId="0" xfId="3" applyNumberFormat="1" applyFont="1" applyProtection="1">
      <protection hidden="1"/>
    </xf>
    <xf numFmtId="0" fontId="6" fillId="0" borderId="0" xfId="3" applyNumberFormat="1" applyFont="1" applyAlignment="1" applyProtection="1">
      <alignment vertical="center"/>
      <protection hidden="1"/>
    </xf>
    <xf numFmtId="0" fontId="4" fillId="2" borderId="1" xfId="3" applyNumberFormat="1" applyFont="1" applyFill="1" applyBorder="1" applyAlignment="1" applyProtection="1">
      <alignment horizontal="center" wrapText="1"/>
      <protection hidden="1"/>
    </xf>
    <xf numFmtId="165" fontId="5" fillId="0" borderId="0" xfId="3" applyNumberFormat="1" applyFont="1" applyProtection="1">
      <protection hidden="1"/>
    </xf>
    <xf numFmtId="166" fontId="5" fillId="0" borderId="0" xfId="1" applyNumberFormat="1" applyFont="1" applyAlignment="1" applyProtection="1">
      <protection hidden="1"/>
    </xf>
    <xf numFmtId="166" fontId="5" fillId="0" borderId="0" xfId="1" applyNumberFormat="1" applyFont="1" applyAlignment="1" applyProtection="1">
      <alignment horizontal="center"/>
      <protection hidden="1"/>
    </xf>
    <xf numFmtId="0" fontId="4" fillId="0" borderId="0" xfId="1" applyNumberFormat="1" applyFont="1" applyAlignment="1" applyProtection="1">
      <alignment horizontal="right" indent="1"/>
      <protection hidden="1"/>
    </xf>
    <xf numFmtId="0" fontId="5" fillId="0" borderId="6" xfId="1" applyNumberFormat="1" applyFont="1" applyBorder="1" applyProtection="1">
      <protection hidden="1"/>
    </xf>
    <xf numFmtId="164" fontId="5" fillId="0" borderId="6" xfId="1" applyFont="1" applyBorder="1" applyProtection="1">
      <protection hidden="1"/>
    </xf>
    <xf numFmtId="0" fontId="5" fillId="5" borderId="0" xfId="0" applyFont="1" applyFill="1" applyProtection="1">
      <protection hidden="1"/>
    </xf>
    <xf numFmtId="167" fontId="8" fillId="0" borderId="0" xfId="0" applyNumberFormat="1" applyFont="1" applyAlignment="1" applyProtection="1">
      <alignment horizontal="center"/>
      <protection hidden="1"/>
    </xf>
    <xf numFmtId="0" fontId="5" fillId="0" borderId="0" xfId="1" applyNumberFormat="1" applyFont="1" applyAlignment="1" applyProtection="1">
      <alignment horizontal="right"/>
      <protection hidden="1"/>
    </xf>
    <xf numFmtId="164" fontId="5" fillId="0" borderId="0" xfId="1" applyFont="1" applyAlignment="1" applyProtection="1">
      <alignment horizontal="left" indent="1"/>
      <protection hidden="1"/>
    </xf>
    <xf numFmtId="14" fontId="11" fillId="4" borderId="1" xfId="0" applyNumberFormat="1" applyFont="1" applyFill="1" applyBorder="1" applyAlignment="1" applyProtection="1">
      <alignment horizontal="left" wrapText="1"/>
      <protection hidden="1"/>
    </xf>
    <xf numFmtId="167" fontId="11" fillId="4" borderId="1" xfId="0" applyNumberFormat="1" applyFont="1" applyFill="1" applyBorder="1" applyAlignment="1" applyProtection="1">
      <alignment horizontal="center" wrapText="1"/>
      <protection hidden="1"/>
    </xf>
    <xf numFmtId="166" fontId="11" fillId="4" borderId="1" xfId="1" applyNumberFormat="1" applyFont="1" applyFill="1" applyBorder="1" applyAlignment="1" applyProtection="1">
      <alignment horizontal="center" wrapText="1"/>
      <protection hidden="1"/>
    </xf>
    <xf numFmtId="0" fontId="11" fillId="4" borderId="1" xfId="1" applyNumberFormat="1" applyFont="1" applyFill="1" applyBorder="1" applyAlignment="1" applyProtection="1">
      <alignment horizontal="center" wrapText="1"/>
      <protection hidden="1"/>
    </xf>
    <xf numFmtId="164" fontId="11" fillId="4" borderId="1" xfId="1" applyFont="1" applyFill="1" applyBorder="1" applyAlignment="1" applyProtection="1">
      <alignment horizontal="center" wrapText="1"/>
      <protection hidden="1"/>
    </xf>
    <xf numFmtId="0" fontId="4" fillId="5" borderId="0" xfId="0" applyFont="1" applyFill="1" applyAlignment="1" applyProtection="1">
      <alignment horizontal="center" wrapText="1"/>
      <protection hidden="1"/>
    </xf>
    <xf numFmtId="14" fontId="5" fillId="0" borderId="1" xfId="0" applyNumberFormat="1" applyFont="1" applyBorder="1" applyAlignment="1" applyProtection="1">
      <alignment horizontal="center"/>
      <protection hidden="1"/>
    </xf>
    <xf numFmtId="167" fontId="5" fillId="0" borderId="1" xfId="0" applyNumberFormat="1" applyFont="1" applyBorder="1" applyAlignment="1" applyProtection="1">
      <alignment horizontal="center"/>
      <protection hidden="1"/>
    </xf>
    <xf numFmtId="166" fontId="5" fillId="0" borderId="1" xfId="1" applyNumberFormat="1" applyFont="1" applyBorder="1" applyAlignment="1" applyProtection="1">
      <protection hidden="1"/>
    </xf>
    <xf numFmtId="166" fontId="5" fillId="0" borderId="1" xfId="1" applyNumberFormat="1" applyFont="1" applyBorder="1" applyAlignment="1" applyProtection="1">
      <alignment horizontal="center"/>
      <protection hidden="1"/>
    </xf>
    <xf numFmtId="0" fontId="5" fillId="0" borderId="1" xfId="1" applyNumberFormat="1" applyFont="1" applyBorder="1" applyAlignment="1" applyProtection="1">
      <alignment horizontal="center"/>
      <protection hidden="1"/>
    </xf>
    <xf numFmtId="0" fontId="5" fillId="0" borderId="1" xfId="1" applyNumberFormat="1" applyFont="1" applyBorder="1" applyProtection="1">
      <protection hidden="1"/>
    </xf>
    <xf numFmtId="164" fontId="5" fillId="0" borderId="1" xfId="1" applyFont="1" applyBorder="1" applyProtection="1">
      <protection hidden="1"/>
    </xf>
    <xf numFmtId="164" fontId="5" fillId="0" borderId="1" xfId="1" applyFont="1" applyBorder="1" applyAlignment="1" applyProtection="1">
      <alignment horizontal="center"/>
      <protection hidden="1"/>
    </xf>
    <xf numFmtId="14" fontId="5" fillId="0" borderId="7" xfId="0" applyNumberFormat="1" applyFont="1" applyBorder="1" applyAlignment="1" applyProtection="1">
      <alignment horizontal="left"/>
      <protection hidden="1"/>
    </xf>
    <xf numFmtId="167" fontId="5" fillId="0" borderId="7" xfId="0" applyNumberFormat="1" applyFont="1" applyBorder="1" applyAlignment="1" applyProtection="1">
      <alignment horizontal="center"/>
      <protection hidden="1"/>
    </xf>
    <xf numFmtId="166" fontId="5" fillId="0" borderId="7" xfId="1" applyNumberFormat="1" applyFont="1" applyBorder="1" applyAlignment="1" applyProtection="1">
      <protection hidden="1"/>
    </xf>
    <xf numFmtId="166" fontId="5" fillId="0" borderId="7" xfId="1" applyNumberFormat="1" applyFont="1" applyBorder="1" applyAlignment="1" applyProtection="1">
      <alignment horizontal="center"/>
      <protection hidden="1"/>
    </xf>
    <xf numFmtId="0" fontId="5" fillId="0" borderId="7" xfId="1" applyNumberFormat="1" applyFont="1" applyBorder="1" applyAlignment="1" applyProtection="1">
      <alignment horizontal="center"/>
      <protection hidden="1"/>
    </xf>
    <xf numFmtId="0" fontId="5" fillId="0" borderId="7" xfId="1" applyNumberFormat="1" applyFont="1" applyBorder="1" applyProtection="1">
      <protection hidden="1"/>
    </xf>
    <xf numFmtId="164" fontId="5" fillId="0" borderId="7" xfId="1" applyFont="1" applyBorder="1" applyProtection="1">
      <protection hidden="1"/>
    </xf>
    <xf numFmtId="14" fontId="5" fillId="5" borderId="0" xfId="0" applyNumberFormat="1" applyFont="1" applyFill="1" applyAlignment="1" applyProtection="1">
      <alignment horizontal="left"/>
      <protection hidden="1"/>
    </xf>
    <xf numFmtId="167" fontId="5" fillId="5" borderId="0" xfId="0" applyNumberFormat="1" applyFont="1" applyFill="1" applyAlignment="1" applyProtection="1">
      <alignment horizontal="center"/>
      <protection hidden="1"/>
    </xf>
    <xf numFmtId="166" fontId="5" fillId="5" borderId="0" xfId="1" applyNumberFormat="1" applyFont="1" applyFill="1" applyAlignment="1" applyProtection="1">
      <protection hidden="1"/>
    </xf>
    <xf numFmtId="166" fontId="5" fillId="5" borderId="0" xfId="1" applyNumberFormat="1" applyFont="1" applyFill="1" applyAlignment="1" applyProtection="1">
      <alignment horizontal="center"/>
      <protection hidden="1"/>
    </xf>
    <xf numFmtId="0" fontId="5" fillId="5" borderId="0" xfId="1" applyNumberFormat="1" applyFont="1" applyFill="1" applyAlignment="1" applyProtection="1">
      <alignment horizontal="center"/>
      <protection hidden="1"/>
    </xf>
    <xf numFmtId="0" fontId="5" fillId="5" borderId="0" xfId="1" applyNumberFormat="1" applyFont="1" applyFill="1" applyProtection="1">
      <protection hidden="1"/>
    </xf>
    <xf numFmtId="164" fontId="5" fillId="5" borderId="0" xfId="1" applyFont="1" applyFill="1" applyProtection="1">
      <protection hidden="1"/>
    </xf>
    <xf numFmtId="14" fontId="7" fillId="0" borderId="0" xfId="0" applyNumberFormat="1" applyFont="1" applyAlignment="1" applyProtection="1">
      <alignment horizontal="left"/>
      <protection hidden="1"/>
    </xf>
    <xf numFmtId="0" fontId="7" fillId="0" borderId="0" xfId="0" applyFont="1" applyProtection="1">
      <protection hidden="1"/>
    </xf>
    <xf numFmtId="0" fontId="1" fillId="0" borderId="0" xfId="0" applyFont="1"/>
    <xf numFmtId="0" fontId="1" fillId="0" borderId="0" xfId="0" applyFont="1" applyAlignment="1">
      <alignment horizontal="justify" vertical="center" wrapText="1"/>
    </xf>
    <xf numFmtId="0" fontId="15" fillId="0" borderId="0" xfId="0" applyFont="1" applyAlignment="1">
      <alignment horizontal="justify" vertical="center" wrapText="1"/>
    </xf>
    <xf numFmtId="0" fontId="13" fillId="0" borderId="0" xfId="0" applyFont="1" applyAlignment="1" applyProtection="1">
      <alignment horizontal="justify" wrapText="1"/>
      <protection hidden="1"/>
    </xf>
    <xf numFmtId="0" fontId="13" fillId="0" borderId="0" xfId="0" applyFont="1" applyAlignment="1">
      <alignment horizontal="justify" vertical="center" wrapText="1"/>
    </xf>
    <xf numFmtId="0" fontId="16" fillId="0" borderId="0" xfId="0" applyFont="1" applyAlignment="1">
      <alignment horizontal="justify" vertical="center" wrapText="1"/>
    </xf>
    <xf numFmtId="0" fontId="1" fillId="0" borderId="0" xfId="0" applyFont="1" applyAlignment="1">
      <alignment horizontal="justify" wrapText="1"/>
    </xf>
    <xf numFmtId="0" fontId="13" fillId="0" borderId="0" xfId="0" applyFont="1" applyAlignment="1">
      <alignment horizontal="justify" wrapText="1"/>
    </xf>
    <xf numFmtId="0" fontId="15" fillId="0" borderId="0" xfId="0" applyFont="1" applyAlignment="1">
      <alignment horizontal="justify" wrapText="1"/>
    </xf>
    <xf numFmtId="0" fontId="17" fillId="0" borderId="0" xfId="0" applyFont="1" applyAlignment="1">
      <alignment horizontal="justify" wrapText="1"/>
    </xf>
    <xf numFmtId="0" fontId="12" fillId="0" borderId="0" xfId="0" applyFont="1" applyAlignment="1">
      <alignment horizontal="left" vertical="center" wrapText="1"/>
    </xf>
    <xf numFmtId="0" fontId="13" fillId="0" borderId="0" xfId="0" applyFont="1" applyAlignment="1">
      <alignment horizontal="left" vertical="center" wrapText="1"/>
    </xf>
    <xf numFmtId="0" fontId="14" fillId="0" borderId="0" xfId="2" applyFont="1" applyAlignment="1" applyProtection="1">
      <alignment horizontal="left" wrapText="1"/>
      <protection hidden="1"/>
    </xf>
    <xf numFmtId="0" fontId="2" fillId="0" borderId="0" xfId="2" applyAlignment="1" applyProtection="1">
      <alignment horizontal="right" vertical="center" wrapText="1"/>
    </xf>
    <xf numFmtId="0" fontId="1" fillId="0" borderId="0" xfId="0" applyFont="1" applyAlignment="1">
      <alignment wrapText="1"/>
    </xf>
    <xf numFmtId="164" fontId="4" fillId="2" borderId="5" xfId="1" applyFont="1" applyFill="1" applyBorder="1" applyAlignment="1" applyProtection="1">
      <alignment horizontal="center" vertical="center"/>
      <protection hidden="1"/>
    </xf>
    <xf numFmtId="164" fontId="4" fillId="2" borderId="2" xfId="1" applyFont="1" applyFill="1" applyBorder="1" applyAlignment="1" applyProtection="1">
      <alignment horizontal="center" vertical="center"/>
      <protection hidden="1"/>
    </xf>
    <xf numFmtId="164" fontId="4" fillId="2" borderId="4" xfId="1" applyFont="1" applyFill="1" applyBorder="1" applyAlignment="1" applyProtection="1">
      <alignment horizontal="center" vertical="center"/>
      <protection hidden="1"/>
    </xf>
    <xf numFmtId="164" fontId="5" fillId="0" borderId="5" xfId="1" applyFont="1" applyBorder="1" applyAlignment="1" applyProtection="1">
      <alignment horizontal="left" indent="1"/>
      <protection hidden="1"/>
    </xf>
    <xf numFmtId="164" fontId="5" fillId="0" borderId="2" xfId="1" applyFont="1" applyBorder="1" applyAlignment="1" applyProtection="1">
      <alignment horizontal="left" indent="1"/>
      <protection hidden="1"/>
    </xf>
    <xf numFmtId="164" fontId="5" fillId="0" borderId="4" xfId="1" applyFont="1" applyBorder="1" applyAlignment="1" applyProtection="1">
      <alignment horizontal="left" indent="1"/>
      <protection hidden="1"/>
    </xf>
    <xf numFmtId="0" fontId="5" fillId="0" borderId="5" xfId="3" applyNumberFormat="1" applyFont="1" applyBorder="1" applyAlignment="1" applyProtection="1">
      <alignment horizontal="left" indent="1"/>
      <protection hidden="1"/>
    </xf>
    <xf numFmtId="0" fontId="5" fillId="0" borderId="2" xfId="3" applyNumberFormat="1" applyFont="1" applyBorder="1" applyAlignment="1" applyProtection="1">
      <alignment horizontal="left" indent="1"/>
      <protection hidden="1"/>
    </xf>
    <xf numFmtId="0" fontId="5" fillId="0" borderId="4" xfId="3" applyNumberFormat="1" applyFont="1" applyBorder="1" applyAlignment="1" applyProtection="1">
      <alignment horizontal="left" indent="1"/>
      <protection hidden="1"/>
    </xf>
    <xf numFmtId="0" fontId="4" fillId="2" borderId="5" xfId="3" applyNumberFormat="1" applyFont="1" applyFill="1" applyBorder="1" applyAlignment="1" applyProtection="1">
      <alignment horizontal="center" vertical="center"/>
      <protection hidden="1"/>
    </xf>
    <xf numFmtId="0" fontId="4" fillId="2" borderId="2" xfId="3" applyNumberFormat="1" applyFont="1" applyFill="1" applyBorder="1" applyAlignment="1" applyProtection="1">
      <alignment horizontal="center" vertical="center"/>
      <protection hidden="1"/>
    </xf>
    <xf numFmtId="0" fontId="4" fillId="2" borderId="4" xfId="3" applyNumberFormat="1" applyFont="1" applyFill="1" applyBorder="1" applyAlignment="1" applyProtection="1">
      <alignment horizontal="center" vertical="center"/>
      <protection hidden="1"/>
    </xf>
  </cellXfs>
  <cellStyles count="4">
    <cellStyle name="Comma" xfId="1" builtinId="3"/>
    <cellStyle name="Hyperlink" xfId="2" builtinId="8"/>
    <cellStyle name="Normal" xfId="0" builtinId="0" customBuiltin="1"/>
    <cellStyle name="Percent" xfId="3" builtinId="5"/>
  </cellStyles>
  <dxfs count="26">
    <dxf>
      <font>
        <b val="0"/>
        <i val="0"/>
        <strike val="0"/>
        <condense val="0"/>
        <extend val="0"/>
        <outline val="0"/>
        <shadow val="0"/>
        <u val="none"/>
        <vertAlign val="baseline"/>
        <sz val="10"/>
        <color auto="1"/>
        <name val="Century Gothic"/>
        <family val="2"/>
        <scheme val="min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numFmt numFmtId="164" formatCode="_ * #,##0.00_ ;_ * \-#,##0.00_ ;_ * &quot;-&quot;??_ ;_ @_ "/>
      <alignment horizontal="center" vertical="bottom" textRotation="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numFmt numFmtId="0" formatCode="General"/>
      <protection locked="1" hidden="1"/>
    </dxf>
    <dxf>
      <font>
        <b val="0"/>
        <i val="0"/>
        <strike val="0"/>
        <condense val="0"/>
        <extend val="0"/>
        <outline val="0"/>
        <shadow val="0"/>
        <u val="none"/>
        <vertAlign val="baseline"/>
        <sz val="10"/>
        <color auto="1"/>
        <name val="Century Gothic"/>
        <family val="2"/>
        <scheme val="minor"/>
      </font>
      <numFmt numFmtId="0" formatCode="General"/>
      <protection locked="1" hidden="1"/>
    </dxf>
    <dxf>
      <font>
        <b val="0"/>
        <i val="0"/>
        <strike val="0"/>
        <condense val="0"/>
        <extend val="0"/>
        <outline val="0"/>
        <shadow val="0"/>
        <u val="none"/>
        <vertAlign val="baseline"/>
        <sz val="10"/>
        <color auto="1"/>
        <name val="Century Gothic"/>
        <family val="2"/>
        <scheme val="minor"/>
      </font>
      <numFmt numFmtId="0" formatCode="General"/>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6" formatCode="_ * #,##0_ ;_ * \-#,##0_ ;_ * &quot;-&quot;??_ ;_ @_ "/>
      <protection locked="1" hidden="1"/>
    </dxf>
    <dxf>
      <font>
        <b val="0"/>
        <i val="0"/>
        <strike val="0"/>
        <condense val="0"/>
        <extend val="0"/>
        <outline val="0"/>
        <shadow val="0"/>
        <u val="none"/>
        <vertAlign val="baseline"/>
        <sz val="10"/>
        <color auto="1"/>
        <name val="Century Gothic"/>
        <family val="2"/>
        <scheme val="minor"/>
      </font>
      <numFmt numFmtId="166" formatCode="_ * #,##0_ ;_ * \-#,##0_ ;_ * &quot;-&quot;??_ ;_ @_ "/>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numFmt numFmtId="167" formatCode="[$-F400]h:mm:ss\ AM/PM"/>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7" formatCode="[$-F400]h:mm:ss\ AM/PM"/>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9" formatCode="yyyy/mm/dd"/>
      <alignment horizontal="left" vertical="bottom" textRotation="0" wrapText="0" indent="0" justifyLastLine="0" shrinkToFit="0" readingOrder="0"/>
      <protection locked="1" hidden="1"/>
    </dxf>
    <dxf>
      <border outline="0">
        <top style="thin">
          <color indexed="64"/>
        </top>
      </border>
    </dxf>
    <dxf>
      <font>
        <b val="0"/>
        <i val="0"/>
        <strike val="0"/>
        <condense val="0"/>
        <extend val="0"/>
        <outline val="0"/>
        <shadow val="0"/>
        <u val="none"/>
        <vertAlign val="baseline"/>
        <sz val="10"/>
        <color auto="1"/>
        <name val="Century Gothic"/>
        <family val="2"/>
        <scheme val="minor"/>
      </font>
      <numFmt numFmtId="0" formatCode="General"/>
      <protection locked="1" hidden="1"/>
    </dxf>
    <dxf>
      <border outline="0">
        <bottom style="thin">
          <color indexed="64"/>
        </bottom>
      </border>
    </dxf>
    <dxf>
      <font>
        <b/>
        <i val="0"/>
        <strike val="0"/>
        <condense val="0"/>
        <extend val="0"/>
        <outline val="0"/>
        <shadow val="0"/>
        <u val="none"/>
        <vertAlign val="baseline"/>
        <sz val="10"/>
        <color theme="1"/>
        <name val="Century Gothic"/>
        <family val="2"/>
        <scheme val="minor"/>
      </font>
      <numFmt numFmtId="0" formatCode="General"/>
      <fill>
        <patternFill patternType="solid">
          <fgColor indexed="64"/>
          <bgColor rgb="FFCCFFFF"/>
        </patternFill>
      </fill>
      <alignment horizontal="center" vertical="bottom" textRotation="0" wrapText="1" indent="0" justifyLastLine="0" shrinkToFit="0" readingOrder="0"/>
      <border diagonalUp="0" diagonalDown="0">
        <left style="thin">
          <color indexed="64"/>
        </left>
        <right style="thin">
          <color indexed="64"/>
        </right>
        <top/>
        <bottom/>
      </border>
      <protection locked="1" hidden="1"/>
    </dxf>
    <dxf>
      <font>
        <b/>
        <i val="0"/>
        <color theme="0"/>
      </font>
      <fill>
        <patternFill>
          <bgColor rgb="FFFF6600"/>
        </patternFill>
      </fill>
    </dxf>
    <dxf>
      <font>
        <b/>
        <i val="0"/>
        <color theme="0"/>
      </font>
      <fill>
        <patternFill>
          <bgColor rgb="FFFF6600"/>
        </patternFill>
      </fill>
    </dxf>
    <dxf>
      <font>
        <b/>
        <i val="0"/>
        <color theme="0"/>
      </font>
      <fill>
        <patternFill>
          <bgColor rgb="FFFF6600"/>
        </patternFill>
      </fill>
    </dxf>
    <dxf>
      <font>
        <b/>
        <i val="0"/>
        <color theme="0"/>
      </font>
      <fill>
        <patternFill>
          <bgColor rgb="FFFF66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hyperlink" Target="https://www.excel-skills.com/macro.php?tempno=38"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https://www.excel-skills.com/log-book-template.php" TargetMode="External"/></Relationships>
</file>

<file path=xl/drawings/drawing1.xml><?xml version="1.0" encoding="utf-8"?>
<xdr:wsDr xmlns:xdr="http://schemas.openxmlformats.org/drawingml/2006/spreadsheetDrawing" xmlns:a="http://schemas.openxmlformats.org/drawingml/2006/main">
  <xdr:twoCellAnchor editAs="absolute">
    <xdr:from>
      <xdr:col>0</xdr:col>
      <xdr:colOff>22860</xdr:colOff>
      <xdr:row>0</xdr:row>
      <xdr:rowOff>22860</xdr:rowOff>
    </xdr:from>
    <xdr:to>
      <xdr:col>15</xdr:col>
      <xdr:colOff>31800</xdr:colOff>
      <xdr:row>21</xdr:row>
      <xdr:rowOff>14010</xdr:rowOff>
    </xdr:to>
    <xdr:grpSp>
      <xdr:nvGrpSpPr>
        <xdr:cNvPr id="4" name="Group 3">
          <a:extLst>
            <a:ext uri="{FF2B5EF4-FFF2-40B4-BE49-F238E27FC236}">
              <a16:creationId xmlns:a16="http://schemas.microsoft.com/office/drawing/2014/main" id="{C7FE89CF-0416-4832-BAA0-25621183FFCD}"/>
            </a:ext>
          </a:extLst>
        </xdr:cNvPr>
        <xdr:cNvGrpSpPr/>
      </xdr:nvGrpSpPr>
      <xdr:grpSpPr>
        <a:xfrm>
          <a:off x="22860" y="22860"/>
          <a:ext cx="9445040" cy="3591600"/>
          <a:chOff x="17134" y="17145"/>
          <a:chExt cx="9252000" cy="3671610"/>
        </a:xfrm>
      </xdr:grpSpPr>
      <xdr:sp macro="" textlink="" fLocksText="0">
        <xdr:nvSpPr>
          <xdr:cNvPr id="5" name="Rectangle 1">
            <a:extLst>
              <a:ext uri="{FF2B5EF4-FFF2-40B4-BE49-F238E27FC236}">
                <a16:creationId xmlns:a16="http://schemas.microsoft.com/office/drawing/2014/main" id="{81373FC7-15CB-4335-B476-FFB51C362178}"/>
              </a:ext>
            </a:extLst>
          </xdr:cNvPr>
          <xdr:cNvSpPr>
            <a:spLocks noChangeArrowheads="1"/>
          </xdr:cNvSpPr>
        </xdr:nvSpPr>
        <xdr:spPr bwMode="auto">
          <a:xfrm>
            <a:off x="17134" y="17145"/>
            <a:ext cx="9252000" cy="367161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horzOverflow="clip" wrap="square" lIns="180000" tIns="180000" rIns="180000" bIns="180000" anchor="t" anchorCtr="0" upright="1">
            <a:noAutofit/>
          </a:bodyPr>
          <a:lstStyle/>
          <a:p>
            <a:pPr algn="l" rtl="0">
              <a:lnSpc>
                <a:spcPct val="100000"/>
              </a:lnSpc>
              <a:spcAft>
                <a:spcPts val="0"/>
              </a:spcAft>
              <a:defRPr sz="1000"/>
            </a:pPr>
            <a:r>
              <a:rPr lang="en-US" sz="1200" b="1" i="0" u="none" strike="noStrike" baseline="0">
                <a:solidFill>
                  <a:schemeClr val="bg1"/>
                </a:solidFill>
                <a:latin typeface="+mn-lt"/>
                <a:cs typeface="Arial" panose="020B0604020202020204" pitchFamily="34" charset="0"/>
              </a:rPr>
              <a:t>EXCEL-SKILLS.COM</a:t>
            </a:r>
          </a:p>
          <a:p>
            <a:pPr algn="l" rtl="0">
              <a:lnSpc>
                <a:spcPct val="100000"/>
              </a:lnSpc>
              <a:defRPr sz="1000"/>
            </a:pPr>
            <a:r>
              <a:rPr lang="en-US" sz="2400" b="1" i="0" u="none" strike="noStrike" baseline="0">
                <a:solidFill>
                  <a:srgbClr val="FFFFFF"/>
                </a:solidFill>
                <a:latin typeface="Berlin Sans FB Demi" panose="020E0802020502020306" pitchFamily="34" charset="0"/>
                <a:cs typeface="Arial"/>
              </a:rPr>
              <a:t>How to activate our trial version</a:t>
            </a:r>
          </a:p>
          <a:p>
            <a:pPr algn="just" rtl="0">
              <a:lnSpc>
                <a:spcPts val="1500"/>
              </a:lnSpc>
              <a:spcBef>
                <a:spcPts val="300"/>
              </a:spcBef>
              <a:spcAft>
                <a:spcPts val="300"/>
              </a:spcAft>
              <a:defRPr sz="1000"/>
            </a:pPr>
            <a:r>
              <a:rPr lang="en-US" sz="1100" b="0" i="0" u="none" strike="noStrike" baseline="0">
                <a:solidFill>
                  <a:srgbClr val="FFFFFF"/>
                </a:solidFill>
                <a:latin typeface="+mn-lt"/>
                <a:cs typeface="Arial" panose="020B0604020202020204" pitchFamily="34" charset="0"/>
              </a:rPr>
              <a:t>Enable our 100% secure trial version macro to display the full version of the template. You should see a security warning message indicating that macros have been disabled - the trail version can be activated by enabling the macro content. Once you enable the macro, all the sheets included in the full version will be visible and you will be able to test the template features.</a:t>
            </a:r>
          </a:p>
          <a:p>
            <a:pPr marL="0" algn="just" rtl="0">
              <a:lnSpc>
                <a:spcPct val="100000"/>
              </a:lnSpc>
              <a:spcBef>
                <a:spcPts val="300"/>
              </a:spcBef>
              <a:spcAft>
                <a:spcPts val="300"/>
              </a:spcAft>
              <a:defRPr sz="1000"/>
            </a:pPr>
            <a:r>
              <a:rPr lang="en-US" sz="1200" b="1" i="0" u="none" strike="noStrike" baseline="0">
                <a:solidFill>
                  <a:srgbClr val="FFFFFF"/>
                </a:solidFill>
                <a:latin typeface="+mn-lt"/>
                <a:cs typeface="Arial" panose="020B0604020202020204" pitchFamily="34" charset="0"/>
              </a:rPr>
              <a:t>Trial version restrictions</a:t>
            </a:r>
          </a:p>
          <a:p>
            <a:pPr marL="0" algn="just" rtl="0">
              <a:lnSpc>
                <a:spcPts val="1500"/>
              </a:lnSpc>
              <a:spcBef>
                <a:spcPts val="0"/>
              </a:spcBef>
              <a:spcAft>
                <a:spcPts val="300"/>
              </a:spcAft>
              <a:defRPr sz="1000"/>
            </a:pPr>
            <a:r>
              <a:rPr lang="en-US" sz="1100" b="0" i="0" u="none" strike="noStrike" baseline="0">
                <a:solidFill>
                  <a:srgbClr val="FFFFFF"/>
                </a:solidFill>
                <a:latin typeface="+mn-lt"/>
                <a:cs typeface="Arial" panose="020B0604020202020204" pitchFamily="34" charset="0"/>
              </a:rPr>
              <a:t>The trial version includes all the functionality of the full version but you cannot save the template or print any of the worksheets. You will also not be able to move or copy any of the worksheets. The aim of the trial version is to illustrate the functionality which is included in the full version and the trial can therefore only be used to try out the template functionality for one session at a time. We only use macros for the trial versions of our templates - none of the full versions of our templates contain any macros!</a:t>
            </a:r>
          </a:p>
        </xdr:txBody>
      </xdr:sp>
      <xdr:sp macro="" textlink="" fLocksText="0">
        <xdr:nvSpPr>
          <xdr:cNvPr id="6" name="TextBox 5">
            <a:hlinkClick xmlns:r="http://schemas.openxmlformats.org/officeDocument/2006/relationships" r:id="rId1"/>
            <a:extLst>
              <a:ext uri="{FF2B5EF4-FFF2-40B4-BE49-F238E27FC236}">
                <a16:creationId xmlns:a16="http://schemas.microsoft.com/office/drawing/2014/main" id="{ED92481A-B91F-481E-A23B-BE23540D9183}"/>
              </a:ext>
            </a:extLst>
          </xdr:cNvPr>
          <xdr:cNvSpPr txBox="1"/>
        </xdr:nvSpPr>
        <xdr:spPr>
          <a:xfrm>
            <a:off x="2011680" y="2901317"/>
            <a:ext cx="4680000" cy="485145"/>
          </a:xfrm>
          <a:prstGeom prst="rect">
            <a:avLst/>
          </a:prstGeom>
          <a:solidFill>
            <a:srgbClr val="FE4A49"/>
          </a:solidFill>
          <a:ln w="50800" cap="rnd" cmpd="sng">
            <a:solidFill>
              <a:srgbClr val="FE4A49"/>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400" b="1" u="none">
                <a:solidFill>
                  <a:schemeClr val="bg1"/>
                </a:solidFill>
                <a:latin typeface="+mn-lt"/>
              </a:rPr>
              <a:t>Go</a:t>
            </a:r>
            <a:r>
              <a:rPr lang="en-ZA" sz="1400" b="1" u="none" baseline="0">
                <a:solidFill>
                  <a:schemeClr val="bg1"/>
                </a:solidFill>
                <a:latin typeface="+mn-lt"/>
              </a:rPr>
              <a:t> to step-by-step macro instructions</a:t>
            </a:r>
            <a:endParaRPr lang="en-ZA" sz="1400" b="1" u="none">
              <a:solidFill>
                <a:schemeClr val="bg1"/>
              </a:solidFill>
              <a:latin typeface="+mn-lt"/>
            </a:endParaRPr>
          </a:p>
        </xdr:txBody>
      </xdr:sp>
      <xdr:sp macro="" textlink="" fLocksText="0">
        <xdr:nvSpPr>
          <xdr:cNvPr id="7" name="TextBox 6">
            <a:extLst>
              <a:ext uri="{FF2B5EF4-FFF2-40B4-BE49-F238E27FC236}">
                <a16:creationId xmlns:a16="http://schemas.microsoft.com/office/drawing/2014/main" id="{E64F4389-F3E1-4D9B-BBE7-B25662C460C5}"/>
              </a:ext>
            </a:extLst>
          </xdr:cNvPr>
          <xdr:cNvSpPr txBox="1"/>
        </xdr:nvSpPr>
        <xdr:spPr>
          <a:xfrm>
            <a:off x="2004060" y="3413760"/>
            <a:ext cx="4680000" cy="2514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000" i="1">
                <a:solidFill>
                  <a:schemeClr val="bg1">
                    <a:lumMod val="75000"/>
                  </a:schemeClr>
                </a:solidFill>
              </a:rPr>
              <a:t>enable editing to activate the link</a:t>
            </a:r>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editAs="absolute">
    <xdr:from>
      <xdr:col>0</xdr:col>
      <xdr:colOff>22860</xdr:colOff>
      <xdr:row>0</xdr:row>
      <xdr:rowOff>22860</xdr:rowOff>
    </xdr:from>
    <xdr:to>
      <xdr:col>15</xdr:col>
      <xdr:colOff>31800</xdr:colOff>
      <xdr:row>21</xdr:row>
      <xdr:rowOff>14010</xdr:rowOff>
    </xdr:to>
    <xdr:grpSp>
      <xdr:nvGrpSpPr>
        <xdr:cNvPr id="4" name="Group 3">
          <a:extLst>
            <a:ext uri="{FF2B5EF4-FFF2-40B4-BE49-F238E27FC236}">
              <a16:creationId xmlns:a16="http://schemas.microsoft.com/office/drawing/2014/main" id="{E7A94FCA-AA19-4874-A4EA-D60360B4A205}"/>
            </a:ext>
          </a:extLst>
        </xdr:cNvPr>
        <xdr:cNvGrpSpPr/>
      </xdr:nvGrpSpPr>
      <xdr:grpSpPr>
        <a:xfrm>
          <a:off x="22860" y="22860"/>
          <a:ext cx="9445040" cy="3591600"/>
          <a:chOff x="17134" y="17145"/>
          <a:chExt cx="9252000" cy="3671610"/>
        </a:xfrm>
      </xdr:grpSpPr>
      <xdr:sp macro="" textlink="" fLocksText="0">
        <xdr:nvSpPr>
          <xdr:cNvPr id="5" name="Rectangle 1">
            <a:extLst>
              <a:ext uri="{FF2B5EF4-FFF2-40B4-BE49-F238E27FC236}">
                <a16:creationId xmlns:a16="http://schemas.microsoft.com/office/drawing/2014/main" id="{F214E912-12AD-4B2B-859D-9713F1195253}"/>
              </a:ext>
            </a:extLst>
          </xdr:cNvPr>
          <xdr:cNvSpPr>
            <a:spLocks noChangeArrowheads="1"/>
          </xdr:cNvSpPr>
        </xdr:nvSpPr>
        <xdr:spPr bwMode="auto">
          <a:xfrm>
            <a:off x="17134" y="17145"/>
            <a:ext cx="9252000" cy="367161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horzOverflow="clip" wrap="square" lIns="180000" tIns="180000" rIns="180000" bIns="180000" anchor="t" anchorCtr="0" upright="1">
            <a:noAutofit/>
          </a:bodyPr>
          <a:lstStyle/>
          <a:p>
            <a:pPr algn="l" rtl="0">
              <a:lnSpc>
                <a:spcPct val="100000"/>
              </a:lnSpc>
              <a:spcAft>
                <a:spcPts val="0"/>
              </a:spcAft>
              <a:defRPr sz="1000"/>
            </a:pPr>
            <a:r>
              <a:rPr lang="en-US" sz="1200" b="1" i="0" u="none" strike="noStrike" baseline="0">
                <a:solidFill>
                  <a:schemeClr val="bg1"/>
                </a:solidFill>
                <a:latin typeface="+mn-lt"/>
                <a:cs typeface="Arial" panose="020B0604020202020204" pitchFamily="34" charset="0"/>
              </a:rPr>
              <a:t>EXCEL-SKILLS.COM</a:t>
            </a:r>
          </a:p>
          <a:p>
            <a:pPr algn="l" rtl="0">
              <a:lnSpc>
                <a:spcPct val="100000"/>
              </a:lnSpc>
              <a:defRPr sz="1000"/>
            </a:pPr>
            <a:r>
              <a:rPr lang="en-US" sz="2400" b="1" i="0" u="none" strike="noStrike" baseline="0">
                <a:solidFill>
                  <a:srgbClr val="FFFFFF"/>
                </a:solidFill>
                <a:latin typeface="Berlin Sans FB Demi" panose="020E0802020502020306" pitchFamily="34" charset="0"/>
                <a:cs typeface="Arial"/>
              </a:rPr>
              <a:t>VEHICLE LOGBOOK TEMPLATE</a:t>
            </a:r>
          </a:p>
          <a:p>
            <a:pPr algn="just" rtl="0">
              <a:lnSpc>
                <a:spcPts val="1500"/>
              </a:lnSpc>
              <a:spcBef>
                <a:spcPts val="300"/>
              </a:spcBef>
              <a:spcAft>
                <a:spcPts val="300"/>
              </a:spcAft>
              <a:defRPr sz="1000"/>
            </a:pPr>
            <a:r>
              <a:rPr lang="en-US" sz="1100" b="0" i="0" u="none" strike="noStrike" baseline="0">
                <a:solidFill>
                  <a:srgbClr val="FFFFFF"/>
                </a:solidFill>
                <a:latin typeface="+mn-lt"/>
                <a:cs typeface="Arial" panose="020B0604020202020204" pitchFamily="34" charset="0"/>
              </a:rPr>
              <a:t>This unique template enables users to compile a complete vehicle logbook for all business and private travel. The template accommodates multiple vehicles and can also be used to calculate travel charges for invoicing to clients. The template is suitable for individuals who need to compile a vehicle logbook for income tax purposes and for businesses that need to manage a fleet of vehicles, calculate amounts charged to clients, manage pool cars and analyze business &amp; private use of vehicles.</a:t>
            </a:r>
          </a:p>
          <a:p>
            <a:pPr marL="1800000" algn="just" rtl="0">
              <a:lnSpc>
                <a:spcPct val="100000"/>
              </a:lnSpc>
              <a:spcBef>
                <a:spcPts val="2400"/>
              </a:spcBef>
              <a:spcAft>
                <a:spcPts val="300"/>
              </a:spcAft>
              <a:defRPr sz="1000"/>
            </a:pPr>
            <a:r>
              <a:rPr lang="en-US" sz="1200" b="1" i="0" u="none" strike="noStrike" baseline="0">
                <a:solidFill>
                  <a:srgbClr val="FFFFFF"/>
                </a:solidFill>
                <a:latin typeface="+mn-lt"/>
                <a:cs typeface="Arial" panose="020B0604020202020204" pitchFamily="34" charset="0"/>
              </a:rPr>
              <a:t>Get the full version of the template to unlock all the functionality!</a:t>
            </a:r>
          </a:p>
          <a:p>
            <a:pPr marL="1800000" algn="just" rtl="0">
              <a:lnSpc>
                <a:spcPts val="1500"/>
              </a:lnSpc>
              <a:spcBef>
                <a:spcPts val="0"/>
              </a:spcBef>
              <a:spcAft>
                <a:spcPts val="300"/>
              </a:spcAft>
              <a:defRPr sz="1000"/>
            </a:pPr>
            <a:r>
              <a:rPr lang="en-US" sz="1100" b="0" i="0" u="none" strike="noStrike" baseline="0">
                <a:solidFill>
                  <a:srgbClr val="FFFFFF"/>
                </a:solidFill>
                <a:latin typeface="+mn-lt"/>
                <a:cs typeface="Arial" panose="020B0604020202020204" pitchFamily="34" charset="0"/>
              </a:rPr>
              <a:t>This is a trial version of the template created to enable you to try out the template functionality. You will not be able to save or print any of your changes. Get the full version for a fully unprotected version of the template where you have full access to all the template functionality.</a:t>
            </a:r>
          </a:p>
        </xdr:txBody>
      </xdr:sp>
      <xdr:sp macro="" textlink="" fLocksText="0">
        <xdr:nvSpPr>
          <xdr:cNvPr id="6" name="TextBox 5">
            <a:hlinkClick xmlns:r="http://schemas.openxmlformats.org/officeDocument/2006/relationships" r:id="rId1"/>
            <a:extLst>
              <a:ext uri="{FF2B5EF4-FFF2-40B4-BE49-F238E27FC236}">
                <a16:creationId xmlns:a16="http://schemas.microsoft.com/office/drawing/2014/main" id="{16874EC0-2964-4460-8C65-635AC2A3859C}"/>
              </a:ext>
            </a:extLst>
          </xdr:cNvPr>
          <xdr:cNvSpPr txBox="1"/>
        </xdr:nvSpPr>
        <xdr:spPr>
          <a:xfrm>
            <a:off x="2011680" y="2901317"/>
            <a:ext cx="4680000" cy="485145"/>
          </a:xfrm>
          <a:prstGeom prst="rect">
            <a:avLst/>
          </a:prstGeom>
          <a:solidFill>
            <a:srgbClr val="FE4A49"/>
          </a:solidFill>
          <a:ln w="50800" cap="rnd" cmpd="sng">
            <a:solidFill>
              <a:srgbClr val="FE4A49"/>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400" b="1" u="none">
                <a:solidFill>
                  <a:schemeClr val="bg1"/>
                </a:solidFill>
                <a:latin typeface="+mn-lt"/>
              </a:rPr>
              <a:t>Get</a:t>
            </a:r>
            <a:r>
              <a:rPr lang="en-ZA" sz="1400" b="1" u="none" baseline="0">
                <a:solidFill>
                  <a:schemeClr val="bg1"/>
                </a:solidFill>
                <a:latin typeface="+mn-lt"/>
              </a:rPr>
              <a:t> the full version of this template!</a:t>
            </a:r>
            <a:endParaRPr lang="en-ZA" sz="1400" b="1" u="none">
              <a:solidFill>
                <a:schemeClr val="bg1"/>
              </a:solidFill>
              <a:latin typeface="+mn-lt"/>
            </a:endParaRPr>
          </a:p>
        </xdr:txBody>
      </xdr:sp>
      <xdr:sp macro="" textlink="" fLocksText="0">
        <xdr:nvSpPr>
          <xdr:cNvPr id="7" name="TextBox 6">
            <a:extLst>
              <a:ext uri="{FF2B5EF4-FFF2-40B4-BE49-F238E27FC236}">
                <a16:creationId xmlns:a16="http://schemas.microsoft.com/office/drawing/2014/main" id="{1DAB8F65-301A-4487-98C9-1EC7F29CD904}"/>
              </a:ext>
            </a:extLst>
          </xdr:cNvPr>
          <xdr:cNvSpPr txBox="1"/>
        </xdr:nvSpPr>
        <xdr:spPr>
          <a:xfrm>
            <a:off x="2004060" y="3413760"/>
            <a:ext cx="4680000" cy="2514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000" i="1">
                <a:solidFill>
                  <a:schemeClr val="bg1">
                    <a:lumMod val="75000"/>
                  </a:schemeClr>
                </a:solidFill>
              </a:rPr>
              <a:t>enable editing to activate the link</a:t>
            </a:r>
          </a:p>
        </xdr:txBody>
      </xdr:sp>
      <xdr:pic>
        <xdr:nvPicPr>
          <xdr:cNvPr id="8" name="Picture 7">
            <a:extLst>
              <a:ext uri="{FF2B5EF4-FFF2-40B4-BE49-F238E27FC236}">
                <a16:creationId xmlns:a16="http://schemas.microsoft.com/office/drawing/2014/main" id="{91C90558-1077-4F53-B726-31D9B131136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36220" y="1912620"/>
            <a:ext cx="1524000" cy="1524000"/>
          </a:xfrm>
          <a:prstGeom prst="rect">
            <a:avLst/>
          </a:prstGeom>
        </xdr:spPr>
      </xdr:pic>
    </xdr:grpSp>
    <xdr:clientData fPrintsWithSheet="0"/>
  </xdr:twoCellAnchor>
</xdr:wsDr>
</file>

<file path=xl/drawings/drawing3.xml><?xml version="1.0" encoding="utf-8"?>
<xdr:wsDr xmlns:xdr="http://schemas.openxmlformats.org/drawingml/2006/spreadsheetDrawing" xmlns:a="http://schemas.openxmlformats.org/drawingml/2006/main">
  <xdr:oneCellAnchor>
    <xdr:from>
      <xdr:col>1</xdr:col>
      <xdr:colOff>129540</xdr:colOff>
      <xdr:row>4</xdr:row>
      <xdr:rowOff>172380</xdr:rowOff>
    </xdr:from>
    <xdr:ext cx="2720340" cy="1114490"/>
    <xdr:sp macro="" textlink="">
      <xdr:nvSpPr>
        <xdr:cNvPr id="10" name="Rectangle 17">
          <a:extLst>
            <a:ext uri="{FF2B5EF4-FFF2-40B4-BE49-F238E27FC236}">
              <a16:creationId xmlns:a16="http://schemas.microsoft.com/office/drawing/2014/main" id="{BA9689CA-DA91-47BC-A420-9BE6FC31B797}"/>
            </a:ext>
          </a:extLst>
        </xdr:cNvPr>
        <xdr:cNvSpPr>
          <a:spLocks noChangeArrowheads="1"/>
        </xdr:cNvSpPr>
      </xdr:nvSpPr>
      <xdr:spPr bwMode="auto">
        <a:xfrm>
          <a:off x="7658100" y="919140"/>
          <a:ext cx="2720340" cy="111449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800" b="1" i="0" u="none" strike="noStrike" baseline="0">
              <a:solidFill>
                <a:schemeClr val="accent1">
                  <a:lumMod val="20000"/>
                  <a:lumOff val="80000"/>
                </a:schemeClr>
              </a:solidFill>
              <a:latin typeface="+mn-lt"/>
              <a:cs typeface="Arial"/>
            </a:rPr>
            <a:t>On this sheet:</a:t>
          </a:r>
        </a:p>
        <a:p>
          <a:pPr algn="ctr" rtl="0">
            <a:lnSpc>
              <a:spcPts val="1500"/>
            </a:lnSpc>
            <a:defRPr sz="1000"/>
          </a:pPr>
          <a:r>
            <a:rPr lang="en-US" sz="1050" b="1" i="0" u="none" strike="noStrike" baseline="0">
              <a:solidFill>
                <a:schemeClr val="bg1"/>
              </a:solidFill>
              <a:latin typeface="+mn-lt"/>
              <a:cs typeface="Arial"/>
            </a:rPr>
            <a:t>This sheet includes detailed instructions on setting up and using this template.</a:t>
          </a:r>
        </a:p>
      </xdr:txBody>
    </xdr:sp>
    <xdr:clientData fLocksWithSheet="0" fPrintsWithSheet="0"/>
  </xdr:oneCellAnchor>
</xdr:wsDr>
</file>

<file path=xl/drawings/drawing4.xml><?xml version="1.0" encoding="utf-8"?>
<xdr:wsDr xmlns:xdr="http://schemas.openxmlformats.org/drawingml/2006/spreadsheetDrawing" xmlns:a="http://schemas.openxmlformats.org/drawingml/2006/main">
  <xdr:oneCellAnchor>
    <xdr:from>
      <xdr:col>4</xdr:col>
      <xdr:colOff>32083</xdr:colOff>
      <xdr:row>9</xdr:row>
      <xdr:rowOff>32303</xdr:rowOff>
    </xdr:from>
    <xdr:ext cx="8141370" cy="1885342"/>
    <xdr:sp macro="" textlink="">
      <xdr:nvSpPr>
        <xdr:cNvPr id="3" name="Rectangle 17">
          <a:extLst>
            <a:ext uri="{FF2B5EF4-FFF2-40B4-BE49-F238E27FC236}">
              <a16:creationId xmlns:a16="http://schemas.microsoft.com/office/drawing/2014/main" id="{B9723691-268B-4A4B-BCF6-9E74C650421E}"/>
            </a:ext>
          </a:extLst>
        </xdr:cNvPr>
        <xdr:cNvSpPr>
          <a:spLocks noChangeArrowheads="1"/>
        </xdr:cNvSpPr>
      </xdr:nvSpPr>
      <xdr:spPr bwMode="auto">
        <a:xfrm>
          <a:off x="3497178" y="1869124"/>
          <a:ext cx="8141370" cy="188534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Enter all the required details in the columns with yellow column headings in order to compile a comprehensive vehicle logbook. The formulas in the columns with light blue column headings are automatically copied when adding additional rows to the table on this sheet. The list box in the vehicle registration number column is based on the contents of the Vehicles sheet and the list box in the client code column is based on the contents of the Clients sheet. The travel distance is calculated based on the opening &amp; closing odometer readings and compared to the standard distance which is specified for each client on the Client sheet. The sheet also accommodates entering a mileage rate for calculating charges to clients.</a:t>
          </a:r>
        </a:p>
      </xdr:txBody>
    </xdr:sp>
    <xdr:clientData fLocksWithSheet="0" fPrintsWithSheet="0"/>
  </xdr:oneCellAnchor>
</xdr:wsDr>
</file>

<file path=xl/drawings/drawing5.xml><?xml version="1.0" encoding="utf-8"?>
<xdr:wsDr xmlns:xdr="http://schemas.openxmlformats.org/drawingml/2006/spreadsheetDrawing" xmlns:a="http://schemas.openxmlformats.org/drawingml/2006/main">
  <xdr:oneCellAnchor>
    <xdr:from>
      <xdr:col>2</xdr:col>
      <xdr:colOff>200527</xdr:colOff>
      <xdr:row>13</xdr:row>
      <xdr:rowOff>56075</xdr:rowOff>
    </xdr:from>
    <xdr:ext cx="6464969" cy="1692982"/>
    <xdr:sp macro="" textlink="">
      <xdr:nvSpPr>
        <xdr:cNvPr id="3" name="Rectangle 17">
          <a:extLst>
            <a:ext uri="{FF2B5EF4-FFF2-40B4-BE49-F238E27FC236}">
              <a16:creationId xmlns:a16="http://schemas.microsoft.com/office/drawing/2014/main" id="{725A5B48-136A-48B5-A84B-B3F4E0CCE034}"/>
            </a:ext>
          </a:extLst>
        </xdr:cNvPr>
        <xdr:cNvSpPr>
          <a:spLocks noChangeArrowheads="1"/>
        </xdr:cNvSpPr>
      </xdr:nvSpPr>
      <xdr:spPr bwMode="auto">
        <a:xfrm>
          <a:off x="2967790" y="2670938"/>
          <a:ext cx="6464969" cy="169298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Enter a client code, client name and standard travel distance in the user input columns. The columns with light blue column headings contain formulas which should be copied for all new client codes added to this sheet. The calculations in these columns enable users to calculate the travel charges which need to be invoiced to clients based on any user defined date range &amp; vehicle selection which is specified in the filter selection area at the top of the sheet.</a:t>
          </a:r>
        </a:p>
      </xdr:txBody>
    </xdr:sp>
    <xdr:clientData fLocksWithSheet="0" fPrintsWithSheet="0"/>
  </xdr:oneCellAnchor>
</xdr:wsDr>
</file>

<file path=xl/drawings/drawing6.xml><?xml version="1.0" encoding="utf-8"?>
<xdr:wsDr xmlns:xdr="http://schemas.openxmlformats.org/drawingml/2006/spreadsheetDrawing" xmlns:a="http://schemas.openxmlformats.org/drawingml/2006/main">
  <xdr:oneCellAnchor>
    <xdr:from>
      <xdr:col>2</xdr:col>
      <xdr:colOff>104274</xdr:colOff>
      <xdr:row>12</xdr:row>
      <xdr:rowOff>72116</xdr:rowOff>
    </xdr:from>
    <xdr:ext cx="7210927" cy="1692982"/>
    <xdr:sp macro="" textlink="">
      <xdr:nvSpPr>
        <xdr:cNvPr id="3" name="Rectangle 17">
          <a:extLst>
            <a:ext uri="{FF2B5EF4-FFF2-40B4-BE49-F238E27FC236}">
              <a16:creationId xmlns:a16="http://schemas.microsoft.com/office/drawing/2014/main" id="{9FD69C7A-A7C5-413F-8618-C70449B0641A}"/>
            </a:ext>
          </a:extLst>
        </xdr:cNvPr>
        <xdr:cNvSpPr>
          <a:spLocks noChangeArrowheads="1"/>
        </xdr:cNvSpPr>
      </xdr:nvSpPr>
      <xdr:spPr bwMode="auto">
        <a:xfrm>
          <a:off x="3072063" y="2494474"/>
          <a:ext cx="7210927" cy="169298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Enter a vehicle registration number and vehicle description in the user input columns. The columns with light blue column headings contain formulas which should be copied for all new vehicles added to this sheet. The calculations in these columns enable users to calculate the business &amp; private mileage for each vehicle based on any user defined date range &amp; client selection. The sheet also contains a monthly analysis of total mileage, business mileage % and number of business trips over a three month period.</a:t>
          </a:r>
        </a:p>
      </xdr:txBody>
    </xdr:sp>
    <xdr:clientData fLocksWithSheet="0" fPrintsWithSheet="0"/>
  </xdr:oneCellAnchor>
</xdr:wsDr>
</file>

<file path=xl/drawings/drawing7.xml><?xml version="1.0" encoding="utf-8"?>
<xdr:wsDr xmlns:xdr="http://schemas.openxmlformats.org/drawingml/2006/spreadsheetDrawing" xmlns:a="http://schemas.openxmlformats.org/drawingml/2006/main">
  <xdr:oneCellAnchor>
    <xdr:from>
      <xdr:col>2</xdr:col>
      <xdr:colOff>352927</xdr:colOff>
      <xdr:row>8</xdr:row>
      <xdr:rowOff>264476</xdr:rowOff>
    </xdr:from>
    <xdr:ext cx="5366084" cy="1308261"/>
    <xdr:sp macro="" textlink="">
      <xdr:nvSpPr>
        <xdr:cNvPr id="3" name="Rectangle 17">
          <a:extLst>
            <a:ext uri="{FF2B5EF4-FFF2-40B4-BE49-F238E27FC236}">
              <a16:creationId xmlns:a16="http://schemas.microsoft.com/office/drawing/2014/main" id="{A23234DC-C55F-482F-B14A-545CB1CD87C9}"/>
            </a:ext>
          </a:extLst>
        </xdr:cNvPr>
        <xdr:cNvSpPr>
          <a:spLocks noChangeArrowheads="1"/>
        </xdr:cNvSpPr>
      </xdr:nvSpPr>
      <xdr:spPr bwMode="auto">
        <a:xfrm>
          <a:off x="1475874" y="2077234"/>
          <a:ext cx="5366084" cy="1308261"/>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This sheet can be printed and supplied to drivers in order for them to record all business &amp; private trip details. The details that are entered on this form can then be recorded on the Logbook sheet in order to compile a comprehensive logbook for each vehicle.</a:t>
          </a:r>
        </a:p>
      </xdr:txBody>
    </xdr:sp>
    <xdr:clientData fLocksWithSheet="0" fPrintsWithSheet="0"/>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Logbook" displayName="Logbook" ref="A3:R215" totalsRowShown="0" headerRowDxfId="21" dataDxfId="19" headerRowBorderDxfId="20" tableBorderDxfId="18" headerRowCellStyle="Comma" dataCellStyle="Comma">
  <autoFilter ref="A3:R215" xr:uid="{00000000-0009-0000-0100-000001000000}"/>
  <tableColumns count="18">
    <tableColumn id="1" xr3:uid="{00000000-0010-0000-0000-000001000000}" name="Travel Date" dataDxfId="17"/>
    <tableColumn id="2" xr3:uid="{00000000-0010-0000-0000-000002000000}" name="Travel Time" dataDxfId="16"/>
    <tableColumn id="3" xr3:uid="{00000000-0010-0000-0000-000003000000}" name="Form Number" dataDxfId="15"/>
    <tableColumn id="4" xr3:uid="{00000000-0010-0000-0000-000004000000}" name="Vehicle Reg Number" dataDxfId="14"/>
    <tableColumn id="5" xr3:uid="{00000000-0010-0000-0000-000005000000}" name="Odometer Opening" dataDxfId="13" dataCellStyle="Comma"/>
    <tableColumn id="6" xr3:uid="{00000000-0010-0000-0000-000006000000}" name="Odometer Closing" dataDxfId="12" dataCellStyle="Comma"/>
    <tableColumn id="7" xr3:uid="{00000000-0010-0000-0000-000007000000}" name="Travel Type" dataDxfId="11" dataCellStyle="Comma"/>
    <tableColumn id="8" xr3:uid="{00000000-0010-0000-0000-000008000000}" name="Client Code" dataDxfId="10" dataCellStyle="Comma"/>
    <tableColumn id="9" xr3:uid="{00000000-0010-0000-0000-000009000000}" name="From" dataDxfId="9" dataCellStyle="Comma"/>
    <tableColumn id="10" xr3:uid="{00000000-0010-0000-0000-00000A000000}" name="To" dataDxfId="8" dataCellStyle="Comma"/>
    <tableColumn id="11" xr3:uid="{00000000-0010-0000-0000-00000B000000}" name="Purpose" dataDxfId="7" dataCellStyle="Comma"/>
    <tableColumn id="12" xr3:uid="{00000000-0010-0000-0000-00000C000000}" name="Rate" dataDxfId="6" dataCellStyle="Comma"/>
    <tableColumn id="13" xr3:uid="{00000000-0010-0000-0000-00000D000000}" name="Driver" dataDxfId="5" dataCellStyle="Comma"/>
    <tableColumn id="14" xr3:uid="{00000000-0010-0000-0000-00000E000000}" name="Total Trip Distance" dataDxfId="4" dataCellStyle="Comma">
      <calculatedColumnFormula>F4-E4</calculatedColumnFormula>
    </tableColumn>
    <tableColumn id="15" xr3:uid="{00000000-0010-0000-0000-00000F000000}" name="Total Trip Charges" dataDxfId="3" dataCellStyle="Comma">
      <calculatedColumnFormula>N4*L4</calculatedColumnFormula>
    </tableColumn>
    <tableColumn id="16" xr3:uid="{00000000-0010-0000-0000-000010000000}" name="Standard Distance" dataDxfId="2" dataCellStyle="Comma">
      <calculatedColumnFormula>IF(ISNA(VLOOKUP($H4,ClientAll,COLUMN(Clients!$C$8),0))=TRUE,0,VLOOKUP($H4,ClientAll,COLUMN(Clients!$C$8),0))</calculatedColumnFormula>
    </tableColumn>
    <tableColumn id="17" xr3:uid="{00000000-0010-0000-0000-000011000000}" name="Distance Variance" dataDxfId="1" dataCellStyle="Comma">
      <calculatedColumnFormula>IF(G4="Private",0,N4-P4)</calculatedColumnFormula>
    </tableColumn>
    <tableColumn id="18" xr3:uid="{00000000-0010-0000-0000-000012000000}" name="Error Code" dataDxfId="0">
      <calculatedColumnFormula>IF(ISNA(VLOOKUP($D4,VehicleID,COLUMN(Vehicles!$A$8),0))=TRUE,"E1",IF(ISNA(VLOOKUP($H4,ClientID,COLUMN(Vehicles!$A$8),0))=TRUE,"E2",IF(AND($G4&lt;&gt;"Business",$H4&lt;&gt;"XXX01"),"E3",IF(AND($G4="Business",$H4="XXX01"),"E4","-"))))</calculatedColumnFormula>
    </tableColumn>
  </tableColumns>
  <tableStyleInfo name="TableStyleLight9" showFirstColumn="0" showLastColumn="0" showRowStripes="1" showColumnStripes="0"/>
</table>
</file>

<file path=xl/theme/_rels/theme1.x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Quotable">
  <a:themeElements>
    <a:clrScheme name="Quotable">
      <a:dk1>
        <a:sysClr val="windowText" lastClr="000000"/>
      </a:dk1>
      <a:lt1>
        <a:sysClr val="window" lastClr="FFFFFF"/>
      </a:lt1>
      <a:dk2>
        <a:srgbClr val="212121"/>
      </a:dk2>
      <a:lt2>
        <a:srgbClr val="636363"/>
      </a:lt2>
      <a:accent1>
        <a:srgbClr val="00C6BB"/>
      </a:accent1>
      <a:accent2>
        <a:srgbClr val="6FEBA0"/>
      </a:accent2>
      <a:accent3>
        <a:srgbClr val="B6DF5E"/>
      </a:accent3>
      <a:accent4>
        <a:srgbClr val="EFB251"/>
      </a:accent4>
      <a:accent5>
        <a:srgbClr val="EF755F"/>
      </a:accent5>
      <a:accent6>
        <a:srgbClr val="ED515C"/>
      </a:accent6>
      <a:hlink>
        <a:srgbClr val="8F8F8F"/>
      </a:hlink>
      <a:folHlink>
        <a:srgbClr val="A5A5A5"/>
      </a:folHlink>
    </a:clrScheme>
    <a:fontScheme name="Quotable">
      <a:majorFont>
        <a:latin typeface="Century Gothic" panose="020B0502020202020204"/>
        <a:ea typeface=""/>
        <a:cs typeface=""/>
        <a:font script="Jpan" typeface="ＭＳ ゴシック"/>
        <a:font script="Hang" typeface="맑은 고딕"/>
        <a:font script="Hans" typeface="宋体"/>
        <a:font script="Hant" typeface="新細明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entury Gothic" panose="020B0502020202020204"/>
        <a:ea typeface=""/>
        <a:cs typeface=""/>
        <a:font script="Jpan" typeface="ＭＳ ゴシック"/>
        <a:font script="Hang" typeface="맑은 고딕"/>
        <a:font script="Hans" typeface="宋体"/>
        <a:font script="Hant" typeface="新細明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Verdana"/>
        <a:font script="Uigh" typeface="Microsoft Uighur"/>
        <a:font script="Geor" typeface="Sylfaen"/>
      </a:minorFont>
    </a:fontScheme>
    <a:fmtScheme name="Quotable">
      <a:fillStyleLst>
        <a:solidFill>
          <a:schemeClr val="phClr"/>
        </a:solidFill>
        <a:gradFill rotWithShape="1">
          <a:gsLst>
            <a:gs pos="0">
              <a:schemeClr val="phClr">
                <a:tint val="80000"/>
                <a:lumMod val="105000"/>
              </a:schemeClr>
            </a:gs>
            <a:gs pos="100000">
              <a:schemeClr val="phClr">
                <a:tint val="90000"/>
              </a:schemeClr>
            </a:gs>
          </a:gsLst>
          <a:lin ang="5400000" scaled="0"/>
        </a:gradFill>
        <a:blipFill rotWithShape="1">
          <a:blip xmlns:r="http://schemas.openxmlformats.org/officeDocument/2006/relationships" r:embed="rId1">
            <a:duotone>
              <a:schemeClr val="phClr">
                <a:tint val="98000"/>
                <a:lumMod val="102000"/>
              </a:schemeClr>
              <a:schemeClr val="phClr">
                <a:shade val="98000"/>
                <a:lumMod val="98000"/>
              </a:schemeClr>
            </a:duotone>
          </a:blip>
          <a:tile tx="0" ty="0" sx="100000" sy="100000" flip="none" algn="tl"/>
        </a:blipFill>
      </a:fillStyleLst>
      <a:lnStyleLst>
        <a:ln w="9525" cap="rnd" cmpd="sng" algn="ctr">
          <a:solidFill>
            <a:schemeClr val="phClr"/>
          </a:solidFill>
          <a:prstDash val="solid"/>
        </a:ln>
        <a:ln w="15875" cap="rnd" cmpd="sng" algn="ctr">
          <a:solidFill>
            <a:schemeClr val="phClr"/>
          </a:solidFill>
          <a:prstDash val="solid"/>
        </a:ln>
        <a:ln w="25400" cap="rnd" cmpd="sng" algn="ctr">
          <a:solidFill>
            <a:schemeClr val="phClr"/>
          </a:solidFill>
          <a:prstDash val="solid"/>
        </a:ln>
      </a:lnStyleLst>
      <a:effectStyleLst>
        <a:effectStyle>
          <a:effectLst/>
        </a:effectStyle>
        <a:effectStyle>
          <a:effectLst/>
        </a:effectStyle>
        <a:effectStyle>
          <a:effectLst>
            <a:innerShdw blurRad="63500" dist="25400" dir="13500000">
              <a:srgbClr val="000000">
                <a:alpha val="75000"/>
              </a:srgbClr>
            </a:innerShdw>
          </a:effectLst>
        </a:effectStyle>
      </a:effectStyleLst>
      <a:bgFillStyleLst>
        <a:solidFill>
          <a:schemeClr val="phClr"/>
        </a:solidFill>
        <a:gradFill rotWithShape="1">
          <a:gsLst>
            <a:gs pos="0">
              <a:schemeClr val="phClr">
                <a:tint val="100000"/>
              </a:schemeClr>
            </a:gs>
            <a:gs pos="100000">
              <a:schemeClr val="phClr">
                <a:tint val="84000"/>
                <a:shade val="84000"/>
                <a:lumMod val="90000"/>
              </a:schemeClr>
            </a:gs>
          </a:gsLst>
          <a:lin ang="5400000" scaled="0"/>
        </a:gradFill>
        <a:gradFill rotWithShape="1">
          <a:gsLst>
            <a:gs pos="0">
              <a:schemeClr val="phClr">
                <a:tint val="84000"/>
                <a:shade val="90000"/>
                <a:satMod val="120000"/>
                <a:lumMod val="90000"/>
              </a:schemeClr>
            </a:gs>
            <a:gs pos="100000">
              <a:schemeClr val="phClr"/>
            </a:gs>
          </a:gsLst>
          <a:lin ang="5400000" scaled="0"/>
        </a:gradFill>
      </a:bgFillStyleLst>
    </a:fmtScheme>
  </a:themeElements>
  <a:objectDefaults/>
  <a:extraClrSchemeLst/>
  <a:extLst>
    <a:ext uri="{05A4C25C-085E-4340-85A3-A5531E510DB2}">
      <thm15:themeFamily xmlns:thm15="http://schemas.microsoft.com/office/thememl/2012/main" name="Quotable" id="{39EC5628-30ED-4578-ACD8-9820EDB8E15A}" vid="{6F3559E9-1A4C-49D8-94D4-F41003531C49}"/>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2.bin"/><Relationship Id="rId1" Type="http://schemas.openxmlformats.org/officeDocument/2006/relationships/hyperlink" Target="https://www.excel-skills.com/" TargetMode="External"/></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
  <sheetViews>
    <sheetView tabSelected="1" workbookViewId="0">
      <selection activeCell="B2" sqref="B2"/>
    </sheetView>
  </sheetViews>
  <sheetFormatPr defaultColWidth="8.90625" defaultRowHeight="13.5" x14ac:dyDescent="0.25"/>
  <cols>
    <col min="1" max="1" width="10.36328125" style="1" customWidth="1"/>
    <col min="2" max="16384" width="8.90625" style="1"/>
  </cols>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
  <sheetViews>
    <sheetView workbookViewId="0">
      <selection activeCell="B2" sqref="B2"/>
    </sheetView>
  </sheetViews>
  <sheetFormatPr defaultColWidth="8.90625" defaultRowHeight="13.5" x14ac:dyDescent="0.25"/>
  <cols>
    <col min="1" max="1" width="10.36328125" style="1" customWidth="1"/>
    <col min="2" max="16384" width="8.90625" style="1"/>
  </cols>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A142"/>
  <sheetViews>
    <sheetView zoomScaleNormal="100" workbookViewId="0">
      <pane ySplit="3" topLeftCell="A4" activePane="bottomLeft" state="frozen"/>
      <selection pane="bottomLeft"/>
    </sheetView>
  </sheetViews>
  <sheetFormatPr defaultColWidth="9.08984375" defaultRowHeight="12.5" x14ac:dyDescent="0.25"/>
  <cols>
    <col min="1" max="1" width="109.81640625" style="125" customWidth="1"/>
    <col min="2" max="2" width="50.81640625" style="111" customWidth="1"/>
    <col min="3" max="16384" width="9.08984375" style="111"/>
  </cols>
  <sheetData>
    <row r="1" spans="1:1" ht="15.5" x14ac:dyDescent="0.25">
      <c r="A1" s="121" t="s">
        <v>125</v>
      </c>
    </row>
    <row r="2" spans="1:1" ht="15" customHeight="1" x14ac:dyDescent="0.25">
      <c r="A2" s="122" t="s">
        <v>1</v>
      </c>
    </row>
    <row r="3" spans="1:1" ht="15" customHeight="1" x14ac:dyDescent="0.3">
      <c r="A3" s="123" t="s">
        <v>2</v>
      </c>
    </row>
    <row r="4" spans="1:1" x14ac:dyDescent="0.25">
      <c r="A4" s="124"/>
    </row>
    <row r="5" spans="1:1" ht="50" x14ac:dyDescent="0.25">
      <c r="A5" s="112" t="s">
        <v>153</v>
      </c>
    </row>
    <row r="6" spans="1:1" x14ac:dyDescent="0.25">
      <c r="A6" s="112"/>
    </row>
    <row r="7" spans="1:1" x14ac:dyDescent="0.25">
      <c r="A7" s="112" t="s">
        <v>126</v>
      </c>
    </row>
    <row r="8" spans="1:1" ht="50.5" x14ac:dyDescent="0.25">
      <c r="A8" s="112" t="s">
        <v>160</v>
      </c>
    </row>
    <row r="9" spans="1:1" ht="38" x14ac:dyDescent="0.25">
      <c r="A9" s="112" t="s">
        <v>161</v>
      </c>
    </row>
    <row r="10" spans="1:1" ht="38" x14ac:dyDescent="0.25">
      <c r="A10" s="112" t="s">
        <v>206</v>
      </c>
    </row>
    <row r="11" spans="1:1" ht="38" x14ac:dyDescent="0.25">
      <c r="A11" s="112" t="s">
        <v>162</v>
      </c>
    </row>
    <row r="12" spans="1:1" ht="13" x14ac:dyDescent="0.25">
      <c r="A12" s="113"/>
    </row>
    <row r="13" spans="1:1" ht="13" x14ac:dyDescent="0.25">
      <c r="A13" s="113" t="s">
        <v>127</v>
      </c>
    </row>
    <row r="14" spans="1:1" x14ac:dyDescent="0.25">
      <c r="A14" s="112"/>
    </row>
    <row r="15" spans="1:1" ht="37.5" x14ac:dyDescent="0.25">
      <c r="A15" s="112" t="s">
        <v>156</v>
      </c>
    </row>
    <row r="16" spans="1:1" x14ac:dyDescent="0.25">
      <c r="A16" s="112"/>
    </row>
    <row r="17" spans="1:1" ht="52" x14ac:dyDescent="0.3">
      <c r="A17" s="114" t="s">
        <v>157</v>
      </c>
    </row>
    <row r="18" spans="1:1" x14ac:dyDescent="0.25">
      <c r="A18" s="112"/>
    </row>
    <row r="19" spans="1:1" x14ac:dyDescent="0.25">
      <c r="A19" s="112" t="s">
        <v>128</v>
      </c>
    </row>
    <row r="20" spans="1:1" ht="25.5" x14ac:dyDescent="0.25">
      <c r="A20" s="112" t="s">
        <v>163</v>
      </c>
    </row>
    <row r="21" spans="1:1" ht="25.5" x14ac:dyDescent="0.25">
      <c r="A21" s="112" t="s">
        <v>164</v>
      </c>
    </row>
    <row r="22" spans="1:1" ht="38" x14ac:dyDescent="0.25">
      <c r="A22" s="112" t="s">
        <v>165</v>
      </c>
    </row>
    <row r="23" spans="1:1" ht="38" x14ac:dyDescent="0.25">
      <c r="A23" s="112" t="s">
        <v>166</v>
      </c>
    </row>
    <row r="24" spans="1:1" ht="13" x14ac:dyDescent="0.25">
      <c r="A24" s="112" t="s">
        <v>167</v>
      </c>
    </row>
    <row r="25" spans="1:1" ht="13" x14ac:dyDescent="0.25">
      <c r="A25" s="112" t="s">
        <v>168</v>
      </c>
    </row>
    <row r="26" spans="1:1" ht="25.5" x14ac:dyDescent="0.25">
      <c r="A26" s="112" t="s">
        <v>169</v>
      </c>
    </row>
    <row r="27" spans="1:1" ht="25.5" x14ac:dyDescent="0.25">
      <c r="A27" s="112" t="s">
        <v>207</v>
      </c>
    </row>
    <row r="28" spans="1:1" ht="13" x14ac:dyDescent="0.25">
      <c r="A28" s="112" t="s">
        <v>170</v>
      </c>
    </row>
    <row r="29" spans="1:1" ht="13" x14ac:dyDescent="0.25">
      <c r="A29" s="112" t="s">
        <v>171</v>
      </c>
    </row>
    <row r="30" spans="1:1" ht="13" x14ac:dyDescent="0.25">
      <c r="A30" s="112" t="s">
        <v>172</v>
      </c>
    </row>
    <row r="31" spans="1:1" ht="25.5" x14ac:dyDescent="0.25">
      <c r="A31" s="112" t="s">
        <v>173</v>
      </c>
    </row>
    <row r="32" spans="1:1" ht="13" x14ac:dyDescent="0.25">
      <c r="A32" s="112" t="s">
        <v>174</v>
      </c>
    </row>
    <row r="33" spans="1:1" x14ac:dyDescent="0.25">
      <c r="A33" s="112"/>
    </row>
    <row r="34" spans="1:1" x14ac:dyDescent="0.25">
      <c r="A34" s="112" t="s">
        <v>129</v>
      </c>
    </row>
    <row r="35" spans="1:1" ht="38" x14ac:dyDescent="0.25">
      <c r="A35" s="112" t="s">
        <v>175</v>
      </c>
    </row>
    <row r="36" spans="1:1" ht="13" x14ac:dyDescent="0.25">
      <c r="A36" s="112" t="s">
        <v>176</v>
      </c>
    </row>
    <row r="37" spans="1:1" ht="13" x14ac:dyDescent="0.25">
      <c r="A37" s="112" t="s">
        <v>177</v>
      </c>
    </row>
    <row r="38" spans="1:1" ht="50.5" x14ac:dyDescent="0.25">
      <c r="A38" s="112" t="s">
        <v>178</v>
      </c>
    </row>
    <row r="39" spans="1:1" ht="38" x14ac:dyDescent="0.25">
      <c r="A39" s="112" t="s">
        <v>179</v>
      </c>
    </row>
    <row r="40" spans="1:1" x14ac:dyDescent="0.25">
      <c r="A40" s="112"/>
    </row>
    <row r="41" spans="1:1" ht="52" x14ac:dyDescent="0.25">
      <c r="A41" s="115" t="s">
        <v>130</v>
      </c>
    </row>
    <row r="42" spans="1:1" x14ac:dyDescent="0.25">
      <c r="A42" s="112"/>
    </row>
    <row r="43" spans="1:1" ht="52" x14ac:dyDescent="0.25">
      <c r="A43" s="115" t="s">
        <v>131</v>
      </c>
    </row>
    <row r="44" spans="1:1" x14ac:dyDescent="0.25">
      <c r="A44" s="112"/>
    </row>
    <row r="45" spans="1:1" ht="39" x14ac:dyDescent="0.25">
      <c r="A45" s="116" t="s">
        <v>132</v>
      </c>
    </row>
    <row r="46" spans="1:1" x14ac:dyDescent="0.25">
      <c r="A46" s="112"/>
    </row>
    <row r="47" spans="1:1" ht="37.5" x14ac:dyDescent="0.25">
      <c r="A47" s="112" t="s">
        <v>155</v>
      </c>
    </row>
    <row r="48" spans="1:1" x14ac:dyDescent="0.25">
      <c r="A48" s="112"/>
    </row>
    <row r="49" spans="1:1" ht="52" x14ac:dyDescent="0.25">
      <c r="A49" s="115" t="s">
        <v>147</v>
      </c>
    </row>
    <row r="50" spans="1:1" x14ac:dyDescent="0.25">
      <c r="A50" s="112"/>
    </row>
    <row r="51" spans="1:1" ht="13" x14ac:dyDescent="0.25">
      <c r="A51" s="113" t="s">
        <v>18</v>
      </c>
    </row>
    <row r="52" spans="1:1" x14ac:dyDescent="0.25">
      <c r="A52" s="112"/>
    </row>
    <row r="53" spans="1:1" ht="50" x14ac:dyDescent="0.25">
      <c r="A53" s="112" t="s">
        <v>133</v>
      </c>
    </row>
    <row r="54" spans="1:1" x14ac:dyDescent="0.25">
      <c r="A54" s="112"/>
    </row>
    <row r="55" spans="1:1" ht="39" x14ac:dyDescent="0.25">
      <c r="A55" s="115" t="s">
        <v>134</v>
      </c>
    </row>
    <row r="56" spans="1:1" x14ac:dyDescent="0.25">
      <c r="A56" s="112"/>
    </row>
    <row r="57" spans="1:1" x14ac:dyDescent="0.25">
      <c r="A57" s="112" t="s">
        <v>135</v>
      </c>
    </row>
    <row r="58" spans="1:1" ht="25.5" x14ac:dyDescent="0.25">
      <c r="A58" s="112" t="s">
        <v>180</v>
      </c>
    </row>
    <row r="59" spans="1:1" ht="13" x14ac:dyDescent="0.25">
      <c r="A59" s="112" t="s">
        <v>181</v>
      </c>
    </row>
    <row r="60" spans="1:1" ht="38" x14ac:dyDescent="0.25">
      <c r="A60" s="112" t="s">
        <v>182</v>
      </c>
    </row>
    <row r="61" spans="1:1" x14ac:dyDescent="0.25">
      <c r="A61" s="112"/>
    </row>
    <row r="62" spans="1:1" ht="25" x14ac:dyDescent="0.25">
      <c r="A62" s="112" t="s">
        <v>136</v>
      </c>
    </row>
    <row r="63" spans="1:1" ht="25.5" x14ac:dyDescent="0.25">
      <c r="A63" s="112" t="s">
        <v>183</v>
      </c>
    </row>
    <row r="64" spans="1:1" ht="25.5" x14ac:dyDescent="0.25">
      <c r="A64" s="112" t="s">
        <v>184</v>
      </c>
    </row>
    <row r="65" spans="1:1" ht="25.5" x14ac:dyDescent="0.25">
      <c r="A65" s="112" t="s">
        <v>185</v>
      </c>
    </row>
    <row r="66" spans="1:1" ht="25.5" x14ac:dyDescent="0.25">
      <c r="A66" s="112" t="s">
        <v>186</v>
      </c>
    </row>
    <row r="67" spans="1:1" ht="25.5" x14ac:dyDescent="0.25">
      <c r="A67" s="112" t="s">
        <v>187</v>
      </c>
    </row>
    <row r="68" spans="1:1" ht="38" x14ac:dyDescent="0.25">
      <c r="A68" s="112" t="s">
        <v>188</v>
      </c>
    </row>
    <row r="69" spans="1:1" ht="38" x14ac:dyDescent="0.25">
      <c r="A69" s="112" t="s">
        <v>189</v>
      </c>
    </row>
    <row r="70" spans="1:1" ht="50.5" x14ac:dyDescent="0.25">
      <c r="A70" s="112" t="s">
        <v>190</v>
      </c>
    </row>
    <row r="71" spans="1:1" x14ac:dyDescent="0.25">
      <c r="A71" s="112"/>
    </row>
    <row r="72" spans="1:1" ht="39" x14ac:dyDescent="0.25">
      <c r="A72" s="116" t="s">
        <v>132</v>
      </c>
    </row>
    <row r="73" spans="1:1" ht="13" x14ac:dyDescent="0.25">
      <c r="A73" s="116"/>
    </row>
    <row r="74" spans="1:1" ht="26" x14ac:dyDescent="0.25">
      <c r="A74" s="115" t="s">
        <v>139</v>
      </c>
    </row>
    <row r="75" spans="1:1" ht="13" x14ac:dyDescent="0.25">
      <c r="A75" s="115"/>
    </row>
    <row r="76" spans="1:1" ht="39" x14ac:dyDescent="0.25">
      <c r="A76" s="115" t="s">
        <v>158</v>
      </c>
    </row>
    <row r="77" spans="1:1" x14ac:dyDescent="0.25">
      <c r="A77" s="112"/>
    </row>
    <row r="78" spans="1:1" ht="13" x14ac:dyDescent="0.25">
      <c r="A78" s="115" t="s">
        <v>137</v>
      </c>
    </row>
    <row r="79" spans="1:1" x14ac:dyDescent="0.25">
      <c r="A79" s="112"/>
    </row>
    <row r="80" spans="1:1" ht="37.5" x14ac:dyDescent="0.25">
      <c r="A80" s="112" t="s">
        <v>138</v>
      </c>
    </row>
    <row r="81" spans="1:1" ht="50.5" x14ac:dyDescent="0.25">
      <c r="A81" s="112" t="s">
        <v>191</v>
      </c>
    </row>
    <row r="82" spans="1:1" ht="38" x14ac:dyDescent="0.25">
      <c r="A82" s="112" t="s">
        <v>192</v>
      </c>
    </row>
    <row r="83" spans="1:1" ht="38" x14ac:dyDescent="0.25">
      <c r="A83" s="112" t="s">
        <v>208</v>
      </c>
    </row>
    <row r="84" spans="1:1" x14ac:dyDescent="0.25">
      <c r="A84" s="112"/>
    </row>
    <row r="85" spans="1:1" ht="13" x14ac:dyDescent="0.25">
      <c r="A85" s="113" t="s">
        <v>66</v>
      </c>
    </row>
    <row r="86" spans="1:1" x14ac:dyDescent="0.25">
      <c r="A86" s="112"/>
    </row>
    <row r="87" spans="1:1" ht="37.5" x14ac:dyDescent="0.25">
      <c r="A87" s="112" t="s">
        <v>154</v>
      </c>
    </row>
    <row r="88" spans="1:1" x14ac:dyDescent="0.25">
      <c r="A88" s="112"/>
    </row>
    <row r="89" spans="1:1" ht="39" x14ac:dyDescent="0.25">
      <c r="A89" s="115" t="s">
        <v>140</v>
      </c>
    </row>
    <row r="90" spans="1:1" x14ac:dyDescent="0.25">
      <c r="A90" s="112"/>
    </row>
    <row r="91" spans="1:1" x14ac:dyDescent="0.25">
      <c r="A91" s="112" t="s">
        <v>141</v>
      </c>
    </row>
    <row r="92" spans="1:1" ht="13" x14ac:dyDescent="0.25">
      <c r="A92" s="112" t="s">
        <v>193</v>
      </c>
    </row>
    <row r="93" spans="1:1" ht="13" x14ac:dyDescent="0.25">
      <c r="A93" s="112" t="s">
        <v>194</v>
      </c>
    </row>
    <row r="94" spans="1:1" x14ac:dyDescent="0.25">
      <c r="A94" s="112"/>
    </row>
    <row r="95" spans="1:1" ht="25" x14ac:dyDescent="0.25">
      <c r="A95" s="112" t="s">
        <v>142</v>
      </c>
    </row>
    <row r="96" spans="1:1" ht="25.5" x14ac:dyDescent="0.25">
      <c r="A96" s="112" t="s">
        <v>195</v>
      </c>
    </row>
    <row r="97" spans="1:1" ht="25.5" x14ac:dyDescent="0.25">
      <c r="A97" s="112" t="s">
        <v>196</v>
      </c>
    </row>
    <row r="98" spans="1:1" ht="25.5" x14ac:dyDescent="0.25">
      <c r="A98" s="112" t="s">
        <v>197</v>
      </c>
    </row>
    <row r="99" spans="1:1" ht="38" x14ac:dyDescent="0.25">
      <c r="A99" s="112" t="s">
        <v>198</v>
      </c>
    </row>
    <row r="100" spans="1:1" ht="25.5" x14ac:dyDescent="0.25">
      <c r="A100" s="112" t="s">
        <v>199</v>
      </c>
    </row>
    <row r="101" spans="1:1" ht="25.5" x14ac:dyDescent="0.25">
      <c r="A101" s="112" t="s">
        <v>200</v>
      </c>
    </row>
    <row r="102" spans="1:1" ht="38" x14ac:dyDescent="0.25">
      <c r="A102" s="112" t="s">
        <v>201</v>
      </c>
    </row>
    <row r="103" spans="1:1" ht="38" x14ac:dyDescent="0.25">
      <c r="A103" s="112" t="s">
        <v>202</v>
      </c>
    </row>
    <row r="104" spans="1:1" ht="63" x14ac:dyDescent="0.25">
      <c r="A104" s="112" t="s">
        <v>203</v>
      </c>
    </row>
    <row r="105" spans="1:1" x14ac:dyDescent="0.25">
      <c r="A105" s="112"/>
    </row>
    <row r="106" spans="1:1" ht="26" x14ac:dyDescent="0.25">
      <c r="A106" s="115" t="s">
        <v>139</v>
      </c>
    </row>
    <row r="107" spans="1:1" ht="13" x14ac:dyDescent="0.25">
      <c r="A107" s="115"/>
    </row>
    <row r="108" spans="1:1" ht="52" x14ac:dyDescent="0.25">
      <c r="A108" s="115" t="s">
        <v>159</v>
      </c>
    </row>
    <row r="109" spans="1:1" x14ac:dyDescent="0.25">
      <c r="A109" s="112"/>
    </row>
    <row r="110" spans="1:1" ht="13" x14ac:dyDescent="0.25">
      <c r="A110" s="115" t="s">
        <v>137</v>
      </c>
    </row>
    <row r="111" spans="1:1" x14ac:dyDescent="0.25">
      <c r="A111" s="112"/>
    </row>
    <row r="112" spans="1:1" ht="37.5" x14ac:dyDescent="0.25">
      <c r="A112" s="112" t="s">
        <v>143</v>
      </c>
    </row>
    <row r="113" spans="1:1" ht="50.5" x14ac:dyDescent="0.25">
      <c r="A113" s="112" t="s">
        <v>204</v>
      </c>
    </row>
    <row r="114" spans="1:1" ht="38" x14ac:dyDescent="0.25">
      <c r="A114" s="112" t="s">
        <v>192</v>
      </c>
    </row>
    <row r="115" spans="1:1" ht="50.5" x14ac:dyDescent="0.25">
      <c r="A115" s="112" t="s">
        <v>205</v>
      </c>
    </row>
    <row r="116" spans="1:1" ht="13" x14ac:dyDescent="0.25">
      <c r="A116" s="113"/>
    </row>
    <row r="117" spans="1:1" ht="13" x14ac:dyDescent="0.25">
      <c r="A117" s="113" t="s">
        <v>124</v>
      </c>
    </row>
    <row r="118" spans="1:1" x14ac:dyDescent="0.25">
      <c r="A118" s="112"/>
    </row>
    <row r="119" spans="1:1" ht="25" x14ac:dyDescent="0.25">
      <c r="A119" s="117" t="s">
        <v>144</v>
      </c>
    </row>
    <row r="120" spans="1:1" ht="13" x14ac:dyDescent="0.3">
      <c r="A120" s="118"/>
    </row>
    <row r="121" spans="1:1" ht="13" x14ac:dyDescent="0.3">
      <c r="A121" s="118" t="s">
        <v>145</v>
      </c>
    </row>
    <row r="122" spans="1:1" x14ac:dyDescent="0.25">
      <c r="A122" s="117"/>
    </row>
    <row r="123" spans="1:1" ht="39" x14ac:dyDescent="0.3">
      <c r="A123" s="118" t="s">
        <v>146</v>
      </c>
    </row>
    <row r="124" spans="1:1" ht="13" x14ac:dyDescent="0.3">
      <c r="A124" s="118"/>
    </row>
    <row r="125" spans="1:1" ht="13" x14ac:dyDescent="0.3">
      <c r="A125" s="119" t="s">
        <v>122</v>
      </c>
    </row>
    <row r="126" spans="1:1" ht="13" x14ac:dyDescent="0.3">
      <c r="A126" s="118"/>
    </row>
    <row r="127" spans="1:1" ht="25" x14ac:dyDescent="0.25">
      <c r="A127" s="117" t="s">
        <v>148</v>
      </c>
    </row>
    <row r="128" spans="1:1" ht="52" x14ac:dyDescent="0.3">
      <c r="A128" s="118" t="s">
        <v>149</v>
      </c>
    </row>
    <row r="129" spans="1:1" ht="39" x14ac:dyDescent="0.3">
      <c r="A129" s="118" t="s">
        <v>209</v>
      </c>
    </row>
    <row r="130" spans="1:1" ht="52" x14ac:dyDescent="0.3">
      <c r="A130" s="118" t="s">
        <v>151</v>
      </c>
    </row>
    <row r="131" spans="1:1" ht="52" x14ac:dyDescent="0.3">
      <c r="A131" s="118" t="s">
        <v>150</v>
      </c>
    </row>
    <row r="132" spans="1:1" ht="13" x14ac:dyDescent="0.3">
      <c r="A132" s="118"/>
    </row>
    <row r="133" spans="1:1" ht="26" x14ac:dyDescent="0.3">
      <c r="A133" s="118" t="s">
        <v>152</v>
      </c>
    </row>
    <row r="134" spans="1:1" x14ac:dyDescent="0.25">
      <c r="A134" s="112"/>
    </row>
    <row r="135" spans="1:1" ht="13" x14ac:dyDescent="0.3">
      <c r="A135" s="120" t="s">
        <v>3</v>
      </c>
    </row>
    <row r="136" spans="1:1" x14ac:dyDescent="0.25">
      <c r="A136" s="117"/>
    </row>
    <row r="137" spans="1:1" ht="50" x14ac:dyDescent="0.25">
      <c r="A137" s="117" t="s">
        <v>4</v>
      </c>
    </row>
    <row r="138" spans="1:1" x14ac:dyDescent="0.25">
      <c r="A138" s="117"/>
    </row>
    <row r="139" spans="1:1" ht="13" x14ac:dyDescent="0.3">
      <c r="A139" s="119" t="s">
        <v>5</v>
      </c>
    </row>
    <row r="140" spans="1:1" ht="13" x14ac:dyDescent="0.3">
      <c r="A140" s="119"/>
    </row>
    <row r="141" spans="1:1" ht="75" x14ac:dyDescent="0.25">
      <c r="A141" s="117" t="s">
        <v>6</v>
      </c>
    </row>
    <row r="142" spans="1:1" x14ac:dyDescent="0.25">
      <c r="A142" s="112"/>
    </row>
  </sheetData>
  <sheetProtection selectLockedCells="1"/>
  <hyperlinks>
    <hyperlink ref="A3" r:id="rId1" xr:uid="{00000000-0004-0000-0300-000000000000}"/>
  </hyperlinks>
  <pageMargins left="0.51181102362204722" right="0.51181102362204722" top="0.55118110236220474" bottom="0.55118110236220474" header="0.39370078740157483" footer="0.39370078740157483"/>
  <pageSetup paperSize="9" scale="85" fitToHeight="0" orientation="portrait" r:id="rId2"/>
  <headerFooter>
    <oddFooter>&amp;C&amp;9Page &amp;P of &amp;N</oddFooter>
  </headerFooter>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R215"/>
  <sheetViews>
    <sheetView zoomScale="95" zoomScaleNormal="95" workbookViewId="0">
      <pane xSplit="4" ySplit="3" topLeftCell="E4" activePane="bottomRight" state="frozen"/>
      <selection pane="topRight" activeCell="D1" sqref="D1"/>
      <selection pane="bottomLeft" activeCell="A4" sqref="A4"/>
      <selection pane="bottomRight" activeCell="A3" sqref="A3"/>
    </sheetView>
  </sheetViews>
  <sheetFormatPr defaultColWidth="9.08984375" defaultRowHeight="16" customHeight="1" x14ac:dyDescent="0.25"/>
  <cols>
    <col min="1" max="1" width="12.6328125" style="27" customWidth="1"/>
    <col min="2" max="3" width="12.6328125" style="28" customWidth="1"/>
    <col min="4" max="4" width="12.6328125" style="11" customWidth="1"/>
    <col min="5" max="6" width="12.6328125" style="5" customWidth="1"/>
    <col min="7" max="7" width="13.6328125" style="6" customWidth="1"/>
    <col min="8" max="8" width="12.6328125" style="6" customWidth="1"/>
    <col min="9" max="10" width="18.6328125" style="7" customWidth="1"/>
    <col min="11" max="11" width="25.6328125" style="7" customWidth="1"/>
    <col min="12" max="15" width="13.6328125" style="8" customWidth="1"/>
    <col min="16" max="16" width="13.6328125" style="9" customWidth="1"/>
    <col min="17" max="17" width="13.6328125" style="8" customWidth="1"/>
    <col min="18" max="18" width="9.6328125" style="10" customWidth="1"/>
    <col min="19" max="16384" width="9.08984375" style="11"/>
  </cols>
  <sheetData>
    <row r="1" spans="1:18" ht="16" customHeight="1" x14ac:dyDescent="0.3">
      <c r="A1" s="109" t="s">
        <v>123</v>
      </c>
      <c r="B1" s="3"/>
      <c r="C1" s="3"/>
      <c r="D1" s="4"/>
    </row>
    <row r="2" spans="1:18" s="21" customFormat="1" ht="16" customHeight="1" x14ac:dyDescent="0.25">
      <c r="A2" s="12" t="s">
        <v>0</v>
      </c>
      <c r="B2" s="13"/>
      <c r="C2" s="13"/>
      <c r="D2" s="14"/>
      <c r="E2" s="15"/>
      <c r="F2" s="15"/>
      <c r="G2" s="16"/>
      <c r="H2" s="16"/>
      <c r="I2" s="17"/>
      <c r="J2" s="17"/>
      <c r="K2" s="17"/>
      <c r="L2" s="18"/>
      <c r="M2" s="18"/>
      <c r="N2" s="18">
        <f>SUBTOTAL(109,LogDistance)</f>
        <v>17910</v>
      </c>
      <c r="O2" s="18">
        <f>SUBTOTAL(109,LogCost)</f>
        <v>40134</v>
      </c>
      <c r="P2" s="19"/>
      <c r="Q2" s="18"/>
      <c r="R2" s="20"/>
    </row>
    <row r="3" spans="1:18" s="26" customFormat="1" ht="25" x14ac:dyDescent="0.25">
      <c r="A3" s="22" t="s">
        <v>16</v>
      </c>
      <c r="B3" s="23" t="s">
        <v>17</v>
      </c>
      <c r="C3" s="23" t="s">
        <v>110</v>
      </c>
      <c r="D3" s="22" t="s">
        <v>11</v>
      </c>
      <c r="E3" s="24" t="s">
        <v>13</v>
      </c>
      <c r="F3" s="24" t="s">
        <v>14</v>
      </c>
      <c r="G3" s="24" t="s">
        <v>7</v>
      </c>
      <c r="H3" s="24" t="s">
        <v>19</v>
      </c>
      <c r="I3" s="24" t="s">
        <v>8</v>
      </c>
      <c r="J3" s="24" t="s">
        <v>9</v>
      </c>
      <c r="K3" s="24" t="s">
        <v>10</v>
      </c>
      <c r="L3" s="24" t="s">
        <v>12</v>
      </c>
      <c r="M3" s="24" t="s">
        <v>76</v>
      </c>
      <c r="N3" s="25" t="s">
        <v>15</v>
      </c>
      <c r="O3" s="25" t="s">
        <v>79</v>
      </c>
      <c r="P3" s="25" t="s">
        <v>91</v>
      </c>
      <c r="Q3" s="25" t="s">
        <v>92</v>
      </c>
      <c r="R3" s="25" t="s">
        <v>77</v>
      </c>
    </row>
    <row r="4" spans="1:18" ht="16" customHeight="1" x14ac:dyDescent="0.25">
      <c r="A4" s="27">
        <v>43836</v>
      </c>
      <c r="B4" s="28">
        <v>0.33333333333333331</v>
      </c>
      <c r="C4" s="28" t="s">
        <v>111</v>
      </c>
      <c r="D4" s="11" t="s">
        <v>70</v>
      </c>
      <c r="E4" s="5">
        <v>50415</v>
      </c>
      <c r="F4" s="5">
        <v>50515</v>
      </c>
      <c r="G4" s="6" t="s">
        <v>81</v>
      </c>
      <c r="H4" s="6" t="s">
        <v>27</v>
      </c>
      <c r="I4" s="7" t="s">
        <v>78</v>
      </c>
      <c r="J4" s="7" t="s">
        <v>83</v>
      </c>
      <c r="K4" s="7" t="s">
        <v>84</v>
      </c>
      <c r="L4" s="8">
        <v>3</v>
      </c>
      <c r="M4" s="8" t="s">
        <v>82</v>
      </c>
      <c r="N4" s="8">
        <f t="shared" ref="N4:N67" si="0">F4-E4</f>
        <v>100</v>
      </c>
      <c r="O4" s="8">
        <f t="shared" ref="O4:O67" si="1">N4*L4</f>
        <v>300</v>
      </c>
      <c r="P4" s="9">
        <f ca="1">IF(ISNA(VLOOKUP($H4,ClientAll,COLUMN(Clients!$C$8),0))=TRUE,0,VLOOKUP($H4,ClientAll,COLUMN(Clients!$C$8),0))</f>
        <v>100</v>
      </c>
      <c r="Q4" s="8">
        <f t="shared" ref="Q4:Q67" ca="1" si="2">IF(G4="Private",0,N4-P4)</f>
        <v>0</v>
      </c>
      <c r="R4" s="10" t="str">
        <f ca="1">IF(ISNA(VLOOKUP($D4,VehicleID,COLUMN(Vehicles!$A$8),0))=TRUE,"E1",IF(ISNA(VLOOKUP($H4,ClientID,COLUMN(Vehicles!$A$8),0))=TRUE,"E2",IF(AND($G4&lt;&gt;"Business",$H4&lt;&gt;"XXX01"),"E3",IF(AND($G4="Business",$H4="XXX01"),"E4","-"))))</f>
        <v>-</v>
      </c>
    </row>
    <row r="5" spans="1:18" ht="16" customHeight="1" x14ac:dyDescent="0.25">
      <c r="A5" s="27">
        <v>43836</v>
      </c>
      <c r="B5" s="28">
        <v>0.33333333333333331</v>
      </c>
      <c r="C5" s="28" t="s">
        <v>115</v>
      </c>
      <c r="D5" s="11" t="s">
        <v>71</v>
      </c>
      <c r="E5" s="5">
        <v>33215</v>
      </c>
      <c r="F5" s="5">
        <v>33365</v>
      </c>
      <c r="G5" s="6" t="s">
        <v>81</v>
      </c>
      <c r="H5" s="6" t="s">
        <v>39</v>
      </c>
      <c r="I5" s="7" t="s">
        <v>78</v>
      </c>
      <c r="J5" s="7" t="s">
        <v>83</v>
      </c>
      <c r="K5" s="7" t="s">
        <v>84</v>
      </c>
      <c r="L5" s="8">
        <v>3</v>
      </c>
      <c r="M5" s="8" t="s">
        <v>87</v>
      </c>
      <c r="N5" s="8">
        <f t="shared" si="0"/>
        <v>150</v>
      </c>
      <c r="O5" s="8">
        <f t="shared" si="1"/>
        <v>450</v>
      </c>
      <c r="P5" s="9">
        <f ca="1">IF(ISNA(VLOOKUP($H5,ClientAll,COLUMN(Clients!$C$8),0))=TRUE,0,VLOOKUP($H5,ClientAll,COLUMN(Clients!$C$8),0))</f>
        <v>150</v>
      </c>
      <c r="Q5" s="8">
        <f t="shared" ca="1" si="2"/>
        <v>0</v>
      </c>
      <c r="R5" s="10" t="str">
        <f ca="1">IF(ISNA(VLOOKUP($D5,VehicleID,COLUMN(Vehicles!$A$8),0))=TRUE,"E1",IF(ISNA(VLOOKUP($H5,ClientID,COLUMN(Vehicles!$A$8),0))=TRUE,"E2",IF(AND($G5&lt;&gt;"Business",$H5&lt;&gt;"XXX01"),"E3",IF(AND($G5="Business",$H5="XXX01"),"E4","-"))))</f>
        <v>-</v>
      </c>
    </row>
    <row r="6" spans="1:18" ht="16" customHeight="1" x14ac:dyDescent="0.25">
      <c r="A6" s="27">
        <v>43836</v>
      </c>
      <c r="C6" s="28" t="s">
        <v>111</v>
      </c>
      <c r="D6" s="11" t="s">
        <v>70</v>
      </c>
      <c r="E6" s="5">
        <v>50515</v>
      </c>
      <c r="F6" s="5">
        <v>50545</v>
      </c>
      <c r="G6" s="6" t="s">
        <v>80</v>
      </c>
      <c r="H6" s="6" t="s">
        <v>55</v>
      </c>
      <c r="I6" s="7" t="s">
        <v>86</v>
      </c>
      <c r="J6" s="7" t="s">
        <v>86</v>
      </c>
      <c r="K6" s="7" t="s">
        <v>85</v>
      </c>
      <c r="L6" s="8">
        <v>0</v>
      </c>
      <c r="M6" s="8" t="s">
        <v>82</v>
      </c>
      <c r="N6" s="8">
        <f t="shared" si="0"/>
        <v>30</v>
      </c>
      <c r="O6" s="8">
        <f t="shared" si="1"/>
        <v>0</v>
      </c>
      <c r="P6" s="9">
        <f ca="1">IF(ISNA(VLOOKUP($H6,ClientAll,COLUMN(Clients!$C$8),0))=TRUE,0,VLOOKUP($H6,ClientAll,COLUMN(Clients!$C$8),0))</f>
        <v>0</v>
      </c>
      <c r="Q6" s="8">
        <f t="shared" si="2"/>
        <v>0</v>
      </c>
      <c r="R6" s="10" t="str">
        <f ca="1">IF(ISNA(VLOOKUP($D6,VehicleID,COLUMN(Vehicles!$A$8),0))=TRUE,"E1",IF(ISNA(VLOOKUP($H6,ClientID,COLUMN(Vehicles!$A$8),0))=TRUE,"E2",IF(AND($G6&lt;&gt;"Business",$H6&lt;&gt;"XXX01"),"E3",IF(AND($G6="Business",$H6="XXX01"),"E4","-"))))</f>
        <v>-</v>
      </c>
    </row>
    <row r="7" spans="1:18" ht="16" customHeight="1" x14ac:dyDescent="0.25">
      <c r="A7" s="27">
        <v>43836</v>
      </c>
      <c r="C7" s="28" t="s">
        <v>115</v>
      </c>
      <c r="D7" s="11" t="s">
        <v>71</v>
      </c>
      <c r="E7" s="5">
        <v>33365</v>
      </c>
      <c r="F7" s="5">
        <v>33375</v>
      </c>
      <c r="G7" s="6" t="s">
        <v>80</v>
      </c>
      <c r="H7" s="6" t="s">
        <v>55</v>
      </c>
      <c r="I7" s="7" t="s">
        <v>86</v>
      </c>
      <c r="J7" s="7" t="s">
        <v>86</v>
      </c>
      <c r="K7" s="7" t="s">
        <v>85</v>
      </c>
      <c r="L7" s="8">
        <v>0</v>
      </c>
      <c r="M7" s="8" t="s">
        <v>87</v>
      </c>
      <c r="N7" s="8">
        <f t="shared" si="0"/>
        <v>10</v>
      </c>
      <c r="O7" s="8">
        <f t="shared" si="1"/>
        <v>0</v>
      </c>
      <c r="P7" s="9">
        <f ca="1">IF(ISNA(VLOOKUP($H7,ClientAll,COLUMN(Clients!$C$8),0))=TRUE,0,VLOOKUP($H7,ClientAll,COLUMN(Clients!$C$8),0))</f>
        <v>0</v>
      </c>
      <c r="Q7" s="8">
        <f t="shared" si="2"/>
        <v>0</v>
      </c>
      <c r="R7" s="10" t="str">
        <f ca="1">IF(ISNA(VLOOKUP($D7,VehicleID,COLUMN(Vehicles!$A$8),0))=TRUE,"E1",IF(ISNA(VLOOKUP($H7,ClientID,COLUMN(Vehicles!$A$8),0))=TRUE,"E2",IF(AND($G7&lt;&gt;"Business",$H7&lt;&gt;"XXX01"),"E3",IF(AND($G7="Business",$H7="XXX01"),"E4","-"))))</f>
        <v>-</v>
      </c>
    </row>
    <row r="8" spans="1:18" ht="16" customHeight="1" x14ac:dyDescent="0.25">
      <c r="A8" s="27">
        <v>43837</v>
      </c>
      <c r="B8" s="28">
        <v>0.33333333333333331</v>
      </c>
      <c r="C8" s="28" t="s">
        <v>111</v>
      </c>
      <c r="D8" s="11" t="s">
        <v>70</v>
      </c>
      <c r="E8" s="5">
        <v>50545</v>
      </c>
      <c r="F8" s="5">
        <v>50645</v>
      </c>
      <c r="G8" s="6" t="s">
        <v>81</v>
      </c>
      <c r="H8" s="6" t="s">
        <v>27</v>
      </c>
      <c r="I8" s="7" t="s">
        <v>78</v>
      </c>
      <c r="J8" s="7" t="s">
        <v>83</v>
      </c>
      <c r="K8" s="7" t="s">
        <v>84</v>
      </c>
      <c r="L8" s="8">
        <v>3</v>
      </c>
      <c r="M8" s="8" t="s">
        <v>82</v>
      </c>
      <c r="N8" s="8">
        <f t="shared" si="0"/>
        <v>100</v>
      </c>
      <c r="O8" s="8">
        <f t="shared" si="1"/>
        <v>300</v>
      </c>
      <c r="P8" s="9">
        <f ca="1">IF(ISNA(VLOOKUP($H8,ClientAll,COLUMN(Clients!$C$8),0))=TRUE,0,VLOOKUP($H8,ClientAll,COLUMN(Clients!$C$8),0))</f>
        <v>100</v>
      </c>
      <c r="Q8" s="8">
        <f t="shared" ca="1" si="2"/>
        <v>0</v>
      </c>
      <c r="R8" s="10" t="str">
        <f ca="1">IF(ISNA(VLOOKUP($D8,VehicleID,COLUMN(Vehicles!$A$8),0))=TRUE,"E1",IF(ISNA(VLOOKUP($H8,ClientID,COLUMN(Vehicles!$A$8),0))=TRUE,"E2",IF(AND($G8&lt;&gt;"Business",$H8&lt;&gt;"XXX01"),"E3",IF(AND($G8="Business",$H8="XXX01"),"E4","-"))))</f>
        <v>-</v>
      </c>
    </row>
    <row r="9" spans="1:18" ht="16" customHeight="1" x14ac:dyDescent="0.25">
      <c r="A9" s="27">
        <v>43837</v>
      </c>
      <c r="B9" s="28">
        <v>0.35416666666666669</v>
      </c>
      <c r="C9" s="28" t="s">
        <v>115</v>
      </c>
      <c r="D9" s="11" t="s">
        <v>71</v>
      </c>
      <c r="E9" s="5">
        <v>33375</v>
      </c>
      <c r="F9" s="5">
        <v>33525</v>
      </c>
      <c r="G9" s="6" t="s">
        <v>81</v>
      </c>
      <c r="H9" s="6" t="s">
        <v>39</v>
      </c>
      <c r="I9" s="7" t="s">
        <v>78</v>
      </c>
      <c r="J9" s="7" t="s">
        <v>83</v>
      </c>
      <c r="K9" s="7" t="s">
        <v>84</v>
      </c>
      <c r="L9" s="8">
        <v>3</v>
      </c>
      <c r="M9" s="8" t="s">
        <v>87</v>
      </c>
      <c r="N9" s="8">
        <f t="shared" si="0"/>
        <v>150</v>
      </c>
      <c r="O9" s="8">
        <f t="shared" si="1"/>
        <v>450</v>
      </c>
      <c r="P9" s="9">
        <f ca="1">IF(ISNA(VLOOKUP($H9,ClientAll,COLUMN(Clients!$C$8),0))=TRUE,0,VLOOKUP($H9,ClientAll,COLUMN(Clients!$C$8),0))</f>
        <v>150</v>
      </c>
      <c r="Q9" s="8">
        <f t="shared" ca="1" si="2"/>
        <v>0</v>
      </c>
      <c r="R9" s="10" t="str">
        <f ca="1">IF(ISNA(VLOOKUP($D9,VehicleID,COLUMN(Vehicles!$A$8),0))=TRUE,"E1",IF(ISNA(VLOOKUP($H9,ClientID,COLUMN(Vehicles!$A$8),0))=TRUE,"E2",IF(AND($G9&lt;&gt;"Business",$H9&lt;&gt;"XXX01"),"E3",IF(AND($G9="Business",$H9="XXX01"),"E4","-"))))</f>
        <v>-</v>
      </c>
    </row>
    <row r="10" spans="1:18" ht="16" customHeight="1" x14ac:dyDescent="0.25">
      <c r="A10" s="27">
        <v>43837</v>
      </c>
      <c r="C10" s="28" t="s">
        <v>111</v>
      </c>
      <c r="D10" s="11" t="s">
        <v>70</v>
      </c>
      <c r="E10" s="5">
        <v>50645</v>
      </c>
      <c r="F10" s="5">
        <v>50795</v>
      </c>
      <c r="G10" s="6" t="s">
        <v>80</v>
      </c>
      <c r="H10" s="6" t="s">
        <v>55</v>
      </c>
      <c r="I10" s="7" t="s">
        <v>86</v>
      </c>
      <c r="J10" s="7" t="s">
        <v>86</v>
      </c>
      <c r="K10" s="7" t="s">
        <v>85</v>
      </c>
      <c r="L10" s="8">
        <v>0</v>
      </c>
      <c r="M10" s="8" t="s">
        <v>82</v>
      </c>
      <c r="N10" s="8">
        <f t="shared" si="0"/>
        <v>150</v>
      </c>
      <c r="O10" s="8">
        <f t="shared" si="1"/>
        <v>0</v>
      </c>
      <c r="P10" s="9">
        <f ca="1">IF(ISNA(VLOOKUP($H10,ClientAll,COLUMN(Clients!$C$8),0))=TRUE,0,VLOOKUP($H10,ClientAll,COLUMN(Clients!$C$8),0))</f>
        <v>0</v>
      </c>
      <c r="Q10" s="8">
        <f t="shared" si="2"/>
        <v>0</v>
      </c>
      <c r="R10" s="10" t="str">
        <f ca="1">IF(ISNA(VLOOKUP($D10,VehicleID,COLUMN(Vehicles!$A$8),0))=TRUE,"E1",IF(ISNA(VLOOKUP($H10,ClientID,COLUMN(Vehicles!$A$8),0))=TRUE,"E2",IF(AND($G10&lt;&gt;"Business",$H10&lt;&gt;"XXX01"),"E3",IF(AND($G10="Business",$H10="XXX01"),"E4","-"))))</f>
        <v>-</v>
      </c>
    </row>
    <row r="11" spans="1:18" ht="16" customHeight="1" x14ac:dyDescent="0.25">
      <c r="A11" s="27">
        <v>43837</v>
      </c>
      <c r="C11" s="28" t="s">
        <v>115</v>
      </c>
      <c r="D11" s="11" t="s">
        <v>71</v>
      </c>
      <c r="E11" s="5">
        <v>33525</v>
      </c>
      <c r="F11" s="5">
        <v>33525</v>
      </c>
      <c r="G11" s="6" t="s">
        <v>80</v>
      </c>
      <c r="H11" s="6" t="s">
        <v>55</v>
      </c>
      <c r="I11" s="7" t="s">
        <v>86</v>
      </c>
      <c r="J11" s="7" t="s">
        <v>86</v>
      </c>
      <c r="K11" s="7" t="s">
        <v>85</v>
      </c>
      <c r="L11" s="8">
        <v>0</v>
      </c>
      <c r="M11" s="8" t="s">
        <v>87</v>
      </c>
      <c r="N11" s="8">
        <f t="shared" si="0"/>
        <v>0</v>
      </c>
      <c r="O11" s="8">
        <f t="shared" si="1"/>
        <v>0</v>
      </c>
      <c r="P11" s="9">
        <f ca="1">IF(ISNA(VLOOKUP($H11,ClientAll,COLUMN(Clients!$C$8),0))=TRUE,0,VLOOKUP($H11,ClientAll,COLUMN(Clients!$C$8),0))</f>
        <v>0</v>
      </c>
      <c r="Q11" s="8">
        <f t="shared" si="2"/>
        <v>0</v>
      </c>
      <c r="R11" s="10" t="str">
        <f ca="1">IF(ISNA(VLOOKUP($D11,VehicleID,COLUMN(Vehicles!$A$8),0))=TRUE,"E1",IF(ISNA(VLOOKUP($H11,ClientID,COLUMN(Vehicles!$A$8),0))=TRUE,"E2",IF(AND($G11&lt;&gt;"Business",$H11&lt;&gt;"XXX01"),"E3",IF(AND($G11="Business",$H11="XXX01"),"E4","-"))))</f>
        <v>-</v>
      </c>
    </row>
    <row r="12" spans="1:18" ht="16" customHeight="1" x14ac:dyDescent="0.25">
      <c r="A12" s="27">
        <v>43838</v>
      </c>
      <c r="B12" s="28">
        <v>0.33333333333333331</v>
      </c>
      <c r="C12" s="28" t="s">
        <v>111</v>
      </c>
      <c r="D12" s="11" t="s">
        <v>70</v>
      </c>
      <c r="E12" s="5">
        <v>50795</v>
      </c>
      <c r="F12" s="5">
        <v>50895</v>
      </c>
      <c r="G12" s="6" t="s">
        <v>81</v>
      </c>
      <c r="H12" s="6" t="s">
        <v>27</v>
      </c>
      <c r="I12" s="7" t="s">
        <v>78</v>
      </c>
      <c r="J12" s="7" t="s">
        <v>83</v>
      </c>
      <c r="K12" s="7" t="s">
        <v>84</v>
      </c>
      <c r="L12" s="8">
        <v>3</v>
      </c>
      <c r="M12" s="8" t="s">
        <v>82</v>
      </c>
      <c r="N12" s="8">
        <f t="shared" si="0"/>
        <v>100</v>
      </c>
      <c r="O12" s="8">
        <f t="shared" si="1"/>
        <v>300</v>
      </c>
      <c r="P12" s="9">
        <f ca="1">IF(ISNA(VLOOKUP($H12,ClientAll,COLUMN(Clients!$C$8),0))=TRUE,0,VLOOKUP($H12,ClientAll,COLUMN(Clients!$C$8),0))</f>
        <v>100</v>
      </c>
      <c r="Q12" s="8">
        <f t="shared" ca="1" si="2"/>
        <v>0</v>
      </c>
      <c r="R12" s="10" t="str">
        <f ca="1">IF(ISNA(VLOOKUP($D12,VehicleID,COLUMN(Vehicles!$A$8),0))=TRUE,"E1",IF(ISNA(VLOOKUP($H12,ClientID,COLUMN(Vehicles!$A$8),0))=TRUE,"E2",IF(AND($G12&lt;&gt;"Business",$H12&lt;&gt;"XXX01"),"E3",IF(AND($G12="Business",$H12="XXX01"),"E4","-"))))</f>
        <v>-</v>
      </c>
    </row>
    <row r="13" spans="1:18" ht="16" customHeight="1" x14ac:dyDescent="0.25">
      <c r="A13" s="27">
        <v>43838</v>
      </c>
      <c r="B13" s="28">
        <v>0.33333333333333331</v>
      </c>
      <c r="C13" s="28" t="s">
        <v>115</v>
      </c>
      <c r="D13" s="11" t="s">
        <v>71</v>
      </c>
      <c r="E13" s="5">
        <v>33525</v>
      </c>
      <c r="F13" s="5">
        <v>33675</v>
      </c>
      <c r="G13" s="6" t="s">
        <v>81</v>
      </c>
      <c r="H13" s="6" t="s">
        <v>39</v>
      </c>
      <c r="I13" s="7" t="s">
        <v>78</v>
      </c>
      <c r="J13" s="7" t="s">
        <v>83</v>
      </c>
      <c r="K13" s="7" t="s">
        <v>84</v>
      </c>
      <c r="L13" s="8">
        <v>3</v>
      </c>
      <c r="M13" s="8" t="s">
        <v>87</v>
      </c>
      <c r="N13" s="8">
        <f t="shared" si="0"/>
        <v>150</v>
      </c>
      <c r="O13" s="8">
        <f t="shared" si="1"/>
        <v>450</v>
      </c>
      <c r="P13" s="9">
        <f ca="1">IF(ISNA(VLOOKUP($H13,ClientAll,COLUMN(Clients!$C$8),0))=TRUE,0,VLOOKUP($H13,ClientAll,COLUMN(Clients!$C$8),0))</f>
        <v>150</v>
      </c>
      <c r="Q13" s="8">
        <f t="shared" ca="1" si="2"/>
        <v>0</v>
      </c>
      <c r="R13" s="10" t="str">
        <f ca="1">IF(ISNA(VLOOKUP($D13,VehicleID,COLUMN(Vehicles!$A$8),0))=TRUE,"E1",IF(ISNA(VLOOKUP($H13,ClientID,COLUMN(Vehicles!$A$8),0))=TRUE,"E2",IF(AND($G13&lt;&gt;"Business",$H13&lt;&gt;"XXX01"),"E3",IF(AND($G13="Business",$H13="XXX01"),"E4","-"))))</f>
        <v>-</v>
      </c>
    </row>
    <row r="14" spans="1:18" ht="16" customHeight="1" x14ac:dyDescent="0.25">
      <c r="A14" s="27">
        <v>43838</v>
      </c>
      <c r="C14" s="28" t="s">
        <v>111</v>
      </c>
      <c r="D14" s="11" t="s">
        <v>70</v>
      </c>
      <c r="E14" s="5">
        <v>50895</v>
      </c>
      <c r="F14" s="5">
        <v>50915</v>
      </c>
      <c r="G14" s="6" t="s">
        <v>80</v>
      </c>
      <c r="H14" s="6" t="s">
        <v>55</v>
      </c>
      <c r="I14" s="7" t="s">
        <v>86</v>
      </c>
      <c r="J14" s="7" t="s">
        <v>86</v>
      </c>
      <c r="K14" s="7" t="s">
        <v>85</v>
      </c>
      <c r="L14" s="8">
        <v>0</v>
      </c>
      <c r="M14" s="8" t="s">
        <v>82</v>
      </c>
      <c r="N14" s="8">
        <f t="shared" si="0"/>
        <v>20</v>
      </c>
      <c r="O14" s="8">
        <f t="shared" si="1"/>
        <v>0</v>
      </c>
      <c r="P14" s="9">
        <f ca="1">IF(ISNA(VLOOKUP($H14,ClientAll,COLUMN(Clients!$C$8),0))=TRUE,0,VLOOKUP($H14,ClientAll,COLUMN(Clients!$C$8),0))</f>
        <v>0</v>
      </c>
      <c r="Q14" s="8">
        <f t="shared" si="2"/>
        <v>0</v>
      </c>
      <c r="R14" s="10" t="str">
        <f ca="1">IF(ISNA(VLOOKUP($D14,VehicleID,COLUMN(Vehicles!$A$8),0))=TRUE,"E1",IF(ISNA(VLOOKUP($H14,ClientID,COLUMN(Vehicles!$A$8),0))=TRUE,"E2",IF(AND($G14&lt;&gt;"Business",$H14&lt;&gt;"XXX01"),"E3",IF(AND($G14="Business",$H14="XXX01"),"E4","-"))))</f>
        <v>-</v>
      </c>
    </row>
    <row r="15" spans="1:18" ht="16" customHeight="1" x14ac:dyDescent="0.25">
      <c r="A15" s="27">
        <v>43838</v>
      </c>
      <c r="C15" s="28" t="s">
        <v>115</v>
      </c>
      <c r="D15" s="11" t="s">
        <v>71</v>
      </c>
      <c r="E15" s="5">
        <v>33675</v>
      </c>
      <c r="F15" s="5">
        <v>33700</v>
      </c>
      <c r="G15" s="6" t="s">
        <v>80</v>
      </c>
      <c r="H15" s="6" t="s">
        <v>55</v>
      </c>
      <c r="I15" s="7" t="s">
        <v>86</v>
      </c>
      <c r="J15" s="7" t="s">
        <v>86</v>
      </c>
      <c r="K15" s="7" t="s">
        <v>85</v>
      </c>
      <c r="L15" s="8">
        <v>0</v>
      </c>
      <c r="M15" s="8" t="s">
        <v>87</v>
      </c>
      <c r="N15" s="8">
        <f t="shared" si="0"/>
        <v>25</v>
      </c>
      <c r="O15" s="8">
        <f t="shared" si="1"/>
        <v>0</v>
      </c>
      <c r="P15" s="9">
        <f ca="1">IF(ISNA(VLOOKUP($H15,ClientAll,COLUMN(Clients!$C$8),0))=TRUE,0,VLOOKUP($H15,ClientAll,COLUMN(Clients!$C$8),0))</f>
        <v>0</v>
      </c>
      <c r="Q15" s="8">
        <f t="shared" si="2"/>
        <v>0</v>
      </c>
      <c r="R15" s="10" t="str">
        <f ca="1">IF(ISNA(VLOOKUP($D15,VehicleID,COLUMN(Vehicles!$A$8),0))=TRUE,"E1",IF(ISNA(VLOOKUP($H15,ClientID,COLUMN(Vehicles!$A$8),0))=TRUE,"E2",IF(AND($G15&lt;&gt;"Business",$H15&lt;&gt;"XXX01"),"E3",IF(AND($G15="Business",$H15="XXX01"),"E4","-"))))</f>
        <v>-</v>
      </c>
    </row>
    <row r="16" spans="1:18" ht="16" customHeight="1" x14ac:dyDescent="0.25">
      <c r="A16" s="27">
        <v>43839</v>
      </c>
      <c r="B16" s="28">
        <v>0.33333333333333331</v>
      </c>
      <c r="C16" s="28" t="s">
        <v>111</v>
      </c>
      <c r="D16" s="11" t="s">
        <v>70</v>
      </c>
      <c r="E16" s="5">
        <v>50915</v>
      </c>
      <c r="F16" s="5">
        <v>50975</v>
      </c>
      <c r="G16" s="6" t="s">
        <v>81</v>
      </c>
      <c r="H16" s="6" t="s">
        <v>58</v>
      </c>
      <c r="I16" s="7" t="s">
        <v>78</v>
      </c>
      <c r="J16" s="7" t="s">
        <v>83</v>
      </c>
      <c r="K16" s="7" t="s">
        <v>84</v>
      </c>
      <c r="L16" s="8">
        <v>3</v>
      </c>
      <c r="M16" s="8" t="s">
        <v>82</v>
      </c>
      <c r="N16" s="8">
        <f t="shared" si="0"/>
        <v>60</v>
      </c>
      <c r="O16" s="8">
        <f t="shared" si="1"/>
        <v>180</v>
      </c>
      <c r="P16" s="9">
        <f ca="1">IF(ISNA(VLOOKUP($H16,ClientAll,COLUMN(Clients!$C$8),0))=TRUE,0,VLOOKUP($H16,ClientAll,COLUMN(Clients!$C$8),0))</f>
        <v>60</v>
      </c>
      <c r="Q16" s="8">
        <f t="shared" ca="1" si="2"/>
        <v>0</v>
      </c>
      <c r="R16" s="10" t="str">
        <f ca="1">IF(ISNA(VLOOKUP($D16,VehicleID,COLUMN(Vehicles!$A$8),0))=TRUE,"E1",IF(ISNA(VLOOKUP($H16,ClientID,COLUMN(Vehicles!$A$8),0))=TRUE,"E2",IF(AND($G16&lt;&gt;"Business",$H16&lt;&gt;"XXX01"),"E3",IF(AND($G16="Business",$H16="XXX01"),"E4","-"))))</f>
        <v>-</v>
      </c>
    </row>
    <row r="17" spans="1:18" ht="16" customHeight="1" x14ac:dyDescent="0.25">
      <c r="A17" s="27">
        <v>43839</v>
      </c>
      <c r="B17" s="28">
        <v>0.33333333333333331</v>
      </c>
      <c r="C17" s="28" t="s">
        <v>115</v>
      </c>
      <c r="D17" s="11" t="s">
        <v>71</v>
      </c>
      <c r="E17" s="5">
        <v>33700</v>
      </c>
      <c r="F17" s="5">
        <v>33850</v>
      </c>
      <c r="G17" s="6" t="s">
        <v>81</v>
      </c>
      <c r="H17" s="6" t="s">
        <v>39</v>
      </c>
      <c r="I17" s="7" t="s">
        <v>78</v>
      </c>
      <c r="J17" s="7" t="s">
        <v>83</v>
      </c>
      <c r="K17" s="7" t="s">
        <v>84</v>
      </c>
      <c r="L17" s="8">
        <v>3</v>
      </c>
      <c r="M17" s="8" t="s">
        <v>87</v>
      </c>
      <c r="N17" s="8">
        <f t="shared" si="0"/>
        <v>150</v>
      </c>
      <c r="O17" s="8">
        <f t="shared" si="1"/>
        <v>450</v>
      </c>
      <c r="P17" s="9">
        <f ca="1">IF(ISNA(VLOOKUP($H17,ClientAll,COLUMN(Clients!$C$8),0))=TRUE,0,VLOOKUP($H17,ClientAll,COLUMN(Clients!$C$8),0))</f>
        <v>150</v>
      </c>
      <c r="Q17" s="8">
        <f t="shared" ca="1" si="2"/>
        <v>0</v>
      </c>
      <c r="R17" s="10" t="str">
        <f ca="1">IF(ISNA(VLOOKUP($D17,VehicleID,COLUMN(Vehicles!$A$8),0))=TRUE,"E1",IF(ISNA(VLOOKUP($H17,ClientID,COLUMN(Vehicles!$A$8),0))=TRUE,"E2",IF(AND($G17&lt;&gt;"Business",$H17&lt;&gt;"XXX01"),"E3",IF(AND($G17="Business",$H17="XXX01"),"E4","-"))))</f>
        <v>-</v>
      </c>
    </row>
    <row r="18" spans="1:18" ht="16" customHeight="1" x14ac:dyDescent="0.25">
      <c r="A18" s="27">
        <v>43840</v>
      </c>
      <c r="C18" s="28" t="s">
        <v>111</v>
      </c>
      <c r="D18" s="11" t="s">
        <v>70</v>
      </c>
      <c r="E18" s="5">
        <v>50975</v>
      </c>
      <c r="F18" s="5">
        <v>51010</v>
      </c>
      <c r="G18" s="6" t="s">
        <v>80</v>
      </c>
      <c r="H18" s="6" t="s">
        <v>55</v>
      </c>
      <c r="I18" s="7" t="s">
        <v>86</v>
      </c>
      <c r="J18" s="7" t="s">
        <v>86</v>
      </c>
      <c r="K18" s="7" t="s">
        <v>85</v>
      </c>
      <c r="L18" s="8">
        <v>0</v>
      </c>
      <c r="M18" s="8" t="s">
        <v>82</v>
      </c>
      <c r="N18" s="8">
        <f t="shared" si="0"/>
        <v>35</v>
      </c>
      <c r="O18" s="8">
        <f t="shared" si="1"/>
        <v>0</v>
      </c>
      <c r="P18" s="9">
        <f ca="1">IF(ISNA(VLOOKUP($H18,ClientAll,COLUMN(Clients!$C$8),0))=TRUE,0,VLOOKUP($H18,ClientAll,COLUMN(Clients!$C$8),0))</f>
        <v>0</v>
      </c>
      <c r="Q18" s="8">
        <f t="shared" si="2"/>
        <v>0</v>
      </c>
      <c r="R18" s="10" t="str">
        <f ca="1">IF(ISNA(VLOOKUP($D18,VehicleID,COLUMN(Vehicles!$A$8),0))=TRUE,"E1",IF(ISNA(VLOOKUP($H18,ClientID,COLUMN(Vehicles!$A$8),0))=TRUE,"E2",IF(AND($G18&lt;&gt;"Business",$H18&lt;&gt;"XXX01"),"E3",IF(AND($G18="Business",$H18="XXX01"),"E4","-"))))</f>
        <v>-</v>
      </c>
    </row>
    <row r="19" spans="1:18" ht="16" customHeight="1" x14ac:dyDescent="0.25">
      <c r="A19" s="27">
        <v>43840</v>
      </c>
      <c r="C19" s="28" t="s">
        <v>115</v>
      </c>
      <c r="D19" s="11" t="s">
        <v>71</v>
      </c>
      <c r="E19" s="5">
        <v>33850</v>
      </c>
      <c r="F19" s="5">
        <v>33886</v>
      </c>
      <c r="G19" s="6" t="s">
        <v>80</v>
      </c>
      <c r="H19" s="6" t="s">
        <v>55</v>
      </c>
      <c r="I19" s="7" t="s">
        <v>86</v>
      </c>
      <c r="J19" s="7" t="s">
        <v>86</v>
      </c>
      <c r="K19" s="7" t="s">
        <v>85</v>
      </c>
      <c r="L19" s="8">
        <v>0</v>
      </c>
      <c r="M19" s="8" t="s">
        <v>87</v>
      </c>
      <c r="N19" s="8">
        <f t="shared" si="0"/>
        <v>36</v>
      </c>
      <c r="O19" s="8">
        <f t="shared" si="1"/>
        <v>0</v>
      </c>
      <c r="P19" s="9">
        <f ca="1">IF(ISNA(VLOOKUP($H19,ClientAll,COLUMN(Clients!$C$8),0))=TRUE,0,VLOOKUP($H19,ClientAll,COLUMN(Clients!$C$8),0))</f>
        <v>0</v>
      </c>
      <c r="Q19" s="8">
        <f t="shared" si="2"/>
        <v>0</v>
      </c>
      <c r="R19" s="10" t="str">
        <f ca="1">IF(ISNA(VLOOKUP($D19,VehicleID,COLUMN(Vehicles!$A$8),0))=TRUE,"E1",IF(ISNA(VLOOKUP($H19,ClientID,COLUMN(Vehicles!$A$8),0))=TRUE,"E2",IF(AND($G19&lt;&gt;"Business",$H19&lt;&gt;"XXX01"),"E3",IF(AND($G19="Business",$H19="XXX01"),"E4","-"))))</f>
        <v>-</v>
      </c>
    </row>
    <row r="20" spans="1:18" ht="16" customHeight="1" x14ac:dyDescent="0.25">
      <c r="A20" s="27">
        <v>43843</v>
      </c>
      <c r="B20" s="28">
        <v>0.33333333333333331</v>
      </c>
      <c r="C20" s="28" t="s">
        <v>111</v>
      </c>
      <c r="D20" s="11" t="s">
        <v>70</v>
      </c>
      <c r="E20" s="5">
        <v>51010</v>
      </c>
      <c r="F20" s="5">
        <v>51110</v>
      </c>
      <c r="G20" s="6" t="s">
        <v>81</v>
      </c>
      <c r="H20" s="6" t="s">
        <v>27</v>
      </c>
      <c r="I20" s="7" t="s">
        <v>78</v>
      </c>
      <c r="J20" s="7" t="s">
        <v>83</v>
      </c>
      <c r="K20" s="7" t="s">
        <v>84</v>
      </c>
      <c r="L20" s="8">
        <v>3</v>
      </c>
      <c r="M20" s="8" t="s">
        <v>82</v>
      </c>
      <c r="N20" s="8">
        <f t="shared" si="0"/>
        <v>100</v>
      </c>
      <c r="O20" s="8">
        <f t="shared" si="1"/>
        <v>300</v>
      </c>
      <c r="P20" s="9">
        <f ca="1">IF(ISNA(VLOOKUP($H20,ClientAll,COLUMN(Clients!$C$8),0))=TRUE,0,VLOOKUP($H20,ClientAll,COLUMN(Clients!$C$8),0))</f>
        <v>100</v>
      </c>
      <c r="Q20" s="8">
        <f t="shared" ca="1" si="2"/>
        <v>0</v>
      </c>
      <c r="R20" s="10" t="str">
        <f ca="1">IF(ISNA(VLOOKUP($D20,VehicleID,COLUMN(Vehicles!$A$8),0))=TRUE,"E1",IF(ISNA(VLOOKUP($H20,ClientID,COLUMN(Vehicles!$A$8),0))=TRUE,"E2",IF(AND($G20&lt;&gt;"Business",$H20&lt;&gt;"XXX01"),"E3",IF(AND($G20="Business",$H20="XXX01"),"E4","-"))))</f>
        <v>-</v>
      </c>
    </row>
    <row r="21" spans="1:18" ht="16" customHeight="1" x14ac:dyDescent="0.25">
      <c r="A21" s="27">
        <v>43843</v>
      </c>
      <c r="B21" s="28">
        <v>0.33333333333333331</v>
      </c>
      <c r="C21" s="28" t="s">
        <v>115</v>
      </c>
      <c r="D21" s="11" t="s">
        <v>71</v>
      </c>
      <c r="E21" s="5">
        <v>33886</v>
      </c>
      <c r="F21" s="5">
        <v>34036</v>
      </c>
      <c r="G21" s="6" t="s">
        <v>81</v>
      </c>
      <c r="H21" s="6" t="s">
        <v>39</v>
      </c>
      <c r="I21" s="7" t="s">
        <v>78</v>
      </c>
      <c r="J21" s="7" t="s">
        <v>83</v>
      </c>
      <c r="K21" s="7" t="s">
        <v>84</v>
      </c>
      <c r="L21" s="8">
        <v>3</v>
      </c>
      <c r="M21" s="8" t="s">
        <v>87</v>
      </c>
      <c r="N21" s="8">
        <f t="shared" si="0"/>
        <v>150</v>
      </c>
      <c r="O21" s="8">
        <f t="shared" si="1"/>
        <v>450</v>
      </c>
      <c r="P21" s="9">
        <f ca="1">IF(ISNA(VLOOKUP($H21,ClientAll,COLUMN(Clients!$C$8),0))=TRUE,0,VLOOKUP($H21,ClientAll,COLUMN(Clients!$C$8),0))</f>
        <v>150</v>
      </c>
      <c r="Q21" s="8">
        <f t="shared" ca="1" si="2"/>
        <v>0</v>
      </c>
      <c r="R21" s="10" t="str">
        <f ca="1">IF(ISNA(VLOOKUP($D21,VehicleID,COLUMN(Vehicles!$A$8),0))=TRUE,"E1",IF(ISNA(VLOOKUP($H21,ClientID,COLUMN(Vehicles!$A$8),0))=TRUE,"E2",IF(AND($G21&lt;&gt;"Business",$H21&lt;&gt;"XXX01"),"E3",IF(AND($G21="Business",$H21="XXX01"),"E4","-"))))</f>
        <v>-</v>
      </c>
    </row>
    <row r="22" spans="1:18" ht="16" customHeight="1" x14ac:dyDescent="0.25">
      <c r="A22" s="27">
        <v>43843</v>
      </c>
      <c r="B22" s="28">
        <v>0.33333333333333331</v>
      </c>
      <c r="C22" s="28" t="s">
        <v>121</v>
      </c>
      <c r="D22" s="11" t="s">
        <v>72</v>
      </c>
      <c r="E22" s="5">
        <v>110213</v>
      </c>
      <c r="F22" s="5">
        <v>110628</v>
      </c>
      <c r="G22" s="6" t="s">
        <v>81</v>
      </c>
      <c r="H22" s="6" t="s">
        <v>35</v>
      </c>
      <c r="I22" s="7" t="s">
        <v>78</v>
      </c>
      <c r="J22" s="7" t="s">
        <v>83</v>
      </c>
      <c r="K22" s="7" t="s">
        <v>84</v>
      </c>
      <c r="L22" s="8">
        <v>2.5</v>
      </c>
      <c r="M22" s="8" t="s">
        <v>88</v>
      </c>
      <c r="N22" s="8">
        <f t="shared" si="0"/>
        <v>415</v>
      </c>
      <c r="O22" s="8">
        <f t="shared" si="1"/>
        <v>1037.5</v>
      </c>
      <c r="P22" s="9">
        <f ca="1">IF(ISNA(VLOOKUP($H22,ClientAll,COLUMN(Clients!$C$8),0))=TRUE,0,VLOOKUP($H22,ClientAll,COLUMN(Clients!$C$8),0))</f>
        <v>415</v>
      </c>
      <c r="Q22" s="8">
        <f t="shared" ca="1" si="2"/>
        <v>0</v>
      </c>
      <c r="R22" s="10" t="str">
        <f ca="1">IF(ISNA(VLOOKUP($D22,VehicleID,COLUMN(Vehicles!$A$8),0))=TRUE,"E1",IF(ISNA(VLOOKUP($H22,ClientID,COLUMN(Vehicles!$A$8),0))=TRUE,"E2",IF(AND($G22&lt;&gt;"Business",$H22&lt;&gt;"XXX01"),"E3",IF(AND($G22="Business",$H22="XXX01"),"E4","-"))))</f>
        <v>-</v>
      </c>
    </row>
    <row r="23" spans="1:18" ht="16" customHeight="1" x14ac:dyDescent="0.25">
      <c r="A23" s="27">
        <v>43843</v>
      </c>
      <c r="C23" s="28" t="s">
        <v>111</v>
      </c>
      <c r="D23" s="11" t="s">
        <v>70</v>
      </c>
      <c r="E23" s="5">
        <v>51110</v>
      </c>
      <c r="F23" s="5">
        <v>51199</v>
      </c>
      <c r="G23" s="6" t="s">
        <v>80</v>
      </c>
      <c r="H23" s="6" t="s">
        <v>55</v>
      </c>
      <c r="I23" s="7" t="s">
        <v>86</v>
      </c>
      <c r="J23" s="7" t="s">
        <v>86</v>
      </c>
      <c r="K23" s="7" t="s">
        <v>85</v>
      </c>
      <c r="L23" s="8">
        <v>0</v>
      </c>
      <c r="M23" s="8" t="s">
        <v>82</v>
      </c>
      <c r="N23" s="8">
        <f t="shared" si="0"/>
        <v>89</v>
      </c>
      <c r="O23" s="8">
        <f t="shared" si="1"/>
        <v>0</v>
      </c>
      <c r="P23" s="9">
        <f ca="1">IF(ISNA(VLOOKUP($H23,ClientAll,COLUMN(Clients!$C$8),0))=TRUE,0,VLOOKUP($H23,ClientAll,COLUMN(Clients!$C$8),0))</f>
        <v>0</v>
      </c>
      <c r="Q23" s="8">
        <f t="shared" si="2"/>
        <v>0</v>
      </c>
      <c r="R23" s="10" t="str">
        <f ca="1">IF(ISNA(VLOOKUP($D23,VehicleID,COLUMN(Vehicles!$A$8),0))=TRUE,"E1",IF(ISNA(VLOOKUP($H23,ClientID,COLUMN(Vehicles!$A$8),0))=TRUE,"E2",IF(AND($G23&lt;&gt;"Business",$H23&lt;&gt;"XXX01"),"E3",IF(AND($G23="Business",$H23="XXX01"),"E4","-"))))</f>
        <v>-</v>
      </c>
    </row>
    <row r="24" spans="1:18" ht="16" customHeight="1" x14ac:dyDescent="0.25">
      <c r="A24" s="27">
        <v>43843</v>
      </c>
      <c r="C24" s="28" t="s">
        <v>115</v>
      </c>
      <c r="D24" s="11" t="s">
        <v>71</v>
      </c>
      <c r="E24" s="5">
        <v>34036</v>
      </c>
      <c r="F24" s="5">
        <v>34051</v>
      </c>
      <c r="G24" s="6" t="s">
        <v>80</v>
      </c>
      <c r="H24" s="6" t="s">
        <v>55</v>
      </c>
      <c r="I24" s="7" t="s">
        <v>86</v>
      </c>
      <c r="J24" s="7" t="s">
        <v>86</v>
      </c>
      <c r="K24" s="7" t="s">
        <v>85</v>
      </c>
      <c r="L24" s="8">
        <v>0</v>
      </c>
      <c r="M24" s="8" t="s">
        <v>87</v>
      </c>
      <c r="N24" s="8">
        <f t="shared" si="0"/>
        <v>15</v>
      </c>
      <c r="O24" s="8">
        <f t="shared" si="1"/>
        <v>0</v>
      </c>
      <c r="P24" s="9">
        <f ca="1">IF(ISNA(VLOOKUP($H24,ClientAll,COLUMN(Clients!$C$8),0))=TRUE,0,VLOOKUP($H24,ClientAll,COLUMN(Clients!$C$8),0))</f>
        <v>0</v>
      </c>
      <c r="Q24" s="8">
        <f t="shared" si="2"/>
        <v>0</v>
      </c>
      <c r="R24" s="10" t="str">
        <f ca="1">IF(ISNA(VLOOKUP($D24,VehicleID,COLUMN(Vehicles!$A$8),0))=TRUE,"E1",IF(ISNA(VLOOKUP($H24,ClientID,COLUMN(Vehicles!$A$8),0))=TRUE,"E2",IF(AND($G24&lt;&gt;"Business",$H24&lt;&gt;"XXX01"),"E3",IF(AND($G24="Business",$H24="XXX01"),"E4","-"))))</f>
        <v>-</v>
      </c>
    </row>
    <row r="25" spans="1:18" ht="16" customHeight="1" x14ac:dyDescent="0.25">
      <c r="A25" s="27">
        <v>43844</v>
      </c>
      <c r="B25" s="28">
        <v>0.33333333333333331</v>
      </c>
      <c r="C25" s="28" t="s">
        <v>111</v>
      </c>
      <c r="D25" s="11" t="s">
        <v>70</v>
      </c>
      <c r="E25" s="5">
        <v>51199</v>
      </c>
      <c r="F25" s="5">
        <v>51299</v>
      </c>
      <c r="G25" s="6" t="s">
        <v>81</v>
      </c>
      <c r="H25" s="6" t="s">
        <v>27</v>
      </c>
      <c r="I25" s="7" t="s">
        <v>78</v>
      </c>
      <c r="J25" s="7" t="s">
        <v>83</v>
      </c>
      <c r="K25" s="7" t="s">
        <v>84</v>
      </c>
      <c r="L25" s="8">
        <v>3</v>
      </c>
      <c r="M25" s="8" t="s">
        <v>82</v>
      </c>
      <c r="N25" s="8">
        <f t="shared" si="0"/>
        <v>100</v>
      </c>
      <c r="O25" s="8">
        <f t="shared" si="1"/>
        <v>300</v>
      </c>
      <c r="P25" s="9">
        <f ca="1">IF(ISNA(VLOOKUP($H25,ClientAll,COLUMN(Clients!$C$8),0))=TRUE,0,VLOOKUP($H25,ClientAll,COLUMN(Clients!$C$8),0))</f>
        <v>100</v>
      </c>
      <c r="Q25" s="8">
        <f t="shared" ca="1" si="2"/>
        <v>0</v>
      </c>
      <c r="R25" s="10" t="str">
        <f ca="1">IF(ISNA(VLOOKUP($D25,VehicleID,COLUMN(Vehicles!$A$8),0))=TRUE,"E1",IF(ISNA(VLOOKUP($H25,ClientID,COLUMN(Vehicles!$A$8),0))=TRUE,"E2",IF(AND($G25&lt;&gt;"Business",$H25&lt;&gt;"XXX01"),"E3",IF(AND($G25="Business",$H25="XXX01"),"E4","-"))))</f>
        <v>-</v>
      </c>
    </row>
    <row r="26" spans="1:18" ht="16" customHeight="1" x14ac:dyDescent="0.25">
      <c r="A26" s="27">
        <v>43844</v>
      </c>
      <c r="B26" s="28">
        <v>0.33333333333333331</v>
      </c>
      <c r="C26" s="28" t="s">
        <v>115</v>
      </c>
      <c r="D26" s="11" t="s">
        <v>71</v>
      </c>
      <c r="E26" s="5">
        <v>34051</v>
      </c>
      <c r="F26" s="5">
        <v>34201</v>
      </c>
      <c r="G26" s="6" t="s">
        <v>81</v>
      </c>
      <c r="H26" s="6" t="s">
        <v>39</v>
      </c>
      <c r="I26" s="7" t="s">
        <v>78</v>
      </c>
      <c r="J26" s="7" t="s">
        <v>83</v>
      </c>
      <c r="K26" s="7" t="s">
        <v>84</v>
      </c>
      <c r="L26" s="8">
        <v>3</v>
      </c>
      <c r="M26" s="8" t="s">
        <v>87</v>
      </c>
      <c r="N26" s="8">
        <f t="shared" si="0"/>
        <v>150</v>
      </c>
      <c r="O26" s="8">
        <f t="shared" si="1"/>
        <v>450</v>
      </c>
      <c r="P26" s="9">
        <f ca="1">IF(ISNA(VLOOKUP($H26,ClientAll,COLUMN(Clients!$C$8),0))=TRUE,0,VLOOKUP($H26,ClientAll,COLUMN(Clients!$C$8),0))</f>
        <v>150</v>
      </c>
      <c r="Q26" s="8">
        <f t="shared" ca="1" si="2"/>
        <v>0</v>
      </c>
      <c r="R26" s="10" t="str">
        <f ca="1">IF(ISNA(VLOOKUP($D26,VehicleID,COLUMN(Vehicles!$A$8),0))=TRUE,"E1",IF(ISNA(VLOOKUP($H26,ClientID,COLUMN(Vehicles!$A$8),0))=TRUE,"E2",IF(AND($G26&lt;&gt;"Business",$H26&lt;&gt;"XXX01"),"E3",IF(AND($G26="Business",$H26="XXX01"),"E4","-"))))</f>
        <v>-</v>
      </c>
    </row>
    <row r="27" spans="1:18" ht="16" customHeight="1" x14ac:dyDescent="0.25">
      <c r="A27" s="27">
        <v>43844</v>
      </c>
      <c r="C27" s="28" t="s">
        <v>111</v>
      </c>
      <c r="D27" s="11" t="s">
        <v>70</v>
      </c>
      <c r="E27" s="5">
        <v>51299</v>
      </c>
      <c r="F27" s="5">
        <v>51354</v>
      </c>
      <c r="G27" s="6" t="s">
        <v>80</v>
      </c>
      <c r="H27" s="6" t="s">
        <v>55</v>
      </c>
      <c r="I27" s="7" t="s">
        <v>86</v>
      </c>
      <c r="J27" s="7" t="s">
        <v>86</v>
      </c>
      <c r="K27" s="7" t="s">
        <v>85</v>
      </c>
      <c r="L27" s="8">
        <v>0</v>
      </c>
      <c r="M27" s="8" t="s">
        <v>82</v>
      </c>
      <c r="N27" s="8">
        <f t="shared" si="0"/>
        <v>55</v>
      </c>
      <c r="O27" s="8">
        <f t="shared" si="1"/>
        <v>0</v>
      </c>
      <c r="P27" s="9">
        <f ca="1">IF(ISNA(VLOOKUP($H27,ClientAll,COLUMN(Clients!$C$8),0))=TRUE,0,VLOOKUP($H27,ClientAll,COLUMN(Clients!$C$8),0))</f>
        <v>0</v>
      </c>
      <c r="Q27" s="8">
        <f t="shared" si="2"/>
        <v>0</v>
      </c>
      <c r="R27" s="10" t="str">
        <f ca="1">IF(ISNA(VLOOKUP($D27,VehicleID,COLUMN(Vehicles!$A$8),0))=TRUE,"E1",IF(ISNA(VLOOKUP($H27,ClientID,COLUMN(Vehicles!$A$8),0))=TRUE,"E2",IF(AND($G27&lt;&gt;"Business",$H27&lt;&gt;"XXX01"),"E3",IF(AND($G27="Business",$H27="XXX01"),"E4","-"))))</f>
        <v>-</v>
      </c>
    </row>
    <row r="28" spans="1:18" ht="16" customHeight="1" x14ac:dyDescent="0.25">
      <c r="A28" s="27">
        <v>43844</v>
      </c>
      <c r="C28" s="28" t="s">
        <v>115</v>
      </c>
      <c r="D28" s="11" t="s">
        <v>71</v>
      </c>
      <c r="E28" s="5">
        <v>34201</v>
      </c>
      <c r="F28" s="5">
        <v>34203</v>
      </c>
      <c r="G28" s="6" t="s">
        <v>80</v>
      </c>
      <c r="H28" s="6" t="s">
        <v>55</v>
      </c>
      <c r="I28" s="7" t="s">
        <v>86</v>
      </c>
      <c r="J28" s="7" t="s">
        <v>86</v>
      </c>
      <c r="K28" s="7" t="s">
        <v>85</v>
      </c>
      <c r="L28" s="8">
        <v>0</v>
      </c>
      <c r="M28" s="8" t="s">
        <v>87</v>
      </c>
      <c r="N28" s="8">
        <f t="shared" si="0"/>
        <v>2</v>
      </c>
      <c r="O28" s="8">
        <f t="shared" si="1"/>
        <v>0</v>
      </c>
      <c r="P28" s="9">
        <f ca="1">IF(ISNA(VLOOKUP($H28,ClientAll,COLUMN(Clients!$C$8),0))=TRUE,0,VLOOKUP($H28,ClientAll,COLUMN(Clients!$C$8),0))</f>
        <v>0</v>
      </c>
      <c r="Q28" s="8">
        <f t="shared" si="2"/>
        <v>0</v>
      </c>
      <c r="R28" s="10" t="str">
        <f ca="1">IF(ISNA(VLOOKUP($D28,VehicleID,COLUMN(Vehicles!$A$8),0))=TRUE,"E1",IF(ISNA(VLOOKUP($H28,ClientID,COLUMN(Vehicles!$A$8),0))=TRUE,"E2",IF(AND($G28&lt;&gt;"Business",$H28&lt;&gt;"XXX01"),"E3",IF(AND($G28="Business",$H28="XXX01"),"E4","-"))))</f>
        <v>-</v>
      </c>
    </row>
    <row r="29" spans="1:18" ht="16" customHeight="1" x14ac:dyDescent="0.25">
      <c r="A29" s="27">
        <v>43845</v>
      </c>
      <c r="B29" s="28">
        <v>0.33333333333333331</v>
      </c>
      <c r="C29" s="28" t="s">
        <v>111</v>
      </c>
      <c r="D29" s="11" t="s">
        <v>70</v>
      </c>
      <c r="E29" s="5">
        <v>51354</v>
      </c>
      <c r="F29" s="5">
        <v>51454</v>
      </c>
      <c r="G29" s="6" t="s">
        <v>81</v>
      </c>
      <c r="H29" s="6" t="s">
        <v>27</v>
      </c>
      <c r="I29" s="7" t="s">
        <v>78</v>
      </c>
      <c r="J29" s="7" t="s">
        <v>83</v>
      </c>
      <c r="K29" s="7" t="s">
        <v>84</v>
      </c>
      <c r="L29" s="8">
        <v>3</v>
      </c>
      <c r="M29" s="8" t="s">
        <v>82</v>
      </c>
      <c r="N29" s="8">
        <f t="shared" si="0"/>
        <v>100</v>
      </c>
      <c r="O29" s="8">
        <f t="shared" si="1"/>
        <v>300</v>
      </c>
      <c r="P29" s="9">
        <f ca="1">IF(ISNA(VLOOKUP($H29,ClientAll,COLUMN(Clients!$C$8),0))=TRUE,0,VLOOKUP($H29,ClientAll,COLUMN(Clients!$C$8),0))</f>
        <v>100</v>
      </c>
      <c r="Q29" s="8">
        <f t="shared" ca="1" si="2"/>
        <v>0</v>
      </c>
      <c r="R29" s="10" t="str">
        <f ca="1">IF(ISNA(VLOOKUP($D29,VehicleID,COLUMN(Vehicles!$A$8),0))=TRUE,"E1",IF(ISNA(VLOOKUP($H29,ClientID,COLUMN(Vehicles!$A$8),0))=TRUE,"E2",IF(AND($G29&lt;&gt;"Business",$H29&lt;&gt;"XXX01"),"E3",IF(AND($G29="Business",$H29="XXX01"),"E4","-"))))</f>
        <v>-</v>
      </c>
    </row>
    <row r="30" spans="1:18" ht="16" customHeight="1" x14ac:dyDescent="0.25">
      <c r="A30" s="27">
        <v>43845</v>
      </c>
      <c r="B30" s="28">
        <v>0.33333333333333331</v>
      </c>
      <c r="C30" s="28" t="s">
        <v>115</v>
      </c>
      <c r="D30" s="11" t="s">
        <v>71</v>
      </c>
      <c r="E30" s="5">
        <v>34203</v>
      </c>
      <c r="F30" s="5">
        <v>34353</v>
      </c>
      <c r="G30" s="6" t="s">
        <v>81</v>
      </c>
      <c r="H30" s="6" t="s">
        <v>39</v>
      </c>
      <c r="I30" s="7" t="s">
        <v>78</v>
      </c>
      <c r="J30" s="7" t="s">
        <v>83</v>
      </c>
      <c r="K30" s="7" t="s">
        <v>84</v>
      </c>
      <c r="L30" s="8">
        <v>3</v>
      </c>
      <c r="M30" s="8" t="s">
        <v>87</v>
      </c>
      <c r="N30" s="8">
        <f t="shared" si="0"/>
        <v>150</v>
      </c>
      <c r="O30" s="8">
        <f t="shared" si="1"/>
        <v>450</v>
      </c>
      <c r="P30" s="9">
        <f ca="1">IF(ISNA(VLOOKUP($H30,ClientAll,COLUMN(Clients!$C$8),0))=TRUE,0,VLOOKUP($H30,ClientAll,COLUMN(Clients!$C$8),0))</f>
        <v>150</v>
      </c>
      <c r="Q30" s="8">
        <f t="shared" ca="1" si="2"/>
        <v>0</v>
      </c>
      <c r="R30" s="10" t="str">
        <f ca="1">IF(ISNA(VLOOKUP($D30,VehicleID,COLUMN(Vehicles!$A$8),0))=TRUE,"E1",IF(ISNA(VLOOKUP($H30,ClientID,COLUMN(Vehicles!$A$8),0))=TRUE,"E2",IF(AND($G30&lt;&gt;"Business",$H30&lt;&gt;"XXX01"),"E3",IF(AND($G30="Business",$H30="XXX01"),"E4","-"))))</f>
        <v>-</v>
      </c>
    </row>
    <row r="31" spans="1:18" ht="16" customHeight="1" x14ac:dyDescent="0.25">
      <c r="A31" s="27">
        <v>43845</v>
      </c>
      <c r="C31" s="28" t="s">
        <v>111</v>
      </c>
      <c r="D31" s="11" t="s">
        <v>70</v>
      </c>
      <c r="E31" s="5">
        <v>51454</v>
      </c>
      <c r="F31" s="5">
        <v>51500</v>
      </c>
      <c r="G31" s="6" t="s">
        <v>80</v>
      </c>
      <c r="H31" s="6" t="s">
        <v>55</v>
      </c>
      <c r="I31" s="7" t="s">
        <v>86</v>
      </c>
      <c r="J31" s="7" t="s">
        <v>86</v>
      </c>
      <c r="K31" s="7" t="s">
        <v>85</v>
      </c>
      <c r="L31" s="8">
        <v>0</v>
      </c>
      <c r="M31" s="8" t="s">
        <v>82</v>
      </c>
      <c r="N31" s="8">
        <f t="shared" si="0"/>
        <v>46</v>
      </c>
      <c r="O31" s="8">
        <f t="shared" si="1"/>
        <v>0</v>
      </c>
      <c r="P31" s="9">
        <f ca="1">IF(ISNA(VLOOKUP($H31,ClientAll,COLUMN(Clients!$C$8),0))=TRUE,0,VLOOKUP($H31,ClientAll,COLUMN(Clients!$C$8),0))</f>
        <v>0</v>
      </c>
      <c r="Q31" s="8">
        <f t="shared" si="2"/>
        <v>0</v>
      </c>
      <c r="R31" s="10" t="str">
        <f ca="1">IF(ISNA(VLOOKUP($D31,VehicleID,COLUMN(Vehicles!$A$8),0))=TRUE,"E1",IF(ISNA(VLOOKUP($H31,ClientID,COLUMN(Vehicles!$A$8),0))=TRUE,"E2",IF(AND($G31&lt;&gt;"Business",$H31&lt;&gt;"XXX01"),"E3",IF(AND($G31="Business",$H31="XXX01"),"E4","-"))))</f>
        <v>-</v>
      </c>
    </row>
    <row r="32" spans="1:18" ht="16" customHeight="1" x14ac:dyDescent="0.25">
      <c r="A32" s="27">
        <v>43845</v>
      </c>
      <c r="C32" s="28" t="s">
        <v>115</v>
      </c>
      <c r="D32" s="11" t="s">
        <v>71</v>
      </c>
      <c r="E32" s="5">
        <v>34353</v>
      </c>
      <c r="F32" s="5">
        <v>34368</v>
      </c>
      <c r="G32" s="6" t="s">
        <v>80</v>
      </c>
      <c r="H32" s="6" t="s">
        <v>55</v>
      </c>
      <c r="I32" s="7" t="s">
        <v>86</v>
      </c>
      <c r="J32" s="7" t="s">
        <v>86</v>
      </c>
      <c r="K32" s="7" t="s">
        <v>85</v>
      </c>
      <c r="L32" s="8">
        <v>0</v>
      </c>
      <c r="M32" s="8" t="s">
        <v>87</v>
      </c>
      <c r="N32" s="8">
        <f t="shared" si="0"/>
        <v>15</v>
      </c>
      <c r="O32" s="8">
        <f t="shared" si="1"/>
        <v>0</v>
      </c>
      <c r="P32" s="9">
        <f ca="1">IF(ISNA(VLOOKUP($H32,ClientAll,COLUMN(Clients!$C$8),0))=TRUE,0,VLOOKUP($H32,ClientAll,COLUMN(Clients!$C$8),0))</f>
        <v>0</v>
      </c>
      <c r="Q32" s="8">
        <f t="shared" si="2"/>
        <v>0</v>
      </c>
      <c r="R32" s="10" t="str">
        <f ca="1">IF(ISNA(VLOOKUP($D32,VehicleID,COLUMN(Vehicles!$A$8),0))=TRUE,"E1",IF(ISNA(VLOOKUP($H32,ClientID,COLUMN(Vehicles!$A$8),0))=TRUE,"E2",IF(AND($G32&lt;&gt;"Business",$H32&lt;&gt;"XXX01"),"E3",IF(AND($G32="Business",$H32="XXX01"),"E4","-"))))</f>
        <v>-</v>
      </c>
    </row>
    <row r="33" spans="1:18" ht="16" customHeight="1" x14ac:dyDescent="0.25">
      <c r="A33" s="27">
        <v>43846</v>
      </c>
      <c r="B33" s="28">
        <v>0.33333333333333331</v>
      </c>
      <c r="C33" s="28" t="s">
        <v>111</v>
      </c>
      <c r="D33" s="11" t="s">
        <v>70</v>
      </c>
      <c r="E33" s="5">
        <v>51500</v>
      </c>
      <c r="F33" s="5">
        <v>51588</v>
      </c>
      <c r="G33" s="6" t="s">
        <v>81</v>
      </c>
      <c r="H33" s="6" t="s">
        <v>23</v>
      </c>
      <c r="I33" s="7" t="s">
        <v>78</v>
      </c>
      <c r="J33" s="7" t="s">
        <v>83</v>
      </c>
      <c r="K33" s="7" t="s">
        <v>84</v>
      </c>
      <c r="L33" s="8">
        <v>3</v>
      </c>
      <c r="M33" s="8" t="s">
        <v>82</v>
      </c>
      <c r="N33" s="8">
        <f t="shared" si="0"/>
        <v>88</v>
      </c>
      <c r="O33" s="8">
        <f t="shared" si="1"/>
        <v>264</v>
      </c>
      <c r="P33" s="9">
        <f ca="1">IF(ISNA(VLOOKUP($H33,ClientAll,COLUMN(Clients!$C$8),0))=TRUE,0,VLOOKUP($H33,ClientAll,COLUMN(Clients!$C$8),0))</f>
        <v>88</v>
      </c>
      <c r="Q33" s="8">
        <f t="shared" ca="1" si="2"/>
        <v>0</v>
      </c>
      <c r="R33" s="10" t="str">
        <f ca="1">IF(ISNA(VLOOKUP($D33,VehicleID,COLUMN(Vehicles!$A$8),0))=TRUE,"E1",IF(ISNA(VLOOKUP($H33,ClientID,COLUMN(Vehicles!$A$8),0))=TRUE,"E2",IF(AND($G33&lt;&gt;"Business",$H33&lt;&gt;"XXX01"),"E3",IF(AND($G33="Business",$H33="XXX01"),"E4","-"))))</f>
        <v>-</v>
      </c>
    </row>
    <row r="34" spans="1:18" ht="16" customHeight="1" x14ac:dyDescent="0.25">
      <c r="A34" s="27">
        <v>43846</v>
      </c>
      <c r="B34" s="28">
        <v>0.33333333333333331</v>
      </c>
      <c r="C34" s="28" t="s">
        <v>115</v>
      </c>
      <c r="D34" s="11" t="s">
        <v>71</v>
      </c>
      <c r="E34" s="5">
        <v>34368</v>
      </c>
      <c r="F34" s="5">
        <v>34518</v>
      </c>
      <c r="G34" s="6" t="s">
        <v>81</v>
      </c>
      <c r="H34" s="6" t="s">
        <v>39</v>
      </c>
      <c r="I34" s="7" t="s">
        <v>78</v>
      </c>
      <c r="J34" s="7" t="s">
        <v>83</v>
      </c>
      <c r="K34" s="7" t="s">
        <v>84</v>
      </c>
      <c r="L34" s="8">
        <v>3</v>
      </c>
      <c r="M34" s="8" t="s">
        <v>87</v>
      </c>
      <c r="N34" s="8">
        <f t="shared" si="0"/>
        <v>150</v>
      </c>
      <c r="O34" s="8">
        <f t="shared" si="1"/>
        <v>450</v>
      </c>
      <c r="P34" s="9">
        <f ca="1">IF(ISNA(VLOOKUP($H34,ClientAll,COLUMN(Clients!$C$8),0))=TRUE,0,VLOOKUP($H34,ClientAll,COLUMN(Clients!$C$8),0))</f>
        <v>150</v>
      </c>
      <c r="Q34" s="8">
        <f t="shared" ca="1" si="2"/>
        <v>0</v>
      </c>
      <c r="R34" s="10" t="str">
        <f ca="1">IF(ISNA(VLOOKUP($D34,VehicleID,COLUMN(Vehicles!$A$8),0))=TRUE,"E1",IF(ISNA(VLOOKUP($H34,ClientID,COLUMN(Vehicles!$A$8),0))=TRUE,"E2",IF(AND($G34&lt;&gt;"Business",$H34&lt;&gt;"XXX01"),"E3",IF(AND($G34="Business",$H34="XXX01"),"E4","-"))))</f>
        <v>-</v>
      </c>
    </row>
    <row r="35" spans="1:18" ht="16" customHeight="1" x14ac:dyDescent="0.25">
      <c r="A35" s="27">
        <v>43846</v>
      </c>
      <c r="C35" s="28" t="s">
        <v>111</v>
      </c>
      <c r="D35" s="11" t="s">
        <v>70</v>
      </c>
      <c r="E35" s="5">
        <v>51588</v>
      </c>
      <c r="F35" s="5">
        <v>51652</v>
      </c>
      <c r="G35" s="6" t="s">
        <v>80</v>
      </c>
      <c r="H35" s="6" t="s">
        <v>55</v>
      </c>
      <c r="I35" s="7" t="s">
        <v>86</v>
      </c>
      <c r="J35" s="7" t="s">
        <v>86</v>
      </c>
      <c r="K35" s="7" t="s">
        <v>85</v>
      </c>
      <c r="L35" s="8">
        <v>0</v>
      </c>
      <c r="M35" s="8" t="s">
        <v>82</v>
      </c>
      <c r="N35" s="8">
        <f t="shared" si="0"/>
        <v>64</v>
      </c>
      <c r="O35" s="8">
        <f t="shared" si="1"/>
        <v>0</v>
      </c>
      <c r="P35" s="9">
        <f ca="1">IF(ISNA(VLOOKUP($H35,ClientAll,COLUMN(Clients!$C$8),0))=TRUE,0,VLOOKUP($H35,ClientAll,COLUMN(Clients!$C$8),0))</f>
        <v>0</v>
      </c>
      <c r="Q35" s="8">
        <f t="shared" si="2"/>
        <v>0</v>
      </c>
      <c r="R35" s="10" t="str">
        <f ca="1">IF(ISNA(VLOOKUP($D35,VehicleID,COLUMN(Vehicles!$A$8),0))=TRUE,"E1",IF(ISNA(VLOOKUP($H35,ClientID,COLUMN(Vehicles!$A$8),0))=TRUE,"E2",IF(AND($G35&lt;&gt;"Business",$H35&lt;&gt;"XXX01"),"E3",IF(AND($G35="Business",$H35="XXX01"),"E4","-"))))</f>
        <v>-</v>
      </c>
    </row>
    <row r="36" spans="1:18" ht="16" customHeight="1" x14ac:dyDescent="0.25">
      <c r="A36" s="27">
        <v>43846</v>
      </c>
      <c r="C36" s="28" t="s">
        <v>115</v>
      </c>
      <c r="D36" s="11" t="s">
        <v>71</v>
      </c>
      <c r="E36" s="5">
        <v>34518</v>
      </c>
      <c r="F36" s="5">
        <v>34539</v>
      </c>
      <c r="G36" s="6" t="s">
        <v>80</v>
      </c>
      <c r="H36" s="6" t="s">
        <v>55</v>
      </c>
      <c r="I36" s="7" t="s">
        <v>86</v>
      </c>
      <c r="J36" s="7" t="s">
        <v>86</v>
      </c>
      <c r="K36" s="7" t="s">
        <v>85</v>
      </c>
      <c r="L36" s="8">
        <v>0</v>
      </c>
      <c r="M36" s="8" t="s">
        <v>87</v>
      </c>
      <c r="N36" s="8">
        <f t="shared" si="0"/>
        <v>21</v>
      </c>
      <c r="O36" s="8">
        <f t="shared" si="1"/>
        <v>0</v>
      </c>
      <c r="P36" s="9">
        <f ca="1">IF(ISNA(VLOOKUP($H36,ClientAll,COLUMN(Clients!$C$8),0))=TRUE,0,VLOOKUP($H36,ClientAll,COLUMN(Clients!$C$8),0))</f>
        <v>0</v>
      </c>
      <c r="Q36" s="8">
        <f t="shared" si="2"/>
        <v>0</v>
      </c>
      <c r="R36" s="10" t="str">
        <f ca="1">IF(ISNA(VLOOKUP($D36,VehicleID,COLUMN(Vehicles!$A$8),0))=TRUE,"E1",IF(ISNA(VLOOKUP($H36,ClientID,COLUMN(Vehicles!$A$8),0))=TRUE,"E2",IF(AND($G36&lt;&gt;"Business",$H36&lt;&gt;"XXX01"),"E3",IF(AND($G36="Business",$H36="XXX01"),"E4","-"))))</f>
        <v>-</v>
      </c>
    </row>
    <row r="37" spans="1:18" ht="16" customHeight="1" x14ac:dyDescent="0.25">
      <c r="A37" s="27">
        <v>43847</v>
      </c>
      <c r="B37" s="28">
        <v>0.33333333333333331</v>
      </c>
      <c r="C37" s="28" t="s">
        <v>111</v>
      </c>
      <c r="D37" s="11" t="s">
        <v>70</v>
      </c>
      <c r="E37" s="5">
        <v>51652</v>
      </c>
      <c r="F37" s="5">
        <v>51740</v>
      </c>
      <c r="G37" s="6" t="s">
        <v>81</v>
      </c>
      <c r="H37" s="6" t="s">
        <v>23</v>
      </c>
      <c r="I37" s="7" t="s">
        <v>78</v>
      </c>
      <c r="J37" s="7" t="s">
        <v>83</v>
      </c>
      <c r="K37" s="7" t="s">
        <v>84</v>
      </c>
      <c r="L37" s="8">
        <v>3</v>
      </c>
      <c r="M37" s="8" t="s">
        <v>82</v>
      </c>
      <c r="N37" s="8">
        <f t="shared" si="0"/>
        <v>88</v>
      </c>
      <c r="O37" s="8">
        <f t="shared" si="1"/>
        <v>264</v>
      </c>
      <c r="P37" s="9">
        <f ca="1">IF(ISNA(VLOOKUP($H37,ClientAll,COLUMN(Clients!$C$8),0))=TRUE,0,VLOOKUP($H37,ClientAll,COLUMN(Clients!$C$8),0))</f>
        <v>88</v>
      </c>
      <c r="Q37" s="8">
        <f t="shared" ca="1" si="2"/>
        <v>0</v>
      </c>
      <c r="R37" s="10" t="str">
        <f ca="1">IF(ISNA(VLOOKUP($D37,VehicleID,COLUMN(Vehicles!$A$8),0))=TRUE,"E1",IF(ISNA(VLOOKUP($H37,ClientID,COLUMN(Vehicles!$A$8),0))=TRUE,"E2",IF(AND($G37&lt;&gt;"Business",$H37&lt;&gt;"XXX01"),"E3",IF(AND($G37="Business",$H37="XXX01"),"E4","-"))))</f>
        <v>-</v>
      </c>
    </row>
    <row r="38" spans="1:18" ht="16" customHeight="1" x14ac:dyDescent="0.25">
      <c r="A38" s="27">
        <v>43847</v>
      </c>
      <c r="B38" s="28">
        <v>0.33333333333333331</v>
      </c>
      <c r="C38" s="28" t="s">
        <v>115</v>
      </c>
      <c r="D38" s="11" t="s">
        <v>71</v>
      </c>
      <c r="E38" s="5">
        <v>34539</v>
      </c>
      <c r="F38" s="5">
        <v>34689</v>
      </c>
      <c r="G38" s="6" t="s">
        <v>81</v>
      </c>
      <c r="H38" s="6" t="s">
        <v>39</v>
      </c>
      <c r="I38" s="7" t="s">
        <v>78</v>
      </c>
      <c r="J38" s="7" t="s">
        <v>83</v>
      </c>
      <c r="K38" s="7" t="s">
        <v>84</v>
      </c>
      <c r="L38" s="8">
        <v>3</v>
      </c>
      <c r="M38" s="8" t="s">
        <v>87</v>
      </c>
      <c r="N38" s="8">
        <f t="shared" si="0"/>
        <v>150</v>
      </c>
      <c r="O38" s="8">
        <f t="shared" si="1"/>
        <v>450</v>
      </c>
      <c r="P38" s="9">
        <f ca="1">IF(ISNA(VLOOKUP($H38,ClientAll,COLUMN(Clients!$C$8),0))=TRUE,0,VLOOKUP($H38,ClientAll,COLUMN(Clients!$C$8),0))</f>
        <v>150</v>
      </c>
      <c r="Q38" s="8">
        <f t="shared" ca="1" si="2"/>
        <v>0</v>
      </c>
      <c r="R38" s="10" t="str">
        <f ca="1">IF(ISNA(VLOOKUP($D38,VehicleID,COLUMN(Vehicles!$A$8),0))=TRUE,"E1",IF(ISNA(VLOOKUP($H38,ClientID,COLUMN(Vehicles!$A$8),0))=TRUE,"E2",IF(AND($G38&lt;&gt;"Business",$H38&lt;&gt;"XXX01"),"E3",IF(AND($G38="Business",$H38="XXX01"),"E4","-"))))</f>
        <v>-</v>
      </c>
    </row>
    <row r="39" spans="1:18" ht="16" customHeight="1" x14ac:dyDescent="0.25">
      <c r="A39" s="27">
        <v>43847</v>
      </c>
      <c r="B39" s="28">
        <v>0.70833333333333337</v>
      </c>
      <c r="C39" s="28" t="s">
        <v>121</v>
      </c>
      <c r="D39" s="11" t="s">
        <v>72</v>
      </c>
      <c r="E39" s="5">
        <v>110628</v>
      </c>
      <c r="F39" s="5">
        <v>111043</v>
      </c>
      <c r="G39" s="6" t="s">
        <v>81</v>
      </c>
      <c r="H39" s="6" t="s">
        <v>35</v>
      </c>
      <c r="I39" s="7" t="s">
        <v>83</v>
      </c>
      <c r="J39" s="7" t="s">
        <v>78</v>
      </c>
      <c r="K39" s="7" t="s">
        <v>84</v>
      </c>
      <c r="L39" s="8">
        <v>2.5</v>
      </c>
      <c r="M39" s="8" t="s">
        <v>88</v>
      </c>
      <c r="N39" s="8">
        <f t="shared" si="0"/>
        <v>415</v>
      </c>
      <c r="O39" s="8">
        <f t="shared" si="1"/>
        <v>1037.5</v>
      </c>
      <c r="P39" s="9">
        <f ca="1">IF(ISNA(VLOOKUP($H39,ClientAll,COLUMN(Clients!$C$8),0))=TRUE,0,VLOOKUP($H39,ClientAll,COLUMN(Clients!$C$8),0))</f>
        <v>415</v>
      </c>
      <c r="Q39" s="8">
        <f t="shared" ca="1" si="2"/>
        <v>0</v>
      </c>
      <c r="R39" s="10" t="str">
        <f ca="1">IF(ISNA(VLOOKUP($D39,VehicleID,COLUMN(Vehicles!$A$8),0))=TRUE,"E1",IF(ISNA(VLOOKUP($H39,ClientID,COLUMN(Vehicles!$A$8),0))=TRUE,"E2",IF(AND($G39&lt;&gt;"Business",$H39&lt;&gt;"XXX01"),"E3",IF(AND($G39="Business",$H39="XXX01"),"E4","-"))))</f>
        <v>-</v>
      </c>
    </row>
    <row r="40" spans="1:18" ht="16" customHeight="1" x14ac:dyDescent="0.25">
      <c r="A40" s="27">
        <v>43850</v>
      </c>
      <c r="B40" s="28">
        <v>0.33333333333333331</v>
      </c>
      <c r="C40" s="28" t="s">
        <v>121</v>
      </c>
      <c r="D40" s="11" t="s">
        <v>72</v>
      </c>
      <c r="E40" s="5">
        <v>111043</v>
      </c>
      <c r="F40" s="5">
        <v>111458</v>
      </c>
      <c r="G40" s="6" t="s">
        <v>81</v>
      </c>
      <c r="H40" s="6" t="s">
        <v>35</v>
      </c>
      <c r="I40" s="7" t="s">
        <v>78</v>
      </c>
      <c r="J40" s="7" t="s">
        <v>83</v>
      </c>
      <c r="K40" s="7" t="s">
        <v>84</v>
      </c>
      <c r="L40" s="8">
        <v>2.5</v>
      </c>
      <c r="M40" s="8" t="s">
        <v>88</v>
      </c>
      <c r="N40" s="8">
        <f t="shared" si="0"/>
        <v>415</v>
      </c>
      <c r="O40" s="8">
        <f t="shared" si="1"/>
        <v>1037.5</v>
      </c>
      <c r="P40" s="9">
        <f ca="1">IF(ISNA(VLOOKUP($H40,ClientAll,COLUMN(Clients!$C$8),0))=TRUE,0,VLOOKUP($H40,ClientAll,COLUMN(Clients!$C$8),0))</f>
        <v>415</v>
      </c>
      <c r="Q40" s="8">
        <f t="shared" ca="1" si="2"/>
        <v>0</v>
      </c>
      <c r="R40" s="10" t="str">
        <f ca="1">IF(ISNA(VLOOKUP($D40,VehicleID,COLUMN(Vehicles!$A$8),0))=TRUE,"E1",IF(ISNA(VLOOKUP($H40,ClientID,COLUMN(Vehicles!$A$8),0))=TRUE,"E2",IF(AND($G40&lt;&gt;"Business",$H40&lt;&gt;"XXX01"),"E3",IF(AND($G40="Business",$H40="XXX01"),"E4","-"))))</f>
        <v>-</v>
      </c>
    </row>
    <row r="41" spans="1:18" ht="16" customHeight="1" x14ac:dyDescent="0.25">
      <c r="A41" s="27">
        <v>43850</v>
      </c>
      <c r="C41" s="28" t="s">
        <v>111</v>
      </c>
      <c r="D41" s="11" t="s">
        <v>70</v>
      </c>
      <c r="E41" s="5">
        <v>51740</v>
      </c>
      <c r="F41" s="5">
        <v>52042</v>
      </c>
      <c r="G41" s="6" t="s">
        <v>80</v>
      </c>
      <c r="H41" s="6" t="s">
        <v>55</v>
      </c>
      <c r="I41" s="7" t="s">
        <v>86</v>
      </c>
      <c r="J41" s="7" t="s">
        <v>86</v>
      </c>
      <c r="K41" s="7" t="s">
        <v>85</v>
      </c>
      <c r="L41" s="8">
        <v>0</v>
      </c>
      <c r="M41" s="8" t="s">
        <v>82</v>
      </c>
      <c r="N41" s="8">
        <f t="shared" si="0"/>
        <v>302</v>
      </c>
      <c r="O41" s="8">
        <f t="shared" si="1"/>
        <v>0</v>
      </c>
      <c r="P41" s="9">
        <f ca="1">IF(ISNA(VLOOKUP($H41,ClientAll,COLUMN(Clients!$C$8),0))=TRUE,0,VLOOKUP($H41,ClientAll,COLUMN(Clients!$C$8),0))</f>
        <v>0</v>
      </c>
      <c r="Q41" s="8">
        <f t="shared" si="2"/>
        <v>0</v>
      </c>
      <c r="R41" s="10" t="str">
        <f ca="1">IF(ISNA(VLOOKUP($D41,VehicleID,COLUMN(Vehicles!$A$8),0))=TRUE,"E1",IF(ISNA(VLOOKUP($H41,ClientID,COLUMN(Vehicles!$A$8),0))=TRUE,"E2",IF(AND($G41&lt;&gt;"Business",$H41&lt;&gt;"XXX01"),"E3",IF(AND($G41="Business",$H41="XXX01"),"E4","-"))))</f>
        <v>-</v>
      </c>
    </row>
    <row r="42" spans="1:18" ht="16" customHeight="1" x14ac:dyDescent="0.25">
      <c r="A42" s="27">
        <v>43850</v>
      </c>
      <c r="C42" s="28" t="s">
        <v>115</v>
      </c>
      <c r="D42" s="11" t="s">
        <v>71</v>
      </c>
      <c r="E42" s="5">
        <v>34689</v>
      </c>
      <c r="F42" s="5">
        <v>34712</v>
      </c>
      <c r="G42" s="6" t="s">
        <v>80</v>
      </c>
      <c r="H42" s="6" t="s">
        <v>55</v>
      </c>
      <c r="I42" s="7" t="s">
        <v>86</v>
      </c>
      <c r="J42" s="7" t="s">
        <v>86</v>
      </c>
      <c r="K42" s="7" t="s">
        <v>85</v>
      </c>
      <c r="L42" s="8">
        <v>0</v>
      </c>
      <c r="M42" s="8" t="s">
        <v>87</v>
      </c>
      <c r="N42" s="8">
        <f t="shared" si="0"/>
        <v>23</v>
      </c>
      <c r="O42" s="8">
        <f t="shared" si="1"/>
        <v>0</v>
      </c>
      <c r="P42" s="9">
        <f ca="1">IF(ISNA(VLOOKUP($H42,ClientAll,COLUMN(Clients!$C$8),0))=TRUE,0,VLOOKUP($H42,ClientAll,COLUMN(Clients!$C$8),0))</f>
        <v>0</v>
      </c>
      <c r="Q42" s="8">
        <f t="shared" si="2"/>
        <v>0</v>
      </c>
      <c r="R42" s="10" t="str">
        <f ca="1">IF(ISNA(VLOOKUP($D42,VehicleID,COLUMN(Vehicles!$A$8),0))=TRUE,"E1",IF(ISNA(VLOOKUP($H42,ClientID,COLUMN(Vehicles!$A$8),0))=TRUE,"E2",IF(AND($G42&lt;&gt;"Business",$H42&lt;&gt;"XXX01"),"E3",IF(AND($G42="Business",$H42="XXX01"),"E4","-"))))</f>
        <v>-</v>
      </c>
    </row>
    <row r="43" spans="1:18" ht="16" customHeight="1" x14ac:dyDescent="0.25">
      <c r="A43" s="27">
        <v>43851</v>
      </c>
      <c r="B43" s="28">
        <v>0.33333333333333331</v>
      </c>
      <c r="C43" s="28" t="s">
        <v>111</v>
      </c>
      <c r="D43" s="11" t="s">
        <v>70</v>
      </c>
      <c r="E43" s="5">
        <v>52042</v>
      </c>
      <c r="F43" s="5">
        <v>52142</v>
      </c>
      <c r="G43" s="6" t="s">
        <v>81</v>
      </c>
      <c r="H43" s="6" t="s">
        <v>27</v>
      </c>
      <c r="I43" s="7" t="s">
        <v>78</v>
      </c>
      <c r="J43" s="7" t="s">
        <v>83</v>
      </c>
      <c r="K43" s="7" t="s">
        <v>84</v>
      </c>
      <c r="L43" s="8">
        <v>3</v>
      </c>
      <c r="M43" s="8" t="s">
        <v>82</v>
      </c>
      <c r="N43" s="8">
        <f t="shared" si="0"/>
        <v>100</v>
      </c>
      <c r="O43" s="8">
        <f t="shared" si="1"/>
        <v>300</v>
      </c>
      <c r="P43" s="9">
        <f ca="1">IF(ISNA(VLOOKUP($H43,ClientAll,COLUMN(Clients!$C$8),0))=TRUE,0,VLOOKUP($H43,ClientAll,COLUMN(Clients!$C$8),0))</f>
        <v>100</v>
      </c>
      <c r="Q43" s="8">
        <f t="shared" ca="1" si="2"/>
        <v>0</v>
      </c>
      <c r="R43" s="10" t="str">
        <f ca="1">IF(ISNA(VLOOKUP($D43,VehicleID,COLUMN(Vehicles!$A$8),0))=TRUE,"E1",IF(ISNA(VLOOKUP($H43,ClientID,COLUMN(Vehicles!$A$8),0))=TRUE,"E2",IF(AND($G43&lt;&gt;"Business",$H43&lt;&gt;"XXX01"),"E3",IF(AND($G43="Business",$H43="XXX01"),"E4","-"))))</f>
        <v>-</v>
      </c>
    </row>
    <row r="44" spans="1:18" ht="16" customHeight="1" x14ac:dyDescent="0.25">
      <c r="A44" s="27">
        <v>43851</v>
      </c>
      <c r="B44" s="28">
        <v>0.33333333333333331</v>
      </c>
      <c r="C44" s="28" t="s">
        <v>115</v>
      </c>
      <c r="D44" s="11" t="s">
        <v>71</v>
      </c>
      <c r="E44" s="5">
        <v>34712</v>
      </c>
      <c r="F44" s="5">
        <v>34862</v>
      </c>
      <c r="G44" s="6" t="s">
        <v>81</v>
      </c>
      <c r="H44" s="6" t="s">
        <v>39</v>
      </c>
      <c r="I44" s="7" t="s">
        <v>78</v>
      </c>
      <c r="J44" s="7" t="s">
        <v>83</v>
      </c>
      <c r="K44" s="7" t="s">
        <v>84</v>
      </c>
      <c r="L44" s="8">
        <v>3</v>
      </c>
      <c r="M44" s="8" t="s">
        <v>87</v>
      </c>
      <c r="N44" s="8">
        <f t="shared" si="0"/>
        <v>150</v>
      </c>
      <c r="O44" s="8">
        <f t="shared" si="1"/>
        <v>450</v>
      </c>
      <c r="P44" s="9">
        <f ca="1">IF(ISNA(VLOOKUP($H44,ClientAll,COLUMN(Clients!$C$8),0))=TRUE,0,VLOOKUP($H44,ClientAll,COLUMN(Clients!$C$8),0))</f>
        <v>150</v>
      </c>
      <c r="Q44" s="8">
        <f t="shared" ca="1" si="2"/>
        <v>0</v>
      </c>
      <c r="R44" s="10" t="str">
        <f ca="1">IF(ISNA(VLOOKUP($D44,VehicleID,COLUMN(Vehicles!$A$8),0))=TRUE,"E1",IF(ISNA(VLOOKUP($H44,ClientID,COLUMN(Vehicles!$A$8),0))=TRUE,"E2",IF(AND($G44&lt;&gt;"Business",$H44&lt;&gt;"XXX01"),"E3",IF(AND($G44="Business",$H44="XXX01"),"E4","-"))))</f>
        <v>-</v>
      </c>
    </row>
    <row r="45" spans="1:18" ht="16" customHeight="1" x14ac:dyDescent="0.25">
      <c r="A45" s="27">
        <v>43851</v>
      </c>
      <c r="C45" s="28" t="s">
        <v>111</v>
      </c>
      <c r="D45" s="11" t="s">
        <v>70</v>
      </c>
      <c r="E45" s="5">
        <v>52142</v>
      </c>
      <c r="F45" s="5">
        <v>52172</v>
      </c>
      <c r="G45" s="6" t="s">
        <v>80</v>
      </c>
      <c r="H45" s="6" t="s">
        <v>55</v>
      </c>
      <c r="I45" s="7" t="s">
        <v>86</v>
      </c>
      <c r="J45" s="7" t="s">
        <v>86</v>
      </c>
      <c r="K45" s="7" t="s">
        <v>85</v>
      </c>
      <c r="L45" s="8">
        <v>0</v>
      </c>
      <c r="M45" s="8" t="s">
        <v>82</v>
      </c>
      <c r="N45" s="8">
        <f t="shared" si="0"/>
        <v>30</v>
      </c>
      <c r="O45" s="8">
        <f t="shared" si="1"/>
        <v>0</v>
      </c>
      <c r="P45" s="9">
        <f ca="1">IF(ISNA(VLOOKUP($H45,ClientAll,COLUMN(Clients!$C$8),0))=TRUE,0,VLOOKUP($H45,ClientAll,COLUMN(Clients!$C$8),0))</f>
        <v>0</v>
      </c>
      <c r="Q45" s="8">
        <f t="shared" si="2"/>
        <v>0</v>
      </c>
      <c r="R45" s="10" t="str">
        <f ca="1">IF(ISNA(VLOOKUP($D45,VehicleID,COLUMN(Vehicles!$A$8),0))=TRUE,"E1",IF(ISNA(VLOOKUP($H45,ClientID,COLUMN(Vehicles!$A$8),0))=TRUE,"E2",IF(AND($G45&lt;&gt;"Business",$H45&lt;&gt;"XXX01"),"E3",IF(AND($G45="Business",$H45="XXX01"),"E4","-"))))</f>
        <v>-</v>
      </c>
    </row>
    <row r="46" spans="1:18" ht="16" customHeight="1" x14ac:dyDescent="0.25">
      <c r="A46" s="27">
        <v>43851</v>
      </c>
      <c r="C46" s="28" t="s">
        <v>115</v>
      </c>
      <c r="D46" s="11" t="s">
        <v>71</v>
      </c>
      <c r="E46" s="5">
        <v>34862</v>
      </c>
      <c r="F46" s="5">
        <v>34887</v>
      </c>
      <c r="G46" s="6" t="s">
        <v>80</v>
      </c>
      <c r="H46" s="6" t="s">
        <v>55</v>
      </c>
      <c r="I46" s="7" t="s">
        <v>86</v>
      </c>
      <c r="J46" s="7" t="s">
        <v>86</v>
      </c>
      <c r="K46" s="7" t="s">
        <v>85</v>
      </c>
      <c r="L46" s="8">
        <v>0</v>
      </c>
      <c r="M46" s="8" t="s">
        <v>87</v>
      </c>
      <c r="N46" s="8">
        <f t="shared" si="0"/>
        <v>25</v>
      </c>
      <c r="O46" s="8">
        <f t="shared" si="1"/>
        <v>0</v>
      </c>
      <c r="P46" s="9">
        <f ca="1">IF(ISNA(VLOOKUP($H46,ClientAll,COLUMN(Clients!$C$8),0))=TRUE,0,VLOOKUP($H46,ClientAll,COLUMN(Clients!$C$8),0))</f>
        <v>0</v>
      </c>
      <c r="Q46" s="8">
        <f t="shared" si="2"/>
        <v>0</v>
      </c>
      <c r="R46" s="10" t="str">
        <f ca="1">IF(ISNA(VLOOKUP($D46,VehicleID,COLUMN(Vehicles!$A$8),0))=TRUE,"E1",IF(ISNA(VLOOKUP($H46,ClientID,COLUMN(Vehicles!$A$8),0))=TRUE,"E2",IF(AND($G46&lt;&gt;"Business",$H46&lt;&gt;"XXX01"),"E3",IF(AND($G46="Business",$H46="XXX01"),"E4","-"))))</f>
        <v>-</v>
      </c>
    </row>
    <row r="47" spans="1:18" ht="16" customHeight="1" x14ac:dyDescent="0.25">
      <c r="A47" s="27">
        <v>43852</v>
      </c>
      <c r="B47" s="28">
        <v>0.33333333333333331</v>
      </c>
      <c r="C47" s="28" t="s">
        <v>112</v>
      </c>
      <c r="D47" s="11" t="s">
        <v>70</v>
      </c>
      <c r="E47" s="5">
        <v>52172</v>
      </c>
      <c r="F47" s="5">
        <v>52272</v>
      </c>
      <c r="G47" s="6" t="s">
        <v>81</v>
      </c>
      <c r="H47" s="6" t="s">
        <v>27</v>
      </c>
      <c r="I47" s="7" t="s">
        <v>78</v>
      </c>
      <c r="J47" s="7" t="s">
        <v>83</v>
      </c>
      <c r="K47" s="7" t="s">
        <v>84</v>
      </c>
      <c r="L47" s="8">
        <v>3</v>
      </c>
      <c r="M47" s="8" t="s">
        <v>82</v>
      </c>
      <c r="N47" s="8">
        <f t="shared" si="0"/>
        <v>100</v>
      </c>
      <c r="O47" s="8">
        <f t="shared" si="1"/>
        <v>300</v>
      </c>
      <c r="P47" s="9">
        <f ca="1">IF(ISNA(VLOOKUP($H47,ClientAll,COLUMN(Clients!$C$8),0))=TRUE,0,VLOOKUP($H47,ClientAll,COLUMN(Clients!$C$8),0))</f>
        <v>100</v>
      </c>
      <c r="Q47" s="8">
        <f t="shared" ca="1" si="2"/>
        <v>0</v>
      </c>
      <c r="R47" s="10" t="str">
        <f ca="1">IF(ISNA(VLOOKUP($D47,VehicleID,COLUMN(Vehicles!$A$8),0))=TRUE,"E1",IF(ISNA(VLOOKUP($H47,ClientID,COLUMN(Vehicles!$A$8),0))=TRUE,"E2",IF(AND($G47&lt;&gt;"Business",$H47&lt;&gt;"XXX01"),"E3",IF(AND($G47="Business",$H47="XXX01"),"E4","-"))))</f>
        <v>-</v>
      </c>
    </row>
    <row r="48" spans="1:18" ht="16" customHeight="1" x14ac:dyDescent="0.25">
      <c r="A48" s="27">
        <v>43852</v>
      </c>
      <c r="B48" s="28">
        <v>0.33333333333333331</v>
      </c>
      <c r="C48" s="28" t="s">
        <v>118</v>
      </c>
      <c r="D48" s="11" t="s">
        <v>71</v>
      </c>
      <c r="E48" s="5">
        <v>34887</v>
      </c>
      <c r="F48" s="5">
        <v>34927</v>
      </c>
      <c r="G48" s="6" t="s">
        <v>81</v>
      </c>
      <c r="H48" s="6" t="s">
        <v>41</v>
      </c>
      <c r="I48" s="7" t="s">
        <v>78</v>
      </c>
      <c r="J48" s="7" t="s">
        <v>83</v>
      </c>
      <c r="K48" s="7" t="s">
        <v>84</v>
      </c>
      <c r="L48" s="8">
        <v>3</v>
      </c>
      <c r="M48" s="8" t="s">
        <v>87</v>
      </c>
      <c r="N48" s="8">
        <f t="shared" si="0"/>
        <v>40</v>
      </c>
      <c r="O48" s="8">
        <f t="shared" si="1"/>
        <v>120</v>
      </c>
      <c r="P48" s="9">
        <f ca="1">IF(ISNA(VLOOKUP($H48,ClientAll,COLUMN(Clients!$C$8),0))=TRUE,0,VLOOKUP($H48,ClientAll,COLUMN(Clients!$C$8),0))</f>
        <v>40</v>
      </c>
      <c r="Q48" s="8">
        <f t="shared" ca="1" si="2"/>
        <v>0</v>
      </c>
      <c r="R48" s="10" t="str">
        <f ca="1">IF(ISNA(VLOOKUP($D48,VehicleID,COLUMN(Vehicles!$A$8),0))=TRUE,"E1",IF(ISNA(VLOOKUP($H48,ClientID,COLUMN(Vehicles!$A$8),0))=TRUE,"E2",IF(AND($G48&lt;&gt;"Business",$H48&lt;&gt;"XXX01"),"E3",IF(AND($G48="Business",$H48="XXX01"),"E4","-"))))</f>
        <v>-</v>
      </c>
    </row>
    <row r="49" spans="1:18" ht="16" customHeight="1" x14ac:dyDescent="0.25">
      <c r="A49" s="27">
        <v>43852</v>
      </c>
      <c r="C49" s="28" t="s">
        <v>112</v>
      </c>
      <c r="D49" s="11" t="s">
        <v>70</v>
      </c>
      <c r="E49" s="5">
        <v>52272</v>
      </c>
      <c r="F49" s="5">
        <v>52297</v>
      </c>
      <c r="G49" s="6" t="s">
        <v>80</v>
      </c>
      <c r="H49" s="6" t="s">
        <v>55</v>
      </c>
      <c r="I49" s="7" t="s">
        <v>86</v>
      </c>
      <c r="J49" s="7" t="s">
        <v>86</v>
      </c>
      <c r="K49" s="7" t="s">
        <v>85</v>
      </c>
      <c r="L49" s="8">
        <v>0</v>
      </c>
      <c r="M49" s="8" t="s">
        <v>82</v>
      </c>
      <c r="N49" s="8">
        <f t="shared" si="0"/>
        <v>25</v>
      </c>
      <c r="O49" s="8">
        <f t="shared" si="1"/>
        <v>0</v>
      </c>
      <c r="P49" s="9">
        <f ca="1">IF(ISNA(VLOOKUP($H49,ClientAll,COLUMN(Clients!$C$8),0))=TRUE,0,VLOOKUP($H49,ClientAll,COLUMN(Clients!$C$8),0))</f>
        <v>0</v>
      </c>
      <c r="Q49" s="8">
        <f t="shared" si="2"/>
        <v>0</v>
      </c>
      <c r="R49" s="10" t="str">
        <f ca="1">IF(ISNA(VLOOKUP($D49,VehicleID,COLUMN(Vehicles!$A$8),0))=TRUE,"E1",IF(ISNA(VLOOKUP($H49,ClientID,COLUMN(Vehicles!$A$8),0))=TRUE,"E2",IF(AND($G49&lt;&gt;"Business",$H49&lt;&gt;"XXX01"),"E3",IF(AND($G49="Business",$H49="XXX01"),"E4","-"))))</f>
        <v>-</v>
      </c>
    </row>
    <row r="50" spans="1:18" ht="16" customHeight="1" x14ac:dyDescent="0.25">
      <c r="A50" s="27">
        <v>43852</v>
      </c>
      <c r="C50" s="28" t="s">
        <v>118</v>
      </c>
      <c r="D50" s="11" t="s">
        <v>71</v>
      </c>
      <c r="E50" s="5">
        <v>34927</v>
      </c>
      <c r="F50" s="5">
        <v>34932</v>
      </c>
      <c r="G50" s="6" t="s">
        <v>80</v>
      </c>
      <c r="H50" s="6" t="s">
        <v>55</v>
      </c>
      <c r="I50" s="7" t="s">
        <v>86</v>
      </c>
      <c r="J50" s="7" t="s">
        <v>86</v>
      </c>
      <c r="K50" s="7" t="s">
        <v>85</v>
      </c>
      <c r="L50" s="8">
        <v>0</v>
      </c>
      <c r="M50" s="8" t="s">
        <v>87</v>
      </c>
      <c r="N50" s="8">
        <f t="shared" si="0"/>
        <v>5</v>
      </c>
      <c r="O50" s="8">
        <f t="shared" si="1"/>
        <v>0</v>
      </c>
      <c r="P50" s="9">
        <f ca="1">IF(ISNA(VLOOKUP($H50,ClientAll,COLUMN(Clients!$C$8),0))=TRUE,0,VLOOKUP($H50,ClientAll,COLUMN(Clients!$C$8),0))</f>
        <v>0</v>
      </c>
      <c r="Q50" s="8">
        <f t="shared" si="2"/>
        <v>0</v>
      </c>
      <c r="R50" s="10" t="str">
        <f ca="1">IF(ISNA(VLOOKUP($D50,VehicleID,COLUMN(Vehicles!$A$8),0))=TRUE,"E1",IF(ISNA(VLOOKUP($H50,ClientID,COLUMN(Vehicles!$A$8),0))=TRUE,"E2",IF(AND($G50&lt;&gt;"Business",$H50&lt;&gt;"XXX01"),"E3",IF(AND($G50="Business",$H50="XXX01"),"E4","-"))))</f>
        <v>-</v>
      </c>
    </row>
    <row r="51" spans="1:18" ht="16" customHeight="1" x14ac:dyDescent="0.25">
      <c r="A51" s="27">
        <v>43853</v>
      </c>
      <c r="B51" s="28">
        <v>0.33333333333333331</v>
      </c>
      <c r="C51" s="28" t="s">
        <v>112</v>
      </c>
      <c r="D51" s="11" t="s">
        <v>70</v>
      </c>
      <c r="E51" s="5">
        <v>52297</v>
      </c>
      <c r="F51" s="5">
        <v>52397</v>
      </c>
      <c r="G51" s="6" t="s">
        <v>81</v>
      </c>
      <c r="H51" s="6" t="s">
        <v>27</v>
      </c>
      <c r="I51" s="7" t="s">
        <v>78</v>
      </c>
      <c r="J51" s="7" t="s">
        <v>83</v>
      </c>
      <c r="K51" s="7" t="s">
        <v>84</v>
      </c>
      <c r="L51" s="8">
        <v>3</v>
      </c>
      <c r="M51" s="8" t="s">
        <v>82</v>
      </c>
      <c r="N51" s="8">
        <f t="shared" si="0"/>
        <v>100</v>
      </c>
      <c r="O51" s="8">
        <f t="shared" si="1"/>
        <v>300</v>
      </c>
      <c r="P51" s="9">
        <f ca="1">IF(ISNA(VLOOKUP($H51,ClientAll,COLUMN(Clients!$C$8),0))=TRUE,0,VLOOKUP($H51,ClientAll,COLUMN(Clients!$C$8),0))</f>
        <v>100</v>
      </c>
      <c r="Q51" s="8">
        <f t="shared" ca="1" si="2"/>
        <v>0</v>
      </c>
      <c r="R51" s="10" t="str">
        <f ca="1">IF(ISNA(VLOOKUP($D51,VehicleID,COLUMN(Vehicles!$A$8),0))=TRUE,"E1",IF(ISNA(VLOOKUP($H51,ClientID,COLUMN(Vehicles!$A$8),0))=TRUE,"E2",IF(AND($G51&lt;&gt;"Business",$H51&lt;&gt;"XXX01"),"E3",IF(AND($G51="Business",$H51="XXX01"),"E4","-"))))</f>
        <v>-</v>
      </c>
    </row>
    <row r="52" spans="1:18" ht="16" customHeight="1" x14ac:dyDescent="0.25">
      <c r="A52" s="27">
        <v>43853</v>
      </c>
      <c r="B52" s="28">
        <v>0.33333333333333331</v>
      </c>
      <c r="C52" s="28" t="s">
        <v>118</v>
      </c>
      <c r="D52" s="11" t="s">
        <v>71</v>
      </c>
      <c r="E52" s="5">
        <v>34932</v>
      </c>
      <c r="F52" s="5">
        <v>34972</v>
      </c>
      <c r="G52" s="6" t="s">
        <v>81</v>
      </c>
      <c r="H52" s="6" t="s">
        <v>41</v>
      </c>
      <c r="I52" s="7" t="s">
        <v>78</v>
      </c>
      <c r="J52" s="7" t="s">
        <v>83</v>
      </c>
      <c r="K52" s="7" t="s">
        <v>84</v>
      </c>
      <c r="L52" s="8">
        <v>3</v>
      </c>
      <c r="M52" s="8" t="s">
        <v>87</v>
      </c>
      <c r="N52" s="8">
        <f t="shared" si="0"/>
        <v>40</v>
      </c>
      <c r="O52" s="8">
        <f t="shared" si="1"/>
        <v>120</v>
      </c>
      <c r="P52" s="9">
        <f ca="1">IF(ISNA(VLOOKUP($H52,ClientAll,COLUMN(Clients!$C$8),0))=TRUE,0,VLOOKUP($H52,ClientAll,COLUMN(Clients!$C$8),0))</f>
        <v>40</v>
      </c>
      <c r="Q52" s="8">
        <f t="shared" ca="1" si="2"/>
        <v>0</v>
      </c>
      <c r="R52" s="10" t="str">
        <f ca="1">IF(ISNA(VLOOKUP($D52,VehicleID,COLUMN(Vehicles!$A$8),0))=TRUE,"E1",IF(ISNA(VLOOKUP($H52,ClientID,COLUMN(Vehicles!$A$8),0))=TRUE,"E2",IF(AND($G52&lt;&gt;"Business",$H52&lt;&gt;"XXX01"),"E3",IF(AND($G52="Business",$H52="XXX01"),"E4","-"))))</f>
        <v>-</v>
      </c>
    </row>
    <row r="53" spans="1:18" ht="16" customHeight="1" x14ac:dyDescent="0.25">
      <c r="A53" s="27">
        <v>43853</v>
      </c>
      <c r="C53" s="28" t="s">
        <v>112</v>
      </c>
      <c r="D53" s="11" t="s">
        <v>70</v>
      </c>
      <c r="E53" s="5">
        <v>52397</v>
      </c>
      <c r="F53" s="5">
        <v>52453</v>
      </c>
      <c r="G53" s="6" t="s">
        <v>80</v>
      </c>
      <c r="H53" s="6" t="s">
        <v>55</v>
      </c>
      <c r="I53" s="7" t="s">
        <v>86</v>
      </c>
      <c r="J53" s="7" t="s">
        <v>86</v>
      </c>
      <c r="K53" s="7" t="s">
        <v>85</v>
      </c>
      <c r="L53" s="8">
        <v>0</v>
      </c>
      <c r="M53" s="8" t="s">
        <v>82</v>
      </c>
      <c r="N53" s="8">
        <f t="shared" si="0"/>
        <v>56</v>
      </c>
      <c r="O53" s="8">
        <f t="shared" si="1"/>
        <v>0</v>
      </c>
      <c r="P53" s="9">
        <f ca="1">IF(ISNA(VLOOKUP($H53,ClientAll,COLUMN(Clients!$C$8),0))=TRUE,0,VLOOKUP($H53,ClientAll,COLUMN(Clients!$C$8),0))</f>
        <v>0</v>
      </c>
      <c r="Q53" s="8">
        <f t="shared" si="2"/>
        <v>0</v>
      </c>
      <c r="R53" s="10" t="str">
        <f ca="1">IF(ISNA(VLOOKUP($D53,VehicleID,COLUMN(Vehicles!$A$8),0))=TRUE,"E1",IF(ISNA(VLOOKUP($H53,ClientID,COLUMN(Vehicles!$A$8),0))=TRUE,"E2",IF(AND($G53&lt;&gt;"Business",$H53&lt;&gt;"XXX01"),"E3",IF(AND($G53="Business",$H53="XXX01"),"E4","-"))))</f>
        <v>-</v>
      </c>
    </row>
    <row r="54" spans="1:18" ht="16" customHeight="1" x14ac:dyDescent="0.25">
      <c r="A54" s="27">
        <v>43853</v>
      </c>
      <c r="C54" s="28" t="s">
        <v>118</v>
      </c>
      <c r="D54" s="11" t="s">
        <v>71</v>
      </c>
      <c r="E54" s="5">
        <v>34972</v>
      </c>
      <c r="F54" s="5">
        <v>35026</v>
      </c>
      <c r="G54" s="6" t="s">
        <v>80</v>
      </c>
      <c r="H54" s="6" t="s">
        <v>55</v>
      </c>
      <c r="I54" s="7" t="s">
        <v>86</v>
      </c>
      <c r="J54" s="7" t="s">
        <v>86</v>
      </c>
      <c r="K54" s="7" t="s">
        <v>85</v>
      </c>
      <c r="L54" s="8">
        <v>0</v>
      </c>
      <c r="M54" s="8" t="s">
        <v>87</v>
      </c>
      <c r="N54" s="8">
        <f t="shared" si="0"/>
        <v>54</v>
      </c>
      <c r="O54" s="8">
        <f t="shared" si="1"/>
        <v>0</v>
      </c>
      <c r="P54" s="9">
        <f ca="1">IF(ISNA(VLOOKUP($H54,ClientAll,COLUMN(Clients!$C$8),0))=TRUE,0,VLOOKUP($H54,ClientAll,COLUMN(Clients!$C$8),0))</f>
        <v>0</v>
      </c>
      <c r="Q54" s="8">
        <f t="shared" si="2"/>
        <v>0</v>
      </c>
      <c r="R54" s="10" t="str">
        <f ca="1">IF(ISNA(VLOOKUP($D54,VehicleID,COLUMN(Vehicles!$A$8),0))=TRUE,"E1",IF(ISNA(VLOOKUP($H54,ClientID,COLUMN(Vehicles!$A$8),0))=TRUE,"E2",IF(AND($G54&lt;&gt;"Business",$H54&lt;&gt;"XXX01"),"E3",IF(AND($G54="Business",$H54="XXX01"),"E4","-"))))</f>
        <v>-</v>
      </c>
    </row>
    <row r="55" spans="1:18" ht="16" customHeight="1" x14ac:dyDescent="0.25">
      <c r="A55" s="27">
        <v>43854</v>
      </c>
      <c r="B55" s="28">
        <v>0.33333333333333331</v>
      </c>
      <c r="C55" s="28" t="s">
        <v>112</v>
      </c>
      <c r="D55" s="11" t="s">
        <v>70</v>
      </c>
      <c r="E55" s="5">
        <v>52453</v>
      </c>
      <c r="F55" s="5">
        <v>52541</v>
      </c>
      <c r="G55" s="6" t="s">
        <v>81</v>
      </c>
      <c r="H55" s="6" t="s">
        <v>23</v>
      </c>
      <c r="I55" s="7" t="s">
        <v>78</v>
      </c>
      <c r="J55" s="7" t="s">
        <v>83</v>
      </c>
      <c r="K55" s="7" t="s">
        <v>84</v>
      </c>
      <c r="L55" s="8">
        <v>3</v>
      </c>
      <c r="M55" s="8" t="s">
        <v>82</v>
      </c>
      <c r="N55" s="8">
        <f t="shared" si="0"/>
        <v>88</v>
      </c>
      <c r="O55" s="8">
        <f t="shared" si="1"/>
        <v>264</v>
      </c>
      <c r="P55" s="9">
        <f ca="1">IF(ISNA(VLOOKUP($H55,ClientAll,COLUMN(Clients!$C$8),0))=TRUE,0,VLOOKUP($H55,ClientAll,COLUMN(Clients!$C$8),0))</f>
        <v>88</v>
      </c>
      <c r="Q55" s="8">
        <f t="shared" ca="1" si="2"/>
        <v>0</v>
      </c>
      <c r="R55" s="10" t="str">
        <f ca="1">IF(ISNA(VLOOKUP($D55,VehicleID,COLUMN(Vehicles!$A$8),0))=TRUE,"E1",IF(ISNA(VLOOKUP($H55,ClientID,COLUMN(Vehicles!$A$8),0))=TRUE,"E2",IF(AND($G55&lt;&gt;"Business",$H55&lt;&gt;"XXX01"),"E3",IF(AND($G55="Business",$H55="XXX01"),"E4","-"))))</f>
        <v>-</v>
      </c>
    </row>
    <row r="56" spans="1:18" ht="16" customHeight="1" x14ac:dyDescent="0.25">
      <c r="A56" s="27">
        <v>43854</v>
      </c>
      <c r="B56" s="28">
        <v>0.33333333333333331</v>
      </c>
      <c r="C56" s="28" t="s">
        <v>118</v>
      </c>
      <c r="D56" s="11" t="s">
        <v>71</v>
      </c>
      <c r="E56" s="5">
        <v>35026</v>
      </c>
      <c r="F56" s="5">
        <v>35066</v>
      </c>
      <c r="G56" s="6" t="s">
        <v>81</v>
      </c>
      <c r="H56" s="6" t="s">
        <v>41</v>
      </c>
      <c r="I56" s="7" t="s">
        <v>78</v>
      </c>
      <c r="J56" s="7" t="s">
        <v>83</v>
      </c>
      <c r="K56" s="7" t="s">
        <v>84</v>
      </c>
      <c r="L56" s="8">
        <v>3</v>
      </c>
      <c r="M56" s="8" t="s">
        <v>87</v>
      </c>
      <c r="N56" s="8">
        <f t="shared" si="0"/>
        <v>40</v>
      </c>
      <c r="O56" s="8">
        <f t="shared" si="1"/>
        <v>120</v>
      </c>
      <c r="P56" s="9">
        <f ca="1">IF(ISNA(VLOOKUP($H56,ClientAll,COLUMN(Clients!$C$8),0))=TRUE,0,VLOOKUP($H56,ClientAll,COLUMN(Clients!$C$8),0))</f>
        <v>40</v>
      </c>
      <c r="Q56" s="8">
        <f t="shared" ca="1" si="2"/>
        <v>0</v>
      </c>
      <c r="R56" s="10" t="str">
        <f ca="1">IF(ISNA(VLOOKUP($D56,VehicleID,COLUMN(Vehicles!$A$8),0))=TRUE,"E1",IF(ISNA(VLOOKUP($H56,ClientID,COLUMN(Vehicles!$A$8),0))=TRUE,"E2",IF(AND($G56&lt;&gt;"Business",$H56&lt;&gt;"XXX01"),"E3",IF(AND($G56="Business",$H56="XXX01"),"E4","-"))))</f>
        <v>-</v>
      </c>
    </row>
    <row r="57" spans="1:18" ht="16" customHeight="1" x14ac:dyDescent="0.25">
      <c r="A57" s="27">
        <v>43854</v>
      </c>
      <c r="B57" s="28">
        <v>0.70833333333333337</v>
      </c>
      <c r="C57" s="28" t="s">
        <v>121</v>
      </c>
      <c r="D57" s="11" t="s">
        <v>72</v>
      </c>
      <c r="E57" s="5">
        <v>111458</v>
      </c>
      <c r="F57" s="5">
        <v>111873</v>
      </c>
      <c r="G57" s="6" t="s">
        <v>81</v>
      </c>
      <c r="H57" s="6" t="s">
        <v>35</v>
      </c>
      <c r="I57" s="7" t="s">
        <v>83</v>
      </c>
      <c r="J57" s="7" t="s">
        <v>78</v>
      </c>
      <c r="K57" s="7" t="s">
        <v>84</v>
      </c>
      <c r="L57" s="8">
        <v>2.5</v>
      </c>
      <c r="M57" s="8" t="s">
        <v>88</v>
      </c>
      <c r="N57" s="8">
        <f t="shared" si="0"/>
        <v>415</v>
      </c>
      <c r="O57" s="8">
        <f t="shared" si="1"/>
        <v>1037.5</v>
      </c>
      <c r="P57" s="9">
        <f ca="1">IF(ISNA(VLOOKUP($H57,ClientAll,COLUMN(Clients!$C$8),0))=TRUE,0,VLOOKUP($H57,ClientAll,COLUMN(Clients!$C$8),0))</f>
        <v>415</v>
      </c>
      <c r="Q57" s="8">
        <f t="shared" ca="1" si="2"/>
        <v>0</v>
      </c>
      <c r="R57" s="10" t="str">
        <f ca="1">IF(ISNA(VLOOKUP($D57,VehicleID,COLUMN(Vehicles!$A$8),0))=TRUE,"E1",IF(ISNA(VLOOKUP($H57,ClientID,COLUMN(Vehicles!$A$8),0))=TRUE,"E2",IF(AND($G57&lt;&gt;"Business",$H57&lt;&gt;"XXX01"),"E3",IF(AND($G57="Business",$H57="XXX01"),"E4","-"))))</f>
        <v>-</v>
      </c>
    </row>
    <row r="58" spans="1:18" ht="16" customHeight="1" x14ac:dyDescent="0.25">
      <c r="A58" s="27">
        <v>43854</v>
      </c>
      <c r="C58" s="28" t="s">
        <v>112</v>
      </c>
      <c r="D58" s="11" t="s">
        <v>70</v>
      </c>
      <c r="E58" s="5">
        <v>52541</v>
      </c>
      <c r="F58" s="5">
        <v>52582</v>
      </c>
      <c r="G58" s="6" t="s">
        <v>80</v>
      </c>
      <c r="H58" s="6" t="s">
        <v>55</v>
      </c>
      <c r="I58" s="7" t="s">
        <v>86</v>
      </c>
      <c r="J58" s="7" t="s">
        <v>86</v>
      </c>
      <c r="K58" s="7" t="s">
        <v>85</v>
      </c>
      <c r="L58" s="8">
        <v>0</v>
      </c>
      <c r="M58" s="8" t="s">
        <v>82</v>
      </c>
      <c r="N58" s="8">
        <f t="shared" si="0"/>
        <v>41</v>
      </c>
      <c r="O58" s="8">
        <f t="shared" si="1"/>
        <v>0</v>
      </c>
      <c r="P58" s="9">
        <f ca="1">IF(ISNA(VLOOKUP($H58,ClientAll,COLUMN(Clients!$C$8),0))=TRUE,0,VLOOKUP($H58,ClientAll,COLUMN(Clients!$C$8),0))</f>
        <v>0</v>
      </c>
      <c r="Q58" s="8">
        <f t="shared" si="2"/>
        <v>0</v>
      </c>
      <c r="R58" s="10" t="str">
        <f ca="1">IF(ISNA(VLOOKUP($D58,VehicleID,COLUMN(Vehicles!$A$8),0))=TRUE,"E1",IF(ISNA(VLOOKUP($H58,ClientID,COLUMN(Vehicles!$A$8),0))=TRUE,"E2",IF(AND($G58&lt;&gt;"Business",$H58&lt;&gt;"XXX01"),"E3",IF(AND($G58="Business",$H58="XXX01"),"E4","-"))))</f>
        <v>-</v>
      </c>
    </row>
    <row r="59" spans="1:18" ht="16" customHeight="1" x14ac:dyDescent="0.25">
      <c r="A59" s="27">
        <v>43854</v>
      </c>
      <c r="C59" s="28" t="s">
        <v>118</v>
      </c>
      <c r="D59" s="11" t="s">
        <v>71</v>
      </c>
      <c r="E59" s="5">
        <v>35066</v>
      </c>
      <c r="F59" s="5">
        <v>35171</v>
      </c>
      <c r="G59" s="6" t="s">
        <v>80</v>
      </c>
      <c r="H59" s="6" t="s">
        <v>55</v>
      </c>
      <c r="I59" s="7" t="s">
        <v>86</v>
      </c>
      <c r="J59" s="7" t="s">
        <v>86</v>
      </c>
      <c r="K59" s="7" t="s">
        <v>85</v>
      </c>
      <c r="L59" s="8">
        <v>0</v>
      </c>
      <c r="M59" s="8" t="s">
        <v>87</v>
      </c>
      <c r="N59" s="8">
        <f t="shared" si="0"/>
        <v>105</v>
      </c>
      <c r="O59" s="8">
        <f t="shared" si="1"/>
        <v>0</v>
      </c>
      <c r="P59" s="9">
        <f ca="1">IF(ISNA(VLOOKUP($H59,ClientAll,COLUMN(Clients!$C$8),0))=TRUE,0,VLOOKUP($H59,ClientAll,COLUMN(Clients!$C$8),0))</f>
        <v>0</v>
      </c>
      <c r="Q59" s="8">
        <f t="shared" si="2"/>
        <v>0</v>
      </c>
      <c r="R59" s="10" t="str">
        <f ca="1">IF(ISNA(VLOOKUP($D59,VehicleID,COLUMN(Vehicles!$A$8),0))=TRUE,"E1",IF(ISNA(VLOOKUP($H59,ClientID,COLUMN(Vehicles!$A$8),0))=TRUE,"E2",IF(AND($G59&lt;&gt;"Business",$H59&lt;&gt;"XXX01"),"E3",IF(AND($G59="Business",$H59="XXX01"),"E4","-"))))</f>
        <v>-</v>
      </c>
    </row>
    <row r="60" spans="1:18" ht="16" customHeight="1" x14ac:dyDescent="0.25">
      <c r="A60" s="27">
        <v>43857</v>
      </c>
      <c r="B60" s="28">
        <v>0.33333333333333331</v>
      </c>
      <c r="C60" s="28" t="s">
        <v>112</v>
      </c>
      <c r="D60" s="11" t="s">
        <v>70</v>
      </c>
      <c r="E60" s="5">
        <v>52582</v>
      </c>
      <c r="F60" s="5">
        <v>52670</v>
      </c>
      <c r="G60" s="6" t="s">
        <v>81</v>
      </c>
      <c r="H60" s="6" t="s">
        <v>23</v>
      </c>
      <c r="I60" s="7" t="s">
        <v>78</v>
      </c>
      <c r="J60" s="7" t="s">
        <v>83</v>
      </c>
      <c r="K60" s="7" t="s">
        <v>84</v>
      </c>
      <c r="L60" s="8">
        <v>3</v>
      </c>
      <c r="M60" s="8" t="s">
        <v>82</v>
      </c>
      <c r="N60" s="8">
        <f t="shared" si="0"/>
        <v>88</v>
      </c>
      <c r="O60" s="8">
        <f t="shared" si="1"/>
        <v>264</v>
      </c>
      <c r="P60" s="9">
        <f ca="1">IF(ISNA(VLOOKUP($H60,ClientAll,COLUMN(Clients!$C$8),0))=TRUE,0,VLOOKUP($H60,ClientAll,COLUMN(Clients!$C$8),0))</f>
        <v>88</v>
      </c>
      <c r="Q60" s="8">
        <f t="shared" ca="1" si="2"/>
        <v>0</v>
      </c>
      <c r="R60" s="10" t="str">
        <f ca="1">IF(ISNA(VLOOKUP($D60,VehicleID,COLUMN(Vehicles!$A$8),0))=TRUE,"E1",IF(ISNA(VLOOKUP($H60,ClientID,COLUMN(Vehicles!$A$8),0))=TRUE,"E2",IF(AND($G60&lt;&gt;"Business",$H60&lt;&gt;"XXX01"),"E3",IF(AND($G60="Business",$H60="XXX01"),"E4","-"))))</f>
        <v>-</v>
      </c>
    </row>
    <row r="61" spans="1:18" ht="16" customHeight="1" x14ac:dyDescent="0.25">
      <c r="A61" s="27">
        <v>43857</v>
      </c>
      <c r="B61" s="28">
        <v>0.33333333333333331</v>
      </c>
      <c r="C61" s="28" t="s">
        <v>118</v>
      </c>
      <c r="D61" s="11" t="s">
        <v>71</v>
      </c>
      <c r="E61" s="5">
        <v>35171</v>
      </c>
      <c r="F61" s="5">
        <v>35186</v>
      </c>
      <c r="G61" s="6" t="s">
        <v>81</v>
      </c>
      <c r="H61" s="6" t="s">
        <v>47</v>
      </c>
      <c r="I61" s="7" t="s">
        <v>78</v>
      </c>
      <c r="J61" s="7" t="s">
        <v>83</v>
      </c>
      <c r="K61" s="7" t="s">
        <v>84</v>
      </c>
      <c r="L61" s="8">
        <v>3</v>
      </c>
      <c r="M61" s="8" t="s">
        <v>87</v>
      </c>
      <c r="N61" s="8">
        <f t="shared" si="0"/>
        <v>15</v>
      </c>
      <c r="O61" s="8">
        <f t="shared" si="1"/>
        <v>45</v>
      </c>
      <c r="P61" s="9">
        <f ca="1">IF(ISNA(VLOOKUP($H61,ClientAll,COLUMN(Clients!$C$8),0))=TRUE,0,VLOOKUP($H61,ClientAll,COLUMN(Clients!$C$8),0))</f>
        <v>15</v>
      </c>
      <c r="Q61" s="8">
        <f t="shared" ca="1" si="2"/>
        <v>0</v>
      </c>
      <c r="R61" s="10" t="str">
        <f ca="1">IF(ISNA(VLOOKUP($D61,VehicleID,COLUMN(Vehicles!$A$8),0))=TRUE,"E1",IF(ISNA(VLOOKUP($H61,ClientID,COLUMN(Vehicles!$A$8),0))=TRUE,"E2",IF(AND($G61&lt;&gt;"Business",$H61&lt;&gt;"XXX01"),"E3",IF(AND($G61="Business",$H61="XXX01"),"E4","-"))))</f>
        <v>-</v>
      </c>
    </row>
    <row r="62" spans="1:18" ht="16" customHeight="1" x14ac:dyDescent="0.25">
      <c r="A62" s="27">
        <v>43857</v>
      </c>
      <c r="C62" s="28" t="s">
        <v>112</v>
      </c>
      <c r="D62" s="11" t="s">
        <v>70</v>
      </c>
      <c r="E62" s="5">
        <v>52670</v>
      </c>
      <c r="F62" s="5">
        <v>52706</v>
      </c>
      <c r="G62" s="6" t="s">
        <v>80</v>
      </c>
      <c r="H62" s="6" t="s">
        <v>55</v>
      </c>
      <c r="I62" s="7" t="s">
        <v>86</v>
      </c>
      <c r="J62" s="7" t="s">
        <v>86</v>
      </c>
      <c r="K62" s="7" t="s">
        <v>85</v>
      </c>
      <c r="L62" s="8">
        <v>0</v>
      </c>
      <c r="M62" s="8" t="s">
        <v>82</v>
      </c>
      <c r="N62" s="8">
        <f t="shared" si="0"/>
        <v>36</v>
      </c>
      <c r="O62" s="8">
        <f t="shared" si="1"/>
        <v>0</v>
      </c>
      <c r="P62" s="9">
        <f ca="1">IF(ISNA(VLOOKUP($H62,ClientAll,COLUMN(Clients!$C$8),0))=TRUE,0,VLOOKUP($H62,ClientAll,COLUMN(Clients!$C$8),0))</f>
        <v>0</v>
      </c>
      <c r="Q62" s="8">
        <f t="shared" si="2"/>
        <v>0</v>
      </c>
      <c r="R62" s="10" t="str">
        <f ca="1">IF(ISNA(VLOOKUP($D62,VehicleID,COLUMN(Vehicles!$A$8),0))=TRUE,"E1",IF(ISNA(VLOOKUP($H62,ClientID,COLUMN(Vehicles!$A$8),0))=TRUE,"E2",IF(AND($G62&lt;&gt;"Business",$H62&lt;&gt;"XXX01"),"E3",IF(AND($G62="Business",$H62="XXX01"),"E4","-"))))</f>
        <v>-</v>
      </c>
    </row>
    <row r="63" spans="1:18" ht="16" customHeight="1" x14ac:dyDescent="0.25">
      <c r="A63" s="27">
        <v>43857</v>
      </c>
      <c r="C63" s="28" t="s">
        <v>118</v>
      </c>
      <c r="D63" s="11" t="s">
        <v>71</v>
      </c>
      <c r="E63" s="5">
        <v>35186</v>
      </c>
      <c r="F63" s="5">
        <v>35211</v>
      </c>
      <c r="G63" s="6" t="s">
        <v>80</v>
      </c>
      <c r="H63" s="6" t="s">
        <v>55</v>
      </c>
      <c r="I63" s="7" t="s">
        <v>86</v>
      </c>
      <c r="J63" s="7" t="s">
        <v>86</v>
      </c>
      <c r="K63" s="7" t="s">
        <v>85</v>
      </c>
      <c r="L63" s="8">
        <v>0</v>
      </c>
      <c r="M63" s="8" t="s">
        <v>87</v>
      </c>
      <c r="N63" s="8">
        <f t="shared" si="0"/>
        <v>25</v>
      </c>
      <c r="O63" s="8">
        <f t="shared" si="1"/>
        <v>0</v>
      </c>
      <c r="P63" s="9">
        <f ca="1">IF(ISNA(VLOOKUP($H63,ClientAll,COLUMN(Clients!$C$8),0))=TRUE,0,VLOOKUP($H63,ClientAll,COLUMN(Clients!$C$8),0))</f>
        <v>0</v>
      </c>
      <c r="Q63" s="8">
        <f t="shared" si="2"/>
        <v>0</v>
      </c>
      <c r="R63" s="10" t="str">
        <f ca="1">IF(ISNA(VLOOKUP($D63,VehicleID,COLUMN(Vehicles!$A$8),0))=TRUE,"E1",IF(ISNA(VLOOKUP($H63,ClientID,COLUMN(Vehicles!$A$8),0))=TRUE,"E2",IF(AND($G63&lt;&gt;"Business",$H63&lt;&gt;"XXX01"),"E3",IF(AND($G63="Business",$H63="XXX01"),"E4","-"))))</f>
        <v>-</v>
      </c>
    </row>
    <row r="64" spans="1:18" ht="16" customHeight="1" x14ac:dyDescent="0.25">
      <c r="A64" s="27">
        <v>43858</v>
      </c>
      <c r="B64" s="28">
        <v>0.33333333333333331</v>
      </c>
      <c r="C64" s="28" t="s">
        <v>112</v>
      </c>
      <c r="D64" s="11" t="s">
        <v>70</v>
      </c>
      <c r="E64" s="5">
        <v>52706</v>
      </c>
      <c r="F64" s="5">
        <v>52794</v>
      </c>
      <c r="G64" s="6" t="s">
        <v>81</v>
      </c>
      <c r="H64" s="6" t="s">
        <v>23</v>
      </c>
      <c r="I64" s="7" t="s">
        <v>78</v>
      </c>
      <c r="J64" s="7" t="s">
        <v>83</v>
      </c>
      <c r="K64" s="7" t="s">
        <v>84</v>
      </c>
      <c r="L64" s="8">
        <v>3</v>
      </c>
      <c r="M64" s="8" t="s">
        <v>82</v>
      </c>
      <c r="N64" s="8">
        <f t="shared" si="0"/>
        <v>88</v>
      </c>
      <c r="O64" s="8">
        <f t="shared" si="1"/>
        <v>264</v>
      </c>
      <c r="P64" s="9">
        <f ca="1">IF(ISNA(VLOOKUP($H64,ClientAll,COLUMN(Clients!$C$8),0))=TRUE,0,VLOOKUP($H64,ClientAll,COLUMN(Clients!$C$8),0))</f>
        <v>88</v>
      </c>
      <c r="Q64" s="8">
        <f t="shared" ca="1" si="2"/>
        <v>0</v>
      </c>
      <c r="R64" s="10" t="str">
        <f ca="1">IF(ISNA(VLOOKUP($D64,VehicleID,COLUMN(Vehicles!$A$8),0))=TRUE,"E1",IF(ISNA(VLOOKUP($H64,ClientID,COLUMN(Vehicles!$A$8),0))=TRUE,"E2",IF(AND($G64&lt;&gt;"Business",$H64&lt;&gt;"XXX01"),"E3",IF(AND($G64="Business",$H64="XXX01"),"E4","-"))))</f>
        <v>-</v>
      </c>
    </row>
    <row r="65" spans="1:18" ht="16" customHeight="1" x14ac:dyDescent="0.25">
      <c r="A65" s="27">
        <v>43858</v>
      </c>
      <c r="B65" s="28">
        <v>0.33333333333333331</v>
      </c>
      <c r="C65" s="28" t="s">
        <v>118</v>
      </c>
      <c r="D65" s="11" t="s">
        <v>71</v>
      </c>
      <c r="E65" s="5">
        <v>35211</v>
      </c>
      <c r="F65" s="5">
        <v>35226</v>
      </c>
      <c r="G65" s="6" t="s">
        <v>81</v>
      </c>
      <c r="H65" s="6" t="s">
        <v>47</v>
      </c>
      <c r="I65" s="7" t="s">
        <v>78</v>
      </c>
      <c r="J65" s="7" t="s">
        <v>83</v>
      </c>
      <c r="K65" s="7" t="s">
        <v>84</v>
      </c>
      <c r="L65" s="8">
        <v>3</v>
      </c>
      <c r="M65" s="8" t="s">
        <v>87</v>
      </c>
      <c r="N65" s="8">
        <f t="shared" si="0"/>
        <v>15</v>
      </c>
      <c r="O65" s="8">
        <f t="shared" si="1"/>
        <v>45</v>
      </c>
      <c r="P65" s="9">
        <f ca="1">IF(ISNA(VLOOKUP($H65,ClientAll,COLUMN(Clients!$C$8),0))=TRUE,0,VLOOKUP($H65,ClientAll,COLUMN(Clients!$C$8),0))</f>
        <v>15</v>
      </c>
      <c r="Q65" s="8">
        <f t="shared" ca="1" si="2"/>
        <v>0</v>
      </c>
      <c r="R65" s="10" t="str">
        <f ca="1">IF(ISNA(VLOOKUP($D65,VehicleID,COLUMN(Vehicles!$A$8),0))=TRUE,"E1",IF(ISNA(VLOOKUP($H65,ClientID,COLUMN(Vehicles!$A$8),0))=TRUE,"E2",IF(AND($G65&lt;&gt;"Business",$H65&lt;&gt;"XXX01"),"E3",IF(AND($G65="Business",$H65="XXX01"),"E4","-"))))</f>
        <v>-</v>
      </c>
    </row>
    <row r="66" spans="1:18" ht="16" customHeight="1" x14ac:dyDescent="0.25">
      <c r="A66" s="27">
        <v>43858</v>
      </c>
      <c r="C66" s="28" t="s">
        <v>112</v>
      </c>
      <c r="D66" s="11" t="s">
        <v>70</v>
      </c>
      <c r="E66" s="5">
        <v>52794</v>
      </c>
      <c r="F66" s="5">
        <v>52902</v>
      </c>
      <c r="G66" s="6" t="s">
        <v>80</v>
      </c>
      <c r="H66" s="6" t="s">
        <v>55</v>
      </c>
      <c r="I66" s="7" t="s">
        <v>86</v>
      </c>
      <c r="J66" s="7" t="s">
        <v>86</v>
      </c>
      <c r="K66" s="7" t="s">
        <v>85</v>
      </c>
      <c r="L66" s="8">
        <v>0</v>
      </c>
      <c r="M66" s="8" t="s">
        <v>82</v>
      </c>
      <c r="N66" s="8">
        <f t="shared" si="0"/>
        <v>108</v>
      </c>
      <c r="O66" s="8">
        <f t="shared" si="1"/>
        <v>0</v>
      </c>
      <c r="P66" s="9">
        <f ca="1">IF(ISNA(VLOOKUP($H66,ClientAll,COLUMN(Clients!$C$8),0))=TRUE,0,VLOOKUP($H66,ClientAll,COLUMN(Clients!$C$8),0))</f>
        <v>0</v>
      </c>
      <c r="Q66" s="8">
        <f t="shared" si="2"/>
        <v>0</v>
      </c>
      <c r="R66" s="10" t="str">
        <f ca="1">IF(ISNA(VLOOKUP($D66,VehicleID,COLUMN(Vehicles!$A$8),0))=TRUE,"E1",IF(ISNA(VLOOKUP($H66,ClientID,COLUMN(Vehicles!$A$8),0))=TRUE,"E2",IF(AND($G66&lt;&gt;"Business",$H66&lt;&gt;"XXX01"),"E3",IF(AND($G66="Business",$H66="XXX01"),"E4","-"))))</f>
        <v>-</v>
      </c>
    </row>
    <row r="67" spans="1:18" ht="16" customHeight="1" x14ac:dyDescent="0.25">
      <c r="A67" s="27">
        <v>43858</v>
      </c>
      <c r="C67" s="28" t="s">
        <v>118</v>
      </c>
      <c r="D67" s="11" t="s">
        <v>71</v>
      </c>
      <c r="E67" s="5">
        <v>35226</v>
      </c>
      <c r="F67" s="5">
        <v>35231</v>
      </c>
      <c r="G67" s="6" t="s">
        <v>80</v>
      </c>
      <c r="H67" s="6" t="s">
        <v>55</v>
      </c>
      <c r="I67" s="7" t="s">
        <v>86</v>
      </c>
      <c r="J67" s="7" t="s">
        <v>86</v>
      </c>
      <c r="K67" s="7" t="s">
        <v>85</v>
      </c>
      <c r="L67" s="8">
        <v>0</v>
      </c>
      <c r="M67" s="8" t="s">
        <v>87</v>
      </c>
      <c r="N67" s="8">
        <f t="shared" si="0"/>
        <v>5</v>
      </c>
      <c r="O67" s="8">
        <f t="shared" si="1"/>
        <v>0</v>
      </c>
      <c r="P67" s="9">
        <f ca="1">IF(ISNA(VLOOKUP($H67,ClientAll,COLUMN(Clients!$C$8),0))=TRUE,0,VLOOKUP($H67,ClientAll,COLUMN(Clients!$C$8),0))</f>
        <v>0</v>
      </c>
      <c r="Q67" s="8">
        <f t="shared" si="2"/>
        <v>0</v>
      </c>
      <c r="R67" s="10" t="str">
        <f ca="1">IF(ISNA(VLOOKUP($D67,VehicleID,COLUMN(Vehicles!$A$8),0))=TRUE,"E1",IF(ISNA(VLOOKUP($H67,ClientID,COLUMN(Vehicles!$A$8),0))=TRUE,"E2",IF(AND($G67&lt;&gt;"Business",$H67&lt;&gt;"XXX01"),"E3",IF(AND($G67="Business",$H67="XXX01"),"E4","-"))))</f>
        <v>-</v>
      </c>
    </row>
    <row r="68" spans="1:18" ht="16" customHeight="1" x14ac:dyDescent="0.25">
      <c r="A68" s="27">
        <v>43859</v>
      </c>
      <c r="B68" s="28">
        <v>0.33333333333333331</v>
      </c>
      <c r="C68" s="28" t="s">
        <v>112</v>
      </c>
      <c r="D68" s="11" t="s">
        <v>70</v>
      </c>
      <c r="E68" s="5">
        <v>52902</v>
      </c>
      <c r="F68" s="5">
        <v>53002</v>
      </c>
      <c r="G68" s="6" t="s">
        <v>81</v>
      </c>
      <c r="H68" s="6" t="s">
        <v>27</v>
      </c>
      <c r="I68" s="7" t="s">
        <v>78</v>
      </c>
      <c r="J68" s="7" t="s">
        <v>83</v>
      </c>
      <c r="K68" s="7" t="s">
        <v>84</v>
      </c>
      <c r="L68" s="8">
        <v>3</v>
      </c>
      <c r="M68" s="8" t="s">
        <v>82</v>
      </c>
      <c r="N68" s="8">
        <f t="shared" ref="N68:N131" si="3">F68-E68</f>
        <v>100</v>
      </c>
      <c r="O68" s="8">
        <f t="shared" ref="O68:O131" si="4">N68*L68</f>
        <v>300</v>
      </c>
      <c r="P68" s="9">
        <f ca="1">IF(ISNA(VLOOKUP($H68,ClientAll,COLUMN(Clients!$C$8),0))=TRUE,0,VLOOKUP($H68,ClientAll,COLUMN(Clients!$C$8),0))</f>
        <v>100</v>
      </c>
      <c r="Q68" s="8">
        <f t="shared" ref="Q68:Q131" ca="1" si="5">IF(G68="Private",0,N68-P68)</f>
        <v>0</v>
      </c>
      <c r="R68" s="10" t="str">
        <f ca="1">IF(ISNA(VLOOKUP($D68,VehicleID,COLUMN(Vehicles!$A$8),0))=TRUE,"E1",IF(ISNA(VLOOKUP($H68,ClientID,COLUMN(Vehicles!$A$8),0))=TRUE,"E2",IF(AND($G68&lt;&gt;"Business",$H68&lt;&gt;"XXX01"),"E3",IF(AND($G68="Business",$H68="XXX01"),"E4","-"))))</f>
        <v>-</v>
      </c>
    </row>
    <row r="69" spans="1:18" ht="16" customHeight="1" x14ac:dyDescent="0.25">
      <c r="A69" s="27">
        <v>43859</v>
      </c>
      <c r="B69" s="28">
        <v>0.33333333333333331</v>
      </c>
      <c r="C69" s="28" t="s">
        <v>118</v>
      </c>
      <c r="D69" s="11" t="s">
        <v>71</v>
      </c>
      <c r="E69" s="5">
        <v>35231</v>
      </c>
      <c r="F69" s="5">
        <v>35331</v>
      </c>
      <c r="G69" s="6" t="s">
        <v>81</v>
      </c>
      <c r="H69" s="6" t="s">
        <v>27</v>
      </c>
      <c r="I69" s="7" t="s">
        <v>78</v>
      </c>
      <c r="J69" s="7" t="s">
        <v>83</v>
      </c>
      <c r="K69" s="7" t="s">
        <v>84</v>
      </c>
      <c r="L69" s="8">
        <v>3</v>
      </c>
      <c r="M69" s="8" t="s">
        <v>87</v>
      </c>
      <c r="N69" s="8">
        <f t="shared" si="3"/>
        <v>100</v>
      </c>
      <c r="O69" s="8">
        <f t="shared" si="4"/>
        <v>300</v>
      </c>
      <c r="P69" s="9">
        <f ca="1">IF(ISNA(VLOOKUP($H69,ClientAll,COLUMN(Clients!$C$8),0))=TRUE,0,VLOOKUP($H69,ClientAll,COLUMN(Clients!$C$8),0))</f>
        <v>100</v>
      </c>
      <c r="Q69" s="8">
        <f t="shared" ca="1" si="5"/>
        <v>0</v>
      </c>
      <c r="R69" s="10" t="str">
        <f ca="1">IF(ISNA(VLOOKUP($D69,VehicleID,COLUMN(Vehicles!$A$8),0))=TRUE,"E1",IF(ISNA(VLOOKUP($H69,ClientID,COLUMN(Vehicles!$A$8),0))=TRUE,"E2",IF(AND($G69&lt;&gt;"Business",$H69&lt;&gt;"XXX01"),"E3",IF(AND($G69="Business",$H69="XXX01"),"E4","-"))))</f>
        <v>-</v>
      </c>
    </row>
    <row r="70" spans="1:18" ht="16" customHeight="1" x14ac:dyDescent="0.25">
      <c r="A70" s="27">
        <v>43859</v>
      </c>
      <c r="C70" s="28" t="s">
        <v>112</v>
      </c>
      <c r="D70" s="11" t="s">
        <v>70</v>
      </c>
      <c r="E70" s="5">
        <v>53002</v>
      </c>
      <c r="F70" s="5">
        <v>53038</v>
      </c>
      <c r="G70" s="6" t="s">
        <v>80</v>
      </c>
      <c r="H70" s="6" t="s">
        <v>55</v>
      </c>
      <c r="I70" s="7" t="s">
        <v>86</v>
      </c>
      <c r="J70" s="7" t="s">
        <v>86</v>
      </c>
      <c r="K70" s="7" t="s">
        <v>85</v>
      </c>
      <c r="L70" s="8">
        <v>0</v>
      </c>
      <c r="M70" s="8" t="s">
        <v>82</v>
      </c>
      <c r="N70" s="8">
        <f t="shared" si="3"/>
        <v>36</v>
      </c>
      <c r="O70" s="8">
        <f t="shared" si="4"/>
        <v>0</v>
      </c>
      <c r="P70" s="9">
        <f ca="1">IF(ISNA(VLOOKUP($H70,ClientAll,COLUMN(Clients!$C$8),0))=TRUE,0,VLOOKUP($H70,ClientAll,COLUMN(Clients!$C$8),0))</f>
        <v>0</v>
      </c>
      <c r="Q70" s="8">
        <f t="shared" si="5"/>
        <v>0</v>
      </c>
      <c r="R70" s="10" t="str">
        <f ca="1">IF(ISNA(VLOOKUP($D70,VehicleID,COLUMN(Vehicles!$A$8),0))=TRUE,"E1",IF(ISNA(VLOOKUP($H70,ClientID,COLUMN(Vehicles!$A$8),0))=TRUE,"E2",IF(AND($G70&lt;&gt;"Business",$H70&lt;&gt;"XXX01"),"E3",IF(AND($G70="Business",$H70="XXX01"),"E4","-"))))</f>
        <v>-</v>
      </c>
    </row>
    <row r="71" spans="1:18" ht="16" customHeight="1" x14ac:dyDescent="0.25">
      <c r="A71" s="27">
        <v>43859</v>
      </c>
      <c r="C71" s="28" t="s">
        <v>118</v>
      </c>
      <c r="D71" s="11" t="s">
        <v>71</v>
      </c>
      <c r="E71" s="5">
        <v>35331</v>
      </c>
      <c r="F71" s="5">
        <v>35331</v>
      </c>
      <c r="G71" s="6" t="s">
        <v>80</v>
      </c>
      <c r="H71" s="6" t="s">
        <v>55</v>
      </c>
      <c r="I71" s="7" t="s">
        <v>86</v>
      </c>
      <c r="J71" s="7" t="s">
        <v>86</v>
      </c>
      <c r="K71" s="7" t="s">
        <v>85</v>
      </c>
      <c r="L71" s="8">
        <v>0</v>
      </c>
      <c r="M71" s="8" t="s">
        <v>87</v>
      </c>
      <c r="N71" s="8">
        <f t="shared" si="3"/>
        <v>0</v>
      </c>
      <c r="O71" s="8">
        <f t="shared" si="4"/>
        <v>0</v>
      </c>
      <c r="P71" s="9">
        <f ca="1">IF(ISNA(VLOOKUP($H71,ClientAll,COLUMN(Clients!$C$8),0))=TRUE,0,VLOOKUP($H71,ClientAll,COLUMN(Clients!$C$8),0))</f>
        <v>0</v>
      </c>
      <c r="Q71" s="8">
        <f t="shared" si="5"/>
        <v>0</v>
      </c>
      <c r="R71" s="10" t="str">
        <f ca="1">IF(ISNA(VLOOKUP($D71,VehicleID,COLUMN(Vehicles!$A$8),0))=TRUE,"E1",IF(ISNA(VLOOKUP($H71,ClientID,COLUMN(Vehicles!$A$8),0))=TRUE,"E2",IF(AND($G71&lt;&gt;"Business",$H71&lt;&gt;"XXX01"),"E3",IF(AND($G71="Business",$H71="XXX01"),"E4","-"))))</f>
        <v>-</v>
      </c>
    </row>
    <row r="72" spans="1:18" ht="16" customHeight="1" x14ac:dyDescent="0.25">
      <c r="A72" s="27">
        <v>43860</v>
      </c>
      <c r="B72" s="28">
        <v>0.33333333333333331</v>
      </c>
      <c r="C72" s="28" t="s">
        <v>112</v>
      </c>
      <c r="D72" s="11" t="s">
        <v>70</v>
      </c>
      <c r="E72" s="5">
        <v>53038</v>
      </c>
      <c r="F72" s="5">
        <v>53138</v>
      </c>
      <c r="G72" s="6" t="s">
        <v>81</v>
      </c>
      <c r="H72" s="6" t="s">
        <v>27</v>
      </c>
      <c r="I72" s="7" t="s">
        <v>78</v>
      </c>
      <c r="J72" s="7" t="s">
        <v>83</v>
      </c>
      <c r="K72" s="7" t="s">
        <v>84</v>
      </c>
      <c r="L72" s="8">
        <v>3</v>
      </c>
      <c r="M72" s="8" t="s">
        <v>82</v>
      </c>
      <c r="N72" s="8">
        <f t="shared" si="3"/>
        <v>100</v>
      </c>
      <c r="O72" s="8">
        <f t="shared" si="4"/>
        <v>300</v>
      </c>
      <c r="P72" s="9">
        <f ca="1">IF(ISNA(VLOOKUP($H72,ClientAll,COLUMN(Clients!$C$8),0))=TRUE,0,VLOOKUP($H72,ClientAll,COLUMN(Clients!$C$8),0))</f>
        <v>100</v>
      </c>
      <c r="Q72" s="8">
        <f t="shared" ca="1" si="5"/>
        <v>0</v>
      </c>
      <c r="R72" s="10" t="str">
        <f ca="1">IF(ISNA(VLOOKUP($D72,VehicleID,COLUMN(Vehicles!$A$8),0))=TRUE,"E1",IF(ISNA(VLOOKUP($H72,ClientID,COLUMN(Vehicles!$A$8),0))=TRUE,"E2",IF(AND($G72&lt;&gt;"Business",$H72&lt;&gt;"XXX01"),"E3",IF(AND($G72="Business",$H72="XXX01"),"E4","-"))))</f>
        <v>-</v>
      </c>
    </row>
    <row r="73" spans="1:18" ht="16" customHeight="1" x14ac:dyDescent="0.25">
      <c r="A73" s="27">
        <v>43860</v>
      </c>
      <c r="B73" s="28">
        <v>0.33333333333333331</v>
      </c>
      <c r="C73" s="28" t="s">
        <v>118</v>
      </c>
      <c r="D73" s="11" t="s">
        <v>71</v>
      </c>
      <c r="E73" s="5">
        <v>35331</v>
      </c>
      <c r="F73" s="5">
        <v>35431</v>
      </c>
      <c r="G73" s="6" t="s">
        <v>81</v>
      </c>
      <c r="H73" s="6" t="s">
        <v>27</v>
      </c>
      <c r="I73" s="7" t="s">
        <v>78</v>
      </c>
      <c r="J73" s="7" t="s">
        <v>83</v>
      </c>
      <c r="K73" s="7" t="s">
        <v>84</v>
      </c>
      <c r="L73" s="8">
        <v>3</v>
      </c>
      <c r="M73" s="8" t="s">
        <v>87</v>
      </c>
      <c r="N73" s="8">
        <f t="shared" si="3"/>
        <v>100</v>
      </c>
      <c r="O73" s="8">
        <f t="shared" si="4"/>
        <v>300</v>
      </c>
      <c r="P73" s="9">
        <f ca="1">IF(ISNA(VLOOKUP($H73,ClientAll,COLUMN(Clients!$C$8),0))=TRUE,0,VLOOKUP($H73,ClientAll,COLUMN(Clients!$C$8),0))</f>
        <v>100</v>
      </c>
      <c r="Q73" s="8">
        <f t="shared" ca="1" si="5"/>
        <v>0</v>
      </c>
      <c r="R73" s="10" t="str">
        <f ca="1">IF(ISNA(VLOOKUP($D73,VehicleID,COLUMN(Vehicles!$A$8),0))=TRUE,"E1",IF(ISNA(VLOOKUP($H73,ClientID,COLUMN(Vehicles!$A$8),0))=TRUE,"E2",IF(AND($G73&lt;&gt;"Business",$H73&lt;&gt;"XXX01"),"E3",IF(AND($G73="Business",$H73="XXX01"),"E4","-"))))</f>
        <v>-</v>
      </c>
    </row>
    <row r="74" spans="1:18" ht="16" customHeight="1" x14ac:dyDescent="0.25">
      <c r="A74" s="27">
        <v>43860</v>
      </c>
      <c r="C74" s="28" t="s">
        <v>112</v>
      </c>
      <c r="D74" s="11" t="s">
        <v>70</v>
      </c>
      <c r="E74" s="5">
        <v>53138</v>
      </c>
      <c r="F74" s="5">
        <v>53392</v>
      </c>
      <c r="G74" s="6" t="s">
        <v>80</v>
      </c>
      <c r="H74" s="6" t="s">
        <v>55</v>
      </c>
      <c r="I74" s="7" t="s">
        <v>86</v>
      </c>
      <c r="J74" s="7" t="s">
        <v>86</v>
      </c>
      <c r="K74" s="7" t="s">
        <v>85</v>
      </c>
      <c r="L74" s="8">
        <v>0</v>
      </c>
      <c r="M74" s="8" t="s">
        <v>82</v>
      </c>
      <c r="N74" s="8">
        <f t="shared" si="3"/>
        <v>254</v>
      </c>
      <c r="O74" s="8">
        <f t="shared" si="4"/>
        <v>0</v>
      </c>
      <c r="P74" s="9">
        <f ca="1">IF(ISNA(VLOOKUP($H74,ClientAll,COLUMN(Clients!$C$8),0))=TRUE,0,VLOOKUP($H74,ClientAll,COLUMN(Clients!$C$8),0))</f>
        <v>0</v>
      </c>
      <c r="Q74" s="8">
        <f t="shared" si="5"/>
        <v>0</v>
      </c>
      <c r="R74" s="10" t="str">
        <f ca="1">IF(ISNA(VLOOKUP($D74,VehicleID,COLUMN(Vehicles!$A$8),0))=TRUE,"E1",IF(ISNA(VLOOKUP($H74,ClientID,COLUMN(Vehicles!$A$8),0))=TRUE,"E2",IF(AND($G74&lt;&gt;"Business",$H74&lt;&gt;"XXX01"),"E3",IF(AND($G74="Business",$H74="XXX01"),"E4","-"))))</f>
        <v>-</v>
      </c>
    </row>
    <row r="75" spans="1:18" ht="16" customHeight="1" x14ac:dyDescent="0.25">
      <c r="A75" s="27">
        <v>43860</v>
      </c>
      <c r="C75" s="28" t="s">
        <v>118</v>
      </c>
      <c r="D75" s="11" t="s">
        <v>71</v>
      </c>
      <c r="E75" s="5">
        <v>35431</v>
      </c>
      <c r="F75" s="5">
        <v>35436</v>
      </c>
      <c r="G75" s="6" t="s">
        <v>80</v>
      </c>
      <c r="H75" s="6" t="s">
        <v>55</v>
      </c>
      <c r="I75" s="7" t="s">
        <v>86</v>
      </c>
      <c r="J75" s="7" t="s">
        <v>86</v>
      </c>
      <c r="K75" s="7" t="s">
        <v>85</v>
      </c>
      <c r="L75" s="8">
        <v>0</v>
      </c>
      <c r="M75" s="8" t="s">
        <v>87</v>
      </c>
      <c r="N75" s="8">
        <f t="shared" si="3"/>
        <v>5</v>
      </c>
      <c r="O75" s="8">
        <f t="shared" si="4"/>
        <v>0</v>
      </c>
      <c r="P75" s="9">
        <f ca="1">IF(ISNA(VLOOKUP($H75,ClientAll,COLUMN(Clients!$C$8),0))=TRUE,0,VLOOKUP($H75,ClientAll,COLUMN(Clients!$C$8),0))</f>
        <v>0</v>
      </c>
      <c r="Q75" s="8">
        <f t="shared" si="5"/>
        <v>0</v>
      </c>
      <c r="R75" s="10" t="str">
        <f ca="1">IF(ISNA(VLOOKUP($D75,VehicleID,COLUMN(Vehicles!$A$8),0))=TRUE,"E1",IF(ISNA(VLOOKUP($H75,ClientID,COLUMN(Vehicles!$A$8),0))=TRUE,"E2",IF(AND($G75&lt;&gt;"Business",$H75&lt;&gt;"XXX01"),"E3",IF(AND($G75="Business",$H75="XXX01"),"E4","-"))))</f>
        <v>-</v>
      </c>
    </row>
    <row r="76" spans="1:18" ht="16" customHeight="1" x14ac:dyDescent="0.25">
      <c r="A76" s="27">
        <v>43864</v>
      </c>
      <c r="B76" s="28">
        <v>0.33333333333333331</v>
      </c>
      <c r="C76" s="28" t="s">
        <v>112</v>
      </c>
      <c r="D76" s="11" t="s">
        <v>70</v>
      </c>
      <c r="E76" s="5">
        <v>53392</v>
      </c>
      <c r="F76" s="5">
        <v>53492</v>
      </c>
      <c r="G76" s="6" t="s">
        <v>81</v>
      </c>
      <c r="H76" s="6" t="s">
        <v>27</v>
      </c>
      <c r="I76" s="7" t="s">
        <v>78</v>
      </c>
      <c r="J76" s="7" t="s">
        <v>83</v>
      </c>
      <c r="K76" s="7" t="s">
        <v>84</v>
      </c>
      <c r="L76" s="8">
        <v>3</v>
      </c>
      <c r="M76" s="8" t="s">
        <v>82</v>
      </c>
      <c r="N76" s="8">
        <f t="shared" si="3"/>
        <v>100</v>
      </c>
      <c r="O76" s="8">
        <f t="shared" si="4"/>
        <v>300</v>
      </c>
      <c r="P76" s="9">
        <f ca="1">IF(ISNA(VLOOKUP($H76,ClientAll,COLUMN(Clients!$C$8),0))=TRUE,0,VLOOKUP($H76,ClientAll,COLUMN(Clients!$C$8),0))</f>
        <v>100</v>
      </c>
      <c r="Q76" s="8">
        <f t="shared" ca="1" si="5"/>
        <v>0</v>
      </c>
      <c r="R76" s="10" t="str">
        <f ca="1">IF(ISNA(VLOOKUP($D76,VehicleID,COLUMN(Vehicles!$A$8),0))=TRUE,"E1",IF(ISNA(VLOOKUP($H76,ClientID,COLUMN(Vehicles!$A$8),0))=TRUE,"E2",IF(AND($G76&lt;&gt;"Business",$H76&lt;&gt;"XXX01"),"E3",IF(AND($G76="Business",$H76="XXX01"),"E4","-"))))</f>
        <v>-</v>
      </c>
    </row>
    <row r="77" spans="1:18" ht="16" customHeight="1" x14ac:dyDescent="0.25">
      <c r="A77" s="27">
        <v>43864</v>
      </c>
      <c r="B77" s="28">
        <v>0.33333333333333331</v>
      </c>
      <c r="C77" s="28" t="s">
        <v>118</v>
      </c>
      <c r="D77" s="11" t="s">
        <v>71</v>
      </c>
      <c r="E77" s="5">
        <v>35436</v>
      </c>
      <c r="F77" s="5">
        <v>35536</v>
      </c>
      <c r="G77" s="6" t="s">
        <v>81</v>
      </c>
      <c r="H77" s="6" t="s">
        <v>27</v>
      </c>
      <c r="I77" s="7" t="s">
        <v>78</v>
      </c>
      <c r="J77" s="7" t="s">
        <v>83</v>
      </c>
      <c r="K77" s="7" t="s">
        <v>84</v>
      </c>
      <c r="L77" s="8">
        <v>3</v>
      </c>
      <c r="M77" s="8" t="s">
        <v>87</v>
      </c>
      <c r="N77" s="8">
        <f t="shared" si="3"/>
        <v>100</v>
      </c>
      <c r="O77" s="8">
        <f t="shared" si="4"/>
        <v>300</v>
      </c>
      <c r="P77" s="9">
        <f ca="1">IF(ISNA(VLOOKUP($H77,ClientAll,COLUMN(Clients!$C$8),0))=TRUE,0,VLOOKUP($H77,ClientAll,COLUMN(Clients!$C$8),0))</f>
        <v>100</v>
      </c>
      <c r="Q77" s="8">
        <f t="shared" ca="1" si="5"/>
        <v>0</v>
      </c>
      <c r="R77" s="10" t="str">
        <f ca="1">IF(ISNA(VLOOKUP($D77,VehicleID,COLUMN(Vehicles!$A$8),0))=TRUE,"E1",IF(ISNA(VLOOKUP($H77,ClientID,COLUMN(Vehicles!$A$8),0))=TRUE,"E2",IF(AND($G77&lt;&gt;"Business",$H77&lt;&gt;"XXX01"),"E3",IF(AND($G77="Business",$H77="XXX01"),"E4","-"))))</f>
        <v>-</v>
      </c>
    </row>
    <row r="78" spans="1:18" ht="16" customHeight="1" x14ac:dyDescent="0.25">
      <c r="A78" s="27">
        <v>43864</v>
      </c>
      <c r="B78" s="28">
        <v>0.33333333333333331</v>
      </c>
      <c r="C78" s="28" t="s">
        <v>121</v>
      </c>
      <c r="D78" s="11" t="s">
        <v>72</v>
      </c>
      <c r="E78" s="5">
        <v>111873</v>
      </c>
      <c r="F78" s="5">
        <v>112293</v>
      </c>
      <c r="G78" s="6" t="s">
        <v>81</v>
      </c>
      <c r="H78" s="6" t="s">
        <v>37</v>
      </c>
      <c r="I78" s="7" t="s">
        <v>78</v>
      </c>
      <c r="J78" s="7" t="s">
        <v>83</v>
      </c>
      <c r="K78" s="7" t="s">
        <v>84</v>
      </c>
      <c r="L78" s="8">
        <v>2.5</v>
      </c>
      <c r="M78" s="8" t="s">
        <v>89</v>
      </c>
      <c r="N78" s="8">
        <f t="shared" si="3"/>
        <v>420</v>
      </c>
      <c r="O78" s="8">
        <f t="shared" si="4"/>
        <v>1050</v>
      </c>
      <c r="P78" s="9">
        <f ca="1">IF(ISNA(VLOOKUP($H78,ClientAll,COLUMN(Clients!$C$8),0))=TRUE,0,VLOOKUP($H78,ClientAll,COLUMN(Clients!$C$8),0))</f>
        <v>420</v>
      </c>
      <c r="Q78" s="8">
        <f t="shared" ca="1" si="5"/>
        <v>0</v>
      </c>
      <c r="R78" s="10" t="str">
        <f ca="1">IF(ISNA(VLOOKUP($D78,VehicleID,COLUMN(Vehicles!$A$8),0))=TRUE,"E1",IF(ISNA(VLOOKUP($H78,ClientID,COLUMN(Vehicles!$A$8),0))=TRUE,"E2",IF(AND($G78&lt;&gt;"Business",$H78&lt;&gt;"XXX01"),"E3",IF(AND($G78="Business",$H78="XXX01"),"E4","-"))))</f>
        <v>-</v>
      </c>
    </row>
    <row r="79" spans="1:18" ht="16" customHeight="1" x14ac:dyDescent="0.25">
      <c r="A79" s="27">
        <v>43864</v>
      </c>
      <c r="C79" s="28" t="s">
        <v>112</v>
      </c>
      <c r="D79" s="11" t="s">
        <v>70</v>
      </c>
      <c r="E79" s="5">
        <v>53492</v>
      </c>
      <c r="F79" s="5">
        <v>53525</v>
      </c>
      <c r="G79" s="6" t="s">
        <v>80</v>
      </c>
      <c r="H79" s="6" t="s">
        <v>55</v>
      </c>
      <c r="I79" s="7" t="s">
        <v>86</v>
      </c>
      <c r="J79" s="7" t="s">
        <v>86</v>
      </c>
      <c r="K79" s="7" t="s">
        <v>85</v>
      </c>
      <c r="L79" s="8">
        <v>0</v>
      </c>
      <c r="M79" s="8" t="s">
        <v>82</v>
      </c>
      <c r="N79" s="8">
        <f t="shared" si="3"/>
        <v>33</v>
      </c>
      <c r="O79" s="8">
        <f t="shared" si="4"/>
        <v>0</v>
      </c>
      <c r="P79" s="9">
        <f ca="1">IF(ISNA(VLOOKUP($H79,ClientAll,COLUMN(Clients!$C$8),0))=TRUE,0,VLOOKUP($H79,ClientAll,COLUMN(Clients!$C$8),0))</f>
        <v>0</v>
      </c>
      <c r="Q79" s="8">
        <f t="shared" si="5"/>
        <v>0</v>
      </c>
      <c r="R79" s="10" t="str">
        <f ca="1">IF(ISNA(VLOOKUP($D79,VehicleID,COLUMN(Vehicles!$A$8),0))=TRUE,"E1",IF(ISNA(VLOOKUP($H79,ClientID,COLUMN(Vehicles!$A$8),0))=TRUE,"E2",IF(AND($G79&lt;&gt;"Business",$H79&lt;&gt;"XXX01"),"E3",IF(AND($G79="Business",$H79="XXX01"),"E4","-"))))</f>
        <v>-</v>
      </c>
    </row>
    <row r="80" spans="1:18" ht="16" customHeight="1" x14ac:dyDescent="0.25">
      <c r="A80" s="27">
        <v>43864</v>
      </c>
      <c r="C80" s="28" t="s">
        <v>118</v>
      </c>
      <c r="D80" s="11" t="s">
        <v>71</v>
      </c>
      <c r="E80" s="5">
        <v>35536</v>
      </c>
      <c r="F80" s="5">
        <v>35541</v>
      </c>
      <c r="G80" s="6" t="s">
        <v>80</v>
      </c>
      <c r="H80" s="6" t="s">
        <v>55</v>
      </c>
      <c r="I80" s="7" t="s">
        <v>86</v>
      </c>
      <c r="J80" s="7" t="s">
        <v>86</v>
      </c>
      <c r="K80" s="7" t="s">
        <v>85</v>
      </c>
      <c r="L80" s="8">
        <v>0</v>
      </c>
      <c r="M80" s="8" t="s">
        <v>87</v>
      </c>
      <c r="N80" s="8">
        <f t="shared" si="3"/>
        <v>5</v>
      </c>
      <c r="O80" s="8">
        <f t="shared" si="4"/>
        <v>0</v>
      </c>
      <c r="P80" s="9">
        <f ca="1">IF(ISNA(VLOOKUP($H80,ClientAll,COLUMN(Clients!$C$8),0))=TRUE,0,VLOOKUP($H80,ClientAll,COLUMN(Clients!$C$8),0))</f>
        <v>0</v>
      </c>
      <c r="Q80" s="8">
        <f t="shared" si="5"/>
        <v>0</v>
      </c>
      <c r="R80" s="10" t="str">
        <f ca="1">IF(ISNA(VLOOKUP($D80,VehicleID,COLUMN(Vehicles!$A$8),0))=TRUE,"E1",IF(ISNA(VLOOKUP($H80,ClientID,COLUMN(Vehicles!$A$8),0))=TRUE,"E2",IF(AND($G80&lt;&gt;"Business",$H80&lt;&gt;"XXX01"),"E3",IF(AND($G80="Business",$H80="XXX01"),"E4","-"))))</f>
        <v>-</v>
      </c>
    </row>
    <row r="81" spans="1:18" ht="16" customHeight="1" x14ac:dyDescent="0.25">
      <c r="A81" s="27">
        <v>43865</v>
      </c>
      <c r="B81" s="28">
        <v>0.33333333333333331</v>
      </c>
      <c r="C81" s="28" t="s">
        <v>112</v>
      </c>
      <c r="D81" s="11" t="s">
        <v>70</v>
      </c>
      <c r="E81" s="5">
        <v>53525</v>
      </c>
      <c r="F81" s="5">
        <v>53600</v>
      </c>
      <c r="G81" s="6" t="s">
        <v>81</v>
      </c>
      <c r="H81" s="6" t="s">
        <v>56</v>
      </c>
      <c r="I81" s="7" t="s">
        <v>78</v>
      </c>
      <c r="J81" s="7" t="s">
        <v>83</v>
      </c>
      <c r="K81" s="7" t="s">
        <v>84</v>
      </c>
      <c r="L81" s="8">
        <v>3</v>
      </c>
      <c r="M81" s="8" t="s">
        <v>82</v>
      </c>
      <c r="N81" s="8">
        <f t="shared" si="3"/>
        <v>75</v>
      </c>
      <c r="O81" s="8">
        <f t="shared" si="4"/>
        <v>225</v>
      </c>
      <c r="P81" s="9">
        <f ca="1">IF(ISNA(VLOOKUP($H81,ClientAll,COLUMN(Clients!$C$8),0))=TRUE,0,VLOOKUP($H81,ClientAll,COLUMN(Clients!$C$8),0))</f>
        <v>75</v>
      </c>
      <c r="Q81" s="8">
        <f t="shared" ca="1" si="5"/>
        <v>0</v>
      </c>
      <c r="R81" s="10" t="str">
        <f ca="1">IF(ISNA(VLOOKUP($D81,VehicleID,COLUMN(Vehicles!$A$8),0))=TRUE,"E1",IF(ISNA(VLOOKUP($H81,ClientID,COLUMN(Vehicles!$A$8),0))=TRUE,"E2",IF(AND($G81&lt;&gt;"Business",$H81&lt;&gt;"XXX01"),"E3",IF(AND($G81="Business",$H81="XXX01"),"E4","-"))))</f>
        <v>-</v>
      </c>
    </row>
    <row r="82" spans="1:18" ht="16" customHeight="1" x14ac:dyDescent="0.25">
      <c r="A82" s="27">
        <v>43865</v>
      </c>
      <c r="B82" s="28">
        <v>0.33333333333333331</v>
      </c>
      <c r="C82" s="28" t="s">
        <v>118</v>
      </c>
      <c r="D82" s="11" t="s">
        <v>71</v>
      </c>
      <c r="E82" s="5">
        <v>35541</v>
      </c>
      <c r="F82" s="5">
        <v>35573</v>
      </c>
      <c r="G82" s="6" t="s">
        <v>81</v>
      </c>
      <c r="H82" s="6" t="s">
        <v>43</v>
      </c>
      <c r="I82" s="7" t="s">
        <v>78</v>
      </c>
      <c r="J82" s="7" t="s">
        <v>83</v>
      </c>
      <c r="K82" s="7" t="s">
        <v>84</v>
      </c>
      <c r="L82" s="8">
        <v>3</v>
      </c>
      <c r="M82" s="8" t="s">
        <v>87</v>
      </c>
      <c r="N82" s="8">
        <f t="shared" si="3"/>
        <v>32</v>
      </c>
      <c r="O82" s="8">
        <f t="shared" si="4"/>
        <v>96</v>
      </c>
      <c r="P82" s="9">
        <f ca="1">IF(ISNA(VLOOKUP($H82,ClientAll,COLUMN(Clients!$C$8),0))=TRUE,0,VLOOKUP($H82,ClientAll,COLUMN(Clients!$C$8),0))</f>
        <v>32</v>
      </c>
      <c r="Q82" s="8">
        <f t="shared" ca="1" si="5"/>
        <v>0</v>
      </c>
      <c r="R82" s="10" t="str">
        <f ca="1">IF(ISNA(VLOOKUP($D82,VehicleID,COLUMN(Vehicles!$A$8),0))=TRUE,"E1",IF(ISNA(VLOOKUP($H82,ClientID,COLUMN(Vehicles!$A$8),0))=TRUE,"E2",IF(AND($G82&lt;&gt;"Business",$H82&lt;&gt;"XXX01"),"E3",IF(AND($G82="Business",$H82="XXX01"),"E4","-"))))</f>
        <v>-</v>
      </c>
    </row>
    <row r="83" spans="1:18" ht="16" customHeight="1" x14ac:dyDescent="0.25">
      <c r="A83" s="27">
        <v>43865</v>
      </c>
      <c r="C83" s="28" t="s">
        <v>112</v>
      </c>
      <c r="D83" s="11" t="s">
        <v>70</v>
      </c>
      <c r="E83" s="5">
        <v>53600</v>
      </c>
      <c r="F83" s="5">
        <v>53685</v>
      </c>
      <c r="G83" s="6" t="s">
        <v>80</v>
      </c>
      <c r="H83" s="6" t="s">
        <v>55</v>
      </c>
      <c r="I83" s="7" t="s">
        <v>86</v>
      </c>
      <c r="J83" s="7" t="s">
        <v>86</v>
      </c>
      <c r="K83" s="7" t="s">
        <v>85</v>
      </c>
      <c r="L83" s="8">
        <v>0</v>
      </c>
      <c r="M83" s="8" t="s">
        <v>82</v>
      </c>
      <c r="N83" s="8">
        <f t="shared" si="3"/>
        <v>85</v>
      </c>
      <c r="O83" s="8">
        <f t="shared" si="4"/>
        <v>0</v>
      </c>
      <c r="P83" s="9">
        <f ca="1">IF(ISNA(VLOOKUP($H83,ClientAll,COLUMN(Clients!$C$8),0))=TRUE,0,VLOOKUP($H83,ClientAll,COLUMN(Clients!$C$8),0))</f>
        <v>0</v>
      </c>
      <c r="Q83" s="8">
        <f t="shared" si="5"/>
        <v>0</v>
      </c>
      <c r="R83" s="10" t="str">
        <f ca="1">IF(ISNA(VLOOKUP($D83,VehicleID,COLUMN(Vehicles!$A$8),0))=TRUE,"E1",IF(ISNA(VLOOKUP($H83,ClientID,COLUMN(Vehicles!$A$8),0))=TRUE,"E2",IF(AND($G83&lt;&gt;"Business",$H83&lt;&gt;"XXX01"),"E3",IF(AND($G83="Business",$H83="XXX01"),"E4","-"))))</f>
        <v>-</v>
      </c>
    </row>
    <row r="84" spans="1:18" ht="16" customHeight="1" x14ac:dyDescent="0.25">
      <c r="A84" s="27">
        <v>43865</v>
      </c>
      <c r="C84" s="28" t="s">
        <v>118</v>
      </c>
      <c r="D84" s="11" t="s">
        <v>71</v>
      </c>
      <c r="E84" s="5">
        <v>35573</v>
      </c>
      <c r="F84" s="5">
        <v>35587</v>
      </c>
      <c r="G84" s="6" t="s">
        <v>80</v>
      </c>
      <c r="H84" s="6" t="s">
        <v>55</v>
      </c>
      <c r="I84" s="7" t="s">
        <v>86</v>
      </c>
      <c r="J84" s="7" t="s">
        <v>86</v>
      </c>
      <c r="K84" s="7" t="s">
        <v>85</v>
      </c>
      <c r="L84" s="8">
        <v>0</v>
      </c>
      <c r="M84" s="8" t="s">
        <v>87</v>
      </c>
      <c r="N84" s="8">
        <f t="shared" si="3"/>
        <v>14</v>
      </c>
      <c r="O84" s="8">
        <f t="shared" si="4"/>
        <v>0</v>
      </c>
      <c r="P84" s="9">
        <f ca="1">IF(ISNA(VLOOKUP($H84,ClientAll,COLUMN(Clients!$C$8),0))=TRUE,0,VLOOKUP($H84,ClientAll,COLUMN(Clients!$C$8),0))</f>
        <v>0</v>
      </c>
      <c r="Q84" s="8">
        <f t="shared" si="5"/>
        <v>0</v>
      </c>
      <c r="R84" s="10" t="str">
        <f ca="1">IF(ISNA(VLOOKUP($D84,VehicleID,COLUMN(Vehicles!$A$8),0))=TRUE,"E1",IF(ISNA(VLOOKUP($H84,ClientID,COLUMN(Vehicles!$A$8),0))=TRUE,"E2",IF(AND($G84&lt;&gt;"Business",$H84&lt;&gt;"XXX01"),"E3",IF(AND($G84="Business",$H84="XXX01"),"E4","-"))))</f>
        <v>-</v>
      </c>
    </row>
    <row r="85" spans="1:18" ht="16" customHeight="1" x14ac:dyDescent="0.25">
      <c r="A85" s="27">
        <v>43866</v>
      </c>
      <c r="B85" s="28">
        <v>0.33333333333333331</v>
      </c>
      <c r="C85" s="28" t="s">
        <v>112</v>
      </c>
      <c r="D85" s="11" t="s">
        <v>70</v>
      </c>
      <c r="E85" s="5">
        <v>53685</v>
      </c>
      <c r="F85" s="5">
        <v>53760</v>
      </c>
      <c r="G85" s="6" t="s">
        <v>81</v>
      </c>
      <c r="H85" s="6" t="s">
        <v>56</v>
      </c>
      <c r="I85" s="7" t="s">
        <v>78</v>
      </c>
      <c r="J85" s="7" t="s">
        <v>83</v>
      </c>
      <c r="K85" s="7" t="s">
        <v>84</v>
      </c>
      <c r="L85" s="8">
        <v>3</v>
      </c>
      <c r="M85" s="8" t="s">
        <v>82</v>
      </c>
      <c r="N85" s="8">
        <f t="shared" si="3"/>
        <v>75</v>
      </c>
      <c r="O85" s="8">
        <f t="shared" si="4"/>
        <v>225</v>
      </c>
      <c r="P85" s="9">
        <f ca="1">IF(ISNA(VLOOKUP($H85,ClientAll,COLUMN(Clients!$C$8),0))=TRUE,0,VLOOKUP($H85,ClientAll,COLUMN(Clients!$C$8),0))</f>
        <v>75</v>
      </c>
      <c r="Q85" s="8">
        <f t="shared" ca="1" si="5"/>
        <v>0</v>
      </c>
      <c r="R85" s="10" t="str">
        <f ca="1">IF(ISNA(VLOOKUP($D85,VehicleID,COLUMN(Vehicles!$A$8),0))=TRUE,"E1",IF(ISNA(VLOOKUP($H85,ClientID,COLUMN(Vehicles!$A$8),0))=TRUE,"E2",IF(AND($G85&lt;&gt;"Business",$H85&lt;&gt;"XXX01"),"E3",IF(AND($G85="Business",$H85="XXX01"),"E4","-"))))</f>
        <v>-</v>
      </c>
    </row>
    <row r="86" spans="1:18" ht="16" customHeight="1" x14ac:dyDescent="0.25">
      <c r="A86" s="27">
        <v>43866</v>
      </c>
      <c r="B86" s="28">
        <v>0.33333333333333331</v>
      </c>
      <c r="C86" s="28" t="s">
        <v>118</v>
      </c>
      <c r="D86" s="11" t="s">
        <v>71</v>
      </c>
      <c r="E86" s="5">
        <v>35587</v>
      </c>
      <c r="F86" s="5">
        <v>35619</v>
      </c>
      <c r="G86" s="6" t="s">
        <v>81</v>
      </c>
      <c r="H86" s="6" t="s">
        <v>43</v>
      </c>
      <c r="I86" s="7" t="s">
        <v>78</v>
      </c>
      <c r="J86" s="7" t="s">
        <v>83</v>
      </c>
      <c r="K86" s="7" t="s">
        <v>84</v>
      </c>
      <c r="L86" s="8">
        <v>3</v>
      </c>
      <c r="M86" s="8" t="s">
        <v>87</v>
      </c>
      <c r="N86" s="8">
        <f t="shared" si="3"/>
        <v>32</v>
      </c>
      <c r="O86" s="8">
        <f t="shared" si="4"/>
        <v>96</v>
      </c>
      <c r="P86" s="9">
        <f ca="1">IF(ISNA(VLOOKUP($H86,ClientAll,COLUMN(Clients!$C$8),0))=TRUE,0,VLOOKUP($H86,ClientAll,COLUMN(Clients!$C$8),0))</f>
        <v>32</v>
      </c>
      <c r="Q86" s="8">
        <f t="shared" ca="1" si="5"/>
        <v>0</v>
      </c>
      <c r="R86" s="10" t="str">
        <f ca="1">IF(ISNA(VLOOKUP($D86,VehicleID,COLUMN(Vehicles!$A$8),0))=TRUE,"E1",IF(ISNA(VLOOKUP($H86,ClientID,COLUMN(Vehicles!$A$8),0))=TRUE,"E2",IF(AND($G86&lt;&gt;"Business",$H86&lt;&gt;"XXX01"),"E3",IF(AND($G86="Business",$H86="XXX01"),"E4","-"))))</f>
        <v>-</v>
      </c>
    </row>
    <row r="87" spans="1:18" ht="16" customHeight="1" x14ac:dyDescent="0.25">
      <c r="A87" s="27">
        <v>43866</v>
      </c>
      <c r="C87" s="28" t="s">
        <v>112</v>
      </c>
      <c r="D87" s="11" t="s">
        <v>70</v>
      </c>
      <c r="E87" s="5">
        <v>53760</v>
      </c>
      <c r="F87" s="5">
        <v>53836</v>
      </c>
      <c r="G87" s="6" t="s">
        <v>80</v>
      </c>
      <c r="H87" s="6" t="s">
        <v>55</v>
      </c>
      <c r="I87" s="7" t="s">
        <v>86</v>
      </c>
      <c r="J87" s="7" t="s">
        <v>86</v>
      </c>
      <c r="K87" s="7" t="s">
        <v>85</v>
      </c>
      <c r="L87" s="8">
        <v>0</v>
      </c>
      <c r="M87" s="8" t="s">
        <v>82</v>
      </c>
      <c r="N87" s="8">
        <f t="shared" si="3"/>
        <v>76</v>
      </c>
      <c r="O87" s="8">
        <f t="shared" si="4"/>
        <v>0</v>
      </c>
      <c r="P87" s="9">
        <f ca="1">IF(ISNA(VLOOKUP($H87,ClientAll,COLUMN(Clients!$C$8),0))=TRUE,0,VLOOKUP($H87,ClientAll,COLUMN(Clients!$C$8),0))</f>
        <v>0</v>
      </c>
      <c r="Q87" s="8">
        <f t="shared" si="5"/>
        <v>0</v>
      </c>
      <c r="R87" s="10" t="str">
        <f ca="1">IF(ISNA(VLOOKUP($D87,VehicleID,COLUMN(Vehicles!$A$8),0))=TRUE,"E1",IF(ISNA(VLOOKUP($H87,ClientID,COLUMN(Vehicles!$A$8),0))=TRUE,"E2",IF(AND($G87&lt;&gt;"Business",$H87&lt;&gt;"XXX01"),"E3",IF(AND($G87="Business",$H87="XXX01"),"E4","-"))))</f>
        <v>-</v>
      </c>
    </row>
    <row r="88" spans="1:18" ht="16" customHeight="1" x14ac:dyDescent="0.25">
      <c r="A88" s="27">
        <v>43866</v>
      </c>
      <c r="C88" s="28" t="s">
        <v>118</v>
      </c>
      <c r="D88" s="11" t="s">
        <v>71</v>
      </c>
      <c r="E88" s="5">
        <v>35619</v>
      </c>
      <c r="F88" s="5">
        <v>35633</v>
      </c>
      <c r="G88" s="6" t="s">
        <v>80</v>
      </c>
      <c r="H88" s="6" t="s">
        <v>55</v>
      </c>
      <c r="I88" s="7" t="s">
        <v>86</v>
      </c>
      <c r="J88" s="7" t="s">
        <v>86</v>
      </c>
      <c r="K88" s="7" t="s">
        <v>85</v>
      </c>
      <c r="L88" s="8">
        <v>0</v>
      </c>
      <c r="M88" s="8" t="s">
        <v>87</v>
      </c>
      <c r="N88" s="8">
        <f t="shared" si="3"/>
        <v>14</v>
      </c>
      <c r="O88" s="8">
        <f t="shared" si="4"/>
        <v>0</v>
      </c>
      <c r="P88" s="9">
        <f ca="1">IF(ISNA(VLOOKUP($H88,ClientAll,COLUMN(Clients!$C$8),0))=TRUE,0,VLOOKUP($H88,ClientAll,COLUMN(Clients!$C$8),0))</f>
        <v>0</v>
      </c>
      <c r="Q88" s="8">
        <f t="shared" si="5"/>
        <v>0</v>
      </c>
      <c r="R88" s="10" t="str">
        <f ca="1">IF(ISNA(VLOOKUP($D88,VehicleID,COLUMN(Vehicles!$A$8),0))=TRUE,"E1",IF(ISNA(VLOOKUP($H88,ClientID,COLUMN(Vehicles!$A$8),0))=TRUE,"E2",IF(AND($G88&lt;&gt;"Business",$H88&lt;&gt;"XXX01"),"E3",IF(AND($G88="Business",$H88="XXX01"),"E4","-"))))</f>
        <v>-</v>
      </c>
    </row>
    <row r="89" spans="1:18" ht="16" customHeight="1" x14ac:dyDescent="0.25">
      <c r="A89" s="27">
        <v>43867</v>
      </c>
      <c r="B89" s="28">
        <v>0.33333333333333331</v>
      </c>
      <c r="C89" s="28" t="s">
        <v>116</v>
      </c>
      <c r="D89" s="11" t="s">
        <v>70</v>
      </c>
      <c r="E89" s="5">
        <v>53836</v>
      </c>
      <c r="F89" s="5">
        <v>53911</v>
      </c>
      <c r="G89" s="6" t="s">
        <v>81</v>
      </c>
      <c r="H89" s="6" t="s">
        <v>56</v>
      </c>
      <c r="I89" s="7" t="s">
        <v>78</v>
      </c>
      <c r="J89" s="7" t="s">
        <v>83</v>
      </c>
      <c r="K89" s="7" t="s">
        <v>84</v>
      </c>
      <c r="L89" s="8">
        <v>3</v>
      </c>
      <c r="M89" s="8" t="s">
        <v>82</v>
      </c>
      <c r="N89" s="8">
        <f t="shared" si="3"/>
        <v>75</v>
      </c>
      <c r="O89" s="8">
        <f t="shared" si="4"/>
        <v>225</v>
      </c>
      <c r="P89" s="9">
        <f ca="1">IF(ISNA(VLOOKUP($H89,ClientAll,COLUMN(Clients!$C$8),0))=TRUE,0,VLOOKUP($H89,ClientAll,COLUMN(Clients!$C$8),0))</f>
        <v>75</v>
      </c>
      <c r="Q89" s="8">
        <f t="shared" ca="1" si="5"/>
        <v>0</v>
      </c>
      <c r="R89" s="10" t="str">
        <f ca="1">IF(ISNA(VLOOKUP($D89,VehicleID,COLUMN(Vehicles!$A$8),0))=TRUE,"E1",IF(ISNA(VLOOKUP($H89,ClientID,COLUMN(Vehicles!$A$8),0))=TRUE,"E2",IF(AND($G89&lt;&gt;"Business",$H89&lt;&gt;"XXX01"),"E3",IF(AND($G89="Business",$H89="XXX01"),"E4","-"))))</f>
        <v>-</v>
      </c>
    </row>
    <row r="90" spans="1:18" ht="16" customHeight="1" x14ac:dyDescent="0.25">
      <c r="A90" s="27">
        <v>43867</v>
      </c>
      <c r="B90" s="28">
        <v>0.33333333333333331</v>
      </c>
      <c r="C90" s="28" t="s">
        <v>113</v>
      </c>
      <c r="D90" s="11" t="s">
        <v>71</v>
      </c>
      <c r="E90" s="5">
        <v>35633</v>
      </c>
      <c r="F90" s="5">
        <v>35665</v>
      </c>
      <c r="G90" s="6" t="s">
        <v>81</v>
      </c>
      <c r="H90" s="6" t="s">
        <v>43</v>
      </c>
      <c r="I90" s="7" t="s">
        <v>78</v>
      </c>
      <c r="J90" s="7" t="s">
        <v>83</v>
      </c>
      <c r="K90" s="7" t="s">
        <v>84</v>
      </c>
      <c r="L90" s="8">
        <v>3</v>
      </c>
      <c r="M90" s="8" t="s">
        <v>87</v>
      </c>
      <c r="N90" s="8">
        <f t="shared" si="3"/>
        <v>32</v>
      </c>
      <c r="O90" s="8">
        <f t="shared" si="4"/>
        <v>96</v>
      </c>
      <c r="P90" s="9">
        <f ca="1">IF(ISNA(VLOOKUP($H90,ClientAll,COLUMN(Clients!$C$8),0))=TRUE,0,VLOOKUP($H90,ClientAll,COLUMN(Clients!$C$8),0))</f>
        <v>32</v>
      </c>
      <c r="Q90" s="8">
        <f t="shared" ca="1" si="5"/>
        <v>0</v>
      </c>
      <c r="R90" s="10" t="str">
        <f ca="1">IF(ISNA(VLOOKUP($D90,VehicleID,COLUMN(Vehicles!$A$8),0))=TRUE,"E1",IF(ISNA(VLOOKUP($H90,ClientID,COLUMN(Vehicles!$A$8),0))=TRUE,"E2",IF(AND($G90&lt;&gt;"Business",$H90&lt;&gt;"XXX01"),"E3",IF(AND($G90="Business",$H90="XXX01"),"E4","-"))))</f>
        <v>-</v>
      </c>
    </row>
    <row r="91" spans="1:18" ht="16" customHeight="1" x14ac:dyDescent="0.25">
      <c r="A91" s="27">
        <v>43867</v>
      </c>
      <c r="B91" s="28">
        <v>0.70833333333333337</v>
      </c>
      <c r="C91" s="28" t="s">
        <v>121</v>
      </c>
      <c r="D91" s="11" t="s">
        <v>72</v>
      </c>
      <c r="E91" s="5">
        <v>112293</v>
      </c>
      <c r="F91" s="5">
        <v>112713</v>
      </c>
      <c r="G91" s="6" t="s">
        <v>81</v>
      </c>
      <c r="H91" s="6" t="s">
        <v>37</v>
      </c>
      <c r="I91" s="7" t="s">
        <v>83</v>
      </c>
      <c r="J91" s="7" t="s">
        <v>78</v>
      </c>
      <c r="K91" s="7" t="s">
        <v>84</v>
      </c>
      <c r="L91" s="8">
        <v>2.5</v>
      </c>
      <c r="M91" s="8" t="s">
        <v>89</v>
      </c>
      <c r="N91" s="8">
        <f t="shared" si="3"/>
        <v>420</v>
      </c>
      <c r="O91" s="8">
        <f t="shared" si="4"/>
        <v>1050</v>
      </c>
      <c r="P91" s="9">
        <f ca="1">IF(ISNA(VLOOKUP($H91,ClientAll,COLUMN(Clients!$C$8),0))=TRUE,0,VLOOKUP($H91,ClientAll,COLUMN(Clients!$C$8),0))</f>
        <v>420</v>
      </c>
      <c r="Q91" s="8">
        <f t="shared" ca="1" si="5"/>
        <v>0</v>
      </c>
      <c r="R91" s="10" t="str">
        <f ca="1">IF(ISNA(VLOOKUP($D91,VehicleID,COLUMN(Vehicles!$A$8),0))=TRUE,"E1",IF(ISNA(VLOOKUP($H91,ClientID,COLUMN(Vehicles!$A$8),0))=TRUE,"E2",IF(AND($G91&lt;&gt;"Business",$H91&lt;&gt;"XXX01"),"E3",IF(AND($G91="Business",$H91="XXX01"),"E4","-"))))</f>
        <v>-</v>
      </c>
    </row>
    <row r="92" spans="1:18" ht="16" customHeight="1" x14ac:dyDescent="0.25">
      <c r="A92" s="27">
        <v>43868</v>
      </c>
      <c r="C92" s="28" t="s">
        <v>116</v>
      </c>
      <c r="D92" s="11" t="s">
        <v>70</v>
      </c>
      <c r="E92" s="5">
        <v>53911</v>
      </c>
      <c r="F92" s="5">
        <v>53974</v>
      </c>
      <c r="G92" s="6" t="s">
        <v>80</v>
      </c>
      <c r="H92" s="6" t="s">
        <v>55</v>
      </c>
      <c r="I92" s="7" t="s">
        <v>86</v>
      </c>
      <c r="J92" s="7" t="s">
        <v>86</v>
      </c>
      <c r="K92" s="7" t="s">
        <v>85</v>
      </c>
      <c r="L92" s="8">
        <v>0</v>
      </c>
      <c r="M92" s="8" t="s">
        <v>82</v>
      </c>
      <c r="N92" s="8">
        <f t="shared" si="3"/>
        <v>63</v>
      </c>
      <c r="O92" s="8">
        <f t="shared" si="4"/>
        <v>0</v>
      </c>
      <c r="P92" s="9">
        <f ca="1">IF(ISNA(VLOOKUP($H92,ClientAll,COLUMN(Clients!$C$8),0))=TRUE,0,VLOOKUP($H92,ClientAll,COLUMN(Clients!$C$8),0))</f>
        <v>0</v>
      </c>
      <c r="Q92" s="8">
        <f t="shared" si="5"/>
        <v>0</v>
      </c>
      <c r="R92" s="10" t="str">
        <f ca="1">IF(ISNA(VLOOKUP($D92,VehicleID,COLUMN(Vehicles!$A$8),0))=TRUE,"E1",IF(ISNA(VLOOKUP($H92,ClientID,COLUMN(Vehicles!$A$8),0))=TRUE,"E2",IF(AND($G92&lt;&gt;"Business",$H92&lt;&gt;"XXX01"),"E3",IF(AND($G92="Business",$H92="XXX01"),"E4","-"))))</f>
        <v>-</v>
      </c>
    </row>
    <row r="93" spans="1:18" ht="16" customHeight="1" x14ac:dyDescent="0.25">
      <c r="A93" s="27">
        <v>43868</v>
      </c>
      <c r="C93" s="28" t="s">
        <v>113</v>
      </c>
      <c r="D93" s="11" t="s">
        <v>71</v>
      </c>
      <c r="E93" s="5">
        <v>35665</v>
      </c>
      <c r="F93" s="5">
        <v>35678</v>
      </c>
      <c r="G93" s="6" t="s">
        <v>80</v>
      </c>
      <c r="H93" s="6" t="s">
        <v>55</v>
      </c>
      <c r="I93" s="7" t="s">
        <v>86</v>
      </c>
      <c r="J93" s="7" t="s">
        <v>86</v>
      </c>
      <c r="K93" s="7" t="s">
        <v>85</v>
      </c>
      <c r="L93" s="8">
        <v>0</v>
      </c>
      <c r="M93" s="8" t="s">
        <v>87</v>
      </c>
      <c r="N93" s="8">
        <f t="shared" si="3"/>
        <v>13</v>
      </c>
      <c r="O93" s="8">
        <f t="shared" si="4"/>
        <v>0</v>
      </c>
      <c r="P93" s="9">
        <f ca="1">IF(ISNA(VLOOKUP($H93,ClientAll,COLUMN(Clients!$C$8),0))=TRUE,0,VLOOKUP($H93,ClientAll,COLUMN(Clients!$C$8),0))</f>
        <v>0</v>
      </c>
      <c r="Q93" s="8">
        <f t="shared" si="5"/>
        <v>0</v>
      </c>
      <c r="R93" s="10" t="str">
        <f ca="1">IF(ISNA(VLOOKUP($D93,VehicleID,COLUMN(Vehicles!$A$8),0))=TRUE,"E1",IF(ISNA(VLOOKUP($H93,ClientID,COLUMN(Vehicles!$A$8),0))=TRUE,"E2",IF(AND($G93&lt;&gt;"Business",$H93&lt;&gt;"XXX01"),"E3",IF(AND($G93="Business",$H93="XXX01"),"E4","-"))))</f>
        <v>-</v>
      </c>
    </row>
    <row r="94" spans="1:18" ht="16" customHeight="1" x14ac:dyDescent="0.25">
      <c r="A94" s="27">
        <v>43871</v>
      </c>
      <c r="B94" s="28">
        <v>0.33333333333333331</v>
      </c>
      <c r="C94" s="28" t="s">
        <v>116</v>
      </c>
      <c r="D94" s="11" t="s">
        <v>70</v>
      </c>
      <c r="E94" s="5">
        <v>53974</v>
      </c>
      <c r="F94" s="5">
        <v>54049</v>
      </c>
      <c r="G94" s="6" t="s">
        <v>81</v>
      </c>
      <c r="H94" s="6" t="s">
        <v>56</v>
      </c>
      <c r="I94" s="7" t="s">
        <v>78</v>
      </c>
      <c r="J94" s="7" t="s">
        <v>83</v>
      </c>
      <c r="K94" s="7" t="s">
        <v>84</v>
      </c>
      <c r="L94" s="8">
        <v>3</v>
      </c>
      <c r="M94" s="8" t="s">
        <v>82</v>
      </c>
      <c r="N94" s="8">
        <f t="shared" si="3"/>
        <v>75</v>
      </c>
      <c r="O94" s="8">
        <f t="shared" si="4"/>
        <v>225</v>
      </c>
      <c r="P94" s="9">
        <f ca="1">IF(ISNA(VLOOKUP($H94,ClientAll,COLUMN(Clients!$C$8),0))=TRUE,0,VLOOKUP($H94,ClientAll,COLUMN(Clients!$C$8),0))</f>
        <v>75</v>
      </c>
      <c r="Q94" s="8">
        <f t="shared" ca="1" si="5"/>
        <v>0</v>
      </c>
      <c r="R94" s="10" t="str">
        <f ca="1">IF(ISNA(VLOOKUP($D94,VehicleID,COLUMN(Vehicles!$A$8),0))=TRUE,"E1",IF(ISNA(VLOOKUP($H94,ClientID,COLUMN(Vehicles!$A$8),0))=TRUE,"E2",IF(AND($G94&lt;&gt;"Business",$H94&lt;&gt;"XXX01"),"E3",IF(AND($G94="Business",$H94="XXX01"),"E4","-"))))</f>
        <v>-</v>
      </c>
    </row>
    <row r="95" spans="1:18" ht="16" customHeight="1" x14ac:dyDescent="0.25">
      <c r="A95" s="27">
        <v>43871</v>
      </c>
      <c r="B95" s="28">
        <v>0.33333333333333331</v>
      </c>
      <c r="C95" s="28" t="s">
        <v>113</v>
      </c>
      <c r="D95" s="11" t="s">
        <v>71</v>
      </c>
      <c r="E95" s="5">
        <v>35678</v>
      </c>
      <c r="F95" s="5">
        <v>35710</v>
      </c>
      <c r="G95" s="6" t="s">
        <v>81</v>
      </c>
      <c r="H95" s="6" t="s">
        <v>43</v>
      </c>
      <c r="I95" s="7" t="s">
        <v>78</v>
      </c>
      <c r="J95" s="7" t="s">
        <v>83</v>
      </c>
      <c r="K95" s="7" t="s">
        <v>84</v>
      </c>
      <c r="L95" s="8">
        <v>3</v>
      </c>
      <c r="M95" s="8" t="s">
        <v>87</v>
      </c>
      <c r="N95" s="8">
        <f t="shared" si="3"/>
        <v>32</v>
      </c>
      <c r="O95" s="8">
        <f t="shared" si="4"/>
        <v>96</v>
      </c>
      <c r="P95" s="9">
        <f ca="1">IF(ISNA(VLOOKUP($H95,ClientAll,COLUMN(Clients!$C$8),0))=TRUE,0,VLOOKUP($H95,ClientAll,COLUMN(Clients!$C$8),0))</f>
        <v>32</v>
      </c>
      <c r="Q95" s="8">
        <f t="shared" ca="1" si="5"/>
        <v>0</v>
      </c>
      <c r="R95" s="10" t="str">
        <f ca="1">IF(ISNA(VLOOKUP($D95,VehicleID,COLUMN(Vehicles!$A$8),0))=TRUE,"E1",IF(ISNA(VLOOKUP($H95,ClientID,COLUMN(Vehicles!$A$8),0))=TRUE,"E2",IF(AND($G95&lt;&gt;"Business",$H95&lt;&gt;"XXX01"),"E3",IF(AND($G95="Business",$H95="XXX01"),"E4","-"))))</f>
        <v>-</v>
      </c>
    </row>
    <row r="96" spans="1:18" ht="16" customHeight="1" x14ac:dyDescent="0.25">
      <c r="A96" s="27">
        <v>43871</v>
      </c>
      <c r="B96" s="28">
        <v>0.33333333333333331</v>
      </c>
      <c r="C96" s="28" t="s">
        <v>121</v>
      </c>
      <c r="D96" s="11" t="s">
        <v>72</v>
      </c>
      <c r="E96" s="5">
        <v>112713</v>
      </c>
      <c r="F96" s="5">
        <v>113133</v>
      </c>
      <c r="G96" s="6" t="s">
        <v>81</v>
      </c>
      <c r="H96" s="6" t="s">
        <v>37</v>
      </c>
      <c r="I96" s="7" t="s">
        <v>78</v>
      </c>
      <c r="J96" s="7" t="s">
        <v>83</v>
      </c>
      <c r="K96" s="7" t="s">
        <v>84</v>
      </c>
      <c r="L96" s="8">
        <v>2.5</v>
      </c>
      <c r="M96" s="8" t="s">
        <v>89</v>
      </c>
      <c r="N96" s="8">
        <f t="shared" si="3"/>
        <v>420</v>
      </c>
      <c r="O96" s="8">
        <f t="shared" si="4"/>
        <v>1050</v>
      </c>
      <c r="P96" s="9">
        <f ca="1">IF(ISNA(VLOOKUP($H96,ClientAll,COLUMN(Clients!$C$8),0))=TRUE,0,VLOOKUP($H96,ClientAll,COLUMN(Clients!$C$8),0))</f>
        <v>420</v>
      </c>
      <c r="Q96" s="8">
        <f t="shared" ca="1" si="5"/>
        <v>0</v>
      </c>
      <c r="R96" s="10" t="str">
        <f ca="1">IF(ISNA(VLOOKUP($D96,VehicleID,COLUMN(Vehicles!$A$8),0))=TRUE,"E1",IF(ISNA(VLOOKUP($H96,ClientID,COLUMN(Vehicles!$A$8),0))=TRUE,"E2",IF(AND($G96&lt;&gt;"Business",$H96&lt;&gt;"XXX01"),"E3",IF(AND($G96="Business",$H96="XXX01"),"E4","-"))))</f>
        <v>-</v>
      </c>
    </row>
    <row r="97" spans="1:18" ht="16" customHeight="1" x14ac:dyDescent="0.25">
      <c r="A97" s="27">
        <v>43871</v>
      </c>
      <c r="C97" s="28" t="s">
        <v>116</v>
      </c>
      <c r="D97" s="11" t="s">
        <v>70</v>
      </c>
      <c r="E97" s="5">
        <v>54049</v>
      </c>
      <c r="F97" s="5">
        <v>54111</v>
      </c>
      <c r="G97" s="6" t="s">
        <v>80</v>
      </c>
      <c r="H97" s="6" t="s">
        <v>55</v>
      </c>
      <c r="I97" s="7" t="s">
        <v>86</v>
      </c>
      <c r="J97" s="7" t="s">
        <v>86</v>
      </c>
      <c r="K97" s="7" t="s">
        <v>85</v>
      </c>
      <c r="L97" s="8">
        <v>0</v>
      </c>
      <c r="M97" s="8" t="s">
        <v>82</v>
      </c>
      <c r="N97" s="8">
        <f t="shared" si="3"/>
        <v>62</v>
      </c>
      <c r="O97" s="8">
        <f t="shared" si="4"/>
        <v>0</v>
      </c>
      <c r="P97" s="9">
        <f ca="1">IF(ISNA(VLOOKUP($H97,ClientAll,COLUMN(Clients!$C$8),0))=TRUE,0,VLOOKUP($H97,ClientAll,COLUMN(Clients!$C$8),0))</f>
        <v>0</v>
      </c>
      <c r="Q97" s="8">
        <f t="shared" si="5"/>
        <v>0</v>
      </c>
      <c r="R97" s="10" t="str">
        <f ca="1">IF(ISNA(VLOOKUP($D97,VehicleID,COLUMN(Vehicles!$A$8),0))=TRUE,"E1",IF(ISNA(VLOOKUP($H97,ClientID,COLUMN(Vehicles!$A$8),0))=TRUE,"E2",IF(AND($G97&lt;&gt;"Business",$H97&lt;&gt;"XXX01"),"E3",IF(AND($G97="Business",$H97="XXX01"),"E4","-"))))</f>
        <v>-</v>
      </c>
    </row>
    <row r="98" spans="1:18" ht="16" customHeight="1" x14ac:dyDescent="0.25">
      <c r="A98" s="27">
        <v>43871</v>
      </c>
      <c r="C98" s="28" t="s">
        <v>113</v>
      </c>
      <c r="D98" s="11" t="s">
        <v>71</v>
      </c>
      <c r="E98" s="5">
        <v>35710</v>
      </c>
      <c r="F98" s="5">
        <v>35735</v>
      </c>
      <c r="G98" s="6" t="s">
        <v>80</v>
      </c>
      <c r="H98" s="6" t="s">
        <v>55</v>
      </c>
      <c r="I98" s="7" t="s">
        <v>86</v>
      </c>
      <c r="J98" s="7" t="s">
        <v>86</v>
      </c>
      <c r="K98" s="7" t="s">
        <v>85</v>
      </c>
      <c r="L98" s="8">
        <v>0</v>
      </c>
      <c r="M98" s="8" t="s">
        <v>87</v>
      </c>
      <c r="N98" s="8">
        <f t="shared" si="3"/>
        <v>25</v>
      </c>
      <c r="O98" s="8">
        <f t="shared" si="4"/>
        <v>0</v>
      </c>
      <c r="P98" s="9">
        <f ca="1">IF(ISNA(VLOOKUP($H98,ClientAll,COLUMN(Clients!$C$8),0))=TRUE,0,VLOOKUP($H98,ClientAll,COLUMN(Clients!$C$8),0))</f>
        <v>0</v>
      </c>
      <c r="Q98" s="8">
        <f t="shared" si="5"/>
        <v>0</v>
      </c>
      <c r="R98" s="10" t="str">
        <f ca="1">IF(ISNA(VLOOKUP($D98,VehicleID,COLUMN(Vehicles!$A$8),0))=TRUE,"E1",IF(ISNA(VLOOKUP($H98,ClientID,COLUMN(Vehicles!$A$8),0))=TRUE,"E2",IF(AND($G98&lt;&gt;"Business",$H98&lt;&gt;"XXX01"),"E3",IF(AND($G98="Business",$H98="XXX01"),"E4","-"))))</f>
        <v>-</v>
      </c>
    </row>
    <row r="99" spans="1:18" ht="16" customHeight="1" x14ac:dyDescent="0.25">
      <c r="A99" s="27">
        <v>43872</v>
      </c>
      <c r="B99" s="28">
        <v>0.33333333333333331</v>
      </c>
      <c r="C99" s="28" t="s">
        <v>116</v>
      </c>
      <c r="D99" s="11" t="s">
        <v>70</v>
      </c>
      <c r="E99" s="5">
        <v>54111</v>
      </c>
      <c r="F99" s="5">
        <v>54186</v>
      </c>
      <c r="G99" s="6" t="s">
        <v>81</v>
      </c>
      <c r="H99" s="6" t="s">
        <v>56</v>
      </c>
      <c r="I99" s="7" t="s">
        <v>78</v>
      </c>
      <c r="J99" s="7" t="s">
        <v>83</v>
      </c>
      <c r="K99" s="7" t="s">
        <v>84</v>
      </c>
      <c r="L99" s="8">
        <v>3</v>
      </c>
      <c r="M99" s="8" t="s">
        <v>82</v>
      </c>
      <c r="N99" s="8">
        <f t="shared" si="3"/>
        <v>75</v>
      </c>
      <c r="O99" s="8">
        <f t="shared" si="4"/>
        <v>225</v>
      </c>
      <c r="P99" s="9">
        <f ca="1">IF(ISNA(VLOOKUP($H99,ClientAll,COLUMN(Clients!$C$8),0))=TRUE,0,VLOOKUP($H99,ClientAll,COLUMN(Clients!$C$8),0))</f>
        <v>75</v>
      </c>
      <c r="Q99" s="8">
        <f t="shared" ca="1" si="5"/>
        <v>0</v>
      </c>
      <c r="R99" s="10" t="str">
        <f ca="1">IF(ISNA(VLOOKUP($D99,VehicleID,COLUMN(Vehicles!$A$8),0))=TRUE,"E1",IF(ISNA(VLOOKUP($H99,ClientID,COLUMN(Vehicles!$A$8),0))=TRUE,"E2",IF(AND($G99&lt;&gt;"Business",$H99&lt;&gt;"XXX01"),"E3",IF(AND($G99="Business",$H99="XXX01"),"E4","-"))))</f>
        <v>-</v>
      </c>
    </row>
    <row r="100" spans="1:18" ht="16" customHeight="1" x14ac:dyDescent="0.25">
      <c r="A100" s="27">
        <v>43872</v>
      </c>
      <c r="B100" s="28">
        <v>0.33333333333333331</v>
      </c>
      <c r="C100" s="28" t="s">
        <v>113</v>
      </c>
      <c r="D100" s="11" t="s">
        <v>71</v>
      </c>
      <c r="E100" s="5">
        <v>35735</v>
      </c>
      <c r="F100" s="5">
        <v>35767</v>
      </c>
      <c r="G100" s="6" t="s">
        <v>81</v>
      </c>
      <c r="H100" s="6" t="s">
        <v>43</v>
      </c>
      <c r="I100" s="7" t="s">
        <v>78</v>
      </c>
      <c r="J100" s="7" t="s">
        <v>83</v>
      </c>
      <c r="K100" s="7" t="s">
        <v>84</v>
      </c>
      <c r="L100" s="8">
        <v>3</v>
      </c>
      <c r="M100" s="8" t="s">
        <v>87</v>
      </c>
      <c r="N100" s="8">
        <f t="shared" si="3"/>
        <v>32</v>
      </c>
      <c r="O100" s="8">
        <f t="shared" si="4"/>
        <v>96</v>
      </c>
      <c r="P100" s="9">
        <f ca="1">IF(ISNA(VLOOKUP($H100,ClientAll,COLUMN(Clients!$C$8),0))=TRUE,0,VLOOKUP($H100,ClientAll,COLUMN(Clients!$C$8),0))</f>
        <v>32</v>
      </c>
      <c r="Q100" s="8">
        <f t="shared" ca="1" si="5"/>
        <v>0</v>
      </c>
      <c r="R100" s="10" t="str">
        <f ca="1">IF(ISNA(VLOOKUP($D100,VehicleID,COLUMN(Vehicles!$A$8),0))=TRUE,"E1",IF(ISNA(VLOOKUP($H100,ClientID,COLUMN(Vehicles!$A$8),0))=TRUE,"E2",IF(AND($G100&lt;&gt;"Business",$H100&lt;&gt;"XXX01"),"E3",IF(AND($G100="Business",$H100="XXX01"),"E4","-"))))</f>
        <v>-</v>
      </c>
    </row>
    <row r="101" spans="1:18" ht="16" customHeight="1" x14ac:dyDescent="0.25">
      <c r="A101" s="27">
        <v>43872</v>
      </c>
      <c r="C101" s="28" t="s">
        <v>116</v>
      </c>
      <c r="D101" s="11" t="s">
        <v>70</v>
      </c>
      <c r="E101" s="5">
        <v>54186</v>
      </c>
      <c r="F101" s="5">
        <v>54260</v>
      </c>
      <c r="G101" s="6" t="s">
        <v>80</v>
      </c>
      <c r="H101" s="6" t="s">
        <v>55</v>
      </c>
      <c r="I101" s="7" t="s">
        <v>86</v>
      </c>
      <c r="J101" s="7" t="s">
        <v>86</v>
      </c>
      <c r="K101" s="7" t="s">
        <v>85</v>
      </c>
      <c r="L101" s="8">
        <v>0</v>
      </c>
      <c r="M101" s="8" t="s">
        <v>82</v>
      </c>
      <c r="N101" s="8">
        <f t="shared" si="3"/>
        <v>74</v>
      </c>
      <c r="O101" s="8">
        <f t="shared" si="4"/>
        <v>0</v>
      </c>
      <c r="P101" s="9">
        <f ca="1">IF(ISNA(VLOOKUP($H101,ClientAll,COLUMN(Clients!$C$8),0))=TRUE,0,VLOOKUP($H101,ClientAll,COLUMN(Clients!$C$8),0))</f>
        <v>0</v>
      </c>
      <c r="Q101" s="8">
        <f t="shared" si="5"/>
        <v>0</v>
      </c>
      <c r="R101" s="10" t="str">
        <f ca="1">IF(ISNA(VLOOKUP($D101,VehicleID,COLUMN(Vehicles!$A$8),0))=TRUE,"E1",IF(ISNA(VLOOKUP($H101,ClientID,COLUMN(Vehicles!$A$8),0))=TRUE,"E2",IF(AND($G101&lt;&gt;"Business",$H101&lt;&gt;"XXX01"),"E3",IF(AND($G101="Business",$H101="XXX01"),"E4","-"))))</f>
        <v>-</v>
      </c>
    </row>
    <row r="102" spans="1:18" ht="16" customHeight="1" x14ac:dyDescent="0.25">
      <c r="A102" s="27">
        <v>43872</v>
      </c>
      <c r="C102" s="28" t="s">
        <v>113</v>
      </c>
      <c r="D102" s="11" t="s">
        <v>71</v>
      </c>
      <c r="E102" s="5">
        <v>35767</v>
      </c>
      <c r="F102" s="5">
        <v>35792</v>
      </c>
      <c r="G102" s="6" t="s">
        <v>80</v>
      </c>
      <c r="H102" s="6" t="s">
        <v>55</v>
      </c>
      <c r="I102" s="7" t="s">
        <v>86</v>
      </c>
      <c r="J102" s="7" t="s">
        <v>86</v>
      </c>
      <c r="K102" s="7" t="s">
        <v>85</v>
      </c>
      <c r="L102" s="8">
        <v>0</v>
      </c>
      <c r="M102" s="8" t="s">
        <v>87</v>
      </c>
      <c r="N102" s="8">
        <f t="shared" si="3"/>
        <v>25</v>
      </c>
      <c r="O102" s="8">
        <f t="shared" si="4"/>
        <v>0</v>
      </c>
      <c r="P102" s="9">
        <f ca="1">IF(ISNA(VLOOKUP($H102,ClientAll,COLUMN(Clients!$C$8),0))=TRUE,0,VLOOKUP($H102,ClientAll,COLUMN(Clients!$C$8),0))</f>
        <v>0</v>
      </c>
      <c r="Q102" s="8">
        <f t="shared" si="5"/>
        <v>0</v>
      </c>
      <c r="R102" s="10" t="str">
        <f ca="1">IF(ISNA(VLOOKUP($D102,VehicleID,COLUMN(Vehicles!$A$8),0))=TRUE,"E1",IF(ISNA(VLOOKUP($H102,ClientID,COLUMN(Vehicles!$A$8),0))=TRUE,"E2",IF(AND($G102&lt;&gt;"Business",$H102&lt;&gt;"XXX01"),"E3",IF(AND($G102="Business",$H102="XXX01"),"E4","-"))))</f>
        <v>-</v>
      </c>
    </row>
    <row r="103" spans="1:18" ht="16" customHeight="1" x14ac:dyDescent="0.25">
      <c r="A103" s="27">
        <v>43873</v>
      </c>
      <c r="B103" s="28">
        <v>0.33333333333333331</v>
      </c>
      <c r="C103" s="28" t="s">
        <v>116</v>
      </c>
      <c r="D103" s="11" t="s">
        <v>70</v>
      </c>
      <c r="E103" s="5">
        <v>54260</v>
      </c>
      <c r="F103" s="5">
        <v>54335</v>
      </c>
      <c r="G103" s="6" t="s">
        <v>81</v>
      </c>
      <c r="H103" s="6" t="s">
        <v>56</v>
      </c>
      <c r="I103" s="7" t="s">
        <v>78</v>
      </c>
      <c r="J103" s="7" t="s">
        <v>83</v>
      </c>
      <c r="K103" s="7" t="s">
        <v>84</v>
      </c>
      <c r="L103" s="8">
        <v>3</v>
      </c>
      <c r="M103" s="8" t="s">
        <v>82</v>
      </c>
      <c r="N103" s="8">
        <f t="shared" si="3"/>
        <v>75</v>
      </c>
      <c r="O103" s="8">
        <f t="shared" si="4"/>
        <v>225</v>
      </c>
      <c r="P103" s="9">
        <f ca="1">IF(ISNA(VLOOKUP($H103,ClientAll,COLUMN(Clients!$C$8),0))=TRUE,0,VLOOKUP($H103,ClientAll,COLUMN(Clients!$C$8),0))</f>
        <v>75</v>
      </c>
      <c r="Q103" s="8">
        <f t="shared" ca="1" si="5"/>
        <v>0</v>
      </c>
      <c r="R103" s="10" t="str">
        <f ca="1">IF(ISNA(VLOOKUP($D103,VehicleID,COLUMN(Vehicles!$A$8),0))=TRUE,"E1",IF(ISNA(VLOOKUP($H103,ClientID,COLUMN(Vehicles!$A$8),0))=TRUE,"E2",IF(AND($G103&lt;&gt;"Business",$H103&lt;&gt;"XXX01"),"E3",IF(AND($G103="Business",$H103="XXX01"),"E4","-"))))</f>
        <v>-</v>
      </c>
    </row>
    <row r="104" spans="1:18" ht="16" customHeight="1" x14ac:dyDescent="0.25">
      <c r="A104" s="27">
        <v>43873</v>
      </c>
      <c r="B104" s="28">
        <v>0.33333333333333331</v>
      </c>
      <c r="C104" s="28" t="s">
        <v>113</v>
      </c>
      <c r="D104" s="11" t="s">
        <v>71</v>
      </c>
      <c r="E104" s="5">
        <v>35792</v>
      </c>
      <c r="F104" s="5">
        <v>35824</v>
      </c>
      <c r="G104" s="6" t="s">
        <v>81</v>
      </c>
      <c r="H104" s="6" t="s">
        <v>43</v>
      </c>
      <c r="I104" s="7" t="s">
        <v>78</v>
      </c>
      <c r="J104" s="7" t="s">
        <v>83</v>
      </c>
      <c r="K104" s="7" t="s">
        <v>84</v>
      </c>
      <c r="L104" s="8">
        <v>3</v>
      </c>
      <c r="M104" s="8" t="s">
        <v>87</v>
      </c>
      <c r="N104" s="8">
        <f t="shared" si="3"/>
        <v>32</v>
      </c>
      <c r="O104" s="8">
        <f t="shared" si="4"/>
        <v>96</v>
      </c>
      <c r="P104" s="9">
        <f ca="1">IF(ISNA(VLOOKUP($H104,ClientAll,COLUMN(Clients!$C$8),0))=TRUE,0,VLOOKUP($H104,ClientAll,COLUMN(Clients!$C$8),0))</f>
        <v>32</v>
      </c>
      <c r="Q104" s="8">
        <f t="shared" ca="1" si="5"/>
        <v>0</v>
      </c>
      <c r="R104" s="10" t="str">
        <f ca="1">IF(ISNA(VLOOKUP($D104,VehicleID,COLUMN(Vehicles!$A$8),0))=TRUE,"E1",IF(ISNA(VLOOKUP($H104,ClientID,COLUMN(Vehicles!$A$8),0))=TRUE,"E2",IF(AND($G104&lt;&gt;"Business",$H104&lt;&gt;"XXX01"),"E3",IF(AND($G104="Business",$H104="XXX01"),"E4","-"))))</f>
        <v>-</v>
      </c>
    </row>
    <row r="105" spans="1:18" ht="16" customHeight="1" x14ac:dyDescent="0.25">
      <c r="A105" s="27">
        <v>43873</v>
      </c>
      <c r="C105" s="28" t="s">
        <v>116</v>
      </c>
      <c r="D105" s="11" t="s">
        <v>70</v>
      </c>
      <c r="E105" s="5">
        <v>54335</v>
      </c>
      <c r="F105" s="5">
        <v>54357</v>
      </c>
      <c r="G105" s="6" t="s">
        <v>80</v>
      </c>
      <c r="H105" s="6" t="s">
        <v>55</v>
      </c>
      <c r="I105" s="7" t="s">
        <v>86</v>
      </c>
      <c r="J105" s="7" t="s">
        <v>86</v>
      </c>
      <c r="K105" s="7" t="s">
        <v>85</v>
      </c>
      <c r="L105" s="8">
        <v>0</v>
      </c>
      <c r="M105" s="8" t="s">
        <v>82</v>
      </c>
      <c r="N105" s="8">
        <f t="shared" si="3"/>
        <v>22</v>
      </c>
      <c r="O105" s="8">
        <f t="shared" si="4"/>
        <v>0</v>
      </c>
      <c r="P105" s="9">
        <f ca="1">IF(ISNA(VLOOKUP($H105,ClientAll,COLUMN(Clients!$C$8),0))=TRUE,0,VLOOKUP($H105,ClientAll,COLUMN(Clients!$C$8),0))</f>
        <v>0</v>
      </c>
      <c r="Q105" s="8">
        <f t="shared" si="5"/>
        <v>0</v>
      </c>
      <c r="R105" s="10" t="str">
        <f ca="1">IF(ISNA(VLOOKUP($D105,VehicleID,COLUMN(Vehicles!$A$8),0))=TRUE,"E1",IF(ISNA(VLOOKUP($H105,ClientID,COLUMN(Vehicles!$A$8),0))=TRUE,"E2",IF(AND($G105&lt;&gt;"Business",$H105&lt;&gt;"XXX01"),"E3",IF(AND($G105="Business",$H105="XXX01"),"E4","-"))))</f>
        <v>-</v>
      </c>
    </row>
    <row r="106" spans="1:18" ht="16" customHeight="1" x14ac:dyDescent="0.25">
      <c r="A106" s="27">
        <v>43873</v>
      </c>
      <c r="C106" s="28" t="s">
        <v>113</v>
      </c>
      <c r="D106" s="11" t="s">
        <v>71</v>
      </c>
      <c r="E106" s="5">
        <v>35824</v>
      </c>
      <c r="F106" s="5">
        <v>35849</v>
      </c>
      <c r="G106" s="6" t="s">
        <v>80</v>
      </c>
      <c r="H106" s="6" t="s">
        <v>55</v>
      </c>
      <c r="I106" s="7" t="s">
        <v>86</v>
      </c>
      <c r="J106" s="7" t="s">
        <v>86</v>
      </c>
      <c r="K106" s="7" t="s">
        <v>85</v>
      </c>
      <c r="L106" s="8">
        <v>0</v>
      </c>
      <c r="M106" s="8" t="s">
        <v>87</v>
      </c>
      <c r="N106" s="8">
        <f t="shared" si="3"/>
        <v>25</v>
      </c>
      <c r="O106" s="8">
        <f t="shared" si="4"/>
        <v>0</v>
      </c>
      <c r="P106" s="9">
        <f ca="1">IF(ISNA(VLOOKUP($H106,ClientAll,COLUMN(Clients!$C$8),0))=TRUE,0,VLOOKUP($H106,ClientAll,COLUMN(Clients!$C$8),0))</f>
        <v>0</v>
      </c>
      <c r="Q106" s="8">
        <f t="shared" si="5"/>
        <v>0</v>
      </c>
      <c r="R106" s="10" t="str">
        <f ca="1">IF(ISNA(VLOOKUP($D106,VehicleID,COLUMN(Vehicles!$A$8),0))=TRUE,"E1",IF(ISNA(VLOOKUP($H106,ClientID,COLUMN(Vehicles!$A$8),0))=TRUE,"E2",IF(AND($G106&lt;&gt;"Business",$H106&lt;&gt;"XXX01"),"E3",IF(AND($G106="Business",$H106="XXX01"),"E4","-"))))</f>
        <v>-</v>
      </c>
    </row>
    <row r="107" spans="1:18" ht="16" customHeight="1" x14ac:dyDescent="0.25">
      <c r="A107" s="27">
        <v>43874</v>
      </c>
      <c r="B107" s="28">
        <v>0.33333333333333331</v>
      </c>
      <c r="C107" s="28" t="s">
        <v>116</v>
      </c>
      <c r="D107" s="11" t="s">
        <v>70</v>
      </c>
      <c r="E107" s="5">
        <v>54357</v>
      </c>
      <c r="F107" s="5">
        <v>54432</v>
      </c>
      <c r="G107" s="6" t="s">
        <v>81</v>
      </c>
      <c r="H107" s="6" t="s">
        <v>56</v>
      </c>
      <c r="I107" s="7" t="s">
        <v>78</v>
      </c>
      <c r="J107" s="7" t="s">
        <v>83</v>
      </c>
      <c r="K107" s="7" t="s">
        <v>84</v>
      </c>
      <c r="L107" s="8">
        <v>3</v>
      </c>
      <c r="M107" s="8" t="s">
        <v>82</v>
      </c>
      <c r="N107" s="8">
        <f t="shared" si="3"/>
        <v>75</v>
      </c>
      <c r="O107" s="8">
        <f t="shared" si="4"/>
        <v>225</v>
      </c>
      <c r="P107" s="9">
        <f ca="1">IF(ISNA(VLOOKUP($H107,ClientAll,COLUMN(Clients!$C$8),0))=TRUE,0,VLOOKUP($H107,ClientAll,COLUMN(Clients!$C$8),0))</f>
        <v>75</v>
      </c>
      <c r="Q107" s="8">
        <f t="shared" ca="1" si="5"/>
        <v>0</v>
      </c>
      <c r="R107" s="10" t="str">
        <f ca="1">IF(ISNA(VLOOKUP($D107,VehicleID,COLUMN(Vehicles!$A$8),0))=TRUE,"E1",IF(ISNA(VLOOKUP($H107,ClientID,COLUMN(Vehicles!$A$8),0))=TRUE,"E2",IF(AND($G107&lt;&gt;"Business",$H107&lt;&gt;"XXX01"),"E3",IF(AND($G107="Business",$H107="XXX01"),"E4","-"))))</f>
        <v>-</v>
      </c>
    </row>
    <row r="108" spans="1:18" ht="16" customHeight="1" x14ac:dyDescent="0.25">
      <c r="A108" s="27">
        <v>43874</v>
      </c>
      <c r="B108" s="28">
        <v>0.33333333333333331</v>
      </c>
      <c r="C108" s="28" t="s">
        <v>113</v>
      </c>
      <c r="D108" s="11" t="s">
        <v>71</v>
      </c>
      <c r="E108" s="5">
        <v>35849</v>
      </c>
      <c r="F108" s="5">
        <v>35881</v>
      </c>
      <c r="G108" s="6" t="s">
        <v>81</v>
      </c>
      <c r="H108" s="6" t="s">
        <v>43</v>
      </c>
      <c r="I108" s="7" t="s">
        <v>78</v>
      </c>
      <c r="J108" s="7" t="s">
        <v>83</v>
      </c>
      <c r="K108" s="7" t="s">
        <v>84</v>
      </c>
      <c r="L108" s="8">
        <v>3</v>
      </c>
      <c r="M108" s="8" t="s">
        <v>87</v>
      </c>
      <c r="N108" s="8">
        <f t="shared" si="3"/>
        <v>32</v>
      </c>
      <c r="O108" s="8">
        <f t="shared" si="4"/>
        <v>96</v>
      </c>
      <c r="P108" s="9">
        <f ca="1">IF(ISNA(VLOOKUP($H108,ClientAll,COLUMN(Clients!$C$8),0))=TRUE,0,VLOOKUP($H108,ClientAll,COLUMN(Clients!$C$8),0))</f>
        <v>32</v>
      </c>
      <c r="Q108" s="8">
        <f t="shared" ca="1" si="5"/>
        <v>0</v>
      </c>
      <c r="R108" s="10" t="str">
        <f ca="1">IF(ISNA(VLOOKUP($D108,VehicleID,COLUMN(Vehicles!$A$8),0))=TRUE,"E1",IF(ISNA(VLOOKUP($H108,ClientID,COLUMN(Vehicles!$A$8),0))=TRUE,"E2",IF(AND($G108&lt;&gt;"Business",$H108&lt;&gt;"XXX01"),"E3",IF(AND($G108="Business",$H108="XXX01"),"E4","-"))))</f>
        <v>-</v>
      </c>
    </row>
    <row r="109" spans="1:18" ht="16" customHeight="1" x14ac:dyDescent="0.25">
      <c r="A109" s="27">
        <v>43874</v>
      </c>
      <c r="C109" s="28" t="s">
        <v>116</v>
      </c>
      <c r="D109" s="11" t="s">
        <v>70</v>
      </c>
      <c r="E109" s="5">
        <v>54432</v>
      </c>
      <c r="F109" s="5">
        <v>54453</v>
      </c>
      <c r="G109" s="6" t="s">
        <v>80</v>
      </c>
      <c r="H109" s="6" t="s">
        <v>55</v>
      </c>
      <c r="I109" s="7" t="s">
        <v>86</v>
      </c>
      <c r="J109" s="7" t="s">
        <v>86</v>
      </c>
      <c r="K109" s="7" t="s">
        <v>85</v>
      </c>
      <c r="L109" s="8">
        <v>0</v>
      </c>
      <c r="M109" s="8" t="s">
        <v>82</v>
      </c>
      <c r="N109" s="8">
        <f t="shared" si="3"/>
        <v>21</v>
      </c>
      <c r="O109" s="8">
        <f t="shared" si="4"/>
        <v>0</v>
      </c>
      <c r="P109" s="9">
        <f ca="1">IF(ISNA(VLOOKUP($H109,ClientAll,COLUMN(Clients!$C$8),0))=TRUE,0,VLOOKUP($H109,ClientAll,COLUMN(Clients!$C$8),0))</f>
        <v>0</v>
      </c>
      <c r="Q109" s="8">
        <f t="shared" si="5"/>
        <v>0</v>
      </c>
      <c r="R109" s="10" t="str">
        <f ca="1">IF(ISNA(VLOOKUP($D109,VehicleID,COLUMN(Vehicles!$A$8),0))=TRUE,"E1",IF(ISNA(VLOOKUP($H109,ClientID,COLUMN(Vehicles!$A$8),0))=TRUE,"E2",IF(AND($G109&lt;&gt;"Business",$H109&lt;&gt;"XXX01"),"E3",IF(AND($G109="Business",$H109="XXX01"),"E4","-"))))</f>
        <v>-</v>
      </c>
    </row>
    <row r="110" spans="1:18" ht="16" customHeight="1" x14ac:dyDescent="0.25">
      <c r="A110" s="27">
        <v>43874</v>
      </c>
      <c r="C110" s="28" t="s">
        <v>113</v>
      </c>
      <c r="D110" s="11" t="s">
        <v>71</v>
      </c>
      <c r="E110" s="5">
        <v>35881</v>
      </c>
      <c r="F110" s="5">
        <v>35913</v>
      </c>
      <c r="G110" s="6" t="s">
        <v>80</v>
      </c>
      <c r="H110" s="6" t="s">
        <v>55</v>
      </c>
      <c r="I110" s="7" t="s">
        <v>86</v>
      </c>
      <c r="J110" s="7" t="s">
        <v>86</v>
      </c>
      <c r="K110" s="7" t="s">
        <v>85</v>
      </c>
      <c r="L110" s="8">
        <v>0</v>
      </c>
      <c r="M110" s="8" t="s">
        <v>87</v>
      </c>
      <c r="N110" s="8">
        <f t="shared" si="3"/>
        <v>32</v>
      </c>
      <c r="O110" s="8">
        <f t="shared" si="4"/>
        <v>0</v>
      </c>
      <c r="P110" s="9">
        <f ca="1">IF(ISNA(VLOOKUP($H110,ClientAll,COLUMN(Clients!$C$8),0))=TRUE,0,VLOOKUP($H110,ClientAll,COLUMN(Clients!$C$8),0))</f>
        <v>0</v>
      </c>
      <c r="Q110" s="8">
        <f t="shared" si="5"/>
        <v>0</v>
      </c>
      <c r="R110" s="10" t="str">
        <f ca="1">IF(ISNA(VLOOKUP($D110,VehicleID,COLUMN(Vehicles!$A$8),0))=TRUE,"E1",IF(ISNA(VLOOKUP($H110,ClientID,COLUMN(Vehicles!$A$8),0))=TRUE,"E2",IF(AND($G110&lt;&gt;"Business",$H110&lt;&gt;"XXX01"),"E3",IF(AND($G110="Business",$H110="XXX01"),"E4","-"))))</f>
        <v>-</v>
      </c>
    </row>
    <row r="111" spans="1:18" ht="16" customHeight="1" x14ac:dyDescent="0.25">
      <c r="A111" s="27">
        <v>43875</v>
      </c>
      <c r="B111" s="28">
        <v>0.33333333333333331</v>
      </c>
      <c r="C111" s="28" t="s">
        <v>116</v>
      </c>
      <c r="D111" s="11" t="s">
        <v>70</v>
      </c>
      <c r="E111" s="5">
        <v>54453</v>
      </c>
      <c r="F111" s="5">
        <v>54513</v>
      </c>
      <c r="G111" s="6" t="s">
        <v>81</v>
      </c>
      <c r="H111" s="6" t="s">
        <v>58</v>
      </c>
      <c r="I111" s="7" t="s">
        <v>78</v>
      </c>
      <c r="J111" s="7" t="s">
        <v>83</v>
      </c>
      <c r="K111" s="7" t="s">
        <v>84</v>
      </c>
      <c r="L111" s="8">
        <v>3</v>
      </c>
      <c r="M111" s="8" t="s">
        <v>82</v>
      </c>
      <c r="N111" s="8">
        <f t="shared" si="3"/>
        <v>60</v>
      </c>
      <c r="O111" s="8">
        <f t="shared" si="4"/>
        <v>180</v>
      </c>
      <c r="P111" s="9">
        <f ca="1">IF(ISNA(VLOOKUP($H111,ClientAll,COLUMN(Clients!$C$8),0))=TRUE,0,VLOOKUP($H111,ClientAll,COLUMN(Clients!$C$8),0))</f>
        <v>60</v>
      </c>
      <c r="Q111" s="8">
        <f t="shared" ca="1" si="5"/>
        <v>0</v>
      </c>
      <c r="R111" s="10" t="str">
        <f ca="1">IF(ISNA(VLOOKUP($D111,VehicleID,COLUMN(Vehicles!$A$8),0))=TRUE,"E1",IF(ISNA(VLOOKUP($H111,ClientID,COLUMN(Vehicles!$A$8),0))=TRUE,"E2",IF(AND($G111&lt;&gt;"Business",$H111&lt;&gt;"XXX01"),"E3",IF(AND($G111="Business",$H111="XXX01"),"E4","-"))))</f>
        <v>-</v>
      </c>
    </row>
    <row r="112" spans="1:18" ht="16" customHeight="1" x14ac:dyDescent="0.25">
      <c r="A112" s="27">
        <v>43875</v>
      </c>
      <c r="B112" s="28">
        <v>0.33333333333333331</v>
      </c>
      <c r="C112" s="28" t="s">
        <v>113</v>
      </c>
      <c r="D112" s="11" t="s">
        <v>71</v>
      </c>
      <c r="E112" s="5">
        <v>35913</v>
      </c>
      <c r="F112" s="5">
        <v>36063</v>
      </c>
      <c r="G112" s="6" t="s">
        <v>81</v>
      </c>
      <c r="H112" s="6" t="s">
        <v>39</v>
      </c>
      <c r="I112" s="7" t="s">
        <v>78</v>
      </c>
      <c r="J112" s="7" t="s">
        <v>83</v>
      </c>
      <c r="K112" s="7" t="s">
        <v>84</v>
      </c>
      <c r="L112" s="8">
        <v>3</v>
      </c>
      <c r="M112" s="8" t="s">
        <v>87</v>
      </c>
      <c r="N112" s="8">
        <f t="shared" si="3"/>
        <v>150</v>
      </c>
      <c r="O112" s="8">
        <f t="shared" si="4"/>
        <v>450</v>
      </c>
      <c r="P112" s="9">
        <f ca="1">IF(ISNA(VLOOKUP($H112,ClientAll,COLUMN(Clients!$C$8),0))=TRUE,0,VLOOKUP($H112,ClientAll,COLUMN(Clients!$C$8),0))</f>
        <v>150</v>
      </c>
      <c r="Q112" s="8">
        <f t="shared" ca="1" si="5"/>
        <v>0</v>
      </c>
      <c r="R112" s="10" t="str">
        <f ca="1">IF(ISNA(VLOOKUP($D112,VehicleID,COLUMN(Vehicles!$A$8),0))=TRUE,"E1",IF(ISNA(VLOOKUP($H112,ClientID,COLUMN(Vehicles!$A$8),0))=TRUE,"E2",IF(AND($G112&lt;&gt;"Business",$H112&lt;&gt;"XXX01"),"E3",IF(AND($G112="Business",$H112="XXX01"),"E4","-"))))</f>
        <v>-</v>
      </c>
    </row>
    <row r="113" spans="1:18" ht="16" customHeight="1" x14ac:dyDescent="0.25">
      <c r="A113" s="27">
        <v>43875</v>
      </c>
      <c r="B113" s="28">
        <v>0.70833333333333337</v>
      </c>
      <c r="C113" s="28" t="s">
        <v>121</v>
      </c>
      <c r="D113" s="11" t="s">
        <v>72</v>
      </c>
      <c r="E113" s="5">
        <v>113133</v>
      </c>
      <c r="F113" s="5">
        <v>113553</v>
      </c>
      <c r="G113" s="6" t="s">
        <v>81</v>
      </c>
      <c r="H113" s="6" t="s">
        <v>37</v>
      </c>
      <c r="I113" s="7" t="s">
        <v>83</v>
      </c>
      <c r="J113" s="7" t="s">
        <v>78</v>
      </c>
      <c r="K113" s="7" t="s">
        <v>84</v>
      </c>
      <c r="L113" s="8">
        <v>2.5</v>
      </c>
      <c r="M113" s="8" t="s">
        <v>89</v>
      </c>
      <c r="N113" s="8">
        <f t="shared" si="3"/>
        <v>420</v>
      </c>
      <c r="O113" s="8">
        <f t="shared" si="4"/>
        <v>1050</v>
      </c>
      <c r="P113" s="9">
        <f ca="1">IF(ISNA(VLOOKUP($H113,ClientAll,COLUMN(Clients!$C$8),0))=TRUE,0,VLOOKUP($H113,ClientAll,COLUMN(Clients!$C$8),0))</f>
        <v>420</v>
      </c>
      <c r="Q113" s="8">
        <f t="shared" ca="1" si="5"/>
        <v>0</v>
      </c>
      <c r="R113" s="10" t="str">
        <f ca="1">IF(ISNA(VLOOKUP($D113,VehicleID,COLUMN(Vehicles!$A$8),0))=TRUE,"E1",IF(ISNA(VLOOKUP($H113,ClientID,COLUMN(Vehicles!$A$8),0))=TRUE,"E2",IF(AND($G113&lt;&gt;"Business",$H113&lt;&gt;"XXX01"),"E3",IF(AND($G113="Business",$H113="XXX01"),"E4","-"))))</f>
        <v>-</v>
      </c>
    </row>
    <row r="114" spans="1:18" ht="16" customHeight="1" x14ac:dyDescent="0.25">
      <c r="A114" s="27">
        <v>43875</v>
      </c>
      <c r="C114" s="28" t="s">
        <v>116</v>
      </c>
      <c r="D114" s="11" t="s">
        <v>70</v>
      </c>
      <c r="E114" s="5">
        <v>54513</v>
      </c>
      <c r="F114" s="5">
        <v>54523</v>
      </c>
      <c r="G114" s="6" t="s">
        <v>80</v>
      </c>
      <c r="H114" s="6" t="s">
        <v>55</v>
      </c>
      <c r="I114" s="7" t="s">
        <v>86</v>
      </c>
      <c r="J114" s="7" t="s">
        <v>86</v>
      </c>
      <c r="K114" s="7" t="s">
        <v>85</v>
      </c>
      <c r="L114" s="8">
        <v>0</v>
      </c>
      <c r="M114" s="8" t="s">
        <v>82</v>
      </c>
      <c r="N114" s="8">
        <f t="shared" si="3"/>
        <v>10</v>
      </c>
      <c r="O114" s="8">
        <f t="shared" si="4"/>
        <v>0</v>
      </c>
      <c r="P114" s="9">
        <f ca="1">IF(ISNA(VLOOKUP($H114,ClientAll,COLUMN(Clients!$C$8),0))=TRUE,0,VLOOKUP($H114,ClientAll,COLUMN(Clients!$C$8),0))</f>
        <v>0</v>
      </c>
      <c r="Q114" s="8">
        <f t="shared" si="5"/>
        <v>0</v>
      </c>
      <c r="R114" s="10" t="str">
        <f ca="1">IF(ISNA(VLOOKUP($D114,VehicleID,COLUMN(Vehicles!$A$8),0))=TRUE,"E1",IF(ISNA(VLOOKUP($H114,ClientID,COLUMN(Vehicles!$A$8),0))=TRUE,"E2",IF(AND($G114&lt;&gt;"Business",$H114&lt;&gt;"XXX01"),"E3",IF(AND($G114="Business",$H114="XXX01"),"E4","-"))))</f>
        <v>-</v>
      </c>
    </row>
    <row r="115" spans="1:18" ht="16" customHeight="1" x14ac:dyDescent="0.25">
      <c r="A115" s="27">
        <v>43875</v>
      </c>
      <c r="C115" s="28" t="s">
        <v>113</v>
      </c>
      <c r="D115" s="11" t="s">
        <v>71</v>
      </c>
      <c r="E115" s="5">
        <v>36063</v>
      </c>
      <c r="F115" s="5">
        <v>36104</v>
      </c>
      <c r="G115" s="6" t="s">
        <v>80</v>
      </c>
      <c r="H115" s="6" t="s">
        <v>55</v>
      </c>
      <c r="I115" s="7" t="s">
        <v>86</v>
      </c>
      <c r="J115" s="7" t="s">
        <v>86</v>
      </c>
      <c r="K115" s="7" t="s">
        <v>85</v>
      </c>
      <c r="L115" s="8">
        <v>0</v>
      </c>
      <c r="M115" s="8" t="s">
        <v>87</v>
      </c>
      <c r="N115" s="8">
        <f t="shared" si="3"/>
        <v>41</v>
      </c>
      <c r="O115" s="8">
        <f t="shared" si="4"/>
        <v>0</v>
      </c>
      <c r="P115" s="9">
        <f ca="1">IF(ISNA(VLOOKUP($H115,ClientAll,COLUMN(Clients!$C$8),0))=TRUE,0,VLOOKUP($H115,ClientAll,COLUMN(Clients!$C$8),0))</f>
        <v>0</v>
      </c>
      <c r="Q115" s="8">
        <f t="shared" si="5"/>
        <v>0</v>
      </c>
      <c r="R115" s="10" t="str">
        <f ca="1">IF(ISNA(VLOOKUP($D115,VehicleID,COLUMN(Vehicles!$A$8),0))=TRUE,"E1",IF(ISNA(VLOOKUP($H115,ClientID,COLUMN(Vehicles!$A$8),0))=TRUE,"E2",IF(AND($G115&lt;&gt;"Business",$H115&lt;&gt;"XXX01"),"E3",IF(AND($G115="Business",$H115="XXX01"),"E4","-"))))</f>
        <v>-</v>
      </c>
    </row>
    <row r="116" spans="1:18" ht="16" customHeight="1" x14ac:dyDescent="0.25">
      <c r="A116" s="27">
        <v>43878</v>
      </c>
      <c r="B116" s="28">
        <v>0.33333333333333331</v>
      </c>
      <c r="C116" s="28" t="s">
        <v>121</v>
      </c>
      <c r="D116" s="11" t="s">
        <v>72</v>
      </c>
      <c r="E116" s="5">
        <v>113553</v>
      </c>
      <c r="F116" s="5">
        <v>113973</v>
      </c>
      <c r="G116" s="6" t="s">
        <v>81</v>
      </c>
      <c r="H116" s="6" t="s">
        <v>37</v>
      </c>
      <c r="I116" s="7" t="s">
        <v>78</v>
      </c>
      <c r="J116" s="7" t="s">
        <v>83</v>
      </c>
      <c r="K116" s="7" t="s">
        <v>84</v>
      </c>
      <c r="L116" s="8">
        <v>2.5</v>
      </c>
      <c r="M116" s="8" t="s">
        <v>88</v>
      </c>
      <c r="N116" s="8">
        <f t="shared" si="3"/>
        <v>420</v>
      </c>
      <c r="O116" s="8">
        <f t="shared" si="4"/>
        <v>1050</v>
      </c>
      <c r="P116" s="9">
        <f ca="1">IF(ISNA(VLOOKUP($H116,ClientAll,COLUMN(Clients!$C$8),0))=TRUE,0,VLOOKUP($H116,ClientAll,COLUMN(Clients!$C$8),0))</f>
        <v>420</v>
      </c>
      <c r="Q116" s="8">
        <f t="shared" ca="1" si="5"/>
        <v>0</v>
      </c>
      <c r="R116" s="10" t="str">
        <f ca="1">IF(ISNA(VLOOKUP($D116,VehicleID,COLUMN(Vehicles!$A$8),0))=TRUE,"E1",IF(ISNA(VLOOKUP($H116,ClientID,COLUMN(Vehicles!$A$8),0))=TRUE,"E2",IF(AND($G116&lt;&gt;"Business",$H116&lt;&gt;"XXX01"),"E3",IF(AND($G116="Business",$H116="XXX01"),"E4","-"))))</f>
        <v>-</v>
      </c>
    </row>
    <row r="117" spans="1:18" ht="16" customHeight="1" x14ac:dyDescent="0.25">
      <c r="A117" s="27">
        <v>43879</v>
      </c>
      <c r="B117" s="28">
        <v>0.33333333333333331</v>
      </c>
      <c r="C117" s="28" t="s">
        <v>116</v>
      </c>
      <c r="D117" s="11" t="s">
        <v>70</v>
      </c>
      <c r="E117" s="5">
        <v>54523</v>
      </c>
      <c r="F117" s="5">
        <v>54553</v>
      </c>
      <c r="G117" s="6" t="s">
        <v>81</v>
      </c>
      <c r="H117" s="6" t="s">
        <v>21</v>
      </c>
      <c r="I117" s="7" t="s">
        <v>78</v>
      </c>
      <c r="J117" s="7" t="s">
        <v>83</v>
      </c>
      <c r="K117" s="7" t="s">
        <v>84</v>
      </c>
      <c r="L117" s="8">
        <v>3</v>
      </c>
      <c r="M117" s="8" t="s">
        <v>82</v>
      </c>
      <c r="N117" s="8">
        <f t="shared" si="3"/>
        <v>30</v>
      </c>
      <c r="O117" s="8">
        <f t="shared" si="4"/>
        <v>90</v>
      </c>
      <c r="P117" s="9">
        <f ca="1">IF(ISNA(VLOOKUP($H117,ClientAll,COLUMN(Clients!$C$8),0))=TRUE,0,VLOOKUP($H117,ClientAll,COLUMN(Clients!$C$8),0))</f>
        <v>30</v>
      </c>
      <c r="Q117" s="8">
        <f t="shared" ca="1" si="5"/>
        <v>0</v>
      </c>
      <c r="R117" s="10" t="str">
        <f ca="1">IF(ISNA(VLOOKUP($D117,VehicleID,COLUMN(Vehicles!$A$8),0))=TRUE,"E1",IF(ISNA(VLOOKUP($H117,ClientID,COLUMN(Vehicles!$A$8),0))=TRUE,"E2",IF(AND($G117&lt;&gt;"Business",$H117&lt;&gt;"XXX01"),"E3",IF(AND($G117="Business",$H117="XXX01"),"E4","-"))))</f>
        <v>-</v>
      </c>
    </row>
    <row r="118" spans="1:18" ht="16" customHeight="1" x14ac:dyDescent="0.25">
      <c r="A118" s="27">
        <v>43879</v>
      </c>
      <c r="B118" s="28">
        <v>0.33333333333333331</v>
      </c>
      <c r="C118" s="28" t="s">
        <v>113</v>
      </c>
      <c r="D118" s="11" t="s">
        <v>71</v>
      </c>
      <c r="E118" s="5">
        <v>36104</v>
      </c>
      <c r="F118" s="5">
        <v>36136</v>
      </c>
      <c r="G118" s="6" t="s">
        <v>81</v>
      </c>
      <c r="H118" s="6" t="s">
        <v>43</v>
      </c>
      <c r="I118" s="7" t="s">
        <v>78</v>
      </c>
      <c r="J118" s="7" t="s">
        <v>83</v>
      </c>
      <c r="K118" s="7" t="s">
        <v>84</v>
      </c>
      <c r="L118" s="8">
        <v>3</v>
      </c>
      <c r="M118" s="8" t="s">
        <v>87</v>
      </c>
      <c r="N118" s="8">
        <f t="shared" si="3"/>
        <v>32</v>
      </c>
      <c r="O118" s="8">
        <f t="shared" si="4"/>
        <v>96</v>
      </c>
      <c r="P118" s="9">
        <f ca="1">IF(ISNA(VLOOKUP($H118,ClientAll,COLUMN(Clients!$C$8),0))=TRUE,0,VLOOKUP($H118,ClientAll,COLUMN(Clients!$C$8),0))</f>
        <v>32</v>
      </c>
      <c r="Q118" s="8">
        <f t="shared" ca="1" si="5"/>
        <v>0</v>
      </c>
      <c r="R118" s="10" t="str">
        <f ca="1">IF(ISNA(VLOOKUP($D118,VehicleID,COLUMN(Vehicles!$A$8),0))=TRUE,"E1",IF(ISNA(VLOOKUP($H118,ClientID,COLUMN(Vehicles!$A$8),0))=TRUE,"E2",IF(AND($G118&lt;&gt;"Business",$H118&lt;&gt;"XXX01"),"E3",IF(AND($G118="Business",$H118="XXX01"),"E4","-"))))</f>
        <v>-</v>
      </c>
    </row>
    <row r="119" spans="1:18" ht="16" customHeight="1" x14ac:dyDescent="0.25">
      <c r="A119" s="27">
        <v>43879</v>
      </c>
      <c r="C119" s="28" t="s">
        <v>116</v>
      </c>
      <c r="D119" s="11" t="s">
        <v>70</v>
      </c>
      <c r="E119" s="5">
        <v>54553</v>
      </c>
      <c r="F119" s="5">
        <v>54573</v>
      </c>
      <c r="G119" s="6" t="s">
        <v>80</v>
      </c>
      <c r="H119" s="6" t="s">
        <v>55</v>
      </c>
      <c r="I119" s="7" t="s">
        <v>86</v>
      </c>
      <c r="J119" s="7" t="s">
        <v>86</v>
      </c>
      <c r="K119" s="7" t="s">
        <v>85</v>
      </c>
      <c r="L119" s="8">
        <v>0</v>
      </c>
      <c r="M119" s="8" t="s">
        <v>82</v>
      </c>
      <c r="N119" s="8">
        <f t="shared" si="3"/>
        <v>20</v>
      </c>
      <c r="O119" s="8">
        <f t="shared" si="4"/>
        <v>0</v>
      </c>
      <c r="P119" s="9">
        <f ca="1">IF(ISNA(VLOOKUP($H119,ClientAll,COLUMN(Clients!$C$8),0))=TRUE,0,VLOOKUP($H119,ClientAll,COLUMN(Clients!$C$8),0))</f>
        <v>0</v>
      </c>
      <c r="Q119" s="8">
        <f t="shared" si="5"/>
        <v>0</v>
      </c>
      <c r="R119" s="10" t="str">
        <f ca="1">IF(ISNA(VLOOKUP($D119,VehicleID,COLUMN(Vehicles!$A$8),0))=TRUE,"E1",IF(ISNA(VLOOKUP($H119,ClientID,COLUMN(Vehicles!$A$8),0))=TRUE,"E2",IF(AND($G119&lt;&gt;"Business",$H119&lt;&gt;"XXX01"),"E3",IF(AND($G119="Business",$H119="XXX01"),"E4","-"))))</f>
        <v>-</v>
      </c>
    </row>
    <row r="120" spans="1:18" ht="16" customHeight="1" x14ac:dyDescent="0.25">
      <c r="A120" s="27">
        <v>43879</v>
      </c>
      <c r="C120" s="28" t="s">
        <v>113</v>
      </c>
      <c r="D120" s="11" t="s">
        <v>71</v>
      </c>
      <c r="E120" s="5">
        <v>36136</v>
      </c>
      <c r="F120" s="5">
        <v>36184</v>
      </c>
      <c r="G120" s="6" t="s">
        <v>80</v>
      </c>
      <c r="H120" s="6" t="s">
        <v>55</v>
      </c>
      <c r="I120" s="7" t="s">
        <v>86</v>
      </c>
      <c r="J120" s="7" t="s">
        <v>86</v>
      </c>
      <c r="K120" s="7" t="s">
        <v>85</v>
      </c>
      <c r="L120" s="8">
        <v>0</v>
      </c>
      <c r="M120" s="8" t="s">
        <v>87</v>
      </c>
      <c r="N120" s="8">
        <f t="shared" si="3"/>
        <v>48</v>
      </c>
      <c r="O120" s="8">
        <f t="shared" si="4"/>
        <v>0</v>
      </c>
      <c r="P120" s="9">
        <f ca="1">IF(ISNA(VLOOKUP($H120,ClientAll,COLUMN(Clients!$C$8),0))=TRUE,0,VLOOKUP($H120,ClientAll,COLUMN(Clients!$C$8),0))</f>
        <v>0</v>
      </c>
      <c r="Q120" s="8">
        <f t="shared" si="5"/>
        <v>0</v>
      </c>
      <c r="R120" s="10" t="str">
        <f ca="1">IF(ISNA(VLOOKUP($D120,VehicleID,COLUMN(Vehicles!$A$8),0))=TRUE,"E1",IF(ISNA(VLOOKUP($H120,ClientID,COLUMN(Vehicles!$A$8),0))=TRUE,"E2",IF(AND($G120&lt;&gt;"Business",$H120&lt;&gt;"XXX01"),"E3",IF(AND($G120="Business",$H120="XXX01"),"E4","-"))))</f>
        <v>-</v>
      </c>
    </row>
    <row r="121" spans="1:18" ht="16" customHeight="1" x14ac:dyDescent="0.25">
      <c r="A121" s="27">
        <v>43880</v>
      </c>
      <c r="B121" s="28">
        <v>0.34375</v>
      </c>
      <c r="C121" s="28" t="s">
        <v>116</v>
      </c>
      <c r="D121" s="11" t="s">
        <v>70</v>
      </c>
      <c r="E121" s="5">
        <v>54573</v>
      </c>
      <c r="F121" s="5">
        <v>54661</v>
      </c>
      <c r="G121" s="6" t="s">
        <v>81</v>
      </c>
      <c r="H121" s="6" t="s">
        <v>23</v>
      </c>
      <c r="I121" s="7" t="s">
        <v>78</v>
      </c>
      <c r="J121" s="7" t="s">
        <v>83</v>
      </c>
      <c r="K121" s="7" t="s">
        <v>84</v>
      </c>
      <c r="L121" s="8">
        <v>3</v>
      </c>
      <c r="M121" s="8" t="s">
        <v>82</v>
      </c>
      <c r="N121" s="8">
        <f t="shared" si="3"/>
        <v>88</v>
      </c>
      <c r="O121" s="8">
        <f t="shared" si="4"/>
        <v>264</v>
      </c>
      <c r="P121" s="9">
        <f ca="1">IF(ISNA(VLOOKUP($H121,ClientAll,COLUMN(Clients!$C$8),0))=TRUE,0,VLOOKUP($H121,ClientAll,COLUMN(Clients!$C$8),0))</f>
        <v>88</v>
      </c>
      <c r="Q121" s="8">
        <f t="shared" ca="1" si="5"/>
        <v>0</v>
      </c>
      <c r="R121" s="10" t="str">
        <f ca="1">IF(ISNA(VLOOKUP($D121,VehicleID,COLUMN(Vehicles!$A$8),0))=TRUE,"E1",IF(ISNA(VLOOKUP($H121,ClientID,COLUMN(Vehicles!$A$8),0))=TRUE,"E2",IF(AND($G121&lt;&gt;"Business",$H121&lt;&gt;"XXX01"),"E3",IF(AND($G121="Business",$H121="XXX01"),"E4","-"))))</f>
        <v>-</v>
      </c>
    </row>
    <row r="122" spans="1:18" ht="16" customHeight="1" x14ac:dyDescent="0.25">
      <c r="A122" s="27">
        <v>43880</v>
      </c>
      <c r="B122" s="28">
        <v>0.38541666666666669</v>
      </c>
      <c r="C122" s="28" t="s">
        <v>113</v>
      </c>
      <c r="D122" s="11" t="s">
        <v>71</v>
      </c>
      <c r="E122" s="5">
        <v>36184</v>
      </c>
      <c r="F122" s="5">
        <v>36239</v>
      </c>
      <c r="G122" s="6" t="s">
        <v>81</v>
      </c>
      <c r="H122" s="6" t="s">
        <v>45</v>
      </c>
      <c r="I122" s="7" t="s">
        <v>78</v>
      </c>
      <c r="J122" s="7" t="s">
        <v>83</v>
      </c>
      <c r="K122" s="7" t="s">
        <v>84</v>
      </c>
      <c r="L122" s="8">
        <v>3</v>
      </c>
      <c r="M122" s="8" t="s">
        <v>87</v>
      </c>
      <c r="N122" s="8">
        <f t="shared" si="3"/>
        <v>55</v>
      </c>
      <c r="O122" s="8">
        <f t="shared" si="4"/>
        <v>165</v>
      </c>
      <c r="P122" s="9">
        <f ca="1">IF(ISNA(VLOOKUP($H122,ClientAll,COLUMN(Clients!$C$8),0))=TRUE,0,VLOOKUP($H122,ClientAll,COLUMN(Clients!$C$8),0))</f>
        <v>55</v>
      </c>
      <c r="Q122" s="8">
        <f t="shared" ca="1" si="5"/>
        <v>0</v>
      </c>
      <c r="R122" s="10" t="str">
        <f ca="1">IF(ISNA(VLOOKUP($D122,VehicleID,COLUMN(Vehicles!$A$8),0))=TRUE,"E1",IF(ISNA(VLOOKUP($H122,ClientID,COLUMN(Vehicles!$A$8),0))=TRUE,"E2",IF(AND($G122&lt;&gt;"Business",$H122&lt;&gt;"XXX01"),"E3",IF(AND($G122="Business",$H122="XXX01"),"E4","-"))))</f>
        <v>-</v>
      </c>
    </row>
    <row r="123" spans="1:18" ht="16" customHeight="1" x14ac:dyDescent="0.25">
      <c r="A123" s="27">
        <v>43880</v>
      </c>
      <c r="C123" s="28" t="s">
        <v>116</v>
      </c>
      <c r="D123" s="11" t="s">
        <v>70</v>
      </c>
      <c r="E123" s="5">
        <v>54661</v>
      </c>
      <c r="F123" s="5">
        <v>54666</v>
      </c>
      <c r="G123" s="6" t="s">
        <v>80</v>
      </c>
      <c r="H123" s="6" t="s">
        <v>55</v>
      </c>
      <c r="I123" s="7" t="s">
        <v>86</v>
      </c>
      <c r="J123" s="7" t="s">
        <v>86</v>
      </c>
      <c r="K123" s="7" t="s">
        <v>85</v>
      </c>
      <c r="L123" s="8">
        <v>0</v>
      </c>
      <c r="M123" s="8" t="s">
        <v>82</v>
      </c>
      <c r="N123" s="8">
        <f t="shared" si="3"/>
        <v>5</v>
      </c>
      <c r="O123" s="8">
        <f t="shared" si="4"/>
        <v>0</v>
      </c>
      <c r="P123" s="9">
        <f ca="1">IF(ISNA(VLOOKUP($H123,ClientAll,COLUMN(Clients!$C$8),0))=TRUE,0,VLOOKUP($H123,ClientAll,COLUMN(Clients!$C$8),0))</f>
        <v>0</v>
      </c>
      <c r="Q123" s="8">
        <f t="shared" si="5"/>
        <v>0</v>
      </c>
      <c r="R123" s="10" t="str">
        <f ca="1">IF(ISNA(VLOOKUP($D123,VehicleID,COLUMN(Vehicles!$A$8),0))=TRUE,"E1",IF(ISNA(VLOOKUP($H123,ClientID,COLUMN(Vehicles!$A$8),0))=TRUE,"E2",IF(AND($G123&lt;&gt;"Business",$H123&lt;&gt;"XXX01"),"E3",IF(AND($G123="Business",$H123="XXX01"),"E4","-"))))</f>
        <v>-</v>
      </c>
    </row>
    <row r="124" spans="1:18" ht="16" customHeight="1" x14ac:dyDescent="0.25">
      <c r="A124" s="27">
        <v>43880</v>
      </c>
      <c r="C124" s="28" t="s">
        <v>113</v>
      </c>
      <c r="D124" s="11" t="s">
        <v>71</v>
      </c>
      <c r="E124" s="5">
        <v>36239</v>
      </c>
      <c r="F124" s="5">
        <v>36260</v>
      </c>
      <c r="G124" s="6" t="s">
        <v>80</v>
      </c>
      <c r="H124" s="6" t="s">
        <v>55</v>
      </c>
      <c r="I124" s="7" t="s">
        <v>86</v>
      </c>
      <c r="J124" s="7" t="s">
        <v>86</v>
      </c>
      <c r="K124" s="7" t="s">
        <v>85</v>
      </c>
      <c r="L124" s="8">
        <v>0</v>
      </c>
      <c r="M124" s="8" t="s">
        <v>87</v>
      </c>
      <c r="N124" s="8">
        <f t="shared" si="3"/>
        <v>21</v>
      </c>
      <c r="O124" s="8">
        <f t="shared" si="4"/>
        <v>0</v>
      </c>
      <c r="P124" s="9">
        <f ca="1">IF(ISNA(VLOOKUP($H124,ClientAll,COLUMN(Clients!$C$8),0))=TRUE,0,VLOOKUP($H124,ClientAll,COLUMN(Clients!$C$8),0))</f>
        <v>0</v>
      </c>
      <c r="Q124" s="8">
        <f t="shared" si="5"/>
        <v>0</v>
      </c>
      <c r="R124" s="10" t="str">
        <f ca="1">IF(ISNA(VLOOKUP($D124,VehicleID,COLUMN(Vehicles!$A$8),0))=TRUE,"E1",IF(ISNA(VLOOKUP($H124,ClientID,COLUMN(Vehicles!$A$8),0))=TRUE,"E2",IF(AND($G124&lt;&gt;"Business",$H124&lt;&gt;"XXX01"),"E3",IF(AND($G124="Business",$H124="XXX01"),"E4","-"))))</f>
        <v>-</v>
      </c>
    </row>
    <row r="125" spans="1:18" ht="16" customHeight="1" x14ac:dyDescent="0.25">
      <c r="A125" s="27">
        <v>43881</v>
      </c>
      <c r="B125" s="28">
        <v>0.33333333333333331</v>
      </c>
      <c r="C125" s="28" t="s">
        <v>116</v>
      </c>
      <c r="D125" s="11" t="s">
        <v>70</v>
      </c>
      <c r="E125" s="5">
        <v>54666</v>
      </c>
      <c r="F125" s="5">
        <v>54766</v>
      </c>
      <c r="G125" s="6" t="s">
        <v>81</v>
      </c>
      <c r="H125" s="6" t="s">
        <v>27</v>
      </c>
      <c r="I125" s="7" t="s">
        <v>78</v>
      </c>
      <c r="J125" s="7" t="s">
        <v>83</v>
      </c>
      <c r="K125" s="7" t="s">
        <v>84</v>
      </c>
      <c r="L125" s="8">
        <v>3</v>
      </c>
      <c r="M125" s="8" t="s">
        <v>82</v>
      </c>
      <c r="N125" s="8">
        <f t="shared" si="3"/>
        <v>100</v>
      </c>
      <c r="O125" s="8">
        <f t="shared" si="4"/>
        <v>300</v>
      </c>
      <c r="P125" s="9">
        <f ca="1">IF(ISNA(VLOOKUP($H125,ClientAll,COLUMN(Clients!$C$8),0))=TRUE,0,VLOOKUP($H125,ClientAll,COLUMN(Clients!$C$8),0))</f>
        <v>100</v>
      </c>
      <c r="Q125" s="8">
        <f t="shared" ca="1" si="5"/>
        <v>0</v>
      </c>
      <c r="R125" s="10" t="str">
        <f ca="1">IF(ISNA(VLOOKUP($D125,VehicleID,COLUMN(Vehicles!$A$8),0))=TRUE,"E1",IF(ISNA(VLOOKUP($H125,ClientID,COLUMN(Vehicles!$A$8),0))=TRUE,"E2",IF(AND($G125&lt;&gt;"Business",$H125&lt;&gt;"XXX01"),"E3",IF(AND($G125="Business",$H125="XXX01"),"E4","-"))))</f>
        <v>-</v>
      </c>
    </row>
    <row r="126" spans="1:18" ht="16" customHeight="1" x14ac:dyDescent="0.25">
      <c r="A126" s="27">
        <v>43881</v>
      </c>
      <c r="B126" s="28">
        <v>0.33333333333333331</v>
      </c>
      <c r="C126" s="28" t="s">
        <v>113</v>
      </c>
      <c r="D126" s="11" t="s">
        <v>71</v>
      </c>
      <c r="E126" s="5">
        <v>36260</v>
      </c>
      <c r="F126" s="5">
        <v>36410</v>
      </c>
      <c r="G126" s="6" t="s">
        <v>81</v>
      </c>
      <c r="H126" s="6" t="s">
        <v>39</v>
      </c>
      <c r="I126" s="7" t="s">
        <v>78</v>
      </c>
      <c r="J126" s="7" t="s">
        <v>83</v>
      </c>
      <c r="K126" s="7" t="s">
        <v>84</v>
      </c>
      <c r="L126" s="8">
        <v>3</v>
      </c>
      <c r="M126" s="8" t="s">
        <v>87</v>
      </c>
      <c r="N126" s="8">
        <f t="shared" si="3"/>
        <v>150</v>
      </c>
      <c r="O126" s="8">
        <f t="shared" si="4"/>
        <v>450</v>
      </c>
      <c r="P126" s="9">
        <f ca="1">IF(ISNA(VLOOKUP($H126,ClientAll,COLUMN(Clients!$C$8),0))=TRUE,0,VLOOKUP($H126,ClientAll,COLUMN(Clients!$C$8),0))</f>
        <v>150</v>
      </c>
      <c r="Q126" s="8">
        <f t="shared" ca="1" si="5"/>
        <v>0</v>
      </c>
      <c r="R126" s="10" t="str">
        <f ca="1">IF(ISNA(VLOOKUP($D126,VehicleID,COLUMN(Vehicles!$A$8),0))=TRUE,"E1",IF(ISNA(VLOOKUP($H126,ClientID,COLUMN(Vehicles!$A$8),0))=TRUE,"E2",IF(AND($G126&lt;&gt;"Business",$H126&lt;&gt;"XXX01"),"E3",IF(AND($G126="Business",$H126="XXX01"),"E4","-"))))</f>
        <v>-</v>
      </c>
    </row>
    <row r="127" spans="1:18" ht="16" customHeight="1" x14ac:dyDescent="0.25">
      <c r="A127" s="27">
        <v>43881</v>
      </c>
      <c r="C127" s="28" t="s">
        <v>116</v>
      </c>
      <c r="D127" s="11" t="s">
        <v>70</v>
      </c>
      <c r="E127" s="5">
        <v>54766</v>
      </c>
      <c r="F127" s="5">
        <v>54802</v>
      </c>
      <c r="G127" s="6" t="s">
        <v>80</v>
      </c>
      <c r="H127" s="6" t="s">
        <v>55</v>
      </c>
      <c r="I127" s="7" t="s">
        <v>86</v>
      </c>
      <c r="J127" s="7" t="s">
        <v>86</v>
      </c>
      <c r="K127" s="7" t="s">
        <v>85</v>
      </c>
      <c r="L127" s="8">
        <v>0</v>
      </c>
      <c r="M127" s="8" t="s">
        <v>82</v>
      </c>
      <c r="N127" s="8">
        <f t="shared" si="3"/>
        <v>36</v>
      </c>
      <c r="O127" s="8">
        <f t="shared" si="4"/>
        <v>0</v>
      </c>
      <c r="P127" s="9">
        <f ca="1">IF(ISNA(VLOOKUP($H127,ClientAll,COLUMN(Clients!$C$8),0))=TRUE,0,VLOOKUP($H127,ClientAll,COLUMN(Clients!$C$8),0))</f>
        <v>0</v>
      </c>
      <c r="Q127" s="8">
        <f t="shared" si="5"/>
        <v>0</v>
      </c>
      <c r="R127" s="10" t="str">
        <f ca="1">IF(ISNA(VLOOKUP($D127,VehicleID,COLUMN(Vehicles!$A$8),0))=TRUE,"E1",IF(ISNA(VLOOKUP($H127,ClientID,COLUMN(Vehicles!$A$8),0))=TRUE,"E2",IF(AND($G127&lt;&gt;"Business",$H127&lt;&gt;"XXX01"),"E3",IF(AND($G127="Business",$H127="XXX01"),"E4","-"))))</f>
        <v>-</v>
      </c>
    </row>
    <row r="128" spans="1:18" ht="16" customHeight="1" x14ac:dyDescent="0.25">
      <c r="A128" s="27">
        <v>43881</v>
      </c>
      <c r="C128" s="28" t="s">
        <v>113</v>
      </c>
      <c r="D128" s="11" t="s">
        <v>71</v>
      </c>
      <c r="E128" s="5">
        <v>36410</v>
      </c>
      <c r="F128" s="5">
        <v>36418</v>
      </c>
      <c r="G128" s="6" t="s">
        <v>80</v>
      </c>
      <c r="H128" s="6" t="s">
        <v>55</v>
      </c>
      <c r="I128" s="7" t="s">
        <v>86</v>
      </c>
      <c r="J128" s="7" t="s">
        <v>86</v>
      </c>
      <c r="K128" s="7" t="s">
        <v>85</v>
      </c>
      <c r="L128" s="8">
        <v>0</v>
      </c>
      <c r="M128" s="8" t="s">
        <v>87</v>
      </c>
      <c r="N128" s="8">
        <f t="shared" si="3"/>
        <v>8</v>
      </c>
      <c r="O128" s="8">
        <f t="shared" si="4"/>
        <v>0</v>
      </c>
      <c r="P128" s="9">
        <f ca="1">IF(ISNA(VLOOKUP($H128,ClientAll,COLUMN(Clients!$C$8),0))=TRUE,0,VLOOKUP($H128,ClientAll,COLUMN(Clients!$C$8),0))</f>
        <v>0</v>
      </c>
      <c r="Q128" s="8">
        <f t="shared" si="5"/>
        <v>0</v>
      </c>
      <c r="R128" s="10" t="str">
        <f ca="1">IF(ISNA(VLOOKUP($D128,VehicleID,COLUMN(Vehicles!$A$8),0))=TRUE,"E1",IF(ISNA(VLOOKUP($H128,ClientID,COLUMN(Vehicles!$A$8),0))=TRUE,"E2",IF(AND($G128&lt;&gt;"Business",$H128&lt;&gt;"XXX01"),"E3",IF(AND($G128="Business",$H128="XXX01"),"E4","-"))))</f>
        <v>-</v>
      </c>
    </row>
    <row r="129" spans="1:18" ht="16" customHeight="1" x14ac:dyDescent="0.25">
      <c r="A129" s="27">
        <v>43882</v>
      </c>
      <c r="B129" s="28">
        <v>0.70833333333333337</v>
      </c>
      <c r="C129" s="28" t="s">
        <v>121</v>
      </c>
      <c r="D129" s="11" t="s">
        <v>72</v>
      </c>
      <c r="E129" s="5">
        <v>113973</v>
      </c>
      <c r="F129" s="5">
        <v>114393</v>
      </c>
      <c r="G129" s="6" t="s">
        <v>81</v>
      </c>
      <c r="H129" s="6" t="s">
        <v>37</v>
      </c>
      <c r="I129" s="7" t="s">
        <v>83</v>
      </c>
      <c r="J129" s="7" t="s">
        <v>78</v>
      </c>
      <c r="K129" s="7" t="s">
        <v>84</v>
      </c>
      <c r="L129" s="8">
        <v>2.5</v>
      </c>
      <c r="M129" s="8" t="s">
        <v>88</v>
      </c>
      <c r="N129" s="8">
        <f t="shared" si="3"/>
        <v>420</v>
      </c>
      <c r="O129" s="8">
        <f t="shared" si="4"/>
        <v>1050</v>
      </c>
      <c r="P129" s="9">
        <f ca="1">IF(ISNA(VLOOKUP($H129,ClientAll,COLUMN(Clients!$C$8),0))=TRUE,0,VLOOKUP($H129,ClientAll,COLUMN(Clients!$C$8),0))</f>
        <v>420</v>
      </c>
      <c r="Q129" s="8">
        <f t="shared" ca="1" si="5"/>
        <v>0</v>
      </c>
      <c r="R129" s="10" t="str">
        <f ca="1">IF(ISNA(VLOOKUP($D129,VehicleID,COLUMN(Vehicles!$A$8),0))=TRUE,"E1",IF(ISNA(VLOOKUP($H129,ClientID,COLUMN(Vehicles!$A$8),0))=TRUE,"E2",IF(AND($G129&lt;&gt;"Business",$H129&lt;&gt;"XXX01"),"E3",IF(AND($G129="Business",$H129="XXX01"),"E4","-"))))</f>
        <v>-</v>
      </c>
    </row>
    <row r="130" spans="1:18" ht="16" customHeight="1" x14ac:dyDescent="0.25">
      <c r="A130" s="27">
        <v>43885</v>
      </c>
      <c r="B130" s="28">
        <v>0.33333333333333331</v>
      </c>
      <c r="C130" s="28" t="s">
        <v>116</v>
      </c>
      <c r="D130" s="11" t="s">
        <v>70</v>
      </c>
      <c r="E130" s="5">
        <v>54802</v>
      </c>
      <c r="F130" s="5">
        <v>54902</v>
      </c>
      <c r="G130" s="6" t="s">
        <v>81</v>
      </c>
      <c r="H130" s="6" t="s">
        <v>27</v>
      </c>
      <c r="I130" s="7" t="s">
        <v>78</v>
      </c>
      <c r="J130" s="7" t="s">
        <v>83</v>
      </c>
      <c r="K130" s="7" t="s">
        <v>84</v>
      </c>
      <c r="L130" s="8">
        <v>3</v>
      </c>
      <c r="M130" s="8" t="s">
        <v>82</v>
      </c>
      <c r="N130" s="8">
        <f t="shared" si="3"/>
        <v>100</v>
      </c>
      <c r="O130" s="8">
        <f t="shared" si="4"/>
        <v>300</v>
      </c>
      <c r="P130" s="9">
        <f ca="1">IF(ISNA(VLOOKUP($H130,ClientAll,COLUMN(Clients!$C$8),0))=TRUE,0,VLOOKUP($H130,ClientAll,COLUMN(Clients!$C$8),0))</f>
        <v>100</v>
      </c>
      <c r="Q130" s="8">
        <f t="shared" ca="1" si="5"/>
        <v>0</v>
      </c>
      <c r="R130" s="10" t="str">
        <f ca="1">IF(ISNA(VLOOKUP($D130,VehicleID,COLUMN(Vehicles!$A$8),0))=TRUE,"E1",IF(ISNA(VLOOKUP($H130,ClientID,COLUMN(Vehicles!$A$8),0))=TRUE,"E2",IF(AND($G130&lt;&gt;"Business",$H130&lt;&gt;"XXX01"),"E3",IF(AND($G130="Business",$H130="XXX01"),"E4","-"))))</f>
        <v>-</v>
      </c>
    </row>
    <row r="131" spans="1:18" ht="16" customHeight="1" x14ac:dyDescent="0.25">
      <c r="A131" s="27">
        <v>43885</v>
      </c>
      <c r="B131" s="28">
        <v>0.33333333333333331</v>
      </c>
      <c r="C131" s="28" t="s">
        <v>113</v>
      </c>
      <c r="D131" s="11" t="s">
        <v>71</v>
      </c>
      <c r="E131" s="5">
        <v>36418</v>
      </c>
      <c r="F131" s="5">
        <v>36450</v>
      </c>
      <c r="G131" s="6" t="s">
        <v>81</v>
      </c>
      <c r="H131" s="6" t="s">
        <v>43</v>
      </c>
      <c r="I131" s="7" t="s">
        <v>78</v>
      </c>
      <c r="J131" s="7" t="s">
        <v>83</v>
      </c>
      <c r="K131" s="7" t="s">
        <v>84</v>
      </c>
      <c r="L131" s="8">
        <v>3</v>
      </c>
      <c r="M131" s="8" t="s">
        <v>87</v>
      </c>
      <c r="N131" s="8">
        <f t="shared" si="3"/>
        <v>32</v>
      </c>
      <c r="O131" s="8">
        <f t="shared" si="4"/>
        <v>96</v>
      </c>
      <c r="P131" s="9">
        <f ca="1">IF(ISNA(VLOOKUP($H131,ClientAll,COLUMN(Clients!$C$8),0))=TRUE,0,VLOOKUP($H131,ClientAll,COLUMN(Clients!$C$8),0))</f>
        <v>32</v>
      </c>
      <c r="Q131" s="8">
        <f t="shared" ca="1" si="5"/>
        <v>0</v>
      </c>
      <c r="R131" s="10" t="str">
        <f ca="1">IF(ISNA(VLOOKUP($D131,VehicleID,COLUMN(Vehicles!$A$8),0))=TRUE,"E1",IF(ISNA(VLOOKUP($H131,ClientID,COLUMN(Vehicles!$A$8),0))=TRUE,"E2",IF(AND($G131&lt;&gt;"Business",$H131&lt;&gt;"XXX01"),"E3",IF(AND($G131="Business",$H131="XXX01"),"E4","-"))))</f>
        <v>-</v>
      </c>
    </row>
    <row r="132" spans="1:18" ht="16" customHeight="1" x14ac:dyDescent="0.25">
      <c r="A132" s="27">
        <v>43885</v>
      </c>
      <c r="B132" s="28">
        <v>0.33333333333333331</v>
      </c>
      <c r="C132" s="28" t="s">
        <v>121</v>
      </c>
      <c r="D132" s="11" t="s">
        <v>72</v>
      </c>
      <c r="E132" s="5">
        <v>114393</v>
      </c>
      <c r="F132" s="5">
        <v>114813</v>
      </c>
      <c r="G132" s="6" t="s">
        <v>81</v>
      </c>
      <c r="H132" s="6" t="s">
        <v>37</v>
      </c>
      <c r="I132" s="7" t="s">
        <v>78</v>
      </c>
      <c r="J132" s="7" t="s">
        <v>83</v>
      </c>
      <c r="K132" s="7" t="s">
        <v>84</v>
      </c>
      <c r="L132" s="8">
        <v>2.5</v>
      </c>
      <c r="M132" s="8" t="s">
        <v>89</v>
      </c>
      <c r="N132" s="8">
        <f t="shared" ref="N132:N195" si="6">F132-E132</f>
        <v>420</v>
      </c>
      <c r="O132" s="8">
        <f t="shared" ref="O132:O195" si="7">N132*L132</f>
        <v>1050</v>
      </c>
      <c r="P132" s="9">
        <f ca="1">IF(ISNA(VLOOKUP($H132,ClientAll,COLUMN(Clients!$C$8),0))=TRUE,0,VLOOKUP($H132,ClientAll,COLUMN(Clients!$C$8),0))</f>
        <v>420</v>
      </c>
      <c r="Q132" s="8">
        <f t="shared" ref="Q132:Q195" ca="1" si="8">IF(G132="Private",0,N132-P132)</f>
        <v>0</v>
      </c>
      <c r="R132" s="10" t="str">
        <f ca="1">IF(ISNA(VLOOKUP($D132,VehicleID,COLUMN(Vehicles!$A$8),0))=TRUE,"E1",IF(ISNA(VLOOKUP($H132,ClientID,COLUMN(Vehicles!$A$8),0))=TRUE,"E2",IF(AND($G132&lt;&gt;"Business",$H132&lt;&gt;"XXX01"),"E3",IF(AND($G132="Business",$H132="XXX01"),"E4","-"))))</f>
        <v>-</v>
      </c>
    </row>
    <row r="133" spans="1:18" ht="16" customHeight="1" x14ac:dyDescent="0.25">
      <c r="A133" s="27">
        <v>43885</v>
      </c>
      <c r="C133" s="28" t="s">
        <v>116</v>
      </c>
      <c r="D133" s="11" t="s">
        <v>70</v>
      </c>
      <c r="E133" s="5">
        <v>54902</v>
      </c>
      <c r="F133" s="5">
        <v>54926</v>
      </c>
      <c r="G133" s="6" t="s">
        <v>80</v>
      </c>
      <c r="H133" s="6" t="s">
        <v>55</v>
      </c>
      <c r="I133" s="7" t="s">
        <v>86</v>
      </c>
      <c r="J133" s="7" t="s">
        <v>86</v>
      </c>
      <c r="K133" s="7" t="s">
        <v>85</v>
      </c>
      <c r="L133" s="8">
        <v>0</v>
      </c>
      <c r="M133" s="8" t="s">
        <v>82</v>
      </c>
      <c r="N133" s="8">
        <f t="shared" si="6"/>
        <v>24</v>
      </c>
      <c r="O133" s="8">
        <f t="shared" si="7"/>
        <v>0</v>
      </c>
      <c r="P133" s="9">
        <f ca="1">IF(ISNA(VLOOKUP($H133,ClientAll,COLUMN(Clients!$C$8),0))=TRUE,0,VLOOKUP($H133,ClientAll,COLUMN(Clients!$C$8),0))</f>
        <v>0</v>
      </c>
      <c r="Q133" s="8">
        <f t="shared" si="8"/>
        <v>0</v>
      </c>
      <c r="R133" s="10" t="str">
        <f ca="1">IF(ISNA(VLOOKUP($D133,VehicleID,COLUMN(Vehicles!$A$8),0))=TRUE,"E1",IF(ISNA(VLOOKUP($H133,ClientID,COLUMN(Vehicles!$A$8),0))=TRUE,"E2",IF(AND($G133&lt;&gt;"Business",$H133&lt;&gt;"XXX01"),"E3",IF(AND($G133="Business",$H133="XXX01"),"E4","-"))))</f>
        <v>-</v>
      </c>
    </row>
    <row r="134" spans="1:18" ht="16" customHeight="1" x14ac:dyDescent="0.25">
      <c r="A134" s="27">
        <v>43885</v>
      </c>
      <c r="C134" s="28" t="s">
        <v>113</v>
      </c>
      <c r="D134" s="11" t="s">
        <v>71</v>
      </c>
      <c r="E134" s="5">
        <v>36450</v>
      </c>
      <c r="F134" s="5">
        <v>36483</v>
      </c>
      <c r="G134" s="6" t="s">
        <v>80</v>
      </c>
      <c r="H134" s="6" t="s">
        <v>55</v>
      </c>
      <c r="I134" s="7" t="s">
        <v>86</v>
      </c>
      <c r="J134" s="7" t="s">
        <v>86</v>
      </c>
      <c r="K134" s="7" t="s">
        <v>85</v>
      </c>
      <c r="L134" s="8">
        <v>0</v>
      </c>
      <c r="M134" s="8" t="s">
        <v>87</v>
      </c>
      <c r="N134" s="8">
        <f t="shared" si="6"/>
        <v>33</v>
      </c>
      <c r="O134" s="8">
        <f t="shared" si="7"/>
        <v>0</v>
      </c>
      <c r="P134" s="9">
        <f ca="1">IF(ISNA(VLOOKUP($H134,ClientAll,COLUMN(Clients!$C$8),0))=TRUE,0,VLOOKUP($H134,ClientAll,COLUMN(Clients!$C$8),0))</f>
        <v>0</v>
      </c>
      <c r="Q134" s="8">
        <f t="shared" si="8"/>
        <v>0</v>
      </c>
      <c r="R134" s="10" t="str">
        <f ca="1">IF(ISNA(VLOOKUP($D134,VehicleID,COLUMN(Vehicles!$A$8),0))=TRUE,"E1",IF(ISNA(VLOOKUP($H134,ClientID,COLUMN(Vehicles!$A$8),0))=TRUE,"E2",IF(AND($G134&lt;&gt;"Business",$H134&lt;&gt;"XXX01"),"E3",IF(AND($G134="Business",$H134="XXX01"),"E4","-"))))</f>
        <v>-</v>
      </c>
    </row>
    <row r="135" spans="1:18" ht="16" customHeight="1" x14ac:dyDescent="0.25">
      <c r="A135" s="27">
        <v>43886</v>
      </c>
      <c r="B135" s="28">
        <v>0.33333333333333331</v>
      </c>
      <c r="C135" s="28" t="s">
        <v>117</v>
      </c>
      <c r="D135" s="11" t="s">
        <v>70</v>
      </c>
      <c r="E135" s="5">
        <v>54926</v>
      </c>
      <c r="F135" s="5">
        <v>55026</v>
      </c>
      <c r="G135" s="6" t="s">
        <v>81</v>
      </c>
      <c r="H135" s="6" t="s">
        <v>27</v>
      </c>
      <c r="I135" s="7" t="s">
        <v>78</v>
      </c>
      <c r="J135" s="7" t="s">
        <v>83</v>
      </c>
      <c r="K135" s="7" t="s">
        <v>84</v>
      </c>
      <c r="L135" s="8">
        <v>3</v>
      </c>
      <c r="M135" s="8" t="s">
        <v>82</v>
      </c>
      <c r="N135" s="8">
        <f t="shared" si="6"/>
        <v>100</v>
      </c>
      <c r="O135" s="8">
        <f t="shared" si="7"/>
        <v>300</v>
      </c>
      <c r="P135" s="9">
        <f ca="1">IF(ISNA(VLOOKUP($H135,ClientAll,COLUMN(Clients!$C$8),0))=TRUE,0,VLOOKUP($H135,ClientAll,COLUMN(Clients!$C$8),0))</f>
        <v>100</v>
      </c>
      <c r="Q135" s="8">
        <f t="shared" ca="1" si="8"/>
        <v>0</v>
      </c>
      <c r="R135" s="10" t="str">
        <f ca="1">IF(ISNA(VLOOKUP($D135,VehicleID,COLUMN(Vehicles!$A$8),0))=TRUE,"E1",IF(ISNA(VLOOKUP($H135,ClientID,COLUMN(Vehicles!$A$8),0))=TRUE,"E2",IF(AND($G135&lt;&gt;"Business",$H135&lt;&gt;"XXX01"),"E3",IF(AND($G135="Business",$H135="XXX01"),"E4","-"))))</f>
        <v>-</v>
      </c>
    </row>
    <row r="136" spans="1:18" ht="16" customHeight="1" x14ac:dyDescent="0.25">
      <c r="A136" s="27">
        <v>43886</v>
      </c>
      <c r="B136" s="28">
        <v>0.33333333333333331</v>
      </c>
      <c r="C136" s="28" t="s">
        <v>119</v>
      </c>
      <c r="D136" s="11" t="s">
        <v>71</v>
      </c>
      <c r="E136" s="5">
        <v>36483</v>
      </c>
      <c r="F136" s="5">
        <v>36515</v>
      </c>
      <c r="G136" s="6" t="s">
        <v>81</v>
      </c>
      <c r="H136" s="6" t="s">
        <v>43</v>
      </c>
      <c r="I136" s="7" t="s">
        <v>78</v>
      </c>
      <c r="J136" s="7" t="s">
        <v>83</v>
      </c>
      <c r="K136" s="7" t="s">
        <v>84</v>
      </c>
      <c r="L136" s="8">
        <v>3</v>
      </c>
      <c r="M136" s="8" t="s">
        <v>87</v>
      </c>
      <c r="N136" s="8">
        <f t="shared" si="6"/>
        <v>32</v>
      </c>
      <c r="O136" s="8">
        <f t="shared" si="7"/>
        <v>96</v>
      </c>
      <c r="P136" s="9">
        <f ca="1">IF(ISNA(VLOOKUP($H136,ClientAll,COLUMN(Clients!$C$8),0))=TRUE,0,VLOOKUP($H136,ClientAll,COLUMN(Clients!$C$8),0))</f>
        <v>32</v>
      </c>
      <c r="Q136" s="8">
        <f t="shared" ca="1" si="8"/>
        <v>0</v>
      </c>
      <c r="R136" s="10" t="str">
        <f ca="1">IF(ISNA(VLOOKUP($D136,VehicleID,COLUMN(Vehicles!$A$8),0))=TRUE,"E1",IF(ISNA(VLOOKUP($H136,ClientID,COLUMN(Vehicles!$A$8),0))=TRUE,"E2",IF(AND($G136&lt;&gt;"Business",$H136&lt;&gt;"XXX01"),"E3",IF(AND($G136="Business",$H136="XXX01"),"E4","-"))))</f>
        <v>-</v>
      </c>
    </row>
    <row r="137" spans="1:18" ht="16" customHeight="1" x14ac:dyDescent="0.25">
      <c r="A137" s="27">
        <v>43886</v>
      </c>
      <c r="C137" s="28" t="s">
        <v>117</v>
      </c>
      <c r="D137" s="11" t="s">
        <v>70</v>
      </c>
      <c r="E137" s="5">
        <v>55026</v>
      </c>
      <c r="F137" s="5">
        <v>55041</v>
      </c>
      <c r="G137" s="6" t="s">
        <v>80</v>
      </c>
      <c r="H137" s="6" t="s">
        <v>55</v>
      </c>
      <c r="I137" s="7" t="s">
        <v>86</v>
      </c>
      <c r="J137" s="7" t="s">
        <v>86</v>
      </c>
      <c r="K137" s="7" t="s">
        <v>85</v>
      </c>
      <c r="L137" s="8">
        <v>0</v>
      </c>
      <c r="M137" s="8" t="s">
        <v>82</v>
      </c>
      <c r="N137" s="8">
        <f t="shared" si="6"/>
        <v>15</v>
      </c>
      <c r="O137" s="8">
        <f t="shared" si="7"/>
        <v>0</v>
      </c>
      <c r="P137" s="9">
        <f ca="1">IF(ISNA(VLOOKUP($H137,ClientAll,COLUMN(Clients!$C$8),0))=TRUE,0,VLOOKUP($H137,ClientAll,COLUMN(Clients!$C$8),0))</f>
        <v>0</v>
      </c>
      <c r="Q137" s="8">
        <f t="shared" si="8"/>
        <v>0</v>
      </c>
      <c r="R137" s="10" t="str">
        <f ca="1">IF(ISNA(VLOOKUP($D137,VehicleID,COLUMN(Vehicles!$A$8),0))=TRUE,"E1",IF(ISNA(VLOOKUP($H137,ClientID,COLUMN(Vehicles!$A$8),0))=TRUE,"E2",IF(AND($G137&lt;&gt;"Business",$H137&lt;&gt;"XXX01"),"E3",IF(AND($G137="Business",$H137="XXX01"),"E4","-"))))</f>
        <v>-</v>
      </c>
    </row>
    <row r="138" spans="1:18" ht="16" customHeight="1" x14ac:dyDescent="0.25">
      <c r="A138" s="27">
        <v>43886</v>
      </c>
      <c r="C138" s="28" t="s">
        <v>119</v>
      </c>
      <c r="D138" s="11" t="s">
        <v>71</v>
      </c>
      <c r="E138" s="5">
        <v>36515</v>
      </c>
      <c r="F138" s="5">
        <v>36556</v>
      </c>
      <c r="G138" s="6" t="s">
        <v>80</v>
      </c>
      <c r="H138" s="6" t="s">
        <v>55</v>
      </c>
      <c r="I138" s="7" t="s">
        <v>86</v>
      </c>
      <c r="J138" s="7" t="s">
        <v>86</v>
      </c>
      <c r="K138" s="7" t="s">
        <v>85</v>
      </c>
      <c r="L138" s="8">
        <v>0</v>
      </c>
      <c r="M138" s="8" t="s">
        <v>87</v>
      </c>
      <c r="N138" s="8">
        <f t="shared" si="6"/>
        <v>41</v>
      </c>
      <c r="O138" s="8">
        <f t="shared" si="7"/>
        <v>0</v>
      </c>
      <c r="P138" s="9">
        <f ca="1">IF(ISNA(VLOOKUP($H138,ClientAll,COLUMN(Clients!$C$8),0))=TRUE,0,VLOOKUP($H138,ClientAll,COLUMN(Clients!$C$8),0))</f>
        <v>0</v>
      </c>
      <c r="Q138" s="8">
        <f t="shared" si="8"/>
        <v>0</v>
      </c>
      <c r="R138" s="10" t="str">
        <f ca="1">IF(ISNA(VLOOKUP($D138,VehicleID,COLUMN(Vehicles!$A$8),0))=TRUE,"E1",IF(ISNA(VLOOKUP($H138,ClientID,COLUMN(Vehicles!$A$8),0))=TRUE,"E2",IF(AND($G138&lt;&gt;"Business",$H138&lt;&gt;"XXX01"),"E3",IF(AND($G138="Business",$H138="XXX01"),"E4","-"))))</f>
        <v>-</v>
      </c>
    </row>
    <row r="139" spans="1:18" ht="16" customHeight="1" x14ac:dyDescent="0.25">
      <c r="A139" s="27">
        <v>43887</v>
      </c>
      <c r="B139" s="28">
        <v>0.33333333333333331</v>
      </c>
      <c r="C139" s="28" t="s">
        <v>117</v>
      </c>
      <c r="D139" s="11" t="s">
        <v>70</v>
      </c>
      <c r="E139" s="5">
        <v>55041</v>
      </c>
      <c r="F139" s="5">
        <v>55116</v>
      </c>
      <c r="G139" s="6" t="s">
        <v>81</v>
      </c>
      <c r="H139" s="6" t="s">
        <v>29</v>
      </c>
      <c r="I139" s="7" t="s">
        <v>78</v>
      </c>
      <c r="J139" s="7" t="s">
        <v>83</v>
      </c>
      <c r="K139" s="7" t="s">
        <v>84</v>
      </c>
      <c r="L139" s="8">
        <v>3</v>
      </c>
      <c r="M139" s="8" t="s">
        <v>82</v>
      </c>
      <c r="N139" s="8">
        <f t="shared" si="6"/>
        <v>75</v>
      </c>
      <c r="O139" s="8">
        <f t="shared" si="7"/>
        <v>225</v>
      </c>
      <c r="P139" s="9">
        <f ca="1">IF(ISNA(VLOOKUP($H139,ClientAll,COLUMN(Clients!$C$8),0))=TRUE,0,VLOOKUP($H139,ClientAll,COLUMN(Clients!$C$8),0))</f>
        <v>75</v>
      </c>
      <c r="Q139" s="8">
        <f t="shared" ca="1" si="8"/>
        <v>0</v>
      </c>
      <c r="R139" s="10" t="str">
        <f ca="1">IF(ISNA(VLOOKUP($D139,VehicleID,COLUMN(Vehicles!$A$8),0))=TRUE,"E1",IF(ISNA(VLOOKUP($H139,ClientID,COLUMN(Vehicles!$A$8),0))=TRUE,"E2",IF(AND($G139&lt;&gt;"Business",$H139&lt;&gt;"XXX01"),"E3",IF(AND($G139="Business",$H139="XXX01"),"E4","-"))))</f>
        <v>-</v>
      </c>
    </row>
    <row r="140" spans="1:18" ht="16" customHeight="1" x14ac:dyDescent="0.25">
      <c r="A140" s="27">
        <v>43887</v>
      </c>
      <c r="B140" s="28">
        <v>0.33333333333333331</v>
      </c>
      <c r="C140" s="28" t="s">
        <v>119</v>
      </c>
      <c r="D140" s="11" t="s">
        <v>71</v>
      </c>
      <c r="E140" s="5">
        <v>36556</v>
      </c>
      <c r="F140" s="5">
        <v>36706</v>
      </c>
      <c r="G140" s="6" t="s">
        <v>81</v>
      </c>
      <c r="H140" s="6" t="s">
        <v>39</v>
      </c>
      <c r="I140" s="7" t="s">
        <v>78</v>
      </c>
      <c r="J140" s="7" t="s">
        <v>83</v>
      </c>
      <c r="K140" s="7" t="s">
        <v>84</v>
      </c>
      <c r="L140" s="8">
        <v>3</v>
      </c>
      <c r="M140" s="8" t="s">
        <v>87</v>
      </c>
      <c r="N140" s="8">
        <f t="shared" si="6"/>
        <v>150</v>
      </c>
      <c r="O140" s="8">
        <f t="shared" si="7"/>
        <v>450</v>
      </c>
      <c r="P140" s="9">
        <f ca="1">IF(ISNA(VLOOKUP($H140,ClientAll,COLUMN(Clients!$C$8),0))=TRUE,0,VLOOKUP($H140,ClientAll,COLUMN(Clients!$C$8),0))</f>
        <v>150</v>
      </c>
      <c r="Q140" s="8">
        <f t="shared" ca="1" si="8"/>
        <v>0</v>
      </c>
      <c r="R140" s="10" t="str">
        <f ca="1">IF(ISNA(VLOOKUP($D140,VehicleID,COLUMN(Vehicles!$A$8),0))=TRUE,"E1",IF(ISNA(VLOOKUP($H140,ClientID,COLUMN(Vehicles!$A$8),0))=TRUE,"E2",IF(AND($G140&lt;&gt;"Business",$H140&lt;&gt;"XXX01"),"E3",IF(AND($G140="Business",$H140="XXX01"),"E4","-"))))</f>
        <v>-</v>
      </c>
    </row>
    <row r="141" spans="1:18" ht="16" customHeight="1" x14ac:dyDescent="0.25">
      <c r="A141" s="27">
        <v>43887</v>
      </c>
      <c r="C141" s="28" t="s">
        <v>117</v>
      </c>
      <c r="D141" s="11" t="s">
        <v>70</v>
      </c>
      <c r="E141" s="5">
        <v>55116</v>
      </c>
      <c r="F141" s="5">
        <v>55157</v>
      </c>
      <c r="G141" s="6" t="s">
        <v>80</v>
      </c>
      <c r="H141" s="6" t="s">
        <v>55</v>
      </c>
      <c r="I141" s="7" t="s">
        <v>86</v>
      </c>
      <c r="J141" s="7" t="s">
        <v>86</v>
      </c>
      <c r="K141" s="7" t="s">
        <v>85</v>
      </c>
      <c r="L141" s="8">
        <v>0</v>
      </c>
      <c r="M141" s="8" t="s">
        <v>82</v>
      </c>
      <c r="N141" s="8">
        <f t="shared" si="6"/>
        <v>41</v>
      </c>
      <c r="O141" s="8">
        <f t="shared" si="7"/>
        <v>0</v>
      </c>
      <c r="P141" s="9">
        <f ca="1">IF(ISNA(VLOOKUP($H141,ClientAll,COLUMN(Clients!$C$8),0))=TRUE,0,VLOOKUP($H141,ClientAll,COLUMN(Clients!$C$8),0))</f>
        <v>0</v>
      </c>
      <c r="Q141" s="8">
        <f t="shared" si="8"/>
        <v>0</v>
      </c>
      <c r="R141" s="10" t="str">
        <f ca="1">IF(ISNA(VLOOKUP($D141,VehicleID,COLUMN(Vehicles!$A$8),0))=TRUE,"E1",IF(ISNA(VLOOKUP($H141,ClientID,COLUMN(Vehicles!$A$8),0))=TRUE,"E2",IF(AND($G141&lt;&gt;"Business",$H141&lt;&gt;"XXX01"),"E3",IF(AND($G141="Business",$H141="XXX01"),"E4","-"))))</f>
        <v>-</v>
      </c>
    </row>
    <row r="142" spans="1:18" ht="16" customHeight="1" x14ac:dyDescent="0.25">
      <c r="A142" s="27">
        <v>43887</v>
      </c>
      <c r="C142" s="28" t="s">
        <v>119</v>
      </c>
      <c r="D142" s="11" t="s">
        <v>71</v>
      </c>
      <c r="E142" s="5">
        <v>36706</v>
      </c>
      <c r="F142" s="5">
        <v>36731</v>
      </c>
      <c r="G142" s="6" t="s">
        <v>80</v>
      </c>
      <c r="H142" s="6" t="s">
        <v>55</v>
      </c>
      <c r="I142" s="7" t="s">
        <v>86</v>
      </c>
      <c r="J142" s="7" t="s">
        <v>86</v>
      </c>
      <c r="K142" s="7" t="s">
        <v>85</v>
      </c>
      <c r="L142" s="8">
        <v>0</v>
      </c>
      <c r="M142" s="8" t="s">
        <v>87</v>
      </c>
      <c r="N142" s="8">
        <f t="shared" si="6"/>
        <v>25</v>
      </c>
      <c r="O142" s="8">
        <f t="shared" si="7"/>
        <v>0</v>
      </c>
      <c r="P142" s="9">
        <f ca="1">IF(ISNA(VLOOKUP($H142,ClientAll,COLUMN(Clients!$C$8),0))=TRUE,0,VLOOKUP($H142,ClientAll,COLUMN(Clients!$C$8),0))</f>
        <v>0</v>
      </c>
      <c r="Q142" s="8">
        <f t="shared" si="8"/>
        <v>0</v>
      </c>
      <c r="R142" s="10" t="str">
        <f ca="1">IF(ISNA(VLOOKUP($D142,VehicleID,COLUMN(Vehicles!$A$8),0))=TRUE,"E1",IF(ISNA(VLOOKUP($H142,ClientID,COLUMN(Vehicles!$A$8),0))=TRUE,"E2",IF(AND($G142&lt;&gt;"Business",$H142&lt;&gt;"XXX01"),"E3",IF(AND($G142="Business",$H142="XXX01"),"E4","-"))))</f>
        <v>-</v>
      </c>
    </row>
    <row r="143" spans="1:18" ht="16" customHeight="1" x14ac:dyDescent="0.25">
      <c r="A143" s="27">
        <v>43888</v>
      </c>
      <c r="B143" s="28">
        <v>0.33333333333333331</v>
      </c>
      <c r="C143" s="28" t="s">
        <v>117</v>
      </c>
      <c r="D143" s="11" t="s">
        <v>70</v>
      </c>
      <c r="E143" s="5">
        <v>55157</v>
      </c>
      <c r="F143" s="5">
        <v>55187</v>
      </c>
      <c r="G143" s="6" t="s">
        <v>81</v>
      </c>
      <c r="H143" s="6" t="s">
        <v>21</v>
      </c>
      <c r="I143" s="7" t="s">
        <v>78</v>
      </c>
      <c r="J143" s="7" t="s">
        <v>83</v>
      </c>
      <c r="K143" s="7" t="s">
        <v>84</v>
      </c>
      <c r="L143" s="8">
        <v>3</v>
      </c>
      <c r="M143" s="8" t="s">
        <v>82</v>
      </c>
      <c r="N143" s="8">
        <f t="shared" si="6"/>
        <v>30</v>
      </c>
      <c r="O143" s="8">
        <f t="shared" si="7"/>
        <v>90</v>
      </c>
      <c r="P143" s="9">
        <f ca="1">IF(ISNA(VLOOKUP($H143,ClientAll,COLUMN(Clients!$C$8),0))=TRUE,0,VLOOKUP($H143,ClientAll,COLUMN(Clients!$C$8),0))</f>
        <v>30</v>
      </c>
      <c r="Q143" s="8">
        <f t="shared" ca="1" si="8"/>
        <v>0</v>
      </c>
      <c r="R143" s="10" t="str">
        <f ca="1">IF(ISNA(VLOOKUP($D143,VehicleID,COLUMN(Vehicles!$A$8),0))=TRUE,"E1",IF(ISNA(VLOOKUP($H143,ClientID,COLUMN(Vehicles!$A$8),0))=TRUE,"E2",IF(AND($G143&lt;&gt;"Business",$H143&lt;&gt;"XXX01"),"E3",IF(AND($G143="Business",$H143="XXX01"),"E4","-"))))</f>
        <v>-</v>
      </c>
    </row>
    <row r="144" spans="1:18" ht="16" customHeight="1" x14ac:dyDescent="0.25">
      <c r="A144" s="27">
        <v>43888</v>
      </c>
      <c r="B144" s="28">
        <v>0.33333333333333331</v>
      </c>
      <c r="C144" s="28" t="s">
        <v>119</v>
      </c>
      <c r="D144" s="11" t="s">
        <v>71</v>
      </c>
      <c r="E144" s="5">
        <v>36731</v>
      </c>
      <c r="F144" s="5">
        <v>36763</v>
      </c>
      <c r="G144" s="6" t="s">
        <v>81</v>
      </c>
      <c r="H144" s="6" t="s">
        <v>43</v>
      </c>
      <c r="I144" s="7" t="s">
        <v>78</v>
      </c>
      <c r="J144" s="7" t="s">
        <v>83</v>
      </c>
      <c r="K144" s="7" t="s">
        <v>84</v>
      </c>
      <c r="L144" s="8">
        <v>3</v>
      </c>
      <c r="M144" s="8" t="s">
        <v>87</v>
      </c>
      <c r="N144" s="8">
        <f t="shared" si="6"/>
        <v>32</v>
      </c>
      <c r="O144" s="8">
        <f t="shared" si="7"/>
        <v>96</v>
      </c>
      <c r="P144" s="9">
        <f ca="1">IF(ISNA(VLOOKUP($H144,ClientAll,COLUMN(Clients!$C$8),0))=TRUE,0,VLOOKUP($H144,ClientAll,COLUMN(Clients!$C$8),0))</f>
        <v>32</v>
      </c>
      <c r="Q144" s="8">
        <f t="shared" ca="1" si="8"/>
        <v>0</v>
      </c>
      <c r="R144" s="10" t="str">
        <f ca="1">IF(ISNA(VLOOKUP($D144,VehicleID,COLUMN(Vehicles!$A$8),0))=TRUE,"E1",IF(ISNA(VLOOKUP($H144,ClientID,COLUMN(Vehicles!$A$8),0))=TRUE,"E2",IF(AND($G144&lt;&gt;"Business",$H144&lt;&gt;"XXX01"),"E3",IF(AND($G144="Business",$H144="XXX01"),"E4","-"))))</f>
        <v>-</v>
      </c>
    </row>
    <row r="145" spans="1:18" ht="16" customHeight="1" x14ac:dyDescent="0.25">
      <c r="A145" s="27">
        <v>43889</v>
      </c>
      <c r="B145" s="28">
        <v>0.70833333333333337</v>
      </c>
      <c r="C145" s="28" t="s">
        <v>121</v>
      </c>
      <c r="D145" s="11" t="s">
        <v>72</v>
      </c>
      <c r="E145" s="5">
        <v>114813</v>
      </c>
      <c r="F145" s="5">
        <v>115233</v>
      </c>
      <c r="G145" s="6" t="s">
        <v>81</v>
      </c>
      <c r="H145" s="6" t="s">
        <v>37</v>
      </c>
      <c r="I145" s="7" t="s">
        <v>83</v>
      </c>
      <c r="J145" s="7" t="s">
        <v>78</v>
      </c>
      <c r="K145" s="7" t="s">
        <v>84</v>
      </c>
      <c r="L145" s="8">
        <v>2.5</v>
      </c>
      <c r="M145" s="8" t="s">
        <v>89</v>
      </c>
      <c r="N145" s="8">
        <f t="shared" si="6"/>
        <v>420</v>
      </c>
      <c r="O145" s="8">
        <f t="shared" si="7"/>
        <v>1050</v>
      </c>
      <c r="P145" s="9">
        <f ca="1">IF(ISNA(VLOOKUP($H145,ClientAll,COLUMN(Clients!$C$8),0))=TRUE,0,VLOOKUP($H145,ClientAll,COLUMN(Clients!$C$8),0))</f>
        <v>420</v>
      </c>
      <c r="Q145" s="8">
        <f t="shared" ca="1" si="8"/>
        <v>0</v>
      </c>
      <c r="R145" s="10" t="str">
        <f ca="1">IF(ISNA(VLOOKUP($D145,VehicleID,COLUMN(Vehicles!$A$8),0))=TRUE,"E1",IF(ISNA(VLOOKUP($H145,ClientID,COLUMN(Vehicles!$A$8),0))=TRUE,"E2",IF(AND($G145&lt;&gt;"Business",$H145&lt;&gt;"XXX01"),"E3",IF(AND($G145="Business",$H145="XXX01"),"E4","-"))))</f>
        <v>-</v>
      </c>
    </row>
    <row r="146" spans="1:18" ht="16" customHeight="1" x14ac:dyDescent="0.25">
      <c r="A146" s="27">
        <v>43889</v>
      </c>
      <c r="C146" s="28" t="s">
        <v>117</v>
      </c>
      <c r="D146" s="11" t="s">
        <v>70</v>
      </c>
      <c r="E146" s="5">
        <v>55187</v>
      </c>
      <c r="F146" s="5">
        <v>55251</v>
      </c>
      <c r="G146" s="6" t="s">
        <v>80</v>
      </c>
      <c r="H146" s="6" t="s">
        <v>55</v>
      </c>
      <c r="I146" s="7" t="s">
        <v>86</v>
      </c>
      <c r="J146" s="7" t="s">
        <v>86</v>
      </c>
      <c r="K146" s="7" t="s">
        <v>85</v>
      </c>
      <c r="L146" s="8">
        <v>0</v>
      </c>
      <c r="M146" s="8" t="s">
        <v>82</v>
      </c>
      <c r="N146" s="8">
        <f t="shared" si="6"/>
        <v>64</v>
      </c>
      <c r="O146" s="8">
        <f t="shared" si="7"/>
        <v>0</v>
      </c>
      <c r="P146" s="9">
        <f ca="1">IF(ISNA(VLOOKUP($H146,ClientAll,COLUMN(Clients!$C$8),0))=TRUE,0,VLOOKUP($H146,ClientAll,COLUMN(Clients!$C$8),0))</f>
        <v>0</v>
      </c>
      <c r="Q146" s="8">
        <f t="shared" si="8"/>
        <v>0</v>
      </c>
      <c r="R146" s="10" t="str">
        <f ca="1">IF(ISNA(VLOOKUP($D146,VehicleID,COLUMN(Vehicles!$A$8),0))=TRUE,"E1",IF(ISNA(VLOOKUP($H146,ClientID,COLUMN(Vehicles!$A$8),0))=TRUE,"E2",IF(AND($G146&lt;&gt;"Business",$H146&lt;&gt;"XXX01"),"E3",IF(AND($G146="Business",$H146="XXX01"),"E4","-"))))</f>
        <v>-</v>
      </c>
    </row>
    <row r="147" spans="1:18" ht="16" customHeight="1" x14ac:dyDescent="0.25">
      <c r="A147" s="27">
        <v>43889</v>
      </c>
      <c r="C147" s="28" t="s">
        <v>119</v>
      </c>
      <c r="D147" s="11" t="s">
        <v>71</v>
      </c>
      <c r="E147" s="5">
        <v>36763</v>
      </c>
      <c r="F147" s="5">
        <v>36777</v>
      </c>
      <c r="G147" s="6" t="s">
        <v>80</v>
      </c>
      <c r="H147" s="6" t="s">
        <v>55</v>
      </c>
      <c r="I147" s="7" t="s">
        <v>86</v>
      </c>
      <c r="J147" s="7" t="s">
        <v>86</v>
      </c>
      <c r="K147" s="7" t="s">
        <v>85</v>
      </c>
      <c r="L147" s="8">
        <v>0</v>
      </c>
      <c r="M147" s="8" t="s">
        <v>87</v>
      </c>
      <c r="N147" s="8">
        <f t="shared" si="6"/>
        <v>14</v>
      </c>
      <c r="O147" s="8">
        <f t="shared" si="7"/>
        <v>0</v>
      </c>
      <c r="P147" s="9">
        <f ca="1">IF(ISNA(VLOOKUP($H147,ClientAll,COLUMN(Clients!$C$8),0))=TRUE,0,VLOOKUP($H147,ClientAll,COLUMN(Clients!$C$8),0))</f>
        <v>0</v>
      </c>
      <c r="Q147" s="8">
        <f t="shared" si="8"/>
        <v>0</v>
      </c>
      <c r="R147" s="10" t="str">
        <f ca="1">IF(ISNA(VLOOKUP($D147,VehicleID,COLUMN(Vehicles!$A$8),0))=TRUE,"E1",IF(ISNA(VLOOKUP($H147,ClientID,COLUMN(Vehicles!$A$8),0))=TRUE,"E2",IF(AND($G147&lt;&gt;"Business",$H147&lt;&gt;"XXX01"),"E3",IF(AND($G147="Business",$H147="XXX01"),"E4","-"))))</f>
        <v>-</v>
      </c>
    </row>
    <row r="148" spans="1:18" ht="16" customHeight="1" x14ac:dyDescent="0.25">
      <c r="A148" s="27">
        <v>43893</v>
      </c>
      <c r="B148" s="28">
        <v>0.33333333333333331</v>
      </c>
      <c r="C148" s="28" t="s">
        <v>117</v>
      </c>
      <c r="D148" s="11" t="s">
        <v>70</v>
      </c>
      <c r="E148" s="5">
        <v>55251</v>
      </c>
      <c r="F148" s="5">
        <v>55351</v>
      </c>
      <c r="G148" s="6" t="s">
        <v>81</v>
      </c>
      <c r="H148" s="6" t="s">
        <v>27</v>
      </c>
      <c r="I148" s="7" t="s">
        <v>78</v>
      </c>
      <c r="J148" s="7" t="s">
        <v>83</v>
      </c>
      <c r="K148" s="7" t="s">
        <v>84</v>
      </c>
      <c r="L148" s="8">
        <v>3</v>
      </c>
      <c r="M148" s="8" t="s">
        <v>82</v>
      </c>
      <c r="N148" s="8">
        <f t="shared" si="6"/>
        <v>100</v>
      </c>
      <c r="O148" s="8">
        <f t="shared" si="7"/>
        <v>300</v>
      </c>
      <c r="P148" s="9">
        <f ca="1">IF(ISNA(VLOOKUP($H148,ClientAll,COLUMN(Clients!$C$8),0))=TRUE,0,VLOOKUP($H148,ClientAll,COLUMN(Clients!$C$8),0))</f>
        <v>100</v>
      </c>
      <c r="Q148" s="8">
        <f t="shared" ca="1" si="8"/>
        <v>0</v>
      </c>
      <c r="R148" s="10" t="str">
        <f ca="1">IF(ISNA(VLOOKUP($D148,VehicleID,COLUMN(Vehicles!$A$8),0))=TRUE,"E1",IF(ISNA(VLOOKUP($H148,ClientID,COLUMN(Vehicles!$A$8),0))=TRUE,"E2",IF(AND($G148&lt;&gt;"Business",$H148&lt;&gt;"XXX01"),"E3",IF(AND($G148="Business",$H148="XXX01"),"E4","-"))))</f>
        <v>-</v>
      </c>
    </row>
    <row r="149" spans="1:18" ht="16" customHeight="1" x14ac:dyDescent="0.25">
      <c r="A149" s="27">
        <v>43893</v>
      </c>
      <c r="B149" s="28">
        <v>0.33333333333333331</v>
      </c>
      <c r="C149" s="28" t="s">
        <v>119</v>
      </c>
      <c r="D149" s="11" t="s">
        <v>71</v>
      </c>
      <c r="E149" s="5">
        <v>36777</v>
      </c>
      <c r="F149" s="5">
        <v>36872</v>
      </c>
      <c r="G149" s="6" t="s">
        <v>81</v>
      </c>
      <c r="H149" s="6" t="s">
        <v>51</v>
      </c>
      <c r="I149" s="7" t="s">
        <v>78</v>
      </c>
      <c r="J149" s="7" t="s">
        <v>83</v>
      </c>
      <c r="K149" s="7" t="s">
        <v>84</v>
      </c>
      <c r="L149" s="8">
        <v>3</v>
      </c>
      <c r="M149" s="8" t="s">
        <v>87</v>
      </c>
      <c r="N149" s="8">
        <f t="shared" si="6"/>
        <v>95</v>
      </c>
      <c r="O149" s="8">
        <f t="shared" si="7"/>
        <v>285</v>
      </c>
      <c r="P149" s="9">
        <f ca="1">IF(ISNA(VLOOKUP($H149,ClientAll,COLUMN(Clients!$C$8),0))=TRUE,0,VLOOKUP($H149,ClientAll,COLUMN(Clients!$C$8),0))</f>
        <v>95</v>
      </c>
      <c r="Q149" s="8">
        <f t="shared" ca="1" si="8"/>
        <v>0</v>
      </c>
      <c r="R149" s="10" t="str">
        <f ca="1">IF(ISNA(VLOOKUP($D149,VehicleID,COLUMN(Vehicles!$A$8),0))=TRUE,"E1",IF(ISNA(VLOOKUP($H149,ClientID,COLUMN(Vehicles!$A$8),0))=TRUE,"E2",IF(AND($G149&lt;&gt;"Business",$H149&lt;&gt;"XXX01"),"E3",IF(AND($G149="Business",$H149="XXX01"),"E4","-"))))</f>
        <v>-</v>
      </c>
    </row>
    <row r="150" spans="1:18" ht="16" customHeight="1" x14ac:dyDescent="0.25">
      <c r="A150" s="27">
        <v>43893</v>
      </c>
      <c r="C150" s="28" t="s">
        <v>117</v>
      </c>
      <c r="D150" s="11" t="s">
        <v>70</v>
      </c>
      <c r="E150" s="5">
        <v>55351</v>
      </c>
      <c r="F150" s="5">
        <v>55372</v>
      </c>
      <c r="G150" s="6" t="s">
        <v>80</v>
      </c>
      <c r="H150" s="6" t="s">
        <v>55</v>
      </c>
      <c r="I150" s="7" t="s">
        <v>86</v>
      </c>
      <c r="J150" s="7" t="s">
        <v>86</v>
      </c>
      <c r="K150" s="7" t="s">
        <v>85</v>
      </c>
      <c r="L150" s="8">
        <v>0</v>
      </c>
      <c r="M150" s="8" t="s">
        <v>82</v>
      </c>
      <c r="N150" s="8">
        <f t="shared" si="6"/>
        <v>21</v>
      </c>
      <c r="O150" s="8">
        <f t="shared" si="7"/>
        <v>0</v>
      </c>
      <c r="P150" s="9">
        <f ca="1">IF(ISNA(VLOOKUP($H150,ClientAll,COLUMN(Clients!$C$8),0))=TRUE,0,VLOOKUP($H150,ClientAll,COLUMN(Clients!$C$8),0))</f>
        <v>0</v>
      </c>
      <c r="Q150" s="8">
        <f t="shared" si="8"/>
        <v>0</v>
      </c>
      <c r="R150" s="10" t="str">
        <f ca="1">IF(ISNA(VLOOKUP($D150,VehicleID,COLUMN(Vehicles!$A$8),0))=TRUE,"E1",IF(ISNA(VLOOKUP($H150,ClientID,COLUMN(Vehicles!$A$8),0))=TRUE,"E2",IF(AND($G150&lt;&gt;"Business",$H150&lt;&gt;"XXX01"),"E3",IF(AND($G150="Business",$H150="XXX01"),"E4","-"))))</f>
        <v>-</v>
      </c>
    </row>
    <row r="151" spans="1:18" ht="16" customHeight="1" x14ac:dyDescent="0.25">
      <c r="A151" s="27">
        <v>43893</v>
      </c>
      <c r="C151" s="28" t="s">
        <v>119</v>
      </c>
      <c r="D151" s="11" t="s">
        <v>71</v>
      </c>
      <c r="E151" s="5">
        <v>36872</v>
      </c>
      <c r="F151" s="5">
        <v>36880</v>
      </c>
      <c r="G151" s="6" t="s">
        <v>80</v>
      </c>
      <c r="H151" s="6" t="s">
        <v>55</v>
      </c>
      <c r="I151" s="7" t="s">
        <v>86</v>
      </c>
      <c r="J151" s="7" t="s">
        <v>86</v>
      </c>
      <c r="K151" s="7" t="s">
        <v>85</v>
      </c>
      <c r="L151" s="8">
        <v>0</v>
      </c>
      <c r="M151" s="8" t="s">
        <v>87</v>
      </c>
      <c r="N151" s="8">
        <f t="shared" si="6"/>
        <v>8</v>
      </c>
      <c r="O151" s="8">
        <f t="shared" si="7"/>
        <v>0</v>
      </c>
      <c r="P151" s="9">
        <f ca="1">IF(ISNA(VLOOKUP($H151,ClientAll,COLUMN(Clients!$C$8),0))=TRUE,0,VLOOKUP($H151,ClientAll,COLUMN(Clients!$C$8),0))</f>
        <v>0</v>
      </c>
      <c r="Q151" s="8">
        <f t="shared" si="8"/>
        <v>0</v>
      </c>
      <c r="R151" s="10" t="str">
        <f ca="1">IF(ISNA(VLOOKUP($D151,VehicleID,COLUMN(Vehicles!$A$8),0))=TRUE,"E1",IF(ISNA(VLOOKUP($H151,ClientID,COLUMN(Vehicles!$A$8),0))=TRUE,"E2",IF(AND($G151&lt;&gt;"Business",$H151&lt;&gt;"XXX01"),"E3",IF(AND($G151="Business",$H151="XXX01"),"E4","-"))))</f>
        <v>-</v>
      </c>
    </row>
    <row r="152" spans="1:18" ht="16" customHeight="1" x14ac:dyDescent="0.25">
      <c r="A152" s="27">
        <v>43894</v>
      </c>
      <c r="B152" s="28">
        <v>0.33333333333333331</v>
      </c>
      <c r="C152" s="28" t="s">
        <v>117</v>
      </c>
      <c r="D152" s="11" t="s">
        <v>70</v>
      </c>
      <c r="E152" s="5">
        <v>55372</v>
      </c>
      <c r="F152" s="5">
        <v>55472</v>
      </c>
      <c r="G152" s="6" t="s">
        <v>81</v>
      </c>
      <c r="H152" s="6" t="s">
        <v>27</v>
      </c>
      <c r="I152" s="7" t="s">
        <v>78</v>
      </c>
      <c r="J152" s="7" t="s">
        <v>83</v>
      </c>
      <c r="K152" s="7" t="s">
        <v>84</v>
      </c>
      <c r="L152" s="8">
        <v>3</v>
      </c>
      <c r="M152" s="8" t="s">
        <v>82</v>
      </c>
      <c r="N152" s="8">
        <f t="shared" si="6"/>
        <v>100</v>
      </c>
      <c r="O152" s="8">
        <f t="shared" si="7"/>
        <v>300</v>
      </c>
      <c r="P152" s="9">
        <f ca="1">IF(ISNA(VLOOKUP($H152,ClientAll,COLUMN(Clients!$C$8),0))=TRUE,0,VLOOKUP($H152,ClientAll,COLUMN(Clients!$C$8),0))</f>
        <v>100</v>
      </c>
      <c r="Q152" s="8">
        <f t="shared" ca="1" si="8"/>
        <v>0</v>
      </c>
      <c r="R152" s="10" t="str">
        <f ca="1">IF(ISNA(VLOOKUP($D152,VehicleID,COLUMN(Vehicles!$A$8),0))=TRUE,"E1",IF(ISNA(VLOOKUP($H152,ClientID,COLUMN(Vehicles!$A$8),0))=TRUE,"E2",IF(AND($G152&lt;&gt;"Business",$H152&lt;&gt;"XXX01"),"E3",IF(AND($G152="Business",$H152="XXX01"),"E4","-"))))</f>
        <v>-</v>
      </c>
    </row>
    <row r="153" spans="1:18" ht="16" customHeight="1" x14ac:dyDescent="0.25">
      <c r="A153" s="27">
        <v>43894</v>
      </c>
      <c r="B153" s="28">
        <v>0.33333333333333331</v>
      </c>
      <c r="C153" s="28" t="s">
        <v>119</v>
      </c>
      <c r="D153" s="11" t="s">
        <v>71</v>
      </c>
      <c r="E153" s="5">
        <v>36880</v>
      </c>
      <c r="F153" s="5">
        <v>36975</v>
      </c>
      <c r="G153" s="6" t="s">
        <v>81</v>
      </c>
      <c r="H153" s="6" t="s">
        <v>51</v>
      </c>
      <c r="I153" s="7" t="s">
        <v>78</v>
      </c>
      <c r="J153" s="7" t="s">
        <v>83</v>
      </c>
      <c r="K153" s="7" t="s">
        <v>84</v>
      </c>
      <c r="L153" s="8">
        <v>3</v>
      </c>
      <c r="M153" s="8" t="s">
        <v>87</v>
      </c>
      <c r="N153" s="8">
        <f t="shared" si="6"/>
        <v>95</v>
      </c>
      <c r="O153" s="8">
        <f t="shared" si="7"/>
        <v>285</v>
      </c>
      <c r="P153" s="9">
        <f ca="1">IF(ISNA(VLOOKUP($H153,ClientAll,COLUMN(Clients!$C$8),0))=TRUE,0,VLOOKUP($H153,ClientAll,COLUMN(Clients!$C$8),0))</f>
        <v>95</v>
      </c>
      <c r="Q153" s="8">
        <f t="shared" ca="1" si="8"/>
        <v>0</v>
      </c>
      <c r="R153" s="10" t="str">
        <f ca="1">IF(ISNA(VLOOKUP($D153,VehicleID,COLUMN(Vehicles!$A$8),0))=TRUE,"E1",IF(ISNA(VLOOKUP($H153,ClientID,COLUMN(Vehicles!$A$8),0))=TRUE,"E2",IF(AND($G153&lt;&gt;"Business",$H153&lt;&gt;"XXX01"),"E3",IF(AND($G153="Business",$H153="XXX01"),"E4","-"))))</f>
        <v>-</v>
      </c>
    </row>
    <row r="154" spans="1:18" ht="16" customHeight="1" x14ac:dyDescent="0.25">
      <c r="A154" s="27">
        <v>43894</v>
      </c>
      <c r="C154" s="28" t="s">
        <v>117</v>
      </c>
      <c r="D154" s="11" t="s">
        <v>70</v>
      </c>
      <c r="E154" s="5">
        <v>55472</v>
      </c>
      <c r="F154" s="5">
        <v>55485</v>
      </c>
      <c r="G154" s="6" t="s">
        <v>80</v>
      </c>
      <c r="H154" s="6" t="s">
        <v>55</v>
      </c>
      <c r="I154" s="7" t="s">
        <v>86</v>
      </c>
      <c r="J154" s="7" t="s">
        <v>86</v>
      </c>
      <c r="K154" s="7" t="s">
        <v>85</v>
      </c>
      <c r="L154" s="8">
        <v>0</v>
      </c>
      <c r="M154" s="8" t="s">
        <v>82</v>
      </c>
      <c r="N154" s="8">
        <f t="shared" si="6"/>
        <v>13</v>
      </c>
      <c r="O154" s="8">
        <f t="shared" si="7"/>
        <v>0</v>
      </c>
      <c r="P154" s="9">
        <f ca="1">IF(ISNA(VLOOKUP($H154,ClientAll,COLUMN(Clients!$C$8),0))=TRUE,0,VLOOKUP($H154,ClientAll,COLUMN(Clients!$C$8),0))</f>
        <v>0</v>
      </c>
      <c r="Q154" s="8">
        <f t="shared" si="8"/>
        <v>0</v>
      </c>
      <c r="R154" s="10" t="str">
        <f ca="1">IF(ISNA(VLOOKUP($D154,VehicleID,COLUMN(Vehicles!$A$8),0))=TRUE,"E1",IF(ISNA(VLOOKUP($H154,ClientID,COLUMN(Vehicles!$A$8),0))=TRUE,"E2",IF(AND($G154&lt;&gt;"Business",$H154&lt;&gt;"XXX01"),"E3",IF(AND($G154="Business",$H154="XXX01"),"E4","-"))))</f>
        <v>-</v>
      </c>
    </row>
    <row r="155" spans="1:18" ht="16" customHeight="1" x14ac:dyDescent="0.25">
      <c r="A155" s="27">
        <v>43894</v>
      </c>
      <c r="C155" s="28" t="s">
        <v>119</v>
      </c>
      <c r="D155" s="11" t="s">
        <v>71</v>
      </c>
      <c r="E155" s="5">
        <v>36975</v>
      </c>
      <c r="F155" s="5">
        <v>36990</v>
      </c>
      <c r="G155" s="6" t="s">
        <v>80</v>
      </c>
      <c r="H155" s="6" t="s">
        <v>55</v>
      </c>
      <c r="I155" s="7" t="s">
        <v>86</v>
      </c>
      <c r="J155" s="7" t="s">
        <v>86</v>
      </c>
      <c r="K155" s="7" t="s">
        <v>85</v>
      </c>
      <c r="L155" s="8">
        <v>0</v>
      </c>
      <c r="M155" s="8" t="s">
        <v>87</v>
      </c>
      <c r="N155" s="8">
        <f t="shared" si="6"/>
        <v>15</v>
      </c>
      <c r="O155" s="8">
        <f t="shared" si="7"/>
        <v>0</v>
      </c>
      <c r="P155" s="9">
        <f ca="1">IF(ISNA(VLOOKUP($H155,ClientAll,COLUMN(Clients!$C$8),0))=TRUE,0,VLOOKUP($H155,ClientAll,COLUMN(Clients!$C$8),0))</f>
        <v>0</v>
      </c>
      <c r="Q155" s="8">
        <f t="shared" si="8"/>
        <v>0</v>
      </c>
      <c r="R155" s="10" t="str">
        <f ca="1">IF(ISNA(VLOOKUP($D155,VehicleID,COLUMN(Vehicles!$A$8),0))=TRUE,"E1",IF(ISNA(VLOOKUP($H155,ClientID,COLUMN(Vehicles!$A$8),0))=TRUE,"E2",IF(AND($G155&lt;&gt;"Business",$H155&lt;&gt;"XXX01"),"E3",IF(AND($G155="Business",$H155="XXX01"),"E4","-"))))</f>
        <v>-</v>
      </c>
    </row>
    <row r="156" spans="1:18" ht="16" customHeight="1" x14ac:dyDescent="0.25">
      <c r="A156" s="27">
        <v>43895</v>
      </c>
      <c r="B156" s="28">
        <v>0.35416666666666669</v>
      </c>
      <c r="C156" s="28" t="s">
        <v>117</v>
      </c>
      <c r="D156" s="11" t="s">
        <v>70</v>
      </c>
      <c r="E156" s="5">
        <v>55485</v>
      </c>
      <c r="F156" s="5">
        <v>55585</v>
      </c>
      <c r="G156" s="6" t="s">
        <v>81</v>
      </c>
      <c r="H156" s="6" t="s">
        <v>27</v>
      </c>
      <c r="I156" s="7" t="s">
        <v>78</v>
      </c>
      <c r="J156" s="7" t="s">
        <v>83</v>
      </c>
      <c r="K156" s="7" t="s">
        <v>84</v>
      </c>
      <c r="L156" s="8">
        <v>3</v>
      </c>
      <c r="M156" s="8" t="s">
        <v>82</v>
      </c>
      <c r="N156" s="8">
        <f t="shared" si="6"/>
        <v>100</v>
      </c>
      <c r="O156" s="8">
        <f t="shared" si="7"/>
        <v>300</v>
      </c>
      <c r="P156" s="9">
        <f ca="1">IF(ISNA(VLOOKUP($H156,ClientAll,COLUMN(Clients!$C$8),0))=TRUE,0,VLOOKUP($H156,ClientAll,COLUMN(Clients!$C$8),0))</f>
        <v>100</v>
      </c>
      <c r="Q156" s="8">
        <f t="shared" ca="1" si="8"/>
        <v>0</v>
      </c>
      <c r="R156" s="10" t="str">
        <f ca="1">IF(ISNA(VLOOKUP($D156,VehicleID,COLUMN(Vehicles!$A$8),0))=TRUE,"E1",IF(ISNA(VLOOKUP($H156,ClientID,COLUMN(Vehicles!$A$8),0))=TRUE,"E2",IF(AND($G156&lt;&gt;"Business",$H156&lt;&gt;"XXX01"),"E3",IF(AND($G156="Business",$H156="XXX01"),"E4","-"))))</f>
        <v>-</v>
      </c>
    </row>
    <row r="157" spans="1:18" ht="16" customHeight="1" x14ac:dyDescent="0.25">
      <c r="A157" s="27">
        <v>43895</v>
      </c>
      <c r="B157" s="28">
        <v>0.39583333333333331</v>
      </c>
      <c r="C157" s="28" t="s">
        <v>119</v>
      </c>
      <c r="D157" s="11" t="s">
        <v>71</v>
      </c>
      <c r="E157" s="5">
        <v>36990</v>
      </c>
      <c r="F157" s="5">
        <v>37085</v>
      </c>
      <c r="G157" s="6" t="s">
        <v>81</v>
      </c>
      <c r="H157" s="6" t="s">
        <v>51</v>
      </c>
      <c r="I157" s="7" t="s">
        <v>78</v>
      </c>
      <c r="J157" s="7" t="s">
        <v>83</v>
      </c>
      <c r="K157" s="7" t="s">
        <v>84</v>
      </c>
      <c r="L157" s="8">
        <v>3</v>
      </c>
      <c r="M157" s="8" t="s">
        <v>87</v>
      </c>
      <c r="N157" s="8">
        <f t="shared" si="6"/>
        <v>95</v>
      </c>
      <c r="O157" s="8">
        <f t="shared" si="7"/>
        <v>285</v>
      </c>
      <c r="P157" s="9">
        <f ca="1">IF(ISNA(VLOOKUP($H157,ClientAll,COLUMN(Clients!$C$8),0))=TRUE,0,VLOOKUP($H157,ClientAll,COLUMN(Clients!$C$8),0))</f>
        <v>95</v>
      </c>
      <c r="Q157" s="8">
        <f t="shared" ca="1" si="8"/>
        <v>0</v>
      </c>
      <c r="R157" s="10" t="str">
        <f ca="1">IF(ISNA(VLOOKUP($D157,VehicleID,COLUMN(Vehicles!$A$8),0))=TRUE,"E1",IF(ISNA(VLOOKUP($H157,ClientID,COLUMN(Vehicles!$A$8),0))=TRUE,"E2",IF(AND($G157&lt;&gt;"Business",$H157&lt;&gt;"XXX01"),"E3",IF(AND($G157="Business",$H157="XXX01"),"E4","-"))))</f>
        <v>-</v>
      </c>
    </row>
    <row r="158" spans="1:18" ht="16" customHeight="1" x14ac:dyDescent="0.25">
      <c r="A158" s="27">
        <v>43895</v>
      </c>
      <c r="C158" s="28" t="s">
        <v>117</v>
      </c>
      <c r="D158" s="11" t="s">
        <v>70</v>
      </c>
      <c r="E158" s="5">
        <v>55585</v>
      </c>
      <c r="F158" s="5">
        <v>55609</v>
      </c>
      <c r="G158" s="6" t="s">
        <v>80</v>
      </c>
      <c r="H158" s="6" t="s">
        <v>55</v>
      </c>
      <c r="I158" s="7" t="s">
        <v>86</v>
      </c>
      <c r="J158" s="7" t="s">
        <v>86</v>
      </c>
      <c r="K158" s="7" t="s">
        <v>85</v>
      </c>
      <c r="L158" s="8">
        <v>0</v>
      </c>
      <c r="M158" s="8" t="s">
        <v>82</v>
      </c>
      <c r="N158" s="8">
        <f t="shared" si="6"/>
        <v>24</v>
      </c>
      <c r="O158" s="8">
        <f t="shared" si="7"/>
        <v>0</v>
      </c>
      <c r="P158" s="9">
        <f ca="1">IF(ISNA(VLOOKUP($H158,ClientAll,COLUMN(Clients!$C$8),0))=TRUE,0,VLOOKUP($H158,ClientAll,COLUMN(Clients!$C$8),0))</f>
        <v>0</v>
      </c>
      <c r="Q158" s="8">
        <f t="shared" si="8"/>
        <v>0</v>
      </c>
      <c r="R158" s="10" t="str">
        <f ca="1">IF(ISNA(VLOOKUP($D158,VehicleID,COLUMN(Vehicles!$A$8),0))=TRUE,"E1",IF(ISNA(VLOOKUP($H158,ClientID,COLUMN(Vehicles!$A$8),0))=TRUE,"E2",IF(AND($G158&lt;&gt;"Business",$H158&lt;&gt;"XXX01"),"E3",IF(AND($G158="Business",$H158="XXX01"),"E4","-"))))</f>
        <v>-</v>
      </c>
    </row>
    <row r="159" spans="1:18" ht="16" customHeight="1" x14ac:dyDescent="0.25">
      <c r="A159" s="27">
        <v>43895</v>
      </c>
      <c r="C159" s="28" t="s">
        <v>119</v>
      </c>
      <c r="D159" s="11" t="s">
        <v>71</v>
      </c>
      <c r="E159" s="5">
        <v>37085</v>
      </c>
      <c r="F159" s="5">
        <v>37099</v>
      </c>
      <c r="G159" s="6" t="s">
        <v>80</v>
      </c>
      <c r="H159" s="6" t="s">
        <v>55</v>
      </c>
      <c r="I159" s="7" t="s">
        <v>86</v>
      </c>
      <c r="J159" s="7" t="s">
        <v>86</v>
      </c>
      <c r="K159" s="7" t="s">
        <v>85</v>
      </c>
      <c r="L159" s="8">
        <v>0</v>
      </c>
      <c r="M159" s="8" t="s">
        <v>87</v>
      </c>
      <c r="N159" s="8">
        <f t="shared" si="6"/>
        <v>14</v>
      </c>
      <c r="O159" s="8">
        <f t="shared" si="7"/>
        <v>0</v>
      </c>
      <c r="P159" s="9">
        <f ca="1">IF(ISNA(VLOOKUP($H159,ClientAll,COLUMN(Clients!$C$8),0))=TRUE,0,VLOOKUP($H159,ClientAll,COLUMN(Clients!$C$8),0))</f>
        <v>0</v>
      </c>
      <c r="Q159" s="8">
        <f t="shared" si="8"/>
        <v>0</v>
      </c>
      <c r="R159" s="10" t="str">
        <f ca="1">IF(ISNA(VLOOKUP($D159,VehicleID,COLUMN(Vehicles!$A$8),0))=TRUE,"E1",IF(ISNA(VLOOKUP($H159,ClientID,COLUMN(Vehicles!$A$8),0))=TRUE,"E2",IF(AND($G159&lt;&gt;"Business",$H159&lt;&gt;"XXX01"),"E3",IF(AND($G159="Business",$H159="XXX01"),"E4","-"))))</f>
        <v>-</v>
      </c>
    </row>
    <row r="160" spans="1:18" ht="16" customHeight="1" x14ac:dyDescent="0.25">
      <c r="A160" s="27">
        <v>43896</v>
      </c>
      <c r="B160" s="28">
        <v>0.33333333333333331</v>
      </c>
      <c r="C160" s="28" t="s">
        <v>117</v>
      </c>
      <c r="D160" s="11" t="s">
        <v>70</v>
      </c>
      <c r="E160" s="5">
        <v>55609</v>
      </c>
      <c r="F160" s="5">
        <v>55709</v>
      </c>
      <c r="G160" s="6" t="s">
        <v>81</v>
      </c>
      <c r="H160" s="6" t="s">
        <v>27</v>
      </c>
      <c r="I160" s="7" t="s">
        <v>78</v>
      </c>
      <c r="J160" s="7" t="s">
        <v>83</v>
      </c>
      <c r="K160" s="7" t="s">
        <v>84</v>
      </c>
      <c r="L160" s="8">
        <v>3</v>
      </c>
      <c r="M160" s="8" t="s">
        <v>82</v>
      </c>
      <c r="N160" s="8">
        <f t="shared" si="6"/>
        <v>100</v>
      </c>
      <c r="O160" s="8">
        <f t="shared" si="7"/>
        <v>300</v>
      </c>
      <c r="P160" s="9">
        <f ca="1">IF(ISNA(VLOOKUP($H160,ClientAll,COLUMN(Clients!$C$8),0))=TRUE,0,VLOOKUP($H160,ClientAll,COLUMN(Clients!$C$8),0))</f>
        <v>100</v>
      </c>
      <c r="Q160" s="8">
        <f t="shared" ca="1" si="8"/>
        <v>0</v>
      </c>
      <c r="R160" s="10" t="str">
        <f ca="1">IF(ISNA(VLOOKUP($D160,VehicleID,COLUMN(Vehicles!$A$8),0))=TRUE,"E1",IF(ISNA(VLOOKUP($H160,ClientID,COLUMN(Vehicles!$A$8),0))=TRUE,"E2",IF(AND($G160&lt;&gt;"Business",$H160&lt;&gt;"XXX01"),"E3",IF(AND($G160="Business",$H160="XXX01"),"E4","-"))))</f>
        <v>-</v>
      </c>
    </row>
    <row r="161" spans="1:18" ht="16" customHeight="1" x14ac:dyDescent="0.25">
      <c r="A161" s="27">
        <v>43896</v>
      </c>
      <c r="B161" s="28">
        <v>0.33333333333333331</v>
      </c>
      <c r="C161" s="28" t="s">
        <v>119</v>
      </c>
      <c r="D161" s="11" t="s">
        <v>71</v>
      </c>
      <c r="E161" s="5">
        <v>37099</v>
      </c>
      <c r="F161" s="5">
        <v>37194</v>
      </c>
      <c r="G161" s="6" t="s">
        <v>81</v>
      </c>
      <c r="H161" s="6" t="s">
        <v>51</v>
      </c>
      <c r="I161" s="7" t="s">
        <v>78</v>
      </c>
      <c r="J161" s="7" t="s">
        <v>83</v>
      </c>
      <c r="K161" s="7" t="s">
        <v>84</v>
      </c>
      <c r="L161" s="8">
        <v>3</v>
      </c>
      <c r="M161" s="8" t="s">
        <v>87</v>
      </c>
      <c r="N161" s="8">
        <f t="shared" si="6"/>
        <v>95</v>
      </c>
      <c r="O161" s="8">
        <f t="shared" si="7"/>
        <v>285</v>
      </c>
      <c r="P161" s="9">
        <f ca="1">IF(ISNA(VLOOKUP($H161,ClientAll,COLUMN(Clients!$C$8),0))=TRUE,0,VLOOKUP($H161,ClientAll,COLUMN(Clients!$C$8),0))</f>
        <v>95</v>
      </c>
      <c r="Q161" s="8">
        <f t="shared" ca="1" si="8"/>
        <v>0</v>
      </c>
      <c r="R161" s="10" t="str">
        <f ca="1">IF(ISNA(VLOOKUP($D161,VehicleID,COLUMN(Vehicles!$A$8),0))=TRUE,"E1",IF(ISNA(VLOOKUP($H161,ClientID,COLUMN(Vehicles!$A$8),0))=TRUE,"E2",IF(AND($G161&lt;&gt;"Business",$H161&lt;&gt;"XXX01"),"E3",IF(AND($G161="Business",$H161="XXX01"),"E4","-"))))</f>
        <v>-</v>
      </c>
    </row>
    <row r="162" spans="1:18" ht="16" customHeight="1" x14ac:dyDescent="0.25">
      <c r="A162" s="27">
        <v>43897</v>
      </c>
      <c r="C162" s="28" t="s">
        <v>117</v>
      </c>
      <c r="D162" s="11" t="s">
        <v>70</v>
      </c>
      <c r="E162" s="5">
        <v>55709</v>
      </c>
      <c r="F162" s="5">
        <v>55724</v>
      </c>
      <c r="G162" s="6" t="s">
        <v>80</v>
      </c>
      <c r="H162" s="6" t="s">
        <v>55</v>
      </c>
      <c r="I162" s="7" t="s">
        <v>86</v>
      </c>
      <c r="J162" s="7" t="s">
        <v>86</v>
      </c>
      <c r="K162" s="7" t="s">
        <v>85</v>
      </c>
      <c r="L162" s="8">
        <v>0</v>
      </c>
      <c r="M162" s="8" t="s">
        <v>82</v>
      </c>
      <c r="N162" s="8">
        <f t="shared" si="6"/>
        <v>15</v>
      </c>
      <c r="O162" s="8">
        <f t="shared" si="7"/>
        <v>0</v>
      </c>
      <c r="P162" s="9">
        <f ca="1">IF(ISNA(VLOOKUP($H162,ClientAll,COLUMN(Clients!$C$8),0))=TRUE,0,VLOOKUP($H162,ClientAll,COLUMN(Clients!$C$8),0))</f>
        <v>0</v>
      </c>
      <c r="Q162" s="8">
        <f t="shared" si="8"/>
        <v>0</v>
      </c>
      <c r="R162" s="10" t="str">
        <f ca="1">IF(ISNA(VLOOKUP($D162,VehicleID,COLUMN(Vehicles!$A$8),0))=TRUE,"E1",IF(ISNA(VLOOKUP($H162,ClientID,COLUMN(Vehicles!$A$8),0))=TRUE,"E2",IF(AND($G162&lt;&gt;"Business",$H162&lt;&gt;"XXX01"),"E3",IF(AND($G162="Business",$H162="XXX01"),"E4","-"))))</f>
        <v>-</v>
      </c>
    </row>
    <row r="163" spans="1:18" ht="16" customHeight="1" x14ac:dyDescent="0.25">
      <c r="A163" s="27">
        <v>43897</v>
      </c>
      <c r="C163" s="28" t="s">
        <v>119</v>
      </c>
      <c r="D163" s="11" t="s">
        <v>71</v>
      </c>
      <c r="E163" s="5">
        <v>37194</v>
      </c>
      <c r="F163" s="5">
        <v>37206</v>
      </c>
      <c r="G163" s="6" t="s">
        <v>80</v>
      </c>
      <c r="H163" s="6" t="s">
        <v>55</v>
      </c>
      <c r="I163" s="7" t="s">
        <v>86</v>
      </c>
      <c r="J163" s="7" t="s">
        <v>86</v>
      </c>
      <c r="K163" s="7" t="s">
        <v>85</v>
      </c>
      <c r="L163" s="8">
        <v>0</v>
      </c>
      <c r="M163" s="8" t="s">
        <v>87</v>
      </c>
      <c r="N163" s="8">
        <f t="shared" si="6"/>
        <v>12</v>
      </c>
      <c r="O163" s="8">
        <f t="shared" si="7"/>
        <v>0</v>
      </c>
      <c r="P163" s="9">
        <f ca="1">IF(ISNA(VLOOKUP($H163,ClientAll,COLUMN(Clients!$C$8),0))=TRUE,0,VLOOKUP($H163,ClientAll,COLUMN(Clients!$C$8),0))</f>
        <v>0</v>
      </c>
      <c r="Q163" s="8">
        <f t="shared" si="8"/>
        <v>0</v>
      </c>
      <c r="R163" s="10" t="str">
        <f ca="1">IF(ISNA(VLOOKUP($D163,VehicleID,COLUMN(Vehicles!$A$8),0))=TRUE,"E1",IF(ISNA(VLOOKUP($H163,ClientID,COLUMN(Vehicles!$A$8),0))=TRUE,"E2",IF(AND($G163&lt;&gt;"Business",$H163&lt;&gt;"XXX01"),"E3",IF(AND($G163="Business",$H163="XXX01"),"E4","-"))))</f>
        <v>-</v>
      </c>
    </row>
    <row r="164" spans="1:18" ht="16" customHeight="1" x14ac:dyDescent="0.25">
      <c r="A164" s="27">
        <v>43900</v>
      </c>
      <c r="B164" s="28">
        <v>0.33333333333333331</v>
      </c>
      <c r="C164" s="28" t="s">
        <v>117</v>
      </c>
      <c r="D164" s="11" t="s">
        <v>70</v>
      </c>
      <c r="E164" s="5">
        <v>55724</v>
      </c>
      <c r="F164" s="5">
        <v>55799</v>
      </c>
      <c r="G164" s="6" t="s">
        <v>81</v>
      </c>
      <c r="H164" s="6" t="s">
        <v>29</v>
      </c>
      <c r="I164" s="7" t="s">
        <v>78</v>
      </c>
      <c r="J164" s="7" t="s">
        <v>83</v>
      </c>
      <c r="K164" s="7" t="s">
        <v>84</v>
      </c>
      <c r="L164" s="8">
        <v>3</v>
      </c>
      <c r="M164" s="8" t="s">
        <v>82</v>
      </c>
      <c r="N164" s="8">
        <f t="shared" si="6"/>
        <v>75</v>
      </c>
      <c r="O164" s="8">
        <f t="shared" si="7"/>
        <v>225</v>
      </c>
      <c r="P164" s="9">
        <f ca="1">IF(ISNA(VLOOKUP($H164,ClientAll,COLUMN(Clients!$C$8),0))=TRUE,0,VLOOKUP($H164,ClientAll,COLUMN(Clients!$C$8),0))</f>
        <v>75</v>
      </c>
      <c r="Q164" s="8">
        <f t="shared" ca="1" si="8"/>
        <v>0</v>
      </c>
      <c r="R164" s="10" t="str">
        <f ca="1">IF(ISNA(VLOOKUP($D164,VehicleID,COLUMN(Vehicles!$A$8),0))=TRUE,"E1",IF(ISNA(VLOOKUP($H164,ClientID,COLUMN(Vehicles!$A$8),0))=TRUE,"E2",IF(AND($G164&lt;&gt;"Business",$H164&lt;&gt;"XXX01"),"E3",IF(AND($G164="Business",$H164="XXX01"),"E4","-"))))</f>
        <v>-</v>
      </c>
    </row>
    <row r="165" spans="1:18" ht="16" customHeight="1" x14ac:dyDescent="0.25">
      <c r="A165" s="27">
        <v>43900</v>
      </c>
      <c r="B165" s="28">
        <v>0.33333333333333331</v>
      </c>
      <c r="C165" s="28" t="s">
        <v>119</v>
      </c>
      <c r="D165" s="11" t="s">
        <v>71</v>
      </c>
      <c r="E165" s="5">
        <v>37206</v>
      </c>
      <c r="F165" s="5">
        <v>37301</v>
      </c>
      <c r="G165" s="6" t="s">
        <v>81</v>
      </c>
      <c r="H165" s="6" t="s">
        <v>51</v>
      </c>
      <c r="I165" s="7" t="s">
        <v>78</v>
      </c>
      <c r="J165" s="7" t="s">
        <v>83</v>
      </c>
      <c r="K165" s="7" t="s">
        <v>84</v>
      </c>
      <c r="L165" s="8">
        <v>3</v>
      </c>
      <c r="M165" s="8" t="s">
        <v>87</v>
      </c>
      <c r="N165" s="8">
        <f t="shared" si="6"/>
        <v>95</v>
      </c>
      <c r="O165" s="8">
        <f t="shared" si="7"/>
        <v>285</v>
      </c>
      <c r="P165" s="9">
        <f ca="1">IF(ISNA(VLOOKUP($H165,ClientAll,COLUMN(Clients!$C$8),0))=TRUE,0,VLOOKUP($H165,ClientAll,COLUMN(Clients!$C$8),0))</f>
        <v>95</v>
      </c>
      <c r="Q165" s="8">
        <f t="shared" ca="1" si="8"/>
        <v>0</v>
      </c>
      <c r="R165" s="10" t="str">
        <f ca="1">IF(ISNA(VLOOKUP($D165,VehicleID,COLUMN(Vehicles!$A$8),0))=TRUE,"E1",IF(ISNA(VLOOKUP($H165,ClientID,COLUMN(Vehicles!$A$8),0))=TRUE,"E2",IF(AND($G165&lt;&gt;"Business",$H165&lt;&gt;"XXX01"),"E3",IF(AND($G165="Business",$H165="XXX01"),"E4","-"))))</f>
        <v>-</v>
      </c>
    </row>
    <row r="166" spans="1:18" ht="16" customHeight="1" x14ac:dyDescent="0.25">
      <c r="A166" s="27">
        <v>43900</v>
      </c>
      <c r="B166" s="28">
        <v>0.33333333333333331</v>
      </c>
      <c r="C166" s="28" t="s">
        <v>121</v>
      </c>
      <c r="D166" s="11" t="s">
        <v>72</v>
      </c>
      <c r="E166" s="5">
        <v>115233</v>
      </c>
      <c r="F166" s="5">
        <v>115513</v>
      </c>
      <c r="G166" s="6" t="s">
        <v>81</v>
      </c>
      <c r="H166" s="6" t="s">
        <v>33</v>
      </c>
      <c r="I166" s="7" t="s">
        <v>78</v>
      </c>
      <c r="J166" s="7" t="s">
        <v>83</v>
      </c>
      <c r="K166" s="7" t="s">
        <v>84</v>
      </c>
      <c r="L166" s="8">
        <v>2.5</v>
      </c>
      <c r="M166" s="8" t="s">
        <v>89</v>
      </c>
      <c r="N166" s="8">
        <f t="shared" si="6"/>
        <v>280</v>
      </c>
      <c r="O166" s="8">
        <f t="shared" si="7"/>
        <v>700</v>
      </c>
      <c r="P166" s="9">
        <f ca="1">IF(ISNA(VLOOKUP($H166,ClientAll,COLUMN(Clients!$C$8),0))=TRUE,0,VLOOKUP($H166,ClientAll,COLUMN(Clients!$C$8),0))</f>
        <v>280</v>
      </c>
      <c r="Q166" s="8">
        <f t="shared" ca="1" si="8"/>
        <v>0</v>
      </c>
      <c r="R166" s="10" t="str">
        <f ca="1">IF(ISNA(VLOOKUP($D166,VehicleID,COLUMN(Vehicles!$A$8),0))=TRUE,"E1",IF(ISNA(VLOOKUP($H166,ClientID,COLUMN(Vehicles!$A$8),0))=TRUE,"E2",IF(AND($G166&lt;&gt;"Business",$H166&lt;&gt;"XXX01"),"E3",IF(AND($G166="Business",$H166="XXX01"),"E4","-"))))</f>
        <v>-</v>
      </c>
    </row>
    <row r="167" spans="1:18" ht="16" customHeight="1" x14ac:dyDescent="0.25">
      <c r="A167" s="27">
        <v>43900</v>
      </c>
      <c r="C167" s="28" t="s">
        <v>117</v>
      </c>
      <c r="D167" s="11" t="s">
        <v>70</v>
      </c>
      <c r="E167" s="5">
        <v>55799</v>
      </c>
      <c r="F167" s="5">
        <v>55855</v>
      </c>
      <c r="G167" s="6" t="s">
        <v>80</v>
      </c>
      <c r="H167" s="6" t="s">
        <v>55</v>
      </c>
      <c r="I167" s="7" t="s">
        <v>86</v>
      </c>
      <c r="J167" s="7" t="s">
        <v>86</v>
      </c>
      <c r="K167" s="7" t="s">
        <v>85</v>
      </c>
      <c r="L167" s="8">
        <v>0</v>
      </c>
      <c r="M167" s="8" t="s">
        <v>82</v>
      </c>
      <c r="N167" s="8">
        <f t="shared" si="6"/>
        <v>56</v>
      </c>
      <c r="O167" s="8">
        <f t="shared" si="7"/>
        <v>0</v>
      </c>
      <c r="P167" s="9">
        <f ca="1">IF(ISNA(VLOOKUP($H167,ClientAll,COLUMN(Clients!$C$8),0))=TRUE,0,VLOOKUP($H167,ClientAll,COLUMN(Clients!$C$8),0))</f>
        <v>0</v>
      </c>
      <c r="Q167" s="8">
        <f t="shared" si="8"/>
        <v>0</v>
      </c>
      <c r="R167" s="10" t="str">
        <f ca="1">IF(ISNA(VLOOKUP($D167,VehicleID,COLUMN(Vehicles!$A$8),0))=TRUE,"E1",IF(ISNA(VLOOKUP($H167,ClientID,COLUMN(Vehicles!$A$8),0))=TRUE,"E2",IF(AND($G167&lt;&gt;"Business",$H167&lt;&gt;"XXX01"),"E3",IF(AND($G167="Business",$H167="XXX01"),"E4","-"))))</f>
        <v>-</v>
      </c>
    </row>
    <row r="168" spans="1:18" ht="16" customHeight="1" x14ac:dyDescent="0.25">
      <c r="A168" s="27">
        <v>43900</v>
      </c>
      <c r="C168" s="28" t="s">
        <v>119</v>
      </c>
      <c r="D168" s="11" t="s">
        <v>71</v>
      </c>
      <c r="E168" s="5">
        <v>37301</v>
      </c>
      <c r="F168" s="5">
        <v>37316</v>
      </c>
      <c r="G168" s="6" t="s">
        <v>80</v>
      </c>
      <c r="H168" s="6" t="s">
        <v>55</v>
      </c>
      <c r="I168" s="7" t="s">
        <v>86</v>
      </c>
      <c r="J168" s="7" t="s">
        <v>86</v>
      </c>
      <c r="K168" s="7" t="s">
        <v>85</v>
      </c>
      <c r="L168" s="8">
        <v>0</v>
      </c>
      <c r="M168" s="8" t="s">
        <v>87</v>
      </c>
      <c r="N168" s="8">
        <f t="shared" si="6"/>
        <v>15</v>
      </c>
      <c r="O168" s="8">
        <f t="shared" si="7"/>
        <v>0</v>
      </c>
      <c r="P168" s="9">
        <f ca="1">IF(ISNA(VLOOKUP($H168,ClientAll,COLUMN(Clients!$C$8),0))=TRUE,0,VLOOKUP($H168,ClientAll,COLUMN(Clients!$C$8),0))</f>
        <v>0</v>
      </c>
      <c r="Q168" s="8">
        <f t="shared" si="8"/>
        <v>0</v>
      </c>
      <c r="R168" s="10" t="str">
        <f ca="1">IF(ISNA(VLOOKUP($D168,VehicleID,COLUMN(Vehicles!$A$8),0))=TRUE,"E1",IF(ISNA(VLOOKUP($H168,ClientID,COLUMN(Vehicles!$A$8),0))=TRUE,"E2",IF(AND($G168&lt;&gt;"Business",$H168&lt;&gt;"XXX01"),"E3",IF(AND($G168="Business",$H168="XXX01"),"E4","-"))))</f>
        <v>-</v>
      </c>
    </row>
    <row r="169" spans="1:18" ht="16" customHeight="1" x14ac:dyDescent="0.25">
      <c r="A169" s="27">
        <v>43901</v>
      </c>
      <c r="B169" s="28">
        <v>0.33333333333333331</v>
      </c>
      <c r="C169" s="28" t="s">
        <v>117</v>
      </c>
      <c r="D169" s="11" t="s">
        <v>70</v>
      </c>
      <c r="E169" s="5">
        <v>55855</v>
      </c>
      <c r="F169" s="5">
        <v>55930</v>
      </c>
      <c r="G169" s="6" t="s">
        <v>81</v>
      </c>
      <c r="H169" s="6" t="s">
        <v>29</v>
      </c>
      <c r="I169" s="7" t="s">
        <v>78</v>
      </c>
      <c r="J169" s="7" t="s">
        <v>83</v>
      </c>
      <c r="K169" s="7" t="s">
        <v>84</v>
      </c>
      <c r="L169" s="8">
        <v>3</v>
      </c>
      <c r="M169" s="8" t="s">
        <v>82</v>
      </c>
      <c r="N169" s="8">
        <f t="shared" si="6"/>
        <v>75</v>
      </c>
      <c r="O169" s="8">
        <f t="shared" si="7"/>
        <v>225</v>
      </c>
      <c r="P169" s="9">
        <f ca="1">IF(ISNA(VLOOKUP($H169,ClientAll,COLUMN(Clients!$C$8),0))=TRUE,0,VLOOKUP($H169,ClientAll,COLUMN(Clients!$C$8),0))</f>
        <v>75</v>
      </c>
      <c r="Q169" s="8">
        <f t="shared" ca="1" si="8"/>
        <v>0</v>
      </c>
      <c r="R169" s="10" t="str">
        <f ca="1">IF(ISNA(VLOOKUP($D169,VehicleID,COLUMN(Vehicles!$A$8),0))=TRUE,"E1",IF(ISNA(VLOOKUP($H169,ClientID,COLUMN(Vehicles!$A$8),0))=TRUE,"E2",IF(AND($G169&lt;&gt;"Business",$H169&lt;&gt;"XXX01"),"E3",IF(AND($G169="Business",$H169="XXX01"),"E4","-"))))</f>
        <v>-</v>
      </c>
    </row>
    <row r="170" spans="1:18" ht="16" customHeight="1" x14ac:dyDescent="0.25">
      <c r="A170" s="27">
        <v>43901</v>
      </c>
      <c r="B170" s="28">
        <v>0.33333333333333331</v>
      </c>
      <c r="C170" s="28" t="s">
        <v>119</v>
      </c>
      <c r="D170" s="11" t="s">
        <v>71</v>
      </c>
      <c r="E170" s="5">
        <v>37316</v>
      </c>
      <c r="F170" s="5">
        <v>37466</v>
      </c>
      <c r="G170" s="6" t="s">
        <v>81</v>
      </c>
      <c r="H170" s="6" t="s">
        <v>39</v>
      </c>
      <c r="I170" s="7" t="s">
        <v>78</v>
      </c>
      <c r="J170" s="7" t="s">
        <v>83</v>
      </c>
      <c r="K170" s="7" t="s">
        <v>84</v>
      </c>
      <c r="L170" s="8">
        <v>3</v>
      </c>
      <c r="M170" s="8" t="s">
        <v>87</v>
      </c>
      <c r="N170" s="8">
        <f t="shared" si="6"/>
        <v>150</v>
      </c>
      <c r="O170" s="8">
        <f t="shared" si="7"/>
        <v>450</v>
      </c>
      <c r="P170" s="9">
        <f ca="1">IF(ISNA(VLOOKUP($H170,ClientAll,COLUMN(Clients!$C$8),0))=TRUE,0,VLOOKUP($H170,ClientAll,COLUMN(Clients!$C$8),0))</f>
        <v>150</v>
      </c>
      <c r="Q170" s="8">
        <f t="shared" ca="1" si="8"/>
        <v>0</v>
      </c>
      <c r="R170" s="10" t="str">
        <f ca="1">IF(ISNA(VLOOKUP($D170,VehicleID,COLUMN(Vehicles!$A$8),0))=TRUE,"E1",IF(ISNA(VLOOKUP($H170,ClientID,COLUMN(Vehicles!$A$8),0))=TRUE,"E2",IF(AND($G170&lt;&gt;"Business",$H170&lt;&gt;"XXX01"),"E3",IF(AND($G170="Business",$H170="XXX01"),"E4","-"))))</f>
        <v>-</v>
      </c>
    </row>
    <row r="171" spans="1:18" ht="16" customHeight="1" x14ac:dyDescent="0.25">
      <c r="A171" s="27">
        <v>43901</v>
      </c>
      <c r="C171" s="28" t="s">
        <v>117</v>
      </c>
      <c r="D171" s="11" t="s">
        <v>70</v>
      </c>
      <c r="E171" s="5">
        <v>55930</v>
      </c>
      <c r="F171" s="5">
        <v>55955</v>
      </c>
      <c r="G171" s="6" t="s">
        <v>80</v>
      </c>
      <c r="H171" s="6" t="s">
        <v>55</v>
      </c>
      <c r="I171" s="7" t="s">
        <v>86</v>
      </c>
      <c r="J171" s="7" t="s">
        <v>86</v>
      </c>
      <c r="K171" s="7" t="s">
        <v>85</v>
      </c>
      <c r="L171" s="8">
        <v>0</v>
      </c>
      <c r="M171" s="8" t="s">
        <v>82</v>
      </c>
      <c r="N171" s="8">
        <f t="shared" si="6"/>
        <v>25</v>
      </c>
      <c r="O171" s="8">
        <f t="shared" si="7"/>
        <v>0</v>
      </c>
      <c r="P171" s="9">
        <f ca="1">IF(ISNA(VLOOKUP($H171,ClientAll,COLUMN(Clients!$C$8),0))=TRUE,0,VLOOKUP($H171,ClientAll,COLUMN(Clients!$C$8),0))</f>
        <v>0</v>
      </c>
      <c r="Q171" s="8">
        <f t="shared" si="8"/>
        <v>0</v>
      </c>
      <c r="R171" s="10" t="str">
        <f ca="1">IF(ISNA(VLOOKUP($D171,VehicleID,COLUMN(Vehicles!$A$8),0))=TRUE,"E1",IF(ISNA(VLOOKUP($H171,ClientID,COLUMN(Vehicles!$A$8),0))=TRUE,"E2",IF(AND($G171&lt;&gt;"Business",$H171&lt;&gt;"XXX01"),"E3",IF(AND($G171="Business",$H171="XXX01"),"E4","-"))))</f>
        <v>-</v>
      </c>
    </row>
    <row r="172" spans="1:18" ht="16" customHeight="1" x14ac:dyDescent="0.25">
      <c r="A172" s="27">
        <v>43901</v>
      </c>
      <c r="C172" s="28" t="s">
        <v>119</v>
      </c>
      <c r="D172" s="11" t="s">
        <v>71</v>
      </c>
      <c r="E172" s="5">
        <v>37466</v>
      </c>
      <c r="F172" s="5">
        <v>37507</v>
      </c>
      <c r="G172" s="6" t="s">
        <v>80</v>
      </c>
      <c r="H172" s="6" t="s">
        <v>55</v>
      </c>
      <c r="I172" s="7" t="s">
        <v>86</v>
      </c>
      <c r="J172" s="7" t="s">
        <v>86</v>
      </c>
      <c r="K172" s="7" t="s">
        <v>85</v>
      </c>
      <c r="L172" s="8">
        <v>0</v>
      </c>
      <c r="M172" s="8" t="s">
        <v>87</v>
      </c>
      <c r="N172" s="8">
        <f t="shared" si="6"/>
        <v>41</v>
      </c>
      <c r="O172" s="8">
        <f t="shared" si="7"/>
        <v>0</v>
      </c>
      <c r="P172" s="9">
        <f ca="1">IF(ISNA(VLOOKUP($H172,ClientAll,COLUMN(Clients!$C$8),0))=TRUE,0,VLOOKUP($H172,ClientAll,COLUMN(Clients!$C$8),0))</f>
        <v>0</v>
      </c>
      <c r="Q172" s="8">
        <f t="shared" si="8"/>
        <v>0</v>
      </c>
      <c r="R172" s="10" t="str">
        <f ca="1">IF(ISNA(VLOOKUP($D172,VehicleID,COLUMN(Vehicles!$A$8),0))=TRUE,"E1",IF(ISNA(VLOOKUP($H172,ClientID,COLUMN(Vehicles!$A$8),0))=TRUE,"E2",IF(AND($G172&lt;&gt;"Business",$H172&lt;&gt;"XXX01"),"E3",IF(AND($G172="Business",$H172="XXX01"),"E4","-"))))</f>
        <v>-</v>
      </c>
    </row>
    <row r="173" spans="1:18" ht="16" customHeight="1" x14ac:dyDescent="0.25">
      <c r="A173" s="27">
        <v>43902</v>
      </c>
      <c r="B173" s="28">
        <v>0.33333333333333331</v>
      </c>
      <c r="C173" s="28" t="s">
        <v>117</v>
      </c>
      <c r="D173" s="11" t="s">
        <v>70</v>
      </c>
      <c r="E173" s="5">
        <v>55955</v>
      </c>
      <c r="F173" s="5">
        <v>56030</v>
      </c>
      <c r="G173" s="6" t="s">
        <v>81</v>
      </c>
      <c r="H173" s="6" t="s">
        <v>29</v>
      </c>
      <c r="I173" s="7" t="s">
        <v>78</v>
      </c>
      <c r="J173" s="7" t="s">
        <v>83</v>
      </c>
      <c r="K173" s="7" t="s">
        <v>84</v>
      </c>
      <c r="L173" s="8">
        <v>3</v>
      </c>
      <c r="M173" s="8" t="s">
        <v>82</v>
      </c>
      <c r="N173" s="8">
        <f t="shared" si="6"/>
        <v>75</v>
      </c>
      <c r="O173" s="8">
        <f t="shared" si="7"/>
        <v>225</v>
      </c>
      <c r="P173" s="9">
        <f ca="1">IF(ISNA(VLOOKUP($H173,ClientAll,COLUMN(Clients!$C$8),0))=TRUE,0,VLOOKUP($H173,ClientAll,COLUMN(Clients!$C$8),0))</f>
        <v>75</v>
      </c>
      <c r="Q173" s="8">
        <f t="shared" ca="1" si="8"/>
        <v>0</v>
      </c>
      <c r="R173" s="10" t="str">
        <f ca="1">IF(ISNA(VLOOKUP($D173,VehicleID,COLUMN(Vehicles!$A$8),0))=TRUE,"E1",IF(ISNA(VLOOKUP($H173,ClientID,COLUMN(Vehicles!$A$8),0))=TRUE,"E2",IF(AND($G173&lt;&gt;"Business",$H173&lt;&gt;"XXX01"),"E3",IF(AND($G173="Business",$H173="XXX01"),"E4","-"))))</f>
        <v>-</v>
      </c>
    </row>
    <row r="174" spans="1:18" ht="16" customHeight="1" x14ac:dyDescent="0.25">
      <c r="A174" s="27">
        <v>43902</v>
      </c>
      <c r="B174" s="28">
        <v>0.34722222222222227</v>
      </c>
      <c r="C174" s="28" t="s">
        <v>119</v>
      </c>
      <c r="D174" s="11" t="s">
        <v>71</v>
      </c>
      <c r="E174" s="5">
        <v>37507</v>
      </c>
      <c r="F174" s="5">
        <v>37657</v>
      </c>
      <c r="G174" s="6" t="s">
        <v>81</v>
      </c>
      <c r="H174" s="6" t="s">
        <v>39</v>
      </c>
      <c r="I174" s="7" t="s">
        <v>78</v>
      </c>
      <c r="J174" s="7" t="s">
        <v>83</v>
      </c>
      <c r="K174" s="7" t="s">
        <v>84</v>
      </c>
      <c r="L174" s="8">
        <v>3</v>
      </c>
      <c r="M174" s="8" t="s">
        <v>87</v>
      </c>
      <c r="N174" s="8">
        <f t="shared" si="6"/>
        <v>150</v>
      </c>
      <c r="O174" s="8">
        <f t="shared" si="7"/>
        <v>450</v>
      </c>
      <c r="P174" s="9">
        <f ca="1">IF(ISNA(VLOOKUP($H174,ClientAll,COLUMN(Clients!$C$8),0))=TRUE,0,VLOOKUP($H174,ClientAll,COLUMN(Clients!$C$8),0))</f>
        <v>150</v>
      </c>
      <c r="Q174" s="8">
        <f t="shared" ca="1" si="8"/>
        <v>0</v>
      </c>
      <c r="R174" s="10" t="str">
        <f ca="1">IF(ISNA(VLOOKUP($D174,VehicleID,COLUMN(Vehicles!$A$8),0))=TRUE,"E1",IF(ISNA(VLOOKUP($H174,ClientID,COLUMN(Vehicles!$A$8),0))=TRUE,"E2",IF(AND($G174&lt;&gt;"Business",$H174&lt;&gt;"XXX01"),"E3",IF(AND($G174="Business",$H174="XXX01"),"E4","-"))))</f>
        <v>-</v>
      </c>
    </row>
    <row r="175" spans="1:18" ht="16" customHeight="1" x14ac:dyDescent="0.25">
      <c r="A175" s="27">
        <v>43902</v>
      </c>
      <c r="C175" s="28" t="s">
        <v>117</v>
      </c>
      <c r="D175" s="11" t="s">
        <v>70</v>
      </c>
      <c r="E175" s="5">
        <v>56030</v>
      </c>
      <c r="F175" s="5">
        <v>56054</v>
      </c>
      <c r="G175" s="6" t="s">
        <v>80</v>
      </c>
      <c r="H175" s="6" t="s">
        <v>55</v>
      </c>
      <c r="I175" s="7" t="s">
        <v>86</v>
      </c>
      <c r="J175" s="7" t="s">
        <v>86</v>
      </c>
      <c r="K175" s="7" t="s">
        <v>85</v>
      </c>
      <c r="L175" s="8">
        <v>0</v>
      </c>
      <c r="M175" s="8" t="s">
        <v>82</v>
      </c>
      <c r="N175" s="8">
        <f t="shared" si="6"/>
        <v>24</v>
      </c>
      <c r="O175" s="8">
        <f t="shared" si="7"/>
        <v>0</v>
      </c>
      <c r="P175" s="9">
        <f ca="1">IF(ISNA(VLOOKUP($H175,ClientAll,COLUMN(Clients!$C$8),0))=TRUE,0,VLOOKUP($H175,ClientAll,COLUMN(Clients!$C$8),0))</f>
        <v>0</v>
      </c>
      <c r="Q175" s="8">
        <f t="shared" si="8"/>
        <v>0</v>
      </c>
      <c r="R175" s="10" t="str">
        <f ca="1">IF(ISNA(VLOOKUP($D175,VehicleID,COLUMN(Vehicles!$A$8),0))=TRUE,"E1",IF(ISNA(VLOOKUP($H175,ClientID,COLUMN(Vehicles!$A$8),0))=TRUE,"E2",IF(AND($G175&lt;&gt;"Business",$H175&lt;&gt;"XXX01"),"E3",IF(AND($G175="Business",$H175="XXX01"),"E4","-"))))</f>
        <v>-</v>
      </c>
    </row>
    <row r="176" spans="1:18" ht="16" customHeight="1" x14ac:dyDescent="0.25">
      <c r="A176" s="27">
        <v>43902</v>
      </c>
      <c r="C176" s="28" t="s">
        <v>119</v>
      </c>
      <c r="D176" s="11" t="s">
        <v>71</v>
      </c>
      <c r="E176" s="5">
        <v>37657</v>
      </c>
      <c r="F176" s="5">
        <v>37679</v>
      </c>
      <c r="G176" s="6" t="s">
        <v>80</v>
      </c>
      <c r="H176" s="6" t="s">
        <v>55</v>
      </c>
      <c r="I176" s="7" t="s">
        <v>86</v>
      </c>
      <c r="J176" s="7" t="s">
        <v>86</v>
      </c>
      <c r="K176" s="7" t="s">
        <v>85</v>
      </c>
      <c r="L176" s="8">
        <v>0</v>
      </c>
      <c r="M176" s="8" t="s">
        <v>87</v>
      </c>
      <c r="N176" s="8">
        <f t="shared" si="6"/>
        <v>22</v>
      </c>
      <c r="O176" s="8">
        <f t="shared" si="7"/>
        <v>0</v>
      </c>
      <c r="P176" s="9">
        <f ca="1">IF(ISNA(VLOOKUP($H176,ClientAll,COLUMN(Clients!$C$8),0))=TRUE,0,VLOOKUP($H176,ClientAll,COLUMN(Clients!$C$8),0))</f>
        <v>0</v>
      </c>
      <c r="Q176" s="8">
        <f t="shared" si="8"/>
        <v>0</v>
      </c>
      <c r="R176" s="10" t="str">
        <f ca="1">IF(ISNA(VLOOKUP($D176,VehicleID,COLUMN(Vehicles!$A$8),0))=TRUE,"E1",IF(ISNA(VLOOKUP($H176,ClientID,COLUMN(Vehicles!$A$8),0))=TRUE,"E2",IF(AND($G176&lt;&gt;"Business",$H176&lt;&gt;"XXX01"),"E3",IF(AND($G176="Business",$H176="XXX01"),"E4","-"))))</f>
        <v>-</v>
      </c>
    </row>
    <row r="177" spans="1:18" ht="16" customHeight="1" x14ac:dyDescent="0.25">
      <c r="A177" s="27">
        <v>43903</v>
      </c>
      <c r="B177" s="28">
        <v>0.33333333333333331</v>
      </c>
      <c r="C177" s="28" t="s">
        <v>120</v>
      </c>
      <c r="D177" s="11" t="s">
        <v>71</v>
      </c>
      <c r="E177" s="5">
        <v>37679</v>
      </c>
      <c r="F177" s="5">
        <v>37829</v>
      </c>
      <c r="G177" s="6" t="s">
        <v>81</v>
      </c>
      <c r="H177" s="6" t="s">
        <v>39</v>
      </c>
      <c r="I177" s="7" t="s">
        <v>78</v>
      </c>
      <c r="J177" s="7" t="s">
        <v>83</v>
      </c>
      <c r="K177" s="7" t="s">
        <v>84</v>
      </c>
      <c r="L177" s="8">
        <v>3</v>
      </c>
      <c r="M177" s="8" t="s">
        <v>87</v>
      </c>
      <c r="N177" s="8">
        <f t="shared" si="6"/>
        <v>150</v>
      </c>
      <c r="O177" s="8">
        <f t="shared" si="7"/>
        <v>450</v>
      </c>
      <c r="P177" s="9">
        <f ca="1">IF(ISNA(VLOOKUP($H177,ClientAll,COLUMN(Clients!$C$8),0))=TRUE,0,VLOOKUP($H177,ClientAll,COLUMN(Clients!$C$8),0))</f>
        <v>150</v>
      </c>
      <c r="Q177" s="8">
        <f t="shared" ca="1" si="8"/>
        <v>0</v>
      </c>
      <c r="R177" s="10" t="str">
        <f ca="1">IF(ISNA(VLOOKUP($D177,VehicleID,COLUMN(Vehicles!$A$8),0))=TRUE,"E1",IF(ISNA(VLOOKUP($H177,ClientID,COLUMN(Vehicles!$A$8),0))=TRUE,"E2",IF(AND($G177&lt;&gt;"Business",$H177&lt;&gt;"XXX01"),"E3",IF(AND($G177="Business",$H177="XXX01"),"E4","-"))))</f>
        <v>-</v>
      </c>
    </row>
    <row r="178" spans="1:18" ht="16" customHeight="1" x14ac:dyDescent="0.25">
      <c r="A178" s="27">
        <v>43903</v>
      </c>
      <c r="B178" s="28">
        <v>0.375</v>
      </c>
      <c r="C178" s="28" t="s">
        <v>114</v>
      </c>
      <c r="D178" s="11" t="s">
        <v>70</v>
      </c>
      <c r="E178" s="5">
        <v>56054</v>
      </c>
      <c r="F178" s="5">
        <v>56129</v>
      </c>
      <c r="G178" s="6" t="s">
        <v>81</v>
      </c>
      <c r="H178" s="6" t="s">
        <v>29</v>
      </c>
      <c r="I178" s="7" t="s">
        <v>78</v>
      </c>
      <c r="J178" s="7" t="s">
        <v>83</v>
      </c>
      <c r="K178" s="7" t="s">
        <v>84</v>
      </c>
      <c r="L178" s="8">
        <v>3</v>
      </c>
      <c r="M178" s="8" t="s">
        <v>82</v>
      </c>
      <c r="N178" s="8">
        <f t="shared" si="6"/>
        <v>75</v>
      </c>
      <c r="O178" s="8">
        <f t="shared" si="7"/>
        <v>225</v>
      </c>
      <c r="P178" s="9">
        <f ca="1">IF(ISNA(VLOOKUP($H178,ClientAll,COLUMN(Clients!$C$8),0))=TRUE,0,VLOOKUP($H178,ClientAll,COLUMN(Clients!$C$8),0))</f>
        <v>75</v>
      </c>
      <c r="Q178" s="8">
        <f t="shared" ca="1" si="8"/>
        <v>0</v>
      </c>
      <c r="R178" s="10" t="str">
        <f ca="1">IF(ISNA(VLOOKUP($D178,VehicleID,COLUMN(Vehicles!$A$8),0))=TRUE,"E1",IF(ISNA(VLOOKUP($H178,ClientID,COLUMN(Vehicles!$A$8),0))=TRUE,"E2",IF(AND($G178&lt;&gt;"Business",$H178&lt;&gt;"XXX01"),"E3",IF(AND($G178="Business",$H178="XXX01"),"E4","-"))))</f>
        <v>-</v>
      </c>
    </row>
    <row r="179" spans="1:18" ht="16" customHeight="1" x14ac:dyDescent="0.25">
      <c r="A179" s="27">
        <v>43903</v>
      </c>
      <c r="C179" s="28" t="s">
        <v>114</v>
      </c>
      <c r="D179" s="11" t="s">
        <v>70</v>
      </c>
      <c r="E179" s="5">
        <v>56129</v>
      </c>
      <c r="F179" s="5">
        <v>56165</v>
      </c>
      <c r="G179" s="6" t="s">
        <v>80</v>
      </c>
      <c r="H179" s="6" t="s">
        <v>55</v>
      </c>
      <c r="I179" s="7" t="s">
        <v>86</v>
      </c>
      <c r="J179" s="7" t="s">
        <v>86</v>
      </c>
      <c r="K179" s="7" t="s">
        <v>85</v>
      </c>
      <c r="L179" s="8">
        <v>0</v>
      </c>
      <c r="M179" s="8" t="s">
        <v>82</v>
      </c>
      <c r="N179" s="8">
        <f t="shared" si="6"/>
        <v>36</v>
      </c>
      <c r="O179" s="8">
        <f t="shared" si="7"/>
        <v>0</v>
      </c>
      <c r="P179" s="9">
        <f ca="1">IF(ISNA(VLOOKUP($H179,ClientAll,COLUMN(Clients!$C$8),0))=TRUE,0,VLOOKUP($H179,ClientAll,COLUMN(Clients!$C$8),0))</f>
        <v>0</v>
      </c>
      <c r="Q179" s="8">
        <f t="shared" si="8"/>
        <v>0</v>
      </c>
      <c r="R179" s="10" t="str">
        <f ca="1">IF(ISNA(VLOOKUP($D179,VehicleID,COLUMN(Vehicles!$A$8),0))=TRUE,"E1",IF(ISNA(VLOOKUP($H179,ClientID,COLUMN(Vehicles!$A$8),0))=TRUE,"E2",IF(AND($G179&lt;&gt;"Business",$H179&lt;&gt;"XXX01"),"E3",IF(AND($G179="Business",$H179="XXX01"),"E4","-"))))</f>
        <v>-</v>
      </c>
    </row>
    <row r="180" spans="1:18" ht="16" customHeight="1" x14ac:dyDescent="0.25">
      <c r="A180" s="27">
        <v>43903</v>
      </c>
      <c r="C180" s="28" t="s">
        <v>120</v>
      </c>
      <c r="D180" s="11" t="s">
        <v>71</v>
      </c>
      <c r="E180" s="5">
        <v>37829</v>
      </c>
      <c r="F180" s="5">
        <v>37861</v>
      </c>
      <c r="G180" s="6" t="s">
        <v>80</v>
      </c>
      <c r="H180" s="6" t="s">
        <v>55</v>
      </c>
      <c r="I180" s="7" t="s">
        <v>86</v>
      </c>
      <c r="J180" s="7" t="s">
        <v>86</v>
      </c>
      <c r="K180" s="7" t="s">
        <v>85</v>
      </c>
      <c r="L180" s="8">
        <v>0</v>
      </c>
      <c r="M180" s="8" t="s">
        <v>87</v>
      </c>
      <c r="N180" s="8">
        <f t="shared" si="6"/>
        <v>32</v>
      </c>
      <c r="O180" s="8">
        <f t="shared" si="7"/>
        <v>0</v>
      </c>
      <c r="P180" s="9">
        <f ca="1">IF(ISNA(VLOOKUP($H180,ClientAll,COLUMN(Clients!$C$8),0))=TRUE,0,VLOOKUP($H180,ClientAll,COLUMN(Clients!$C$8),0))</f>
        <v>0</v>
      </c>
      <c r="Q180" s="8">
        <f t="shared" si="8"/>
        <v>0</v>
      </c>
      <c r="R180" s="10" t="str">
        <f ca="1">IF(ISNA(VLOOKUP($D180,VehicleID,COLUMN(Vehicles!$A$8),0))=TRUE,"E1",IF(ISNA(VLOOKUP($H180,ClientID,COLUMN(Vehicles!$A$8),0))=TRUE,"E2",IF(AND($G180&lt;&gt;"Business",$H180&lt;&gt;"XXX01"),"E3",IF(AND($G180="Business",$H180="XXX01"),"E4","-"))))</f>
        <v>-</v>
      </c>
    </row>
    <row r="181" spans="1:18" ht="16" customHeight="1" x14ac:dyDescent="0.25">
      <c r="A181" s="27">
        <v>43904</v>
      </c>
      <c r="B181" s="28">
        <v>0.70833333333333337</v>
      </c>
      <c r="C181" s="28" t="s">
        <v>121</v>
      </c>
      <c r="D181" s="11" t="s">
        <v>72</v>
      </c>
      <c r="E181" s="5">
        <v>115513</v>
      </c>
      <c r="F181" s="5">
        <v>115793</v>
      </c>
      <c r="G181" s="6" t="s">
        <v>81</v>
      </c>
      <c r="H181" s="6" t="s">
        <v>33</v>
      </c>
      <c r="I181" s="7" t="s">
        <v>83</v>
      </c>
      <c r="J181" s="7" t="s">
        <v>78</v>
      </c>
      <c r="K181" s="7" t="s">
        <v>84</v>
      </c>
      <c r="L181" s="8">
        <v>2.5</v>
      </c>
      <c r="M181" s="8" t="s">
        <v>89</v>
      </c>
      <c r="N181" s="8">
        <f t="shared" si="6"/>
        <v>280</v>
      </c>
      <c r="O181" s="8">
        <f t="shared" si="7"/>
        <v>700</v>
      </c>
      <c r="P181" s="9">
        <f ca="1">IF(ISNA(VLOOKUP($H181,ClientAll,COLUMN(Clients!$C$8),0))=TRUE,0,VLOOKUP($H181,ClientAll,COLUMN(Clients!$C$8),0))</f>
        <v>280</v>
      </c>
      <c r="Q181" s="8">
        <f t="shared" ca="1" si="8"/>
        <v>0</v>
      </c>
      <c r="R181" s="10" t="str">
        <f ca="1">IF(ISNA(VLOOKUP($D181,VehicleID,COLUMN(Vehicles!$A$8),0))=TRUE,"E1",IF(ISNA(VLOOKUP($H181,ClientID,COLUMN(Vehicles!$A$8),0))=TRUE,"E2",IF(AND($G181&lt;&gt;"Business",$H181&lt;&gt;"XXX01"),"E3",IF(AND($G181="Business",$H181="XXX01"),"E4","-"))))</f>
        <v>-</v>
      </c>
    </row>
    <row r="182" spans="1:18" ht="16" customHeight="1" x14ac:dyDescent="0.25">
      <c r="A182" s="27">
        <v>43907</v>
      </c>
      <c r="B182" s="28">
        <v>0.33333333333333331</v>
      </c>
      <c r="C182" s="28" t="s">
        <v>114</v>
      </c>
      <c r="D182" s="11" t="s">
        <v>70</v>
      </c>
      <c r="E182" s="5">
        <v>56165</v>
      </c>
      <c r="F182" s="5">
        <v>56240</v>
      </c>
      <c r="G182" s="6" t="s">
        <v>81</v>
      </c>
      <c r="H182" s="6" t="s">
        <v>29</v>
      </c>
      <c r="I182" s="7" t="s">
        <v>78</v>
      </c>
      <c r="J182" s="7" t="s">
        <v>83</v>
      </c>
      <c r="K182" s="7" t="s">
        <v>84</v>
      </c>
      <c r="L182" s="8">
        <v>3</v>
      </c>
      <c r="M182" s="8" t="s">
        <v>82</v>
      </c>
      <c r="N182" s="8">
        <f t="shared" si="6"/>
        <v>75</v>
      </c>
      <c r="O182" s="8">
        <f t="shared" si="7"/>
        <v>225</v>
      </c>
      <c r="P182" s="9">
        <f ca="1">IF(ISNA(VLOOKUP($H182,ClientAll,COLUMN(Clients!$C$8),0))=TRUE,0,VLOOKUP($H182,ClientAll,COLUMN(Clients!$C$8),0))</f>
        <v>75</v>
      </c>
      <c r="Q182" s="8">
        <f t="shared" ca="1" si="8"/>
        <v>0</v>
      </c>
      <c r="R182" s="10" t="str">
        <f ca="1">IF(ISNA(VLOOKUP($D182,VehicleID,COLUMN(Vehicles!$A$8),0))=TRUE,"E1",IF(ISNA(VLOOKUP($H182,ClientID,COLUMN(Vehicles!$A$8),0))=TRUE,"E2",IF(AND($G182&lt;&gt;"Business",$H182&lt;&gt;"XXX01"),"E3",IF(AND($G182="Business",$H182="XXX01"),"E4","-"))))</f>
        <v>-</v>
      </c>
    </row>
    <row r="183" spans="1:18" ht="16" customHeight="1" x14ac:dyDescent="0.25">
      <c r="A183" s="27">
        <v>43907</v>
      </c>
      <c r="B183" s="28">
        <v>0.33333333333333331</v>
      </c>
      <c r="C183" s="28" t="s">
        <v>120</v>
      </c>
      <c r="D183" s="11" t="s">
        <v>71</v>
      </c>
      <c r="E183" s="5">
        <v>37861</v>
      </c>
      <c r="F183" s="5">
        <v>38011</v>
      </c>
      <c r="G183" s="6" t="s">
        <v>81</v>
      </c>
      <c r="H183" s="6" t="s">
        <v>39</v>
      </c>
      <c r="I183" s="7" t="s">
        <v>78</v>
      </c>
      <c r="J183" s="7" t="s">
        <v>83</v>
      </c>
      <c r="K183" s="7" t="s">
        <v>84</v>
      </c>
      <c r="L183" s="8">
        <v>3</v>
      </c>
      <c r="M183" s="8" t="s">
        <v>87</v>
      </c>
      <c r="N183" s="8">
        <f t="shared" si="6"/>
        <v>150</v>
      </c>
      <c r="O183" s="8">
        <f t="shared" si="7"/>
        <v>450</v>
      </c>
      <c r="P183" s="9">
        <f ca="1">IF(ISNA(VLOOKUP($H183,ClientAll,COLUMN(Clients!$C$8),0))=TRUE,0,VLOOKUP($H183,ClientAll,COLUMN(Clients!$C$8),0))</f>
        <v>150</v>
      </c>
      <c r="Q183" s="8">
        <f t="shared" ca="1" si="8"/>
        <v>0</v>
      </c>
      <c r="R183" s="10" t="str">
        <f ca="1">IF(ISNA(VLOOKUP($D183,VehicleID,COLUMN(Vehicles!$A$8),0))=TRUE,"E1",IF(ISNA(VLOOKUP($H183,ClientID,COLUMN(Vehicles!$A$8),0))=TRUE,"E2",IF(AND($G183&lt;&gt;"Business",$H183&lt;&gt;"XXX01"),"E3",IF(AND($G183="Business",$H183="XXX01"),"E4","-"))))</f>
        <v>-</v>
      </c>
    </row>
    <row r="184" spans="1:18" ht="16" customHeight="1" x14ac:dyDescent="0.25">
      <c r="A184" s="27">
        <v>43907</v>
      </c>
      <c r="C184" s="28" t="s">
        <v>114</v>
      </c>
      <c r="D184" s="11" t="s">
        <v>70</v>
      </c>
      <c r="E184" s="5">
        <v>56240</v>
      </c>
      <c r="F184" s="5">
        <v>56255</v>
      </c>
      <c r="G184" s="6" t="s">
        <v>80</v>
      </c>
      <c r="H184" s="6" t="s">
        <v>55</v>
      </c>
      <c r="I184" s="7" t="s">
        <v>86</v>
      </c>
      <c r="J184" s="7" t="s">
        <v>86</v>
      </c>
      <c r="K184" s="7" t="s">
        <v>85</v>
      </c>
      <c r="L184" s="8">
        <v>0</v>
      </c>
      <c r="M184" s="8" t="s">
        <v>82</v>
      </c>
      <c r="N184" s="8">
        <f t="shared" si="6"/>
        <v>15</v>
      </c>
      <c r="O184" s="8">
        <f t="shared" si="7"/>
        <v>0</v>
      </c>
      <c r="P184" s="9">
        <f ca="1">IF(ISNA(VLOOKUP($H184,ClientAll,COLUMN(Clients!$C$8),0))=TRUE,0,VLOOKUP($H184,ClientAll,COLUMN(Clients!$C$8),0))</f>
        <v>0</v>
      </c>
      <c r="Q184" s="8">
        <f t="shared" si="8"/>
        <v>0</v>
      </c>
      <c r="R184" s="10" t="str">
        <f ca="1">IF(ISNA(VLOOKUP($D184,VehicleID,COLUMN(Vehicles!$A$8),0))=TRUE,"E1",IF(ISNA(VLOOKUP($H184,ClientID,COLUMN(Vehicles!$A$8),0))=TRUE,"E2",IF(AND($G184&lt;&gt;"Business",$H184&lt;&gt;"XXX01"),"E3",IF(AND($G184="Business",$H184="XXX01"),"E4","-"))))</f>
        <v>-</v>
      </c>
    </row>
    <row r="185" spans="1:18" ht="16" customHeight="1" x14ac:dyDescent="0.25">
      <c r="A185" s="27">
        <v>43907</v>
      </c>
      <c r="C185" s="28" t="s">
        <v>120</v>
      </c>
      <c r="D185" s="11" t="s">
        <v>71</v>
      </c>
      <c r="E185" s="5">
        <v>38011</v>
      </c>
      <c r="F185" s="5">
        <v>38019</v>
      </c>
      <c r="G185" s="6" t="s">
        <v>80</v>
      </c>
      <c r="H185" s="6" t="s">
        <v>55</v>
      </c>
      <c r="I185" s="7" t="s">
        <v>86</v>
      </c>
      <c r="J185" s="7" t="s">
        <v>86</v>
      </c>
      <c r="K185" s="7" t="s">
        <v>85</v>
      </c>
      <c r="L185" s="8">
        <v>0</v>
      </c>
      <c r="M185" s="8" t="s">
        <v>87</v>
      </c>
      <c r="N185" s="8">
        <f t="shared" si="6"/>
        <v>8</v>
      </c>
      <c r="O185" s="8">
        <f t="shared" si="7"/>
        <v>0</v>
      </c>
      <c r="P185" s="9">
        <f ca="1">IF(ISNA(VLOOKUP($H185,ClientAll,COLUMN(Clients!$C$8),0))=TRUE,0,VLOOKUP($H185,ClientAll,COLUMN(Clients!$C$8),0))</f>
        <v>0</v>
      </c>
      <c r="Q185" s="8">
        <f t="shared" si="8"/>
        <v>0</v>
      </c>
      <c r="R185" s="10" t="str">
        <f ca="1">IF(ISNA(VLOOKUP($D185,VehicleID,COLUMN(Vehicles!$A$8),0))=TRUE,"E1",IF(ISNA(VLOOKUP($H185,ClientID,COLUMN(Vehicles!$A$8),0))=TRUE,"E2",IF(AND($G185&lt;&gt;"Business",$H185&lt;&gt;"XXX01"),"E3",IF(AND($G185="Business",$H185="XXX01"),"E4","-"))))</f>
        <v>-</v>
      </c>
    </row>
    <row r="186" spans="1:18" ht="16" customHeight="1" x14ac:dyDescent="0.25">
      <c r="A186" s="27">
        <v>43908</v>
      </c>
      <c r="B186" s="28">
        <v>0.33333333333333331</v>
      </c>
      <c r="C186" s="28" t="s">
        <v>114</v>
      </c>
      <c r="D186" s="11" t="s">
        <v>70</v>
      </c>
      <c r="E186" s="5">
        <v>56255</v>
      </c>
      <c r="F186" s="5">
        <v>56330</v>
      </c>
      <c r="G186" s="6" t="s">
        <v>81</v>
      </c>
      <c r="H186" s="6" t="s">
        <v>56</v>
      </c>
      <c r="I186" s="7" t="s">
        <v>78</v>
      </c>
      <c r="J186" s="7" t="s">
        <v>83</v>
      </c>
      <c r="K186" s="7" t="s">
        <v>84</v>
      </c>
      <c r="L186" s="8">
        <v>3</v>
      </c>
      <c r="M186" s="8" t="s">
        <v>82</v>
      </c>
      <c r="N186" s="8">
        <f t="shared" si="6"/>
        <v>75</v>
      </c>
      <c r="O186" s="8">
        <f t="shared" si="7"/>
        <v>225</v>
      </c>
      <c r="P186" s="9">
        <f ca="1">IF(ISNA(VLOOKUP($H186,ClientAll,COLUMN(Clients!$C$8),0))=TRUE,0,VLOOKUP($H186,ClientAll,COLUMN(Clients!$C$8),0))</f>
        <v>75</v>
      </c>
      <c r="Q186" s="8">
        <f t="shared" ca="1" si="8"/>
        <v>0</v>
      </c>
      <c r="R186" s="10" t="str">
        <f ca="1">IF(ISNA(VLOOKUP($D186,VehicleID,COLUMN(Vehicles!$A$8),0))=TRUE,"E1",IF(ISNA(VLOOKUP($H186,ClientID,COLUMN(Vehicles!$A$8),0))=TRUE,"E2",IF(AND($G186&lt;&gt;"Business",$H186&lt;&gt;"XXX01"),"E3",IF(AND($G186="Business",$H186="XXX01"),"E4","-"))))</f>
        <v>-</v>
      </c>
    </row>
    <row r="187" spans="1:18" ht="16" customHeight="1" x14ac:dyDescent="0.25">
      <c r="A187" s="27">
        <v>43908</v>
      </c>
      <c r="B187" s="28">
        <v>0.33333333333333331</v>
      </c>
      <c r="C187" s="28" t="s">
        <v>120</v>
      </c>
      <c r="D187" s="11" t="s">
        <v>71</v>
      </c>
      <c r="E187" s="5">
        <v>38019</v>
      </c>
      <c r="F187" s="5">
        <v>38094</v>
      </c>
      <c r="G187" s="6" t="s">
        <v>81</v>
      </c>
      <c r="H187" s="6" t="s">
        <v>56</v>
      </c>
      <c r="I187" s="7" t="s">
        <v>78</v>
      </c>
      <c r="J187" s="7" t="s">
        <v>83</v>
      </c>
      <c r="K187" s="7" t="s">
        <v>84</v>
      </c>
      <c r="L187" s="8">
        <v>3</v>
      </c>
      <c r="M187" s="8" t="s">
        <v>87</v>
      </c>
      <c r="N187" s="8">
        <f t="shared" si="6"/>
        <v>75</v>
      </c>
      <c r="O187" s="8">
        <f t="shared" si="7"/>
        <v>225</v>
      </c>
      <c r="P187" s="9">
        <f ca="1">IF(ISNA(VLOOKUP($H187,ClientAll,COLUMN(Clients!$C$8),0))=TRUE,0,VLOOKUP($H187,ClientAll,COLUMN(Clients!$C$8),0))</f>
        <v>75</v>
      </c>
      <c r="Q187" s="8">
        <f t="shared" ca="1" si="8"/>
        <v>0</v>
      </c>
      <c r="R187" s="10" t="str">
        <f ca="1">IF(ISNA(VLOOKUP($D187,VehicleID,COLUMN(Vehicles!$A$8),0))=TRUE,"E1",IF(ISNA(VLOOKUP($H187,ClientID,COLUMN(Vehicles!$A$8),0))=TRUE,"E2",IF(AND($G187&lt;&gt;"Business",$H187&lt;&gt;"XXX01"),"E3",IF(AND($G187="Business",$H187="XXX01"),"E4","-"))))</f>
        <v>-</v>
      </c>
    </row>
    <row r="188" spans="1:18" ht="16" customHeight="1" x14ac:dyDescent="0.25">
      <c r="A188" s="27">
        <v>43908</v>
      </c>
      <c r="C188" s="28" t="s">
        <v>114</v>
      </c>
      <c r="D188" s="11" t="s">
        <v>70</v>
      </c>
      <c r="E188" s="5">
        <v>56330</v>
      </c>
      <c r="F188" s="5">
        <v>56351</v>
      </c>
      <c r="G188" s="6" t="s">
        <v>80</v>
      </c>
      <c r="H188" s="6" t="s">
        <v>55</v>
      </c>
      <c r="I188" s="7" t="s">
        <v>86</v>
      </c>
      <c r="J188" s="7" t="s">
        <v>86</v>
      </c>
      <c r="K188" s="7" t="s">
        <v>85</v>
      </c>
      <c r="L188" s="8">
        <v>0</v>
      </c>
      <c r="M188" s="8" t="s">
        <v>82</v>
      </c>
      <c r="N188" s="8">
        <f t="shared" si="6"/>
        <v>21</v>
      </c>
      <c r="O188" s="8">
        <f t="shared" si="7"/>
        <v>0</v>
      </c>
      <c r="P188" s="9">
        <f ca="1">IF(ISNA(VLOOKUP($H188,ClientAll,COLUMN(Clients!$C$8),0))=TRUE,0,VLOOKUP($H188,ClientAll,COLUMN(Clients!$C$8),0))</f>
        <v>0</v>
      </c>
      <c r="Q188" s="8">
        <f t="shared" si="8"/>
        <v>0</v>
      </c>
      <c r="R188" s="10" t="str">
        <f ca="1">IF(ISNA(VLOOKUP($D188,VehicleID,COLUMN(Vehicles!$A$8),0))=TRUE,"E1",IF(ISNA(VLOOKUP($H188,ClientID,COLUMN(Vehicles!$A$8),0))=TRUE,"E2",IF(AND($G188&lt;&gt;"Business",$H188&lt;&gt;"XXX01"),"E3",IF(AND($G188="Business",$H188="XXX01"),"E4","-"))))</f>
        <v>-</v>
      </c>
    </row>
    <row r="189" spans="1:18" ht="16" customHeight="1" x14ac:dyDescent="0.25">
      <c r="A189" s="27">
        <v>43908</v>
      </c>
      <c r="C189" s="28" t="s">
        <v>120</v>
      </c>
      <c r="D189" s="11" t="s">
        <v>71</v>
      </c>
      <c r="E189" s="5">
        <v>38094</v>
      </c>
      <c r="F189" s="5">
        <v>38116</v>
      </c>
      <c r="G189" s="6" t="s">
        <v>80</v>
      </c>
      <c r="H189" s="6" t="s">
        <v>55</v>
      </c>
      <c r="I189" s="7" t="s">
        <v>86</v>
      </c>
      <c r="J189" s="7" t="s">
        <v>86</v>
      </c>
      <c r="K189" s="7" t="s">
        <v>85</v>
      </c>
      <c r="L189" s="8">
        <v>0</v>
      </c>
      <c r="M189" s="8" t="s">
        <v>87</v>
      </c>
      <c r="N189" s="8">
        <f t="shared" si="6"/>
        <v>22</v>
      </c>
      <c r="O189" s="8">
        <f t="shared" si="7"/>
        <v>0</v>
      </c>
      <c r="P189" s="9">
        <f ca="1">IF(ISNA(VLOOKUP($H189,ClientAll,COLUMN(Clients!$C$8),0))=TRUE,0,VLOOKUP($H189,ClientAll,COLUMN(Clients!$C$8),0))</f>
        <v>0</v>
      </c>
      <c r="Q189" s="8">
        <f t="shared" si="8"/>
        <v>0</v>
      </c>
      <c r="R189" s="10" t="str">
        <f ca="1">IF(ISNA(VLOOKUP($D189,VehicleID,COLUMN(Vehicles!$A$8),0))=TRUE,"E1",IF(ISNA(VLOOKUP($H189,ClientID,COLUMN(Vehicles!$A$8),0))=TRUE,"E2",IF(AND($G189&lt;&gt;"Business",$H189&lt;&gt;"XXX01"),"E3",IF(AND($G189="Business",$H189="XXX01"),"E4","-"))))</f>
        <v>-</v>
      </c>
    </row>
    <row r="190" spans="1:18" ht="16" customHeight="1" x14ac:dyDescent="0.25">
      <c r="A190" s="27">
        <v>43909</v>
      </c>
      <c r="B190" s="28">
        <v>0.33333333333333331</v>
      </c>
      <c r="C190" s="28" t="s">
        <v>114</v>
      </c>
      <c r="D190" s="11" t="s">
        <v>70</v>
      </c>
      <c r="E190" s="5">
        <v>56351</v>
      </c>
      <c r="F190" s="5">
        <v>56426</v>
      </c>
      <c r="G190" s="6" t="s">
        <v>81</v>
      </c>
      <c r="H190" s="6" t="s">
        <v>56</v>
      </c>
      <c r="I190" s="7" t="s">
        <v>78</v>
      </c>
      <c r="J190" s="7" t="s">
        <v>83</v>
      </c>
      <c r="K190" s="7" t="s">
        <v>84</v>
      </c>
      <c r="L190" s="8">
        <v>3</v>
      </c>
      <c r="M190" s="8" t="s">
        <v>82</v>
      </c>
      <c r="N190" s="8">
        <f t="shared" si="6"/>
        <v>75</v>
      </c>
      <c r="O190" s="8">
        <f t="shared" si="7"/>
        <v>225</v>
      </c>
      <c r="P190" s="9">
        <f ca="1">IF(ISNA(VLOOKUP($H190,ClientAll,COLUMN(Clients!$C$8),0))=TRUE,0,VLOOKUP($H190,ClientAll,COLUMN(Clients!$C$8),0))</f>
        <v>75</v>
      </c>
      <c r="Q190" s="8">
        <f t="shared" ca="1" si="8"/>
        <v>0</v>
      </c>
      <c r="R190" s="10" t="str">
        <f ca="1">IF(ISNA(VLOOKUP($D190,VehicleID,COLUMN(Vehicles!$A$8),0))=TRUE,"E1",IF(ISNA(VLOOKUP($H190,ClientID,COLUMN(Vehicles!$A$8),0))=TRUE,"E2",IF(AND($G190&lt;&gt;"Business",$H190&lt;&gt;"XXX01"),"E3",IF(AND($G190="Business",$H190="XXX01"),"E4","-"))))</f>
        <v>-</v>
      </c>
    </row>
    <row r="191" spans="1:18" ht="16" customHeight="1" x14ac:dyDescent="0.25">
      <c r="A191" s="27">
        <v>43909</v>
      </c>
      <c r="B191" s="28">
        <v>0.33333333333333331</v>
      </c>
      <c r="C191" s="28" t="s">
        <v>120</v>
      </c>
      <c r="D191" s="11" t="s">
        <v>71</v>
      </c>
      <c r="E191" s="5">
        <v>38116</v>
      </c>
      <c r="F191" s="5">
        <v>38191</v>
      </c>
      <c r="G191" s="6" t="s">
        <v>81</v>
      </c>
      <c r="H191" s="6" t="s">
        <v>53</v>
      </c>
      <c r="I191" s="7" t="s">
        <v>78</v>
      </c>
      <c r="J191" s="7" t="s">
        <v>83</v>
      </c>
      <c r="K191" s="7" t="s">
        <v>84</v>
      </c>
      <c r="L191" s="8">
        <v>3</v>
      </c>
      <c r="M191" s="8" t="s">
        <v>87</v>
      </c>
      <c r="N191" s="8">
        <f t="shared" si="6"/>
        <v>75</v>
      </c>
      <c r="O191" s="8">
        <f t="shared" si="7"/>
        <v>225</v>
      </c>
      <c r="P191" s="9">
        <f ca="1">IF(ISNA(VLOOKUP($H191,ClientAll,COLUMN(Clients!$C$8),0))=TRUE,0,VLOOKUP($H191,ClientAll,COLUMN(Clients!$C$8),0))</f>
        <v>75</v>
      </c>
      <c r="Q191" s="8">
        <f t="shared" ca="1" si="8"/>
        <v>0</v>
      </c>
      <c r="R191" s="10" t="str">
        <f ca="1">IF(ISNA(VLOOKUP($D191,VehicleID,COLUMN(Vehicles!$A$8),0))=TRUE,"E1",IF(ISNA(VLOOKUP($H191,ClientID,COLUMN(Vehicles!$A$8),0))=TRUE,"E2",IF(AND($G191&lt;&gt;"Business",$H191&lt;&gt;"XXX01"),"E3",IF(AND($G191="Business",$H191="XXX01"),"E4","-"))))</f>
        <v>-</v>
      </c>
    </row>
    <row r="192" spans="1:18" ht="16" customHeight="1" x14ac:dyDescent="0.25">
      <c r="A192" s="27">
        <v>43909</v>
      </c>
      <c r="C192" s="28" t="s">
        <v>114</v>
      </c>
      <c r="D192" s="11" t="s">
        <v>70</v>
      </c>
      <c r="E192" s="5">
        <v>56426</v>
      </c>
      <c r="F192" s="5">
        <v>56531</v>
      </c>
      <c r="G192" s="6" t="s">
        <v>80</v>
      </c>
      <c r="H192" s="6" t="s">
        <v>55</v>
      </c>
      <c r="I192" s="7" t="s">
        <v>86</v>
      </c>
      <c r="J192" s="7" t="s">
        <v>86</v>
      </c>
      <c r="K192" s="7" t="s">
        <v>85</v>
      </c>
      <c r="L192" s="8">
        <v>0</v>
      </c>
      <c r="M192" s="8" t="s">
        <v>82</v>
      </c>
      <c r="N192" s="8">
        <f t="shared" si="6"/>
        <v>105</v>
      </c>
      <c r="O192" s="8">
        <f t="shared" si="7"/>
        <v>0</v>
      </c>
      <c r="P192" s="9">
        <f ca="1">IF(ISNA(VLOOKUP($H192,ClientAll,COLUMN(Clients!$C$8),0))=TRUE,0,VLOOKUP($H192,ClientAll,COLUMN(Clients!$C$8),0))</f>
        <v>0</v>
      </c>
      <c r="Q192" s="8">
        <f t="shared" si="8"/>
        <v>0</v>
      </c>
      <c r="R192" s="10" t="str">
        <f ca="1">IF(ISNA(VLOOKUP($D192,VehicleID,COLUMN(Vehicles!$A$8),0))=TRUE,"E1",IF(ISNA(VLOOKUP($H192,ClientID,COLUMN(Vehicles!$A$8),0))=TRUE,"E2",IF(AND($G192&lt;&gt;"Business",$H192&lt;&gt;"XXX01"),"E3",IF(AND($G192="Business",$H192="XXX01"),"E4","-"))))</f>
        <v>-</v>
      </c>
    </row>
    <row r="193" spans="1:18" ht="16" customHeight="1" x14ac:dyDescent="0.25">
      <c r="A193" s="27">
        <v>43909</v>
      </c>
      <c r="C193" s="28" t="s">
        <v>120</v>
      </c>
      <c r="D193" s="11" t="s">
        <v>71</v>
      </c>
      <c r="E193" s="5">
        <v>38191</v>
      </c>
      <c r="F193" s="5">
        <v>38203</v>
      </c>
      <c r="G193" s="6" t="s">
        <v>80</v>
      </c>
      <c r="H193" s="6" t="s">
        <v>55</v>
      </c>
      <c r="I193" s="7" t="s">
        <v>86</v>
      </c>
      <c r="J193" s="7" t="s">
        <v>86</v>
      </c>
      <c r="K193" s="7" t="s">
        <v>85</v>
      </c>
      <c r="L193" s="8">
        <v>0</v>
      </c>
      <c r="M193" s="8" t="s">
        <v>87</v>
      </c>
      <c r="N193" s="8">
        <f t="shared" si="6"/>
        <v>12</v>
      </c>
      <c r="O193" s="8">
        <f t="shared" si="7"/>
        <v>0</v>
      </c>
      <c r="P193" s="9">
        <f ca="1">IF(ISNA(VLOOKUP($H193,ClientAll,COLUMN(Clients!$C$8),0))=TRUE,0,VLOOKUP($H193,ClientAll,COLUMN(Clients!$C$8),0))</f>
        <v>0</v>
      </c>
      <c r="Q193" s="8">
        <f t="shared" si="8"/>
        <v>0</v>
      </c>
      <c r="R193" s="10" t="str">
        <f ca="1">IF(ISNA(VLOOKUP($D193,VehicleID,COLUMN(Vehicles!$A$8),0))=TRUE,"E1",IF(ISNA(VLOOKUP($H193,ClientID,COLUMN(Vehicles!$A$8),0))=TRUE,"E2",IF(AND($G193&lt;&gt;"Business",$H193&lt;&gt;"XXX01"),"E3",IF(AND($G193="Business",$H193="XXX01"),"E4","-"))))</f>
        <v>-</v>
      </c>
    </row>
    <row r="194" spans="1:18" ht="16" customHeight="1" x14ac:dyDescent="0.25">
      <c r="A194" s="27">
        <v>43914</v>
      </c>
      <c r="B194" s="28">
        <v>0.33333333333333331</v>
      </c>
      <c r="C194" s="28" t="s">
        <v>114</v>
      </c>
      <c r="D194" s="11" t="s">
        <v>70</v>
      </c>
      <c r="E194" s="5">
        <v>56531</v>
      </c>
      <c r="F194" s="5">
        <v>56631</v>
      </c>
      <c r="G194" s="6" t="s">
        <v>81</v>
      </c>
      <c r="H194" s="6" t="s">
        <v>27</v>
      </c>
      <c r="I194" s="7" t="s">
        <v>78</v>
      </c>
      <c r="J194" s="7" t="s">
        <v>83</v>
      </c>
      <c r="K194" s="7" t="s">
        <v>84</v>
      </c>
      <c r="L194" s="8">
        <v>3</v>
      </c>
      <c r="M194" s="8" t="s">
        <v>82</v>
      </c>
      <c r="N194" s="8">
        <f t="shared" si="6"/>
        <v>100</v>
      </c>
      <c r="O194" s="8">
        <f t="shared" si="7"/>
        <v>300</v>
      </c>
      <c r="P194" s="9">
        <f ca="1">IF(ISNA(VLOOKUP($H194,ClientAll,COLUMN(Clients!$C$8),0))=TRUE,0,VLOOKUP($H194,ClientAll,COLUMN(Clients!$C$8),0))</f>
        <v>100</v>
      </c>
      <c r="Q194" s="8">
        <f t="shared" ca="1" si="8"/>
        <v>0</v>
      </c>
      <c r="R194" s="10" t="str">
        <f ca="1">IF(ISNA(VLOOKUP($D194,VehicleID,COLUMN(Vehicles!$A$8),0))=TRUE,"E1",IF(ISNA(VLOOKUP($H194,ClientID,COLUMN(Vehicles!$A$8),0))=TRUE,"E2",IF(AND($G194&lt;&gt;"Business",$H194&lt;&gt;"XXX01"),"E3",IF(AND($G194="Business",$H194="XXX01"),"E4","-"))))</f>
        <v>-</v>
      </c>
    </row>
    <row r="195" spans="1:18" ht="16" customHeight="1" x14ac:dyDescent="0.25">
      <c r="A195" s="27">
        <v>43914</v>
      </c>
      <c r="B195" s="28">
        <v>0.33333333333333331</v>
      </c>
      <c r="C195" s="28" t="s">
        <v>120</v>
      </c>
      <c r="D195" s="11" t="s">
        <v>71</v>
      </c>
      <c r="E195" s="5">
        <v>38203</v>
      </c>
      <c r="F195" s="5">
        <v>38278</v>
      </c>
      <c r="G195" s="6" t="s">
        <v>81</v>
      </c>
      <c r="H195" s="6" t="s">
        <v>53</v>
      </c>
      <c r="I195" s="7" t="s">
        <v>78</v>
      </c>
      <c r="J195" s="7" t="s">
        <v>83</v>
      </c>
      <c r="K195" s="7" t="s">
        <v>84</v>
      </c>
      <c r="L195" s="8">
        <v>3</v>
      </c>
      <c r="M195" s="8" t="s">
        <v>87</v>
      </c>
      <c r="N195" s="8">
        <f t="shared" si="6"/>
        <v>75</v>
      </c>
      <c r="O195" s="8">
        <f t="shared" si="7"/>
        <v>225</v>
      </c>
      <c r="P195" s="9">
        <f ca="1">IF(ISNA(VLOOKUP($H195,ClientAll,COLUMN(Clients!$C$8),0))=TRUE,0,VLOOKUP($H195,ClientAll,COLUMN(Clients!$C$8),0))</f>
        <v>75</v>
      </c>
      <c r="Q195" s="8">
        <f t="shared" ca="1" si="8"/>
        <v>0</v>
      </c>
      <c r="R195" s="10" t="str">
        <f ca="1">IF(ISNA(VLOOKUP($D195,VehicleID,COLUMN(Vehicles!$A$8),0))=TRUE,"E1",IF(ISNA(VLOOKUP($H195,ClientID,COLUMN(Vehicles!$A$8),0))=TRUE,"E2",IF(AND($G195&lt;&gt;"Business",$H195&lt;&gt;"XXX01"),"E3",IF(AND($G195="Business",$H195="XXX01"),"E4","-"))))</f>
        <v>-</v>
      </c>
    </row>
    <row r="196" spans="1:18" ht="16" customHeight="1" x14ac:dyDescent="0.25">
      <c r="A196" s="27">
        <v>43914</v>
      </c>
      <c r="C196" s="28" t="s">
        <v>114</v>
      </c>
      <c r="D196" s="11" t="s">
        <v>70</v>
      </c>
      <c r="E196" s="5">
        <v>56631</v>
      </c>
      <c r="F196" s="5">
        <v>56656</v>
      </c>
      <c r="G196" s="6" t="s">
        <v>80</v>
      </c>
      <c r="H196" s="6" t="s">
        <v>55</v>
      </c>
      <c r="I196" s="7" t="s">
        <v>86</v>
      </c>
      <c r="J196" s="7" t="s">
        <v>86</v>
      </c>
      <c r="K196" s="7" t="s">
        <v>85</v>
      </c>
      <c r="L196" s="8">
        <v>0</v>
      </c>
      <c r="M196" s="8" t="s">
        <v>82</v>
      </c>
      <c r="N196" s="8">
        <f t="shared" ref="N196:N215" si="9">F196-E196</f>
        <v>25</v>
      </c>
      <c r="O196" s="8">
        <f t="shared" ref="O196:O215" si="10">N196*L196</f>
        <v>0</v>
      </c>
      <c r="P196" s="9">
        <f ca="1">IF(ISNA(VLOOKUP($H196,ClientAll,COLUMN(Clients!$C$8),0))=TRUE,0,VLOOKUP($H196,ClientAll,COLUMN(Clients!$C$8),0))</f>
        <v>0</v>
      </c>
      <c r="Q196" s="8">
        <f t="shared" ref="Q196:Q215" si="11">IF(G196="Private",0,N196-P196)</f>
        <v>0</v>
      </c>
      <c r="R196" s="10" t="str">
        <f ca="1">IF(ISNA(VLOOKUP($D196,VehicleID,COLUMN(Vehicles!$A$8),0))=TRUE,"E1",IF(ISNA(VLOOKUP($H196,ClientID,COLUMN(Vehicles!$A$8),0))=TRUE,"E2",IF(AND($G196&lt;&gt;"Business",$H196&lt;&gt;"XXX01"),"E3",IF(AND($G196="Business",$H196="XXX01"),"E4","-"))))</f>
        <v>-</v>
      </c>
    </row>
    <row r="197" spans="1:18" ht="16" customHeight="1" x14ac:dyDescent="0.25">
      <c r="A197" s="27">
        <v>43914</v>
      </c>
      <c r="C197" s="28" t="s">
        <v>120</v>
      </c>
      <c r="D197" s="11" t="s">
        <v>71</v>
      </c>
      <c r="E197" s="5">
        <v>38278</v>
      </c>
      <c r="F197" s="5">
        <v>38293</v>
      </c>
      <c r="G197" s="6" t="s">
        <v>80</v>
      </c>
      <c r="H197" s="6" t="s">
        <v>55</v>
      </c>
      <c r="I197" s="7" t="s">
        <v>86</v>
      </c>
      <c r="J197" s="7" t="s">
        <v>86</v>
      </c>
      <c r="K197" s="7" t="s">
        <v>85</v>
      </c>
      <c r="L197" s="8">
        <v>0</v>
      </c>
      <c r="M197" s="8" t="s">
        <v>87</v>
      </c>
      <c r="N197" s="8">
        <f t="shared" si="9"/>
        <v>15</v>
      </c>
      <c r="O197" s="8">
        <f t="shared" si="10"/>
        <v>0</v>
      </c>
      <c r="P197" s="9">
        <f ca="1">IF(ISNA(VLOOKUP($H197,ClientAll,COLUMN(Clients!$C$8),0))=TRUE,0,VLOOKUP($H197,ClientAll,COLUMN(Clients!$C$8),0))</f>
        <v>0</v>
      </c>
      <c r="Q197" s="8">
        <f t="shared" si="11"/>
        <v>0</v>
      </c>
      <c r="R197" s="10" t="str">
        <f ca="1">IF(ISNA(VLOOKUP($D197,VehicleID,COLUMN(Vehicles!$A$8),0))=TRUE,"E1",IF(ISNA(VLOOKUP($H197,ClientID,COLUMN(Vehicles!$A$8),0))=TRUE,"E2",IF(AND($G197&lt;&gt;"Business",$H197&lt;&gt;"XXX01"),"E3",IF(AND($G197="Business",$H197="XXX01"),"E4","-"))))</f>
        <v>-</v>
      </c>
    </row>
    <row r="198" spans="1:18" ht="16" customHeight="1" x14ac:dyDescent="0.25">
      <c r="A198" s="27">
        <v>43915</v>
      </c>
      <c r="B198" s="28">
        <v>0.33333333333333331</v>
      </c>
      <c r="C198" s="28" t="s">
        <v>114</v>
      </c>
      <c r="D198" s="11" t="s">
        <v>70</v>
      </c>
      <c r="E198" s="5">
        <v>56656</v>
      </c>
      <c r="F198" s="5">
        <v>56744</v>
      </c>
      <c r="G198" s="6" t="s">
        <v>81</v>
      </c>
      <c r="H198" s="6" t="s">
        <v>23</v>
      </c>
      <c r="I198" s="7" t="s">
        <v>78</v>
      </c>
      <c r="J198" s="7" t="s">
        <v>83</v>
      </c>
      <c r="K198" s="7" t="s">
        <v>84</v>
      </c>
      <c r="L198" s="8">
        <v>3</v>
      </c>
      <c r="M198" s="8" t="s">
        <v>82</v>
      </c>
      <c r="N198" s="8">
        <f t="shared" si="9"/>
        <v>88</v>
      </c>
      <c r="O198" s="8">
        <f t="shared" si="10"/>
        <v>264</v>
      </c>
      <c r="P198" s="9">
        <f ca="1">IF(ISNA(VLOOKUP($H198,ClientAll,COLUMN(Clients!$C$8),0))=TRUE,0,VLOOKUP($H198,ClientAll,COLUMN(Clients!$C$8),0))</f>
        <v>88</v>
      </c>
      <c r="Q198" s="8">
        <f t="shared" ca="1" si="11"/>
        <v>0</v>
      </c>
      <c r="R198" s="10" t="str">
        <f ca="1">IF(ISNA(VLOOKUP($D198,VehicleID,COLUMN(Vehicles!$A$8),0))=TRUE,"E1",IF(ISNA(VLOOKUP($H198,ClientID,COLUMN(Vehicles!$A$8),0))=TRUE,"E2",IF(AND($G198&lt;&gt;"Business",$H198&lt;&gt;"XXX01"),"E3",IF(AND($G198="Business",$H198="XXX01"),"E4","-"))))</f>
        <v>-</v>
      </c>
    </row>
    <row r="199" spans="1:18" ht="16" customHeight="1" x14ac:dyDescent="0.25">
      <c r="A199" s="27">
        <v>43915</v>
      </c>
      <c r="B199" s="28">
        <v>0.33333333333333331</v>
      </c>
      <c r="C199" s="28" t="s">
        <v>120</v>
      </c>
      <c r="D199" s="11" t="s">
        <v>71</v>
      </c>
      <c r="E199" s="5">
        <v>38293</v>
      </c>
      <c r="F199" s="5">
        <v>38368</v>
      </c>
      <c r="G199" s="6" t="s">
        <v>81</v>
      </c>
      <c r="H199" s="6" t="s">
        <v>53</v>
      </c>
      <c r="I199" s="7" t="s">
        <v>78</v>
      </c>
      <c r="J199" s="7" t="s">
        <v>83</v>
      </c>
      <c r="K199" s="7" t="s">
        <v>84</v>
      </c>
      <c r="L199" s="8">
        <v>3</v>
      </c>
      <c r="M199" s="8" t="s">
        <v>87</v>
      </c>
      <c r="N199" s="8">
        <f t="shared" si="9"/>
        <v>75</v>
      </c>
      <c r="O199" s="8">
        <f t="shared" si="10"/>
        <v>225</v>
      </c>
      <c r="P199" s="9">
        <f ca="1">IF(ISNA(VLOOKUP($H199,ClientAll,COLUMN(Clients!$C$8),0))=TRUE,0,VLOOKUP($H199,ClientAll,COLUMN(Clients!$C$8),0))</f>
        <v>75</v>
      </c>
      <c r="Q199" s="8">
        <f t="shared" ca="1" si="11"/>
        <v>0</v>
      </c>
      <c r="R199" s="10" t="str">
        <f ca="1">IF(ISNA(VLOOKUP($D199,VehicleID,COLUMN(Vehicles!$A$8),0))=TRUE,"E1",IF(ISNA(VLOOKUP($H199,ClientID,COLUMN(Vehicles!$A$8),0))=TRUE,"E2",IF(AND($G199&lt;&gt;"Business",$H199&lt;&gt;"XXX01"),"E3",IF(AND($G199="Business",$H199="XXX01"),"E4","-"))))</f>
        <v>-</v>
      </c>
    </row>
    <row r="200" spans="1:18" ht="16" customHeight="1" x14ac:dyDescent="0.25">
      <c r="A200" s="27">
        <v>43915</v>
      </c>
      <c r="C200" s="28" t="s">
        <v>114</v>
      </c>
      <c r="D200" s="11" t="s">
        <v>70</v>
      </c>
      <c r="E200" s="5">
        <v>56744</v>
      </c>
      <c r="F200" s="5">
        <v>56770</v>
      </c>
      <c r="G200" s="6" t="s">
        <v>80</v>
      </c>
      <c r="H200" s="6" t="s">
        <v>55</v>
      </c>
      <c r="I200" s="7" t="s">
        <v>86</v>
      </c>
      <c r="J200" s="7" t="s">
        <v>86</v>
      </c>
      <c r="K200" s="7" t="s">
        <v>85</v>
      </c>
      <c r="L200" s="8">
        <v>0</v>
      </c>
      <c r="M200" s="8" t="s">
        <v>82</v>
      </c>
      <c r="N200" s="8">
        <f t="shared" si="9"/>
        <v>26</v>
      </c>
      <c r="O200" s="8">
        <f t="shared" si="10"/>
        <v>0</v>
      </c>
      <c r="P200" s="9">
        <f ca="1">IF(ISNA(VLOOKUP($H200,ClientAll,COLUMN(Clients!$C$8),0))=TRUE,0,VLOOKUP($H200,ClientAll,COLUMN(Clients!$C$8),0))</f>
        <v>0</v>
      </c>
      <c r="Q200" s="8">
        <f t="shared" si="11"/>
        <v>0</v>
      </c>
      <c r="R200" s="10" t="str">
        <f ca="1">IF(ISNA(VLOOKUP($D200,VehicleID,COLUMN(Vehicles!$A$8),0))=TRUE,"E1",IF(ISNA(VLOOKUP($H200,ClientID,COLUMN(Vehicles!$A$8),0))=TRUE,"E2",IF(AND($G200&lt;&gt;"Business",$H200&lt;&gt;"XXX01"),"E3",IF(AND($G200="Business",$H200="XXX01"),"E4","-"))))</f>
        <v>-</v>
      </c>
    </row>
    <row r="201" spans="1:18" ht="16" customHeight="1" x14ac:dyDescent="0.25">
      <c r="A201" s="27">
        <v>43915</v>
      </c>
      <c r="C201" s="28" t="s">
        <v>120</v>
      </c>
      <c r="D201" s="11" t="s">
        <v>71</v>
      </c>
      <c r="E201" s="5">
        <v>38368</v>
      </c>
      <c r="F201" s="5">
        <v>38388</v>
      </c>
      <c r="G201" s="6" t="s">
        <v>80</v>
      </c>
      <c r="H201" s="6" t="s">
        <v>55</v>
      </c>
      <c r="I201" s="7" t="s">
        <v>86</v>
      </c>
      <c r="J201" s="7" t="s">
        <v>86</v>
      </c>
      <c r="K201" s="7" t="s">
        <v>85</v>
      </c>
      <c r="L201" s="8">
        <v>0</v>
      </c>
      <c r="M201" s="8" t="s">
        <v>87</v>
      </c>
      <c r="N201" s="8">
        <f t="shared" si="9"/>
        <v>20</v>
      </c>
      <c r="O201" s="8">
        <f t="shared" si="10"/>
        <v>0</v>
      </c>
      <c r="P201" s="9">
        <f ca="1">IF(ISNA(VLOOKUP($H201,ClientAll,COLUMN(Clients!$C$8),0))=TRUE,0,VLOOKUP($H201,ClientAll,COLUMN(Clients!$C$8),0))</f>
        <v>0</v>
      </c>
      <c r="Q201" s="8">
        <f t="shared" si="11"/>
        <v>0</v>
      </c>
      <c r="R201" s="10" t="str">
        <f ca="1">IF(ISNA(VLOOKUP($D201,VehicleID,COLUMN(Vehicles!$A$8),0))=TRUE,"E1",IF(ISNA(VLOOKUP($H201,ClientID,COLUMN(Vehicles!$A$8),0))=TRUE,"E2",IF(AND($G201&lt;&gt;"Business",$H201&lt;&gt;"XXX01"),"E3",IF(AND($G201="Business",$H201="XXX01"),"E4","-"))))</f>
        <v>-</v>
      </c>
    </row>
    <row r="202" spans="1:18" ht="16" customHeight="1" x14ac:dyDescent="0.25">
      <c r="A202" s="27">
        <v>43916</v>
      </c>
      <c r="B202" s="28">
        <v>0.33333333333333331</v>
      </c>
      <c r="C202" s="28" t="s">
        <v>114</v>
      </c>
      <c r="D202" s="11" t="s">
        <v>70</v>
      </c>
      <c r="E202" s="5">
        <v>56770</v>
      </c>
      <c r="F202" s="5">
        <v>56800</v>
      </c>
      <c r="G202" s="6" t="s">
        <v>81</v>
      </c>
      <c r="H202" s="6" t="s">
        <v>21</v>
      </c>
      <c r="I202" s="7" t="s">
        <v>78</v>
      </c>
      <c r="J202" s="7" t="s">
        <v>83</v>
      </c>
      <c r="K202" s="7" t="s">
        <v>84</v>
      </c>
      <c r="L202" s="8">
        <v>3</v>
      </c>
      <c r="M202" s="8" t="s">
        <v>82</v>
      </c>
      <c r="N202" s="8">
        <f t="shared" si="9"/>
        <v>30</v>
      </c>
      <c r="O202" s="8">
        <f t="shared" si="10"/>
        <v>90</v>
      </c>
      <c r="P202" s="9">
        <f ca="1">IF(ISNA(VLOOKUP($H202,ClientAll,COLUMN(Clients!$C$8),0))=TRUE,0,VLOOKUP($H202,ClientAll,COLUMN(Clients!$C$8),0))</f>
        <v>30</v>
      </c>
      <c r="Q202" s="8">
        <f t="shared" ca="1" si="11"/>
        <v>0</v>
      </c>
      <c r="R202" s="10" t="str">
        <f ca="1">IF(ISNA(VLOOKUP($D202,VehicleID,COLUMN(Vehicles!$A$8),0))=TRUE,"E1",IF(ISNA(VLOOKUP($H202,ClientID,COLUMN(Vehicles!$A$8),0))=TRUE,"E2",IF(AND($G202&lt;&gt;"Business",$H202&lt;&gt;"XXX01"),"E3",IF(AND($G202="Business",$H202="XXX01"),"E4","-"))))</f>
        <v>-</v>
      </c>
    </row>
    <row r="203" spans="1:18" ht="16" customHeight="1" x14ac:dyDescent="0.25">
      <c r="A203" s="27">
        <v>43916</v>
      </c>
      <c r="B203" s="28">
        <v>0.33333333333333331</v>
      </c>
      <c r="C203" s="28" t="s">
        <v>120</v>
      </c>
      <c r="D203" s="11" t="s">
        <v>71</v>
      </c>
      <c r="E203" s="5">
        <v>38388</v>
      </c>
      <c r="F203" s="5">
        <v>38463</v>
      </c>
      <c r="G203" s="6" t="s">
        <v>81</v>
      </c>
      <c r="H203" s="6" t="s">
        <v>53</v>
      </c>
      <c r="I203" s="7" t="s">
        <v>78</v>
      </c>
      <c r="J203" s="7" t="s">
        <v>83</v>
      </c>
      <c r="K203" s="7" t="s">
        <v>84</v>
      </c>
      <c r="L203" s="8">
        <v>3</v>
      </c>
      <c r="M203" s="8" t="s">
        <v>87</v>
      </c>
      <c r="N203" s="8">
        <f t="shared" si="9"/>
        <v>75</v>
      </c>
      <c r="O203" s="8">
        <f t="shared" si="10"/>
        <v>225</v>
      </c>
      <c r="P203" s="9">
        <f ca="1">IF(ISNA(VLOOKUP($H203,ClientAll,COLUMN(Clients!$C$8),0))=TRUE,0,VLOOKUP($H203,ClientAll,COLUMN(Clients!$C$8),0))</f>
        <v>75</v>
      </c>
      <c r="Q203" s="8">
        <f t="shared" ca="1" si="11"/>
        <v>0</v>
      </c>
      <c r="R203" s="10" t="str">
        <f ca="1">IF(ISNA(VLOOKUP($D203,VehicleID,COLUMN(Vehicles!$A$8),0))=TRUE,"E1",IF(ISNA(VLOOKUP($H203,ClientID,COLUMN(Vehicles!$A$8),0))=TRUE,"E2",IF(AND($G203&lt;&gt;"Business",$H203&lt;&gt;"XXX01"),"E3",IF(AND($G203="Business",$H203="XXX01"),"E4","-"))))</f>
        <v>-</v>
      </c>
    </row>
    <row r="204" spans="1:18" ht="16" customHeight="1" x14ac:dyDescent="0.25">
      <c r="A204" s="27">
        <v>43916</v>
      </c>
      <c r="C204" s="28" t="s">
        <v>114</v>
      </c>
      <c r="D204" s="11" t="s">
        <v>70</v>
      </c>
      <c r="E204" s="5">
        <v>56800</v>
      </c>
      <c r="F204" s="5">
        <v>56834</v>
      </c>
      <c r="G204" s="6" t="s">
        <v>80</v>
      </c>
      <c r="H204" s="6" t="s">
        <v>55</v>
      </c>
      <c r="I204" s="7" t="s">
        <v>86</v>
      </c>
      <c r="J204" s="7" t="s">
        <v>86</v>
      </c>
      <c r="K204" s="7" t="s">
        <v>85</v>
      </c>
      <c r="L204" s="8">
        <v>0</v>
      </c>
      <c r="M204" s="8" t="s">
        <v>82</v>
      </c>
      <c r="N204" s="8">
        <f t="shared" si="9"/>
        <v>34</v>
      </c>
      <c r="O204" s="8">
        <f t="shared" si="10"/>
        <v>0</v>
      </c>
      <c r="P204" s="9">
        <f ca="1">IF(ISNA(VLOOKUP($H204,ClientAll,COLUMN(Clients!$C$8),0))=TRUE,0,VLOOKUP($H204,ClientAll,COLUMN(Clients!$C$8),0))</f>
        <v>0</v>
      </c>
      <c r="Q204" s="8">
        <f t="shared" si="11"/>
        <v>0</v>
      </c>
      <c r="R204" s="10" t="str">
        <f ca="1">IF(ISNA(VLOOKUP($D204,VehicleID,COLUMN(Vehicles!$A$8),0))=TRUE,"E1",IF(ISNA(VLOOKUP($H204,ClientID,COLUMN(Vehicles!$A$8),0))=TRUE,"E2",IF(AND($G204&lt;&gt;"Business",$H204&lt;&gt;"XXX01"),"E3",IF(AND($G204="Business",$H204="XXX01"),"E4","-"))))</f>
        <v>-</v>
      </c>
    </row>
    <row r="205" spans="1:18" ht="16" customHeight="1" x14ac:dyDescent="0.25">
      <c r="A205" s="27">
        <v>43916</v>
      </c>
      <c r="C205" s="28" t="s">
        <v>120</v>
      </c>
      <c r="D205" s="11" t="s">
        <v>71</v>
      </c>
      <c r="E205" s="5">
        <v>38463</v>
      </c>
      <c r="F205" s="5">
        <v>38481</v>
      </c>
      <c r="G205" s="6" t="s">
        <v>80</v>
      </c>
      <c r="H205" s="6" t="s">
        <v>55</v>
      </c>
      <c r="I205" s="7" t="s">
        <v>86</v>
      </c>
      <c r="J205" s="7" t="s">
        <v>86</v>
      </c>
      <c r="K205" s="7" t="s">
        <v>85</v>
      </c>
      <c r="L205" s="8">
        <v>0</v>
      </c>
      <c r="M205" s="8" t="s">
        <v>87</v>
      </c>
      <c r="N205" s="8">
        <f t="shared" si="9"/>
        <v>18</v>
      </c>
      <c r="O205" s="8">
        <f t="shared" si="10"/>
        <v>0</v>
      </c>
      <c r="P205" s="9">
        <f ca="1">IF(ISNA(VLOOKUP($H205,ClientAll,COLUMN(Clients!$C$8),0))=TRUE,0,VLOOKUP($H205,ClientAll,COLUMN(Clients!$C$8),0))</f>
        <v>0</v>
      </c>
      <c r="Q205" s="8">
        <f t="shared" si="11"/>
        <v>0</v>
      </c>
      <c r="R205" s="10" t="str">
        <f ca="1">IF(ISNA(VLOOKUP($D205,VehicleID,COLUMN(Vehicles!$A$8),0))=TRUE,"E1",IF(ISNA(VLOOKUP($H205,ClientID,COLUMN(Vehicles!$A$8),0))=TRUE,"E2",IF(AND($G205&lt;&gt;"Business",$H205&lt;&gt;"XXX01"),"E3",IF(AND($G205="Business",$H205="XXX01"),"E4","-"))))</f>
        <v>-</v>
      </c>
    </row>
    <row r="206" spans="1:18" ht="16" customHeight="1" x14ac:dyDescent="0.25">
      <c r="A206" s="27">
        <v>43917</v>
      </c>
      <c r="B206" s="28">
        <v>0.33333333333333331</v>
      </c>
      <c r="C206" s="28" t="s">
        <v>114</v>
      </c>
      <c r="D206" s="11" t="s">
        <v>70</v>
      </c>
      <c r="E206" s="5">
        <v>56834</v>
      </c>
      <c r="F206" s="5">
        <v>56879</v>
      </c>
      <c r="G206" s="6" t="s">
        <v>81</v>
      </c>
      <c r="H206" s="6" t="s">
        <v>25</v>
      </c>
      <c r="I206" s="7" t="s">
        <v>78</v>
      </c>
      <c r="J206" s="7" t="s">
        <v>83</v>
      </c>
      <c r="K206" s="7" t="s">
        <v>84</v>
      </c>
      <c r="L206" s="8">
        <v>3</v>
      </c>
      <c r="M206" s="8" t="s">
        <v>82</v>
      </c>
      <c r="N206" s="8">
        <f t="shared" si="9"/>
        <v>45</v>
      </c>
      <c r="O206" s="8">
        <f t="shared" si="10"/>
        <v>135</v>
      </c>
      <c r="P206" s="9">
        <f ca="1">IF(ISNA(VLOOKUP($H206,ClientAll,COLUMN(Clients!$C$8),0))=TRUE,0,VLOOKUP($H206,ClientAll,COLUMN(Clients!$C$8),0))</f>
        <v>45</v>
      </c>
      <c r="Q206" s="8">
        <f t="shared" ca="1" si="11"/>
        <v>0</v>
      </c>
      <c r="R206" s="10" t="str">
        <f ca="1">IF(ISNA(VLOOKUP($D206,VehicleID,COLUMN(Vehicles!$A$8),0))=TRUE,"E1",IF(ISNA(VLOOKUP($H206,ClientID,COLUMN(Vehicles!$A$8),0))=TRUE,"E2",IF(AND($G206&lt;&gt;"Business",$H206&lt;&gt;"XXX01"),"E3",IF(AND($G206="Business",$H206="XXX01"),"E4","-"))))</f>
        <v>-</v>
      </c>
    </row>
    <row r="207" spans="1:18" ht="16" customHeight="1" x14ac:dyDescent="0.25">
      <c r="A207" s="27">
        <v>43917</v>
      </c>
      <c r="B207" s="28">
        <v>0.33333333333333331</v>
      </c>
      <c r="C207" s="28" t="s">
        <v>120</v>
      </c>
      <c r="D207" s="11" t="s">
        <v>71</v>
      </c>
      <c r="E207" s="5">
        <v>38481</v>
      </c>
      <c r="F207" s="5">
        <v>38556</v>
      </c>
      <c r="G207" s="6" t="s">
        <v>81</v>
      </c>
      <c r="H207" s="6" t="s">
        <v>53</v>
      </c>
      <c r="I207" s="7" t="s">
        <v>78</v>
      </c>
      <c r="J207" s="7" t="s">
        <v>83</v>
      </c>
      <c r="K207" s="7" t="s">
        <v>84</v>
      </c>
      <c r="L207" s="8">
        <v>3</v>
      </c>
      <c r="M207" s="8" t="s">
        <v>87</v>
      </c>
      <c r="N207" s="8">
        <f t="shared" si="9"/>
        <v>75</v>
      </c>
      <c r="O207" s="8">
        <f t="shared" si="10"/>
        <v>225</v>
      </c>
      <c r="P207" s="9">
        <f ca="1">IF(ISNA(VLOOKUP($H207,ClientAll,COLUMN(Clients!$C$8),0))=TRUE,0,VLOOKUP($H207,ClientAll,COLUMN(Clients!$C$8),0))</f>
        <v>75</v>
      </c>
      <c r="Q207" s="8">
        <f t="shared" ca="1" si="11"/>
        <v>0</v>
      </c>
      <c r="R207" s="10" t="str">
        <f ca="1">IF(ISNA(VLOOKUP($D207,VehicleID,COLUMN(Vehicles!$A$8),0))=TRUE,"E1",IF(ISNA(VLOOKUP($H207,ClientID,COLUMN(Vehicles!$A$8),0))=TRUE,"E2",IF(AND($G207&lt;&gt;"Business",$H207&lt;&gt;"XXX01"),"E3",IF(AND($G207="Business",$H207="XXX01"),"E4","-"))))</f>
        <v>-</v>
      </c>
    </row>
    <row r="208" spans="1:18" ht="16" customHeight="1" x14ac:dyDescent="0.25">
      <c r="A208" s="27">
        <v>43917</v>
      </c>
      <c r="C208" s="28" t="s">
        <v>114</v>
      </c>
      <c r="D208" s="11" t="s">
        <v>70</v>
      </c>
      <c r="E208" s="5">
        <v>56879</v>
      </c>
      <c r="F208" s="5">
        <v>56926</v>
      </c>
      <c r="G208" s="6" t="s">
        <v>80</v>
      </c>
      <c r="H208" s="6" t="s">
        <v>55</v>
      </c>
      <c r="I208" s="7" t="s">
        <v>86</v>
      </c>
      <c r="J208" s="7" t="s">
        <v>86</v>
      </c>
      <c r="K208" s="7" t="s">
        <v>85</v>
      </c>
      <c r="L208" s="8">
        <v>0</v>
      </c>
      <c r="M208" s="8" t="s">
        <v>82</v>
      </c>
      <c r="N208" s="8">
        <f t="shared" si="9"/>
        <v>47</v>
      </c>
      <c r="O208" s="8">
        <f t="shared" si="10"/>
        <v>0</v>
      </c>
      <c r="P208" s="9">
        <f ca="1">IF(ISNA(VLOOKUP($H208,ClientAll,COLUMN(Clients!$C$8),0))=TRUE,0,VLOOKUP($H208,ClientAll,COLUMN(Clients!$C$8),0))</f>
        <v>0</v>
      </c>
      <c r="Q208" s="8">
        <f t="shared" si="11"/>
        <v>0</v>
      </c>
      <c r="R208" s="10" t="str">
        <f ca="1">IF(ISNA(VLOOKUP($D208,VehicleID,COLUMN(Vehicles!$A$8),0))=TRUE,"E1",IF(ISNA(VLOOKUP($H208,ClientID,COLUMN(Vehicles!$A$8),0))=TRUE,"E2",IF(AND($G208&lt;&gt;"Business",$H208&lt;&gt;"XXX01"),"E3",IF(AND($G208="Business",$H208="XXX01"),"E4","-"))))</f>
        <v>-</v>
      </c>
    </row>
    <row r="209" spans="1:18" ht="16" customHeight="1" x14ac:dyDescent="0.25">
      <c r="A209" s="27">
        <v>43917</v>
      </c>
      <c r="C209" s="28" t="s">
        <v>120</v>
      </c>
      <c r="D209" s="11" t="s">
        <v>71</v>
      </c>
      <c r="E209" s="5">
        <v>38556</v>
      </c>
      <c r="F209" s="5">
        <v>38578</v>
      </c>
      <c r="G209" s="6" t="s">
        <v>80</v>
      </c>
      <c r="H209" s="6" t="s">
        <v>55</v>
      </c>
      <c r="I209" s="7" t="s">
        <v>86</v>
      </c>
      <c r="J209" s="7" t="s">
        <v>86</v>
      </c>
      <c r="K209" s="7" t="s">
        <v>85</v>
      </c>
      <c r="L209" s="8">
        <v>0</v>
      </c>
      <c r="M209" s="8" t="s">
        <v>87</v>
      </c>
      <c r="N209" s="8">
        <f t="shared" si="9"/>
        <v>22</v>
      </c>
      <c r="O209" s="8">
        <f t="shared" si="10"/>
        <v>0</v>
      </c>
      <c r="P209" s="9">
        <f ca="1">IF(ISNA(VLOOKUP($H209,ClientAll,COLUMN(Clients!$C$8),0))=TRUE,0,VLOOKUP($H209,ClientAll,COLUMN(Clients!$C$8),0))</f>
        <v>0</v>
      </c>
      <c r="Q209" s="8">
        <f t="shared" si="11"/>
        <v>0</v>
      </c>
      <c r="R209" s="10" t="str">
        <f ca="1">IF(ISNA(VLOOKUP($D209,VehicleID,COLUMN(Vehicles!$A$8),0))=TRUE,"E1",IF(ISNA(VLOOKUP($H209,ClientID,COLUMN(Vehicles!$A$8),0))=TRUE,"E2",IF(AND($G209&lt;&gt;"Business",$H209&lt;&gt;"XXX01"),"E3",IF(AND($G209="Business",$H209="XXX01"),"E4","-"))))</f>
        <v>-</v>
      </c>
    </row>
    <row r="210" spans="1:18" ht="16" customHeight="1" x14ac:dyDescent="0.25">
      <c r="A210" s="27">
        <v>43918</v>
      </c>
      <c r="B210" s="28">
        <v>0.33333333333333331</v>
      </c>
      <c r="C210" s="28" t="s">
        <v>114</v>
      </c>
      <c r="D210" s="11" t="s">
        <v>70</v>
      </c>
      <c r="E210" s="5">
        <v>56926</v>
      </c>
      <c r="F210" s="5">
        <v>57026</v>
      </c>
      <c r="G210" s="6" t="s">
        <v>81</v>
      </c>
      <c r="H210" s="6" t="s">
        <v>27</v>
      </c>
      <c r="I210" s="7" t="s">
        <v>78</v>
      </c>
      <c r="J210" s="7" t="s">
        <v>83</v>
      </c>
      <c r="K210" s="7" t="s">
        <v>84</v>
      </c>
      <c r="L210" s="8">
        <v>3</v>
      </c>
      <c r="M210" s="8" t="s">
        <v>82</v>
      </c>
      <c r="N210" s="8">
        <f t="shared" si="9"/>
        <v>100</v>
      </c>
      <c r="O210" s="8">
        <f t="shared" si="10"/>
        <v>300</v>
      </c>
      <c r="P210" s="9">
        <f ca="1">IF(ISNA(VLOOKUP($H210,ClientAll,COLUMN(Clients!$C$8),0))=TRUE,0,VLOOKUP($H210,ClientAll,COLUMN(Clients!$C$8),0))</f>
        <v>100</v>
      </c>
      <c r="Q210" s="8">
        <f t="shared" ca="1" si="11"/>
        <v>0</v>
      </c>
      <c r="R210" s="10" t="str">
        <f ca="1">IF(ISNA(VLOOKUP($D210,VehicleID,COLUMN(Vehicles!$A$8),0))=TRUE,"E1",IF(ISNA(VLOOKUP($H210,ClientID,COLUMN(Vehicles!$A$8),0))=TRUE,"E2",IF(AND($G210&lt;&gt;"Business",$H210&lt;&gt;"XXX01"),"E3",IF(AND($G210="Business",$H210="XXX01"),"E4","-"))))</f>
        <v>-</v>
      </c>
    </row>
    <row r="211" spans="1:18" ht="16" customHeight="1" x14ac:dyDescent="0.25">
      <c r="A211" s="27">
        <v>43918</v>
      </c>
      <c r="B211" s="28">
        <v>0.33333333333333331</v>
      </c>
      <c r="C211" s="28" t="s">
        <v>120</v>
      </c>
      <c r="D211" s="11" t="s">
        <v>71</v>
      </c>
      <c r="E211" s="5">
        <v>38578</v>
      </c>
      <c r="F211" s="5">
        <v>38653</v>
      </c>
      <c r="G211" s="6" t="s">
        <v>81</v>
      </c>
      <c r="H211" s="6" t="s">
        <v>53</v>
      </c>
      <c r="I211" s="7" t="s">
        <v>78</v>
      </c>
      <c r="J211" s="7" t="s">
        <v>83</v>
      </c>
      <c r="K211" s="7" t="s">
        <v>84</v>
      </c>
      <c r="L211" s="8">
        <v>3</v>
      </c>
      <c r="M211" s="8" t="s">
        <v>87</v>
      </c>
      <c r="N211" s="8">
        <f t="shared" si="9"/>
        <v>75</v>
      </c>
      <c r="O211" s="8">
        <f t="shared" si="10"/>
        <v>225</v>
      </c>
      <c r="P211" s="9">
        <f ca="1">IF(ISNA(VLOOKUP($H211,ClientAll,COLUMN(Clients!$C$8),0))=TRUE,0,VLOOKUP($H211,ClientAll,COLUMN(Clients!$C$8),0))</f>
        <v>75</v>
      </c>
      <c r="Q211" s="8">
        <f t="shared" ca="1" si="11"/>
        <v>0</v>
      </c>
      <c r="R211" s="10" t="str">
        <f ca="1">IF(ISNA(VLOOKUP($D211,VehicleID,COLUMN(Vehicles!$A$8),0))=TRUE,"E1",IF(ISNA(VLOOKUP($H211,ClientID,COLUMN(Vehicles!$A$8),0))=TRUE,"E2",IF(AND($G211&lt;&gt;"Business",$H211&lt;&gt;"XXX01"),"E3",IF(AND($G211="Business",$H211="XXX01"),"E4","-"))))</f>
        <v>-</v>
      </c>
    </row>
    <row r="212" spans="1:18" ht="16" customHeight="1" x14ac:dyDescent="0.25">
      <c r="A212" s="27">
        <v>43918</v>
      </c>
      <c r="C212" s="28" t="s">
        <v>114</v>
      </c>
      <c r="D212" s="11" t="s">
        <v>70</v>
      </c>
      <c r="E212" s="5">
        <v>57026</v>
      </c>
      <c r="F212" s="5">
        <v>57049</v>
      </c>
      <c r="G212" s="6" t="s">
        <v>80</v>
      </c>
      <c r="H212" s="6" t="s">
        <v>55</v>
      </c>
      <c r="I212" s="7" t="s">
        <v>86</v>
      </c>
      <c r="J212" s="7" t="s">
        <v>86</v>
      </c>
      <c r="K212" s="7" t="s">
        <v>85</v>
      </c>
      <c r="L212" s="8">
        <v>0</v>
      </c>
      <c r="M212" s="8" t="s">
        <v>82</v>
      </c>
      <c r="N212" s="8">
        <f t="shared" si="9"/>
        <v>23</v>
      </c>
      <c r="O212" s="8">
        <f t="shared" si="10"/>
        <v>0</v>
      </c>
      <c r="P212" s="9">
        <f ca="1">IF(ISNA(VLOOKUP($H212,ClientAll,COLUMN(Clients!$C$8),0))=TRUE,0,VLOOKUP($H212,ClientAll,COLUMN(Clients!$C$8),0))</f>
        <v>0</v>
      </c>
      <c r="Q212" s="8">
        <f t="shared" si="11"/>
        <v>0</v>
      </c>
      <c r="R212" s="10" t="str">
        <f ca="1">IF(ISNA(VLOOKUP($D212,VehicleID,COLUMN(Vehicles!$A$8),0))=TRUE,"E1",IF(ISNA(VLOOKUP($H212,ClientID,COLUMN(Vehicles!$A$8),0))=TRUE,"E2",IF(AND($G212&lt;&gt;"Business",$H212&lt;&gt;"XXX01"),"E3",IF(AND($G212="Business",$H212="XXX01"),"E4","-"))))</f>
        <v>-</v>
      </c>
    </row>
    <row r="213" spans="1:18" ht="16" customHeight="1" x14ac:dyDescent="0.25">
      <c r="A213" s="27">
        <v>43918</v>
      </c>
      <c r="C213" s="28" t="s">
        <v>120</v>
      </c>
      <c r="D213" s="11" t="s">
        <v>71</v>
      </c>
      <c r="E213" s="5">
        <v>38653</v>
      </c>
      <c r="F213" s="5">
        <v>38686</v>
      </c>
      <c r="G213" s="6" t="s">
        <v>80</v>
      </c>
      <c r="H213" s="6" t="s">
        <v>55</v>
      </c>
      <c r="I213" s="7" t="s">
        <v>86</v>
      </c>
      <c r="J213" s="7" t="s">
        <v>86</v>
      </c>
      <c r="K213" s="7" t="s">
        <v>85</v>
      </c>
      <c r="L213" s="8">
        <v>0</v>
      </c>
      <c r="M213" s="8" t="s">
        <v>87</v>
      </c>
      <c r="N213" s="8">
        <f t="shared" si="9"/>
        <v>33</v>
      </c>
      <c r="O213" s="8">
        <f t="shared" si="10"/>
        <v>0</v>
      </c>
      <c r="P213" s="9">
        <f ca="1">IF(ISNA(VLOOKUP($H213,ClientAll,COLUMN(Clients!$C$8),0))=TRUE,0,VLOOKUP($H213,ClientAll,COLUMN(Clients!$C$8),0))</f>
        <v>0</v>
      </c>
      <c r="Q213" s="8">
        <f t="shared" si="11"/>
        <v>0</v>
      </c>
      <c r="R213" s="10" t="str">
        <f ca="1">IF(ISNA(VLOOKUP($D213,VehicleID,COLUMN(Vehicles!$A$8),0))=TRUE,"E1",IF(ISNA(VLOOKUP($H213,ClientID,COLUMN(Vehicles!$A$8),0))=TRUE,"E2",IF(AND($G213&lt;&gt;"Business",$H213&lt;&gt;"XXX01"),"E3",IF(AND($G213="Business",$H213="XXX01"),"E4","-"))))</f>
        <v>-</v>
      </c>
    </row>
    <row r="214" spans="1:18" ht="16" customHeight="1" x14ac:dyDescent="0.25">
      <c r="A214" s="27">
        <v>43921</v>
      </c>
      <c r="B214" s="28">
        <v>0.33333333333333331</v>
      </c>
      <c r="C214" s="28" t="s">
        <v>114</v>
      </c>
      <c r="D214" s="11" t="s">
        <v>70</v>
      </c>
      <c r="E214" s="5">
        <v>57049</v>
      </c>
      <c r="F214" s="5">
        <v>57124</v>
      </c>
      <c r="G214" s="6" t="s">
        <v>81</v>
      </c>
      <c r="H214" s="6" t="s">
        <v>29</v>
      </c>
      <c r="I214" s="7" t="s">
        <v>78</v>
      </c>
      <c r="J214" s="7" t="s">
        <v>83</v>
      </c>
      <c r="K214" s="7" t="s">
        <v>84</v>
      </c>
      <c r="L214" s="8">
        <v>3</v>
      </c>
      <c r="M214" s="8" t="s">
        <v>82</v>
      </c>
      <c r="N214" s="8">
        <f t="shared" si="9"/>
        <v>75</v>
      </c>
      <c r="O214" s="8">
        <f t="shared" si="10"/>
        <v>225</v>
      </c>
      <c r="P214" s="9">
        <f ca="1">IF(ISNA(VLOOKUP($H214,ClientAll,COLUMN(Clients!$C$8),0))=TRUE,0,VLOOKUP($H214,ClientAll,COLUMN(Clients!$C$8),0))</f>
        <v>75</v>
      </c>
      <c r="Q214" s="8">
        <f t="shared" ca="1" si="11"/>
        <v>0</v>
      </c>
      <c r="R214" s="10" t="str">
        <f ca="1">IF(ISNA(VLOOKUP($D214,VehicleID,COLUMN(Vehicles!$A$8),0))=TRUE,"E1",IF(ISNA(VLOOKUP($H214,ClientID,COLUMN(Vehicles!$A$8),0))=TRUE,"E2",IF(AND($G214&lt;&gt;"Business",$H214&lt;&gt;"XXX01"),"E3",IF(AND($G214="Business",$H214="XXX01"),"E4","-"))))</f>
        <v>-</v>
      </c>
    </row>
    <row r="215" spans="1:18" ht="16" customHeight="1" x14ac:dyDescent="0.25">
      <c r="A215" s="27">
        <v>43921</v>
      </c>
      <c r="B215" s="28">
        <v>0.33333333333333331</v>
      </c>
      <c r="C215" s="28" t="s">
        <v>120</v>
      </c>
      <c r="D215" s="11" t="s">
        <v>71</v>
      </c>
      <c r="E215" s="5">
        <v>38686</v>
      </c>
      <c r="F215" s="5">
        <v>38836</v>
      </c>
      <c r="G215" s="6" t="s">
        <v>81</v>
      </c>
      <c r="H215" s="6" t="s">
        <v>39</v>
      </c>
      <c r="I215" s="7" t="s">
        <v>78</v>
      </c>
      <c r="J215" s="7" t="s">
        <v>83</v>
      </c>
      <c r="K215" s="7" t="s">
        <v>84</v>
      </c>
      <c r="L215" s="8">
        <v>3</v>
      </c>
      <c r="M215" s="8" t="s">
        <v>87</v>
      </c>
      <c r="N215" s="8">
        <f t="shared" si="9"/>
        <v>150</v>
      </c>
      <c r="O215" s="8">
        <f t="shared" si="10"/>
        <v>450</v>
      </c>
      <c r="P215" s="9">
        <f ca="1">IF(ISNA(VLOOKUP($H215,ClientAll,COLUMN(Clients!$C$8),0))=TRUE,0,VLOOKUP($H215,ClientAll,COLUMN(Clients!$C$8),0))</f>
        <v>150</v>
      </c>
      <c r="Q215" s="8">
        <f t="shared" ca="1" si="11"/>
        <v>0</v>
      </c>
      <c r="R215" s="10" t="str">
        <f ca="1">IF(ISNA(VLOOKUP($D215,VehicleID,COLUMN(Vehicles!$A$8),0))=TRUE,"E1",IF(ISNA(VLOOKUP($H215,ClientID,COLUMN(Vehicles!$A$8),0))=TRUE,"E2",IF(AND($G215&lt;&gt;"Business",$H215&lt;&gt;"XXX01"),"E3",IF(AND($G215="Business",$H215="XXX01"),"E4","-"))))</f>
        <v>-</v>
      </c>
    </row>
  </sheetData>
  <conditionalFormatting sqref="D3">
    <cfRule type="expression" dxfId="25" priority="4">
      <formula>COUNTIF(LogError,"E1")&gt;0</formula>
    </cfRule>
  </conditionalFormatting>
  <conditionalFormatting sqref="H3">
    <cfRule type="expression" dxfId="24" priority="3">
      <formula>COUNTIF(LogError,"E2")&gt;0</formula>
    </cfRule>
  </conditionalFormatting>
  <conditionalFormatting sqref="G3">
    <cfRule type="expression" dxfId="23" priority="1">
      <formula>COUNTIF(LogError,"E4")&gt;0</formula>
    </cfRule>
    <cfRule type="expression" dxfId="22" priority="2">
      <formula>COUNTIF(LogError,"E3")&gt;0</formula>
    </cfRule>
  </conditionalFormatting>
  <dataValidations count="4">
    <dataValidation type="list" allowBlank="1" showInputMessage="1" showErrorMessage="1" errorTitle="Invalid Data" error="Select a valid entry from the list box." sqref="D4:D215" xr:uid="{00000000-0002-0000-0400-000000000000}">
      <formula1>VehicleID</formula1>
    </dataValidation>
    <dataValidation type="list" allowBlank="1" showInputMessage="1" showErrorMessage="1" errorTitle="Invalid Data" error="Select a valid entry from the list box." sqref="H4:H215" xr:uid="{00000000-0002-0000-0400-000001000000}">
      <formula1>ClientID</formula1>
    </dataValidation>
    <dataValidation type="list" allowBlank="1" showInputMessage="1" showErrorMessage="1" errorTitle="Invalid Data" error="Select a valid entry from the list box." sqref="G4:G215" xr:uid="{00000000-0002-0000-0400-000002000000}">
      <formula1>"Business,Private"</formula1>
    </dataValidation>
    <dataValidation type="date" operator="greaterThan" allowBlank="1" showInputMessage="1" showErrorMessage="1" errorTitle="Invalid Date" error="Enter a valid date in accordance with the regional date settings that are specified in your System Control Panel." sqref="A4:A215" xr:uid="{00000000-0002-0000-0400-000003000000}">
      <formula1>40179</formula1>
    </dataValidation>
  </dataValidations>
  <pageMargins left="0.51181102362204722" right="0.51181102362204722" top="0.55118110236220474" bottom="0.55118110236220474" header="0.39370078740157483" footer="0.39370078740157483"/>
  <pageSetup paperSize="9" scale="53" fitToHeight="0" orientation="landscape" r:id="rId1"/>
  <headerFooter>
    <oddFooter>&amp;C&amp;9Page &amp;P of &amp;N</oddFooter>
  </headerFooter>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O28"/>
  <sheetViews>
    <sheetView zoomScale="95" zoomScaleNormal="95" workbookViewId="0">
      <pane xSplit="2" ySplit="8" topLeftCell="C9" activePane="bottomRight" state="frozen"/>
      <selection pane="topRight" activeCell="C1" sqref="C1"/>
      <selection pane="bottomLeft" activeCell="A9" sqref="A9"/>
      <selection pane="bottomRight" activeCell="A8" sqref="A8"/>
    </sheetView>
  </sheetViews>
  <sheetFormatPr defaultColWidth="9.08984375" defaultRowHeight="16" customHeight="1" x14ac:dyDescent="0.25"/>
  <cols>
    <col min="1" max="1" width="9.6328125" style="11" customWidth="1"/>
    <col min="2" max="2" width="30.6328125" style="11" customWidth="1"/>
    <col min="3" max="15" width="13.81640625" style="8" customWidth="1"/>
    <col min="16" max="16384" width="9.08984375" style="11"/>
  </cols>
  <sheetData>
    <row r="1" spans="1:15" ht="16" customHeight="1" x14ac:dyDescent="0.3">
      <c r="A1" s="110" t="s">
        <v>18</v>
      </c>
    </row>
    <row r="2" spans="1:15" s="30" customFormat="1" ht="16" customHeight="1" x14ac:dyDescent="0.25">
      <c r="A2" s="29" t="s">
        <v>0</v>
      </c>
      <c r="C2" s="31"/>
      <c r="D2" s="31"/>
      <c r="K2" s="31"/>
      <c r="L2" s="31"/>
      <c r="O2" s="31"/>
    </row>
    <row r="3" spans="1:15" ht="16" customHeight="1" x14ac:dyDescent="0.25">
      <c r="A3" s="32"/>
      <c r="B3" s="33" t="s">
        <v>95</v>
      </c>
      <c r="C3" s="34">
        <f ca="1">IF($K$5="All",SUMPRODUCT((LogDate&gt;=$G$5)*(LogDate&lt;=$I$5)*(LogType="Business")*(LogDistance)),SUMPRODUCT((LogDate&gt;=$G$5)*(LogDate&lt;=$I$5)*(LogVehicle=$K$5)*(LogType="Business")*(LogDistance)))</f>
        <v>14308</v>
      </c>
      <c r="D3" s="35">
        <f ca="1">IF(C$5=0,0,C3/C$5)</f>
        <v>0.79888330541596875</v>
      </c>
      <c r="F3" s="36" t="s">
        <v>62</v>
      </c>
      <c r="G3" s="37"/>
      <c r="H3" s="38"/>
      <c r="I3" s="39"/>
      <c r="J3" s="39"/>
      <c r="K3" s="39"/>
      <c r="L3" s="40"/>
      <c r="M3" s="40"/>
      <c r="N3" s="41"/>
    </row>
    <row r="4" spans="1:15" ht="16" customHeight="1" x14ac:dyDescent="0.25">
      <c r="A4" s="32"/>
      <c r="B4" s="33" t="s">
        <v>96</v>
      </c>
      <c r="C4" s="34">
        <f ca="1">IF($K$5="All",SUMPRODUCT((LogDate&gt;=$G$5)*(LogDate&lt;=$I$5)*(LogType&lt;&gt;"Business")*(LogDistance)),SUMPRODUCT((LogDate&gt;=$G$5)*(LogDate&lt;=$I$5)*(LogVehicle=$K$5)*(LogType&lt;&gt;"Business")*(LogDistance)))</f>
        <v>3602</v>
      </c>
      <c r="D4" s="35">
        <f ca="1">IF(C$5=0,0,C4/C$5)</f>
        <v>0.20111669458403128</v>
      </c>
      <c r="F4" s="42" t="s">
        <v>63</v>
      </c>
      <c r="G4" s="43">
        <v>43831</v>
      </c>
      <c r="H4" s="42" t="s">
        <v>64</v>
      </c>
      <c r="I4" s="43">
        <v>43921</v>
      </c>
      <c r="J4" s="42" t="s">
        <v>65</v>
      </c>
      <c r="K4" s="44"/>
      <c r="L4" s="129" t="str">
        <f>IF($K$5="All","All vehicles",VLOOKUP($K$4,VehicleAll,COLUMN(Vehicles!$B$8),0))</f>
        <v>All vehicles</v>
      </c>
      <c r="M4" s="130"/>
      <c r="N4" s="131"/>
    </row>
    <row r="5" spans="1:15" ht="16" customHeight="1" x14ac:dyDescent="0.25">
      <c r="A5" s="32"/>
      <c r="B5" s="33" t="s">
        <v>97</v>
      </c>
      <c r="C5" s="34">
        <f ca="1">SUM(C3:C4)</f>
        <v>17910</v>
      </c>
      <c r="D5" s="35"/>
      <c r="F5" s="45"/>
      <c r="G5" s="46">
        <f ca="1">IF(ISBLANK($G4)=TRUE,DATE(YEAR(TODAY())-5,1,1),$G4)</f>
        <v>43831</v>
      </c>
      <c r="H5" s="45"/>
      <c r="I5" s="46">
        <f ca="1">IF(ISBLANK($I4)=TRUE,DATE(YEAR(TODAY()),MONTH(TODAY())+1,0),$I4)</f>
        <v>43921</v>
      </c>
      <c r="J5" s="45"/>
      <c r="K5" s="47" t="str">
        <f>IF(ISBLANK($K4)=TRUE,"All",$K4)</f>
        <v>All</v>
      </c>
    </row>
    <row r="6" spans="1:15" ht="16" customHeight="1" x14ac:dyDescent="0.25">
      <c r="A6" s="32"/>
      <c r="B6" s="48"/>
      <c r="C6" s="49"/>
      <c r="H6" s="50"/>
      <c r="I6" s="50"/>
    </row>
    <row r="7" spans="1:15" s="56" customFormat="1" ht="16" customHeight="1" x14ac:dyDescent="0.25">
      <c r="A7" s="51"/>
      <c r="B7" s="52"/>
      <c r="C7" s="53"/>
      <c r="D7" s="54" cm="1">
        <f t="array" aca="1" ref="D7" ca="1">SUBTOTAL(109,OFFSET(D$8,1,0,ClientCount,1))</f>
        <v>17910</v>
      </c>
      <c r="E7" s="54" cm="1">
        <f t="array" aca="1" ref="E7" ca="1">SUBTOTAL(109,OFFSET(E$8,1,0,ClientCount,1))</f>
        <v>40134</v>
      </c>
      <c r="F7" s="54"/>
      <c r="G7" s="54"/>
      <c r="H7" s="55"/>
      <c r="I7" s="55"/>
      <c r="J7" s="126" t="s">
        <v>60</v>
      </c>
      <c r="K7" s="127"/>
      <c r="L7" s="128"/>
      <c r="M7" s="126" t="s">
        <v>93</v>
      </c>
      <c r="N7" s="127"/>
      <c r="O7" s="128"/>
    </row>
    <row r="8" spans="1:15" s="61" customFormat="1" ht="25" x14ac:dyDescent="0.25">
      <c r="A8" s="57" t="s">
        <v>19</v>
      </c>
      <c r="B8" s="57" t="s">
        <v>20</v>
      </c>
      <c r="C8" s="58" t="s">
        <v>90</v>
      </c>
      <c r="D8" s="59" t="s">
        <v>211</v>
      </c>
      <c r="E8" s="59" t="s">
        <v>212</v>
      </c>
      <c r="F8" s="59" t="s">
        <v>210</v>
      </c>
      <c r="G8" s="59" t="s">
        <v>93</v>
      </c>
      <c r="H8" s="59" t="s">
        <v>94</v>
      </c>
      <c r="I8" s="59" t="s">
        <v>92</v>
      </c>
      <c r="J8" s="60">
        <f ca="1">DATE(YEAR($I$5),MONTH($I$5)+1,0)</f>
        <v>43921</v>
      </c>
      <c r="K8" s="60">
        <f ca="1">DATE(YEAR(J8),MONTH(J8),0)</f>
        <v>43890</v>
      </c>
      <c r="L8" s="60">
        <f ca="1">DATE(YEAR(J8),MONTH(J8)-1,0)</f>
        <v>43861</v>
      </c>
      <c r="M8" s="60">
        <f ca="1">DATE(YEAR($I$5),MONTH($I$5)+1,0)</f>
        <v>43921</v>
      </c>
      <c r="N8" s="60">
        <f ca="1">DATE(YEAR(M8),MONTH(M8),0)</f>
        <v>43890</v>
      </c>
      <c r="O8" s="60">
        <f ca="1">DATE(YEAR(M8),MONTH(M8)-1,0)</f>
        <v>43861</v>
      </c>
    </row>
    <row r="9" spans="1:15" ht="16" customHeight="1" x14ac:dyDescent="0.25">
      <c r="A9" s="11" t="s">
        <v>56</v>
      </c>
      <c r="B9" s="11" t="s">
        <v>57</v>
      </c>
      <c r="C9" s="8">
        <v>75</v>
      </c>
      <c r="D9" s="8">
        <f t="shared" ref="D9:D28" ca="1" si="0">IF($K$5="All",SUMPRODUCT((LogDate&gt;=$G$5)*(LogDate&lt;=$I$5)*(LogClient=$A9)*(LogDistance)),SUMPRODUCT((LogDate&gt;=$G$5)*(LogDate&lt;=$I$5)*(LogVehicle=$K$5)*(LogClient=$A9)*(LogDistance)))</f>
        <v>750</v>
      </c>
      <c r="E9" s="8">
        <f t="shared" ref="E9:E28" ca="1" si="1">IF($K$5="All",SUMPRODUCT((LogDate&gt;=$G$5)*(LogDate&lt;=$I$5)*(LogClient=$A9)*(LogCost)),SUMPRODUCT((LogDate&gt;=$G$5)*(LogDate&lt;=$I$5)*(LogVehicle=$K$5)*(LogClient=$A9)*(LogCost)))</f>
        <v>2250</v>
      </c>
      <c r="F9" s="8">
        <f ca="1">IF(D9=0,0,E9/D9)</f>
        <v>3</v>
      </c>
      <c r="G9" s="8">
        <f t="shared" ref="G9:G28" ca="1" si="2">IF($K$5="All",SUMPRODUCT((LogDate&gt;=$G$5)*(LogDate&lt;=$I$5)*(LogClient=$A9)*(1)),SUMPRODUCT((LogDate&gt;=$G$5)*(LogDate&lt;=$I$5)*(LogVehicle=$K$5)*(LogClient=$A9)*(1)))</f>
        <v>10</v>
      </c>
      <c r="H9" s="8">
        <f ca="1">IF(G9=0,0,D9/G9)</f>
        <v>75</v>
      </c>
      <c r="I9" s="8">
        <f ca="1">IF(OR(H9=0,C9=0),0,H9-C9)</f>
        <v>0</v>
      </c>
      <c r="J9" s="8">
        <f t="shared" ref="J9:L28" ca="1" si="3">IF($K$5="All",SUMPRODUCT((LogDate&gt;=DATE(YEAR(J$8),MONTH(J$8),1))*(LogDate&lt;=J$8)*(LogClient=$A9)*(LogDistance)),SUMPRODUCT((LogDate&gt;=DATE(YEAR(J$8),MONTH(J$8),1))*(LogDate&lt;=J$8)*(LogVehicle=$K$5)*(LogClient=$A9)*(LogDistance)))</f>
        <v>225</v>
      </c>
      <c r="K9" s="8">
        <f t="shared" ca="1" si="3"/>
        <v>525</v>
      </c>
      <c r="L9" s="8">
        <f t="shared" ca="1" si="3"/>
        <v>0</v>
      </c>
      <c r="M9" s="8">
        <f t="shared" ref="M9:O28" ca="1" si="4">IF($K$5="All",SUMPRODUCT((LogDate&gt;=DATE(YEAR(M$8),MONTH(M$8),1))*(LogDate&lt;=M$8)*(LogClient=$A9)*(1)),SUMPRODUCT((LogDate&gt;=DATE(YEAR(M$8),MONTH(M$8),1))*(LogDate&lt;=M$8)*(LogVehicle=$K$5)*(LogClient=$A9)*(1)))</f>
        <v>3</v>
      </c>
      <c r="N9" s="8">
        <f t="shared" ca="1" si="4"/>
        <v>7</v>
      </c>
      <c r="O9" s="8">
        <f t="shared" ca="1" si="4"/>
        <v>0</v>
      </c>
    </row>
    <row r="10" spans="1:15" ht="16" customHeight="1" x14ac:dyDescent="0.25">
      <c r="A10" s="11" t="s">
        <v>58</v>
      </c>
      <c r="B10" s="11" t="s">
        <v>59</v>
      </c>
      <c r="C10" s="8">
        <v>60</v>
      </c>
      <c r="D10" s="8">
        <f t="shared" ca="1" si="0"/>
        <v>120</v>
      </c>
      <c r="E10" s="8">
        <f t="shared" ca="1" si="1"/>
        <v>360</v>
      </c>
      <c r="F10" s="8">
        <f t="shared" ref="F10:F28" ca="1" si="5">IF(D10=0,0,E10/D10)</f>
        <v>3</v>
      </c>
      <c r="G10" s="8">
        <f t="shared" ca="1" si="2"/>
        <v>2</v>
      </c>
      <c r="H10" s="8">
        <f t="shared" ref="H10:H28" ca="1" si="6">IF(G10=0,0,D10/G10)</f>
        <v>60</v>
      </c>
      <c r="I10" s="8">
        <f t="shared" ref="I10:I28" ca="1" si="7">IF(OR(H10=0,C10=0),0,H10-C10)</f>
        <v>0</v>
      </c>
      <c r="J10" s="8">
        <f t="shared" ca="1" si="3"/>
        <v>0</v>
      </c>
      <c r="K10" s="8">
        <f t="shared" ca="1" si="3"/>
        <v>60</v>
      </c>
      <c r="L10" s="8">
        <f t="shared" ca="1" si="3"/>
        <v>60</v>
      </c>
      <c r="M10" s="8">
        <f t="shared" ca="1" si="4"/>
        <v>0</v>
      </c>
      <c r="N10" s="8">
        <f t="shared" ca="1" si="4"/>
        <v>1</v>
      </c>
      <c r="O10" s="8">
        <f t="shared" ca="1" si="4"/>
        <v>1</v>
      </c>
    </row>
    <row r="11" spans="1:15" ht="16" customHeight="1" x14ac:dyDescent="0.25">
      <c r="A11" s="11" t="s">
        <v>21</v>
      </c>
      <c r="B11" s="11" t="s">
        <v>22</v>
      </c>
      <c r="C11" s="8">
        <v>30</v>
      </c>
      <c r="D11" s="8">
        <f t="shared" ca="1" si="0"/>
        <v>90</v>
      </c>
      <c r="E11" s="8">
        <f t="shared" ca="1" si="1"/>
        <v>270</v>
      </c>
      <c r="F11" s="8">
        <f t="shared" ca="1" si="5"/>
        <v>3</v>
      </c>
      <c r="G11" s="8">
        <f t="shared" ca="1" si="2"/>
        <v>3</v>
      </c>
      <c r="H11" s="8">
        <f t="shared" ca="1" si="6"/>
        <v>30</v>
      </c>
      <c r="I11" s="8">
        <f t="shared" ca="1" si="7"/>
        <v>0</v>
      </c>
      <c r="J11" s="8">
        <f t="shared" ca="1" si="3"/>
        <v>30</v>
      </c>
      <c r="K11" s="8">
        <f t="shared" ca="1" si="3"/>
        <v>60</v>
      </c>
      <c r="L11" s="8">
        <f t="shared" ca="1" si="3"/>
        <v>0</v>
      </c>
      <c r="M11" s="8">
        <f t="shared" ca="1" si="4"/>
        <v>1</v>
      </c>
      <c r="N11" s="8">
        <f t="shared" ca="1" si="4"/>
        <v>2</v>
      </c>
      <c r="O11" s="8">
        <f t="shared" ca="1" si="4"/>
        <v>0</v>
      </c>
    </row>
    <row r="12" spans="1:15" ht="16" customHeight="1" x14ac:dyDescent="0.25">
      <c r="A12" s="11" t="s">
        <v>23</v>
      </c>
      <c r="B12" s="11" t="s">
        <v>24</v>
      </c>
      <c r="C12" s="8">
        <v>88</v>
      </c>
      <c r="D12" s="8">
        <f t="shared" ca="1" si="0"/>
        <v>616</v>
      </c>
      <c r="E12" s="8">
        <f t="shared" ca="1" si="1"/>
        <v>1848</v>
      </c>
      <c r="F12" s="8">
        <f t="shared" ca="1" si="5"/>
        <v>3</v>
      </c>
      <c r="G12" s="8">
        <f t="shared" ca="1" si="2"/>
        <v>7</v>
      </c>
      <c r="H12" s="8">
        <f t="shared" ca="1" si="6"/>
        <v>88</v>
      </c>
      <c r="I12" s="8">
        <f t="shared" ca="1" si="7"/>
        <v>0</v>
      </c>
      <c r="J12" s="8">
        <f t="shared" ca="1" si="3"/>
        <v>88</v>
      </c>
      <c r="K12" s="8">
        <f t="shared" ca="1" si="3"/>
        <v>88</v>
      </c>
      <c r="L12" s="8">
        <f t="shared" ca="1" si="3"/>
        <v>440</v>
      </c>
      <c r="M12" s="8">
        <f t="shared" ca="1" si="4"/>
        <v>1</v>
      </c>
      <c r="N12" s="8">
        <f t="shared" ca="1" si="4"/>
        <v>1</v>
      </c>
      <c r="O12" s="8">
        <f t="shared" ca="1" si="4"/>
        <v>5</v>
      </c>
    </row>
    <row r="13" spans="1:15" ht="16" customHeight="1" x14ac:dyDescent="0.25">
      <c r="A13" s="11" t="s">
        <v>25</v>
      </c>
      <c r="B13" s="11" t="s">
        <v>26</v>
      </c>
      <c r="C13" s="8">
        <v>45</v>
      </c>
      <c r="D13" s="8">
        <f t="shared" ca="1" si="0"/>
        <v>45</v>
      </c>
      <c r="E13" s="8">
        <f t="shared" ca="1" si="1"/>
        <v>135</v>
      </c>
      <c r="F13" s="8">
        <f t="shared" ca="1" si="5"/>
        <v>3</v>
      </c>
      <c r="G13" s="8">
        <f t="shared" ca="1" si="2"/>
        <v>1</v>
      </c>
      <c r="H13" s="8">
        <f t="shared" ca="1" si="6"/>
        <v>45</v>
      </c>
      <c r="I13" s="8">
        <f t="shared" ca="1" si="7"/>
        <v>0</v>
      </c>
      <c r="J13" s="8">
        <f t="shared" ca="1" si="3"/>
        <v>45</v>
      </c>
      <c r="K13" s="8">
        <f t="shared" ca="1" si="3"/>
        <v>0</v>
      </c>
      <c r="L13" s="8">
        <f t="shared" ca="1" si="3"/>
        <v>0</v>
      </c>
      <c r="M13" s="8">
        <f t="shared" ca="1" si="4"/>
        <v>1</v>
      </c>
      <c r="N13" s="8">
        <f t="shared" ca="1" si="4"/>
        <v>0</v>
      </c>
      <c r="O13" s="8">
        <f t="shared" ca="1" si="4"/>
        <v>0</v>
      </c>
    </row>
    <row r="14" spans="1:15" ht="16" customHeight="1" x14ac:dyDescent="0.25">
      <c r="A14" s="11" t="s">
        <v>27</v>
      </c>
      <c r="B14" s="11" t="s">
        <v>28</v>
      </c>
      <c r="C14" s="8">
        <v>100</v>
      </c>
      <c r="D14" s="8">
        <f t="shared" ca="1" si="0"/>
        <v>2400</v>
      </c>
      <c r="E14" s="8">
        <f t="shared" ca="1" si="1"/>
        <v>7200</v>
      </c>
      <c r="F14" s="8">
        <f t="shared" ca="1" si="5"/>
        <v>3</v>
      </c>
      <c r="G14" s="8">
        <f t="shared" ca="1" si="2"/>
        <v>24</v>
      </c>
      <c r="H14" s="8">
        <f t="shared" ca="1" si="6"/>
        <v>100</v>
      </c>
      <c r="I14" s="8">
        <f t="shared" ca="1" si="7"/>
        <v>0</v>
      </c>
      <c r="J14" s="8">
        <f t="shared" ca="1" si="3"/>
        <v>600</v>
      </c>
      <c r="K14" s="8">
        <f t="shared" ca="1" si="3"/>
        <v>500</v>
      </c>
      <c r="L14" s="8">
        <f t="shared" ca="1" si="3"/>
        <v>1300</v>
      </c>
      <c r="M14" s="8">
        <f t="shared" ca="1" si="4"/>
        <v>6</v>
      </c>
      <c r="N14" s="8">
        <f t="shared" ca="1" si="4"/>
        <v>5</v>
      </c>
      <c r="O14" s="8">
        <f t="shared" ca="1" si="4"/>
        <v>13</v>
      </c>
    </row>
    <row r="15" spans="1:15" ht="16" customHeight="1" x14ac:dyDescent="0.25">
      <c r="A15" s="11" t="s">
        <v>29</v>
      </c>
      <c r="B15" s="11" t="s">
        <v>30</v>
      </c>
      <c r="C15" s="8">
        <v>75</v>
      </c>
      <c r="D15" s="8">
        <f t="shared" ca="1" si="0"/>
        <v>525</v>
      </c>
      <c r="E15" s="8">
        <f t="shared" ca="1" si="1"/>
        <v>1575</v>
      </c>
      <c r="F15" s="8">
        <f t="shared" ca="1" si="5"/>
        <v>3</v>
      </c>
      <c r="G15" s="8">
        <f t="shared" ca="1" si="2"/>
        <v>7</v>
      </c>
      <c r="H15" s="8">
        <f t="shared" ca="1" si="6"/>
        <v>75</v>
      </c>
      <c r="I15" s="8">
        <f t="shared" ca="1" si="7"/>
        <v>0</v>
      </c>
      <c r="J15" s="8">
        <f t="shared" ca="1" si="3"/>
        <v>450</v>
      </c>
      <c r="K15" s="8">
        <f t="shared" ca="1" si="3"/>
        <v>75</v>
      </c>
      <c r="L15" s="8">
        <f t="shared" ca="1" si="3"/>
        <v>0</v>
      </c>
      <c r="M15" s="8">
        <f t="shared" ca="1" si="4"/>
        <v>6</v>
      </c>
      <c r="N15" s="8">
        <f t="shared" ca="1" si="4"/>
        <v>1</v>
      </c>
      <c r="O15" s="8">
        <f t="shared" ca="1" si="4"/>
        <v>0</v>
      </c>
    </row>
    <row r="16" spans="1:15" ht="16" customHeight="1" x14ac:dyDescent="0.25">
      <c r="A16" s="11" t="s">
        <v>31</v>
      </c>
      <c r="B16" s="11" t="s">
        <v>32</v>
      </c>
      <c r="C16" s="8">
        <v>120</v>
      </c>
      <c r="D16" s="8">
        <f t="shared" ca="1" si="0"/>
        <v>0</v>
      </c>
      <c r="E16" s="8">
        <f t="shared" ca="1" si="1"/>
        <v>0</v>
      </c>
      <c r="F16" s="8">
        <f t="shared" ca="1" si="5"/>
        <v>0</v>
      </c>
      <c r="G16" s="8">
        <f t="shared" ca="1" si="2"/>
        <v>0</v>
      </c>
      <c r="H16" s="8">
        <f t="shared" ca="1" si="6"/>
        <v>0</v>
      </c>
      <c r="I16" s="8">
        <f t="shared" ca="1" si="7"/>
        <v>0</v>
      </c>
      <c r="J16" s="8">
        <f t="shared" ca="1" si="3"/>
        <v>0</v>
      </c>
      <c r="K16" s="8">
        <f t="shared" ca="1" si="3"/>
        <v>0</v>
      </c>
      <c r="L16" s="8">
        <f t="shared" ca="1" si="3"/>
        <v>0</v>
      </c>
      <c r="M16" s="8">
        <f t="shared" ca="1" si="4"/>
        <v>0</v>
      </c>
      <c r="N16" s="8">
        <f t="shared" ca="1" si="4"/>
        <v>0</v>
      </c>
      <c r="O16" s="8">
        <f t="shared" ca="1" si="4"/>
        <v>0</v>
      </c>
    </row>
    <row r="17" spans="1:15" ht="16" customHeight="1" x14ac:dyDescent="0.25">
      <c r="A17" s="11" t="s">
        <v>33</v>
      </c>
      <c r="B17" s="11" t="s">
        <v>34</v>
      </c>
      <c r="C17" s="8">
        <v>280</v>
      </c>
      <c r="D17" s="8">
        <f t="shared" ca="1" si="0"/>
        <v>560</v>
      </c>
      <c r="E17" s="8">
        <f t="shared" ca="1" si="1"/>
        <v>1400</v>
      </c>
      <c r="F17" s="8">
        <f t="shared" ca="1" si="5"/>
        <v>2.5</v>
      </c>
      <c r="G17" s="8">
        <f t="shared" ca="1" si="2"/>
        <v>2</v>
      </c>
      <c r="H17" s="8">
        <f t="shared" ca="1" si="6"/>
        <v>280</v>
      </c>
      <c r="I17" s="8">
        <f t="shared" ca="1" si="7"/>
        <v>0</v>
      </c>
      <c r="J17" s="8">
        <f t="shared" ca="1" si="3"/>
        <v>560</v>
      </c>
      <c r="K17" s="8">
        <f t="shared" ca="1" si="3"/>
        <v>0</v>
      </c>
      <c r="L17" s="8">
        <f t="shared" ca="1" si="3"/>
        <v>0</v>
      </c>
      <c r="M17" s="8">
        <f t="shared" ca="1" si="4"/>
        <v>2</v>
      </c>
      <c r="N17" s="8">
        <f t="shared" ca="1" si="4"/>
        <v>0</v>
      </c>
      <c r="O17" s="8">
        <f t="shared" ca="1" si="4"/>
        <v>0</v>
      </c>
    </row>
    <row r="18" spans="1:15" ht="16" customHeight="1" x14ac:dyDescent="0.25">
      <c r="A18" s="11" t="s">
        <v>35</v>
      </c>
      <c r="B18" s="11" t="s">
        <v>36</v>
      </c>
      <c r="C18" s="8">
        <v>415</v>
      </c>
      <c r="D18" s="8">
        <f t="shared" ca="1" si="0"/>
        <v>1660</v>
      </c>
      <c r="E18" s="8">
        <f t="shared" ca="1" si="1"/>
        <v>4150</v>
      </c>
      <c r="F18" s="8">
        <f t="shared" ca="1" si="5"/>
        <v>2.5</v>
      </c>
      <c r="G18" s="8">
        <f t="shared" ca="1" si="2"/>
        <v>4</v>
      </c>
      <c r="H18" s="8">
        <f t="shared" ca="1" si="6"/>
        <v>415</v>
      </c>
      <c r="I18" s="8">
        <f t="shared" ca="1" si="7"/>
        <v>0</v>
      </c>
      <c r="J18" s="8">
        <f t="shared" ca="1" si="3"/>
        <v>0</v>
      </c>
      <c r="K18" s="8">
        <f t="shared" ca="1" si="3"/>
        <v>0</v>
      </c>
      <c r="L18" s="8">
        <f t="shared" ca="1" si="3"/>
        <v>1660</v>
      </c>
      <c r="M18" s="8">
        <f t="shared" ca="1" si="4"/>
        <v>0</v>
      </c>
      <c r="N18" s="8">
        <f t="shared" ca="1" si="4"/>
        <v>0</v>
      </c>
      <c r="O18" s="8">
        <f t="shared" ca="1" si="4"/>
        <v>4</v>
      </c>
    </row>
    <row r="19" spans="1:15" ht="16" customHeight="1" x14ac:dyDescent="0.25">
      <c r="A19" s="11" t="s">
        <v>37</v>
      </c>
      <c r="B19" s="11" t="s">
        <v>38</v>
      </c>
      <c r="C19" s="8">
        <v>420</v>
      </c>
      <c r="D19" s="8">
        <f t="shared" ca="1" si="0"/>
        <v>3360</v>
      </c>
      <c r="E19" s="8">
        <f t="shared" ca="1" si="1"/>
        <v>8400</v>
      </c>
      <c r="F19" s="8">
        <f t="shared" ca="1" si="5"/>
        <v>2.5</v>
      </c>
      <c r="G19" s="8">
        <f t="shared" ca="1" si="2"/>
        <v>8</v>
      </c>
      <c r="H19" s="8">
        <f t="shared" ca="1" si="6"/>
        <v>420</v>
      </c>
      <c r="I19" s="8">
        <f t="shared" ca="1" si="7"/>
        <v>0</v>
      </c>
      <c r="J19" s="8">
        <f t="shared" ca="1" si="3"/>
        <v>0</v>
      </c>
      <c r="K19" s="8">
        <f t="shared" ca="1" si="3"/>
        <v>3360</v>
      </c>
      <c r="L19" s="8">
        <f t="shared" ca="1" si="3"/>
        <v>0</v>
      </c>
      <c r="M19" s="8">
        <f t="shared" ca="1" si="4"/>
        <v>0</v>
      </c>
      <c r="N19" s="8">
        <f t="shared" ca="1" si="4"/>
        <v>8</v>
      </c>
      <c r="O19" s="8">
        <f t="shared" ca="1" si="4"/>
        <v>0</v>
      </c>
    </row>
    <row r="20" spans="1:15" ht="16" customHeight="1" x14ac:dyDescent="0.25">
      <c r="A20" s="11" t="s">
        <v>39</v>
      </c>
      <c r="B20" s="11" t="s">
        <v>40</v>
      </c>
      <c r="C20" s="8">
        <v>150</v>
      </c>
      <c r="D20" s="8">
        <f t="shared" ca="1" si="0"/>
        <v>2700</v>
      </c>
      <c r="E20" s="8">
        <f t="shared" ca="1" si="1"/>
        <v>8100</v>
      </c>
      <c r="F20" s="8">
        <f t="shared" ca="1" si="5"/>
        <v>3</v>
      </c>
      <c r="G20" s="8">
        <f t="shared" ca="1" si="2"/>
        <v>18</v>
      </c>
      <c r="H20" s="8">
        <f t="shared" ca="1" si="6"/>
        <v>150</v>
      </c>
      <c r="I20" s="8">
        <f t="shared" ca="1" si="7"/>
        <v>0</v>
      </c>
      <c r="J20" s="8">
        <f t="shared" ca="1" si="3"/>
        <v>750</v>
      </c>
      <c r="K20" s="8">
        <f t="shared" ca="1" si="3"/>
        <v>450</v>
      </c>
      <c r="L20" s="8">
        <f t="shared" ca="1" si="3"/>
        <v>1500</v>
      </c>
      <c r="M20" s="8">
        <f t="shared" ca="1" si="4"/>
        <v>5</v>
      </c>
      <c r="N20" s="8">
        <f t="shared" ca="1" si="4"/>
        <v>3</v>
      </c>
      <c r="O20" s="8">
        <f t="shared" ca="1" si="4"/>
        <v>10</v>
      </c>
    </row>
    <row r="21" spans="1:15" ht="16" customHeight="1" x14ac:dyDescent="0.25">
      <c r="A21" s="11" t="s">
        <v>41</v>
      </c>
      <c r="B21" s="11" t="s">
        <v>42</v>
      </c>
      <c r="C21" s="8">
        <v>40</v>
      </c>
      <c r="D21" s="8">
        <f t="shared" ca="1" si="0"/>
        <v>120</v>
      </c>
      <c r="E21" s="8">
        <f t="shared" ca="1" si="1"/>
        <v>360</v>
      </c>
      <c r="F21" s="8">
        <f t="shared" ca="1" si="5"/>
        <v>3</v>
      </c>
      <c r="G21" s="8">
        <f t="shared" ca="1" si="2"/>
        <v>3</v>
      </c>
      <c r="H21" s="8">
        <f t="shared" ca="1" si="6"/>
        <v>40</v>
      </c>
      <c r="I21" s="8">
        <f t="shared" ca="1" si="7"/>
        <v>0</v>
      </c>
      <c r="J21" s="8">
        <f t="shared" ca="1" si="3"/>
        <v>0</v>
      </c>
      <c r="K21" s="8">
        <f t="shared" ca="1" si="3"/>
        <v>0</v>
      </c>
      <c r="L21" s="8">
        <f t="shared" ca="1" si="3"/>
        <v>120</v>
      </c>
      <c r="M21" s="8">
        <f t="shared" ca="1" si="4"/>
        <v>0</v>
      </c>
      <c r="N21" s="8">
        <f t="shared" ca="1" si="4"/>
        <v>0</v>
      </c>
      <c r="O21" s="8">
        <f t="shared" ca="1" si="4"/>
        <v>3</v>
      </c>
    </row>
    <row r="22" spans="1:15" ht="16" customHeight="1" x14ac:dyDescent="0.25">
      <c r="A22" s="11" t="s">
        <v>43</v>
      </c>
      <c r="B22" s="11" t="s">
        <v>44</v>
      </c>
      <c r="C22" s="8">
        <v>32</v>
      </c>
      <c r="D22" s="8">
        <f t="shared" ca="1" si="0"/>
        <v>352</v>
      </c>
      <c r="E22" s="8">
        <f t="shared" ca="1" si="1"/>
        <v>1056</v>
      </c>
      <c r="F22" s="8">
        <f t="shared" ca="1" si="5"/>
        <v>3</v>
      </c>
      <c r="G22" s="8">
        <f t="shared" ca="1" si="2"/>
        <v>11</v>
      </c>
      <c r="H22" s="8">
        <f t="shared" ca="1" si="6"/>
        <v>32</v>
      </c>
      <c r="I22" s="8">
        <f t="shared" ca="1" si="7"/>
        <v>0</v>
      </c>
      <c r="J22" s="8">
        <f t="shared" ca="1" si="3"/>
        <v>0</v>
      </c>
      <c r="K22" s="8">
        <f t="shared" ca="1" si="3"/>
        <v>352</v>
      </c>
      <c r="L22" s="8">
        <f t="shared" ca="1" si="3"/>
        <v>0</v>
      </c>
      <c r="M22" s="8">
        <f t="shared" ca="1" si="4"/>
        <v>0</v>
      </c>
      <c r="N22" s="8">
        <f t="shared" ca="1" si="4"/>
        <v>11</v>
      </c>
      <c r="O22" s="8">
        <f t="shared" ca="1" si="4"/>
        <v>0</v>
      </c>
    </row>
    <row r="23" spans="1:15" ht="16" customHeight="1" x14ac:dyDescent="0.25">
      <c r="A23" s="11" t="s">
        <v>45</v>
      </c>
      <c r="B23" s="11" t="s">
        <v>46</v>
      </c>
      <c r="C23" s="8">
        <v>55</v>
      </c>
      <c r="D23" s="8">
        <f t="shared" ca="1" si="0"/>
        <v>55</v>
      </c>
      <c r="E23" s="8">
        <f t="shared" ca="1" si="1"/>
        <v>165</v>
      </c>
      <c r="F23" s="8">
        <f t="shared" ca="1" si="5"/>
        <v>3</v>
      </c>
      <c r="G23" s="8">
        <f t="shared" ca="1" si="2"/>
        <v>1</v>
      </c>
      <c r="H23" s="8">
        <f t="shared" ca="1" si="6"/>
        <v>55</v>
      </c>
      <c r="I23" s="8">
        <f t="shared" ca="1" si="7"/>
        <v>0</v>
      </c>
      <c r="J23" s="8">
        <f t="shared" ca="1" si="3"/>
        <v>0</v>
      </c>
      <c r="K23" s="8">
        <f t="shared" ca="1" si="3"/>
        <v>55</v>
      </c>
      <c r="L23" s="8">
        <f t="shared" ca="1" si="3"/>
        <v>0</v>
      </c>
      <c r="M23" s="8">
        <f t="shared" ca="1" si="4"/>
        <v>0</v>
      </c>
      <c r="N23" s="8">
        <f t="shared" ca="1" si="4"/>
        <v>1</v>
      </c>
      <c r="O23" s="8">
        <f t="shared" ca="1" si="4"/>
        <v>0</v>
      </c>
    </row>
    <row r="24" spans="1:15" ht="16" customHeight="1" x14ac:dyDescent="0.25">
      <c r="A24" s="11" t="s">
        <v>47</v>
      </c>
      <c r="B24" s="11" t="s">
        <v>48</v>
      </c>
      <c r="C24" s="8">
        <v>15</v>
      </c>
      <c r="D24" s="8">
        <f t="shared" ca="1" si="0"/>
        <v>30</v>
      </c>
      <c r="E24" s="8">
        <f t="shared" ca="1" si="1"/>
        <v>90</v>
      </c>
      <c r="F24" s="8">
        <f t="shared" ca="1" si="5"/>
        <v>3</v>
      </c>
      <c r="G24" s="8">
        <f t="shared" ca="1" si="2"/>
        <v>2</v>
      </c>
      <c r="H24" s="8">
        <f t="shared" ca="1" si="6"/>
        <v>15</v>
      </c>
      <c r="I24" s="8">
        <f t="shared" ca="1" si="7"/>
        <v>0</v>
      </c>
      <c r="J24" s="8">
        <f t="shared" ca="1" si="3"/>
        <v>0</v>
      </c>
      <c r="K24" s="8">
        <f t="shared" ca="1" si="3"/>
        <v>0</v>
      </c>
      <c r="L24" s="8">
        <f t="shared" ca="1" si="3"/>
        <v>30</v>
      </c>
      <c r="M24" s="8">
        <f t="shared" ca="1" si="4"/>
        <v>0</v>
      </c>
      <c r="N24" s="8">
        <f t="shared" ca="1" si="4"/>
        <v>0</v>
      </c>
      <c r="O24" s="8">
        <f t="shared" ca="1" si="4"/>
        <v>2</v>
      </c>
    </row>
    <row r="25" spans="1:15" ht="16" customHeight="1" x14ac:dyDescent="0.25">
      <c r="A25" s="11" t="s">
        <v>49</v>
      </c>
      <c r="B25" s="11" t="s">
        <v>50</v>
      </c>
      <c r="C25" s="8">
        <v>48</v>
      </c>
      <c r="D25" s="8">
        <f t="shared" ca="1" si="0"/>
        <v>0</v>
      </c>
      <c r="E25" s="8">
        <f t="shared" ca="1" si="1"/>
        <v>0</v>
      </c>
      <c r="F25" s="8">
        <f t="shared" ca="1" si="5"/>
        <v>0</v>
      </c>
      <c r="G25" s="8">
        <f t="shared" ca="1" si="2"/>
        <v>0</v>
      </c>
      <c r="H25" s="8">
        <f t="shared" ca="1" si="6"/>
        <v>0</v>
      </c>
      <c r="I25" s="8">
        <f t="shared" ca="1" si="7"/>
        <v>0</v>
      </c>
      <c r="J25" s="8">
        <f t="shared" ca="1" si="3"/>
        <v>0</v>
      </c>
      <c r="K25" s="8">
        <f t="shared" ca="1" si="3"/>
        <v>0</v>
      </c>
      <c r="L25" s="8">
        <f t="shared" ca="1" si="3"/>
        <v>0</v>
      </c>
      <c r="M25" s="8">
        <f t="shared" ca="1" si="4"/>
        <v>0</v>
      </c>
      <c r="N25" s="8">
        <f t="shared" ca="1" si="4"/>
        <v>0</v>
      </c>
      <c r="O25" s="8">
        <f t="shared" ca="1" si="4"/>
        <v>0</v>
      </c>
    </row>
    <row r="26" spans="1:15" ht="16" customHeight="1" x14ac:dyDescent="0.25">
      <c r="A26" s="11" t="s">
        <v>51</v>
      </c>
      <c r="B26" s="11" t="s">
        <v>52</v>
      </c>
      <c r="C26" s="8">
        <v>95</v>
      </c>
      <c r="D26" s="8">
        <f t="shared" ca="1" si="0"/>
        <v>475</v>
      </c>
      <c r="E26" s="8">
        <f t="shared" ca="1" si="1"/>
        <v>1425</v>
      </c>
      <c r="F26" s="8">
        <f t="shared" ca="1" si="5"/>
        <v>3</v>
      </c>
      <c r="G26" s="8">
        <f t="shared" ca="1" si="2"/>
        <v>5</v>
      </c>
      <c r="H26" s="8">
        <f t="shared" ca="1" si="6"/>
        <v>95</v>
      </c>
      <c r="I26" s="8">
        <f t="shared" ca="1" si="7"/>
        <v>0</v>
      </c>
      <c r="J26" s="8">
        <f t="shared" ca="1" si="3"/>
        <v>475</v>
      </c>
      <c r="K26" s="8">
        <f t="shared" ca="1" si="3"/>
        <v>0</v>
      </c>
      <c r="L26" s="8">
        <f t="shared" ca="1" si="3"/>
        <v>0</v>
      </c>
      <c r="M26" s="8">
        <f t="shared" ca="1" si="4"/>
        <v>5</v>
      </c>
      <c r="N26" s="8">
        <f t="shared" ca="1" si="4"/>
        <v>0</v>
      </c>
      <c r="O26" s="8">
        <f t="shared" ca="1" si="4"/>
        <v>0</v>
      </c>
    </row>
    <row r="27" spans="1:15" ht="16" customHeight="1" x14ac:dyDescent="0.25">
      <c r="A27" s="11" t="s">
        <v>53</v>
      </c>
      <c r="B27" s="11" t="s">
        <v>54</v>
      </c>
      <c r="C27" s="8">
        <v>75</v>
      </c>
      <c r="D27" s="8">
        <f t="shared" ca="1" si="0"/>
        <v>450</v>
      </c>
      <c r="E27" s="8">
        <f t="shared" ca="1" si="1"/>
        <v>1350</v>
      </c>
      <c r="F27" s="8">
        <f t="shared" ca="1" si="5"/>
        <v>3</v>
      </c>
      <c r="G27" s="8">
        <f t="shared" ca="1" si="2"/>
        <v>6</v>
      </c>
      <c r="H27" s="8">
        <f t="shared" ca="1" si="6"/>
        <v>75</v>
      </c>
      <c r="I27" s="8">
        <f t="shared" ca="1" si="7"/>
        <v>0</v>
      </c>
      <c r="J27" s="8">
        <f t="shared" ca="1" si="3"/>
        <v>450</v>
      </c>
      <c r="K27" s="8">
        <f t="shared" ca="1" si="3"/>
        <v>0</v>
      </c>
      <c r="L27" s="8">
        <f t="shared" ca="1" si="3"/>
        <v>0</v>
      </c>
      <c r="M27" s="8">
        <f t="shared" ca="1" si="4"/>
        <v>6</v>
      </c>
      <c r="N27" s="8">
        <f t="shared" ca="1" si="4"/>
        <v>0</v>
      </c>
      <c r="O27" s="8">
        <f t="shared" ca="1" si="4"/>
        <v>0</v>
      </c>
    </row>
    <row r="28" spans="1:15" ht="16" customHeight="1" x14ac:dyDescent="0.25">
      <c r="A28" s="11" t="s">
        <v>55</v>
      </c>
      <c r="B28" s="11" t="s">
        <v>68</v>
      </c>
      <c r="C28" s="8">
        <v>0</v>
      </c>
      <c r="D28" s="8">
        <f t="shared" ca="1" si="0"/>
        <v>3602</v>
      </c>
      <c r="E28" s="8">
        <f t="shared" ca="1" si="1"/>
        <v>0</v>
      </c>
      <c r="F28" s="8">
        <f t="shared" ca="1" si="5"/>
        <v>0</v>
      </c>
      <c r="G28" s="8">
        <f t="shared" ca="1" si="2"/>
        <v>98</v>
      </c>
      <c r="H28" s="8">
        <f t="shared" ca="1" si="6"/>
        <v>36.755102040816325</v>
      </c>
      <c r="I28" s="8">
        <f t="shared" ca="1" si="7"/>
        <v>0</v>
      </c>
      <c r="J28" s="8">
        <f t="shared" ca="1" si="3"/>
        <v>819</v>
      </c>
      <c r="K28" s="8">
        <f t="shared" ca="1" si="3"/>
        <v>1035</v>
      </c>
      <c r="L28" s="8">
        <f t="shared" ca="1" si="3"/>
        <v>1748</v>
      </c>
      <c r="M28" s="8">
        <f t="shared" ca="1" si="4"/>
        <v>32</v>
      </c>
      <c r="N28" s="8">
        <f t="shared" ca="1" si="4"/>
        <v>32</v>
      </c>
      <c r="O28" s="8">
        <f t="shared" ca="1" si="4"/>
        <v>34</v>
      </c>
    </row>
  </sheetData>
  <mergeCells count="3">
    <mergeCell ref="M7:O7"/>
    <mergeCell ref="J7:L7"/>
    <mergeCell ref="L4:N4"/>
  </mergeCells>
  <dataValidations count="2">
    <dataValidation type="list" allowBlank="1" showInputMessage="1" showErrorMessage="1" errorTitle="Invalid Data" error="Select a valid entry from the list box." sqref="K4" xr:uid="{00000000-0002-0000-0500-000000000000}">
      <formula1>VehicleID</formula1>
    </dataValidation>
    <dataValidation type="date" operator="greaterThan" allowBlank="1" showInputMessage="1" showErrorMessage="1" errorTitle="Invalid Date" error="Enter a valid date in accordance with the regional date settings that are specified in your System Control Panel." sqref="I4 G4" xr:uid="{00000000-0002-0000-0500-000001000000}">
      <formula1>40179</formula1>
    </dataValidation>
  </dataValidations>
  <pageMargins left="0.51181102362204722" right="0.51181102362204722" top="0.55118110236220474" bottom="0.55118110236220474" header="0.39370078740157483" footer="0.39370078740157483"/>
  <pageSetup paperSize="9" scale="71" fitToHeight="0" orientation="landscape" r:id="rId1"/>
  <headerFooter>
    <oddFooter>&amp;C&amp;9Page &amp;P of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Q11"/>
  <sheetViews>
    <sheetView zoomScale="95" zoomScaleNormal="95" workbookViewId="0">
      <pane xSplit="2" ySplit="8" topLeftCell="C9" activePane="bottomRight" state="frozen"/>
      <selection pane="topRight" activeCell="C1" sqref="C1"/>
      <selection pane="bottomLeft" activeCell="A9" sqref="A9"/>
      <selection pane="bottomRight" activeCell="A8" sqref="A8"/>
    </sheetView>
  </sheetViews>
  <sheetFormatPr defaultColWidth="9.08984375" defaultRowHeight="16" customHeight="1" x14ac:dyDescent="0.25"/>
  <cols>
    <col min="1" max="1" width="12.6328125" style="11" customWidth="1"/>
    <col min="2" max="2" width="30.6328125" style="11" customWidth="1"/>
    <col min="3" max="5" width="12.81640625" style="8" customWidth="1"/>
    <col min="6" max="6" width="12.81640625" style="71" customWidth="1"/>
    <col min="7" max="11" width="12.81640625" style="8" customWidth="1"/>
    <col min="12" max="14" width="12.81640625" style="71" customWidth="1"/>
    <col min="15" max="17" width="12.81640625" style="8" customWidth="1"/>
    <col min="18" max="16384" width="9.08984375" style="11"/>
  </cols>
  <sheetData>
    <row r="1" spans="1:17" ht="16" customHeight="1" x14ac:dyDescent="0.3">
      <c r="A1" s="110" t="s">
        <v>66</v>
      </c>
      <c r="F1" s="62"/>
      <c r="L1" s="62"/>
      <c r="M1" s="62"/>
      <c r="N1" s="62"/>
    </row>
    <row r="2" spans="1:17" s="30" customFormat="1" ht="16" customHeight="1" x14ac:dyDescent="0.25">
      <c r="A2" s="29" t="s">
        <v>0</v>
      </c>
      <c r="C2" s="31"/>
      <c r="D2" s="31"/>
      <c r="E2" s="31"/>
      <c r="F2" s="63"/>
      <c r="G2" s="8"/>
      <c r="H2" s="8"/>
      <c r="I2" s="31"/>
      <c r="J2" s="31"/>
      <c r="K2" s="31"/>
      <c r="L2" s="63"/>
      <c r="M2" s="63"/>
      <c r="N2" s="63"/>
      <c r="O2" s="31"/>
      <c r="P2" s="31"/>
      <c r="Q2" s="31"/>
    </row>
    <row r="3" spans="1:17" ht="16" customHeight="1" x14ac:dyDescent="0.25">
      <c r="A3" s="32"/>
      <c r="B3" s="33" t="s">
        <v>95</v>
      </c>
      <c r="C3" s="18">
        <f ca="1">IF($K$5="All",SUMPRODUCT((LogDate&gt;=$G$5)*(LogDate&lt;=$I$5)*(LogType="Business")*(LogDistance)),SUMPRODUCT((LogDate&gt;=$G$5)*(LogDate&lt;=$I$5)*(LogVehicle=$K$5)*(LogType="Business")*(LogDistance)))</f>
        <v>14308</v>
      </c>
      <c r="D3" s="35">
        <f ca="1">IF(C$5=0,0,C3/C$5)</f>
        <v>0.79888330541596875</v>
      </c>
      <c r="F3" s="64" t="s">
        <v>62</v>
      </c>
      <c r="G3" s="37"/>
      <c r="H3" s="38"/>
      <c r="I3" s="39"/>
      <c r="J3" s="39"/>
      <c r="K3" s="39"/>
      <c r="L3" s="65"/>
      <c r="M3" s="65"/>
      <c r="N3" s="66"/>
    </row>
    <row r="4" spans="1:17" ht="16" customHeight="1" x14ac:dyDescent="0.25">
      <c r="A4" s="32"/>
      <c r="B4" s="33" t="s">
        <v>96</v>
      </c>
      <c r="C4" s="18">
        <f ca="1">IF($K$5="All",SUMPRODUCT((LogDate&gt;=$G$5)*(LogDate&lt;=$I$5)*(LogType&lt;&gt;"Business")*(LogDistance)),SUMPRODUCT((LogDate&gt;=$G$5)*(LogDate&lt;=$I$5)*(LogVehicle=$K$5)*(LogType&lt;&gt;"Business")*(LogDistance)))</f>
        <v>3602</v>
      </c>
      <c r="D4" s="35">
        <f ca="1">IF(C$5=0,0,C4/C$5)</f>
        <v>0.20111669458403128</v>
      </c>
      <c r="F4" s="67" t="s">
        <v>63</v>
      </c>
      <c r="G4" s="43">
        <v>43831</v>
      </c>
      <c r="H4" s="42" t="s">
        <v>64</v>
      </c>
      <c r="I4" s="43">
        <v>43921</v>
      </c>
      <c r="J4" s="42" t="s">
        <v>98</v>
      </c>
      <c r="K4" s="44"/>
      <c r="L4" s="132" t="str">
        <f>IF($K$5="All","All clients",VLOOKUP($K$4,ClientAll,COLUMN(Clients!$B$8),0))</f>
        <v>All clients</v>
      </c>
      <c r="M4" s="133"/>
      <c r="N4" s="134"/>
    </row>
    <row r="5" spans="1:17" ht="16" customHeight="1" x14ac:dyDescent="0.25">
      <c r="A5" s="32"/>
      <c r="B5" s="33" t="s">
        <v>97</v>
      </c>
      <c r="C5" s="18">
        <f ca="1">SUM(C3:C4)</f>
        <v>17910</v>
      </c>
      <c r="F5" s="68"/>
      <c r="G5" s="46">
        <f ca="1">IF(ISBLANK($G4)=TRUE,DATE(YEAR(TODAY())-5,1,1),$G4)</f>
        <v>43831</v>
      </c>
      <c r="H5" s="45"/>
      <c r="I5" s="46">
        <f ca="1">IF(ISBLANK($I4)=TRUE,DATE(YEAR(TODAY()),MONTH(TODAY())+1,0),$I4)</f>
        <v>43921</v>
      </c>
      <c r="J5" s="45"/>
      <c r="K5" s="47" t="str">
        <f>IF(ISBLANK($K4)=TRUE,"All",$K4)</f>
        <v>All</v>
      </c>
      <c r="L5" s="62"/>
      <c r="M5" s="62"/>
      <c r="N5" s="62"/>
    </row>
    <row r="6" spans="1:17" ht="16" customHeight="1" x14ac:dyDescent="0.25">
      <c r="A6" s="32"/>
      <c r="B6" s="48"/>
      <c r="F6" s="62"/>
      <c r="G6" s="50"/>
      <c r="H6" s="50"/>
      <c r="L6" s="62"/>
      <c r="M6" s="62"/>
      <c r="N6" s="62"/>
    </row>
    <row r="7" spans="1:17" ht="16" customHeight="1" x14ac:dyDescent="0.25">
      <c r="A7" s="32"/>
      <c r="B7" s="48"/>
      <c r="C7" s="54" cm="1">
        <f t="array" aca="1" ref="C7" ca="1">SUBTOTAL(109,OFFSET(C$8,1,0,ClientCount,1))</f>
        <v>17910</v>
      </c>
      <c r="D7" s="54" cm="1">
        <f t="array" aca="1" ref="D7" ca="1">SUBTOTAL(109,OFFSET(D$8,1,0,ClientCount,1))</f>
        <v>40134</v>
      </c>
      <c r="E7" s="54"/>
      <c r="F7" s="69"/>
      <c r="G7" s="55"/>
      <c r="H7" s="55"/>
      <c r="I7" s="126" t="s">
        <v>60</v>
      </c>
      <c r="J7" s="127"/>
      <c r="K7" s="128"/>
      <c r="L7" s="135" t="s">
        <v>101</v>
      </c>
      <c r="M7" s="136"/>
      <c r="N7" s="137"/>
      <c r="O7" s="126" t="s">
        <v>102</v>
      </c>
      <c r="P7" s="127"/>
      <c r="Q7" s="128"/>
    </row>
    <row r="8" spans="1:17" s="61" customFormat="1" ht="25" x14ac:dyDescent="0.25">
      <c r="A8" s="57" t="s">
        <v>11</v>
      </c>
      <c r="B8" s="57" t="s">
        <v>67</v>
      </c>
      <c r="C8" s="59" t="s">
        <v>60</v>
      </c>
      <c r="D8" s="59" t="s">
        <v>61</v>
      </c>
      <c r="E8" s="59" t="s">
        <v>99</v>
      </c>
      <c r="F8" s="70" t="s">
        <v>100</v>
      </c>
      <c r="G8" s="59" t="s">
        <v>69</v>
      </c>
      <c r="H8" s="59" t="s">
        <v>213</v>
      </c>
      <c r="I8" s="60">
        <f ca="1">DATE(YEAR($I$5),MONTH($I$5)+1,0)</f>
        <v>43921</v>
      </c>
      <c r="J8" s="60">
        <f ca="1">DATE(YEAR(I8),MONTH(I8),0)</f>
        <v>43890</v>
      </c>
      <c r="K8" s="60">
        <f ca="1">DATE(YEAR(I8),MONTH(I8)-1,0)</f>
        <v>43861</v>
      </c>
      <c r="L8" s="60">
        <f ca="1">DATE(YEAR($I$5),MONTH($I$5)+1,0)</f>
        <v>43921</v>
      </c>
      <c r="M8" s="60">
        <f ca="1">DATE(YEAR(L8),MONTH(L8),0)</f>
        <v>43890</v>
      </c>
      <c r="N8" s="60">
        <f ca="1">DATE(YEAR(L8),MONTH(L8)-1,0)</f>
        <v>43861</v>
      </c>
      <c r="O8" s="60">
        <f ca="1">DATE(YEAR($I$5),MONTH($I$5)+1,0)</f>
        <v>43921</v>
      </c>
      <c r="P8" s="60">
        <f ca="1">DATE(YEAR(O8),MONTH(O8),0)</f>
        <v>43890</v>
      </c>
      <c r="Q8" s="60">
        <f ca="1">DATE(YEAR(O8),MONTH(O8)-1,0)</f>
        <v>43861</v>
      </c>
    </row>
    <row r="9" spans="1:17" ht="16" customHeight="1" x14ac:dyDescent="0.25">
      <c r="A9" s="11" t="s">
        <v>70</v>
      </c>
      <c r="B9" s="11" t="s">
        <v>73</v>
      </c>
      <c r="C9" s="8">
        <f ca="1">IF($K$5="All",SUMPRODUCT((LogDate&gt;=$G$5)*(LogDate&lt;=$I$5)*(LogVehicle=$A9)*(LogDistance)),SUMPRODUCT((LogDate&gt;=$G$5)*(LogDate&lt;=$I$5)*(LogClient=$K$5)*(LogVehicle=$A9)*(LogDistance)))</f>
        <v>6709</v>
      </c>
      <c r="D9" s="8">
        <f ca="1">IF($K$5="All",SUMPRODUCT((LogDate&gt;=$G$5)*(LogDate&lt;=$I$5)*(LogVehicle=$A9)*(LogCost)),SUMPRODUCT((LogDate&gt;=$G$5)*(LogDate&lt;=$I$5)*(LogClient=$K$5)*(LogVehicle=$A9)*(LogCost)))</f>
        <v>12513</v>
      </c>
      <c r="E9" s="8">
        <f ca="1">IF($K$5="All",SUMPRODUCT((LogDate&gt;=$G$5)*(LogDate&lt;=$I$5)*(LogType="Business")*(LogVehicle=$A9)*(LogDistance)),SUMPRODUCT((LogDate&gt;=$G$5)*(LogDate&lt;=$I$5)*(LogType="Business")*(LogClient=$K$5)*(LogVehicle=$A9)*(LogDistance)))</f>
        <v>4171</v>
      </c>
      <c r="F9" s="71">
        <f ca="1">IF(C9=0,0,E9/C9)</f>
        <v>0.62170219108660008</v>
      </c>
      <c r="G9" s="8">
        <f ca="1">IF(E9=0,0,D9/E9)</f>
        <v>3</v>
      </c>
      <c r="H9" s="8">
        <f ca="1">IF($K$5="All",SUMPRODUCT((LogDate&gt;=$G$5)*(LogDate&lt;=$I$5)*(LogType="Business")*(LogVehicle=$A9)*(1)),SUMPRODUCT((LogDate&gt;=$G$5)*(LogDate&lt;=$I$5)*(LogType="Business")*(LogClient=$K$5)*(LogVehicle=$A9)*(1)))</f>
        <v>50</v>
      </c>
      <c r="I9" s="8">
        <f t="shared" ref="I9:K11" ca="1" si="0">IF($K$5="All",SUMPRODUCT((LogDate&gt;=DATE(YEAR(I$8),MONTH(I$8),1))*(LogDate&lt;=I$8)*(LogVehicle=$A9)*(LogDistance)),SUMPRODUCT((LogDate&gt;=DATE(YEAR(I$8),MONTH(I$8),1))*(LogDate&lt;=I$8)*(LogClient=$K$5)*(LogVehicle=$A9)*(LogDistance)))</f>
        <v>1873</v>
      </c>
      <c r="J9" s="8">
        <f t="shared" ca="1" si="0"/>
        <v>1859</v>
      </c>
      <c r="K9" s="8">
        <f t="shared" ca="1" si="0"/>
        <v>2977</v>
      </c>
      <c r="L9" s="71">
        <f t="shared" ref="L9:N11" ca="1" si="1">IF($K$5="All",IF(SUMPRODUCT((LogDate&gt;=DATE(YEAR(I$8),MONTH(I$8),1))*(LogDate&lt;=I$8)*(LogVehicle=$A9)*(LogDistance))=0,0,SUMPRODUCT((LogDate&gt;=DATE(YEAR(I$8),MONTH(I$8),1))*(LogDate&lt;=I$8)*(LogType="Business")*(LogVehicle=$A9)*(LogDistance))/SUMPRODUCT((LogDate&gt;=DATE(YEAR(I$8),MONTH(I$8),1))*(LogDate&lt;=I$8)*(LogVehicle=$A9)*(LogDistance))),IF(SUMPRODUCT((LogDate&gt;=DATE(YEAR(I$8),MONTH(I$8),1))*(LogDate&lt;=I$8)*(LogClient=$K$5)*(LogVehicle=$A9)*(LogDistance))=0,0,SUMPRODUCT((LogDate&gt;=DATE(YEAR(I$8),MONTH(I$8),1))*(LogDate&lt;=I$8)*(LogType="Business")*(LogClient=$K$5)*(LogVehicle=$A9)*(LogDistance))/SUMPRODUCT((LogDate&gt;=DATE(YEAR(I$8),MONTH(I$8),1))*(LogDate&lt;=I$8)*(LogClient=$K$5)*(LogVehicle=$A9)*(LogDistance))))</f>
        <v>0.72770955686065131</v>
      </c>
      <c r="M9" s="71">
        <f t="shared" ca="1" si="1"/>
        <v>0.6498117267348037</v>
      </c>
      <c r="N9" s="71">
        <f t="shared" ca="1" si="1"/>
        <v>0.53745381256298286</v>
      </c>
      <c r="O9" s="8">
        <f t="shared" ref="O9:Q11" ca="1" si="2">IF($K$5="All",SUMPRODUCT((LogDate&gt;=DATE(YEAR(I$8),MONTH(I$8),1))*(LogDate&lt;=I$8)*(LogType="Business")*(LogVehicle=$A9)*(1)),SUMPRODUCT((LogDate&gt;=DATE(YEAR(I$8),MONTH(I$8),1))*(LogDate&lt;=I$8)*(LogType="Business")*(LogClient=$K$5)*(LogVehicle=$A9)*(1)))</f>
        <v>17</v>
      </c>
      <c r="P9" s="8">
        <f t="shared" ca="1" si="2"/>
        <v>16</v>
      </c>
      <c r="Q9" s="8">
        <f t="shared" ca="1" si="2"/>
        <v>17</v>
      </c>
    </row>
    <row r="10" spans="1:17" ht="16" customHeight="1" x14ac:dyDescent="0.25">
      <c r="A10" s="11" t="s">
        <v>71</v>
      </c>
      <c r="B10" s="11" t="s">
        <v>74</v>
      </c>
      <c r="C10" s="8">
        <f ca="1">IF($K$5="All",SUMPRODUCT((LogDate&gt;=$G$5)*(LogDate&lt;=$I$5)*(LogVehicle=$A10)*(LogDistance)),SUMPRODUCT((LogDate&gt;=$G$5)*(LogDate&lt;=$I$5)*(LogClient=$K$5)*(LogVehicle=$A10)*(LogDistance)))</f>
        <v>5621</v>
      </c>
      <c r="D10" s="8">
        <f ca="1">IF($K$5="All",SUMPRODUCT((LogDate&gt;=$G$5)*(LogDate&lt;=$I$5)*(LogVehicle=$A10)*(LogCost)),SUMPRODUCT((LogDate&gt;=$G$5)*(LogDate&lt;=$I$5)*(LogClient=$K$5)*(LogVehicle=$A10)*(LogCost)))</f>
        <v>13671</v>
      </c>
      <c r="E10" s="8">
        <f ca="1">IF($K$5="All",SUMPRODUCT((LogDate&gt;=$G$5)*(LogDate&lt;=$I$5)*(LogType="Business")*(LogVehicle=$A10)*(LogDistance)),SUMPRODUCT((LogDate&gt;=$G$5)*(LogDate&lt;=$I$5)*(LogType="Business")*(LogClient=$K$5)*(LogVehicle=$A10)*(LogDistance)))</f>
        <v>4557</v>
      </c>
      <c r="F10" s="71">
        <f ca="1">IF(C10=0,0,E10/C10)</f>
        <v>0.8107098381070984</v>
      </c>
      <c r="G10" s="8">
        <f ca="1">IF(E10=0,0,D10/E10)</f>
        <v>3</v>
      </c>
      <c r="H10" s="8">
        <f ca="1">IF($K$5="All",SUMPRODUCT((LogDate&gt;=$G$5)*(LogDate&lt;=$I$5)*(LogType="Business")*(LogVehicle=$A10)*(1)),SUMPRODUCT((LogDate&gt;=$G$5)*(LogDate&lt;=$I$5)*(LogType="Business")*(LogClient=$K$5)*(LogVehicle=$A10)*(1)))</f>
        <v>50</v>
      </c>
      <c r="I10" s="8">
        <f t="shared" ca="1" si="0"/>
        <v>2059</v>
      </c>
      <c r="J10" s="8">
        <f t="shared" ca="1" si="0"/>
        <v>1341</v>
      </c>
      <c r="K10" s="8">
        <f t="shared" ca="1" si="0"/>
        <v>2221</v>
      </c>
      <c r="L10" s="71">
        <f t="shared" ca="1" si="1"/>
        <v>0.84992714910150557</v>
      </c>
      <c r="M10" s="71">
        <f t="shared" ca="1" si="1"/>
        <v>0.71364653243847875</v>
      </c>
      <c r="N10" s="71">
        <f t="shared" ca="1" si="1"/>
        <v>0.8329581269698334</v>
      </c>
      <c r="O10" s="8">
        <f t="shared" ca="1" si="2"/>
        <v>17</v>
      </c>
      <c r="P10" s="8">
        <f t="shared" ca="1" si="2"/>
        <v>16</v>
      </c>
      <c r="Q10" s="8">
        <f t="shared" ca="1" si="2"/>
        <v>17</v>
      </c>
    </row>
    <row r="11" spans="1:17" ht="16" customHeight="1" x14ac:dyDescent="0.25">
      <c r="A11" s="11" t="s">
        <v>72</v>
      </c>
      <c r="B11" s="11" t="s">
        <v>75</v>
      </c>
      <c r="C11" s="8">
        <f ca="1">IF($K$5="All",SUMPRODUCT((LogDate&gt;=$G$5)*(LogDate&lt;=$I$5)*(LogVehicle=$A11)*(LogDistance)),SUMPRODUCT((LogDate&gt;=$G$5)*(LogDate&lt;=$I$5)*(LogClient=$K$5)*(LogVehicle=$A11)*(LogDistance)))</f>
        <v>5580</v>
      </c>
      <c r="D11" s="8">
        <f ca="1">IF($K$5="All",SUMPRODUCT((LogDate&gt;=$G$5)*(LogDate&lt;=$I$5)*(LogVehicle=$A11)*(LogCost)),SUMPRODUCT((LogDate&gt;=$G$5)*(LogDate&lt;=$I$5)*(LogClient=$K$5)*(LogVehicle=$A11)*(LogCost)))</f>
        <v>13950</v>
      </c>
      <c r="E11" s="8">
        <f ca="1">IF($K$5="All",SUMPRODUCT((LogDate&gt;=$G$5)*(LogDate&lt;=$I$5)*(LogType="Business")*(LogVehicle=$A11)*(LogDistance)),SUMPRODUCT((LogDate&gt;=$G$5)*(LogDate&lt;=$I$5)*(LogType="Business")*(LogClient=$K$5)*(LogVehicle=$A11)*(LogDistance)))</f>
        <v>5580</v>
      </c>
      <c r="F11" s="71">
        <f ca="1">IF(C11=0,0,E11/C11)</f>
        <v>1</v>
      </c>
      <c r="G11" s="8">
        <f ca="1">IF(E11=0,0,D11/E11)</f>
        <v>2.5</v>
      </c>
      <c r="H11" s="8">
        <f ca="1">IF($K$5="All",SUMPRODUCT((LogDate&gt;=$G$5)*(LogDate&lt;=$I$5)*(LogType="Business")*(LogVehicle=$A11)*(1)),SUMPRODUCT((LogDate&gt;=$G$5)*(LogDate&lt;=$I$5)*(LogType="Business")*(LogClient=$K$5)*(LogVehicle=$A11)*(1)))</f>
        <v>14</v>
      </c>
      <c r="I11" s="8">
        <f t="shared" ca="1" si="0"/>
        <v>560</v>
      </c>
      <c r="J11" s="8">
        <f t="shared" ca="1" si="0"/>
        <v>3360</v>
      </c>
      <c r="K11" s="8">
        <f t="shared" ca="1" si="0"/>
        <v>1660</v>
      </c>
      <c r="L11" s="71">
        <f t="shared" ca="1" si="1"/>
        <v>1</v>
      </c>
      <c r="M11" s="71">
        <f t="shared" ca="1" si="1"/>
        <v>1</v>
      </c>
      <c r="N11" s="71">
        <f t="shared" ca="1" si="1"/>
        <v>1</v>
      </c>
      <c r="O11" s="8">
        <f t="shared" ca="1" si="2"/>
        <v>2</v>
      </c>
      <c r="P11" s="8">
        <f t="shared" ca="1" si="2"/>
        <v>8</v>
      </c>
      <c r="Q11" s="8">
        <f t="shared" ca="1" si="2"/>
        <v>4</v>
      </c>
    </row>
  </sheetData>
  <mergeCells count="4">
    <mergeCell ref="L4:N4"/>
    <mergeCell ref="I7:K7"/>
    <mergeCell ref="L7:N7"/>
    <mergeCell ref="O7:Q7"/>
  </mergeCells>
  <dataValidations count="2">
    <dataValidation type="date" operator="greaterThan" allowBlank="1" showInputMessage="1" showErrorMessage="1" errorTitle="Invalid Date" error="Enter a valid date in accordance with the regional date settings that are specified in your System Control Panel." sqref="I4 G4" xr:uid="{00000000-0002-0000-0600-000000000000}">
      <formula1>40179</formula1>
    </dataValidation>
    <dataValidation type="list" allowBlank="1" showInputMessage="1" showErrorMessage="1" errorTitle="Invalid Data" error="Select a valid entry from the list box." sqref="K4" xr:uid="{00000000-0002-0000-0600-000001000000}">
      <formula1>ClientID</formula1>
    </dataValidation>
  </dataValidations>
  <pageMargins left="0.51181102362204722" right="0.51181102362204722" top="0.55118110236220474" bottom="0.55118110236220474" header="0.39370078740157483" footer="0.39370078740157483"/>
  <pageSetup paperSize="9" scale="63" fitToHeight="0" orientation="landscape" r:id="rId1"/>
  <headerFooter>
    <oddFooter>&amp;C&amp;9Page &amp;P of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B2:L28"/>
  <sheetViews>
    <sheetView zoomScale="95" zoomScaleNormal="95" workbookViewId="0">
      <pane ySplit="5" topLeftCell="A6" activePane="bottomLeft" state="frozen"/>
      <selection pane="bottomLeft" activeCell="B5" sqref="B5"/>
    </sheetView>
  </sheetViews>
  <sheetFormatPr defaultColWidth="9.08984375" defaultRowHeight="15" customHeight="1" x14ac:dyDescent="0.25"/>
  <cols>
    <col min="1" max="1" width="2.6328125" style="77" customWidth="1"/>
    <col min="2" max="2" width="13.6328125" style="102" customWidth="1"/>
    <col min="3" max="3" width="13.6328125" style="103" customWidth="1"/>
    <col min="4" max="5" width="13.6328125" style="104" customWidth="1"/>
    <col min="6" max="6" width="12.6328125" style="105" customWidth="1"/>
    <col min="7" max="7" width="13.6328125" style="106" customWidth="1"/>
    <col min="8" max="9" width="18.6328125" style="107" customWidth="1"/>
    <col min="10" max="10" width="25.6328125" style="107" customWidth="1"/>
    <col min="11" max="11" width="13.6328125" style="108" customWidth="1"/>
    <col min="12" max="12" width="25.6328125" style="108" customWidth="1"/>
    <col min="13" max="13" width="2.6328125" style="77" customWidth="1"/>
    <col min="14" max="16384" width="9.08984375" style="77"/>
  </cols>
  <sheetData>
    <row r="2" spans="2:12" ht="20.149999999999999" customHeight="1" thickBot="1" x14ac:dyDescent="0.3">
      <c r="B2" s="2" t="s">
        <v>124</v>
      </c>
      <c r="C2" s="3"/>
      <c r="D2" s="72"/>
      <c r="E2" s="72"/>
      <c r="F2" s="73"/>
      <c r="G2" s="6"/>
      <c r="H2" s="7"/>
      <c r="I2" s="7"/>
      <c r="J2" s="74" t="s">
        <v>103</v>
      </c>
      <c r="K2" s="75"/>
      <c r="L2" s="76"/>
    </row>
    <row r="3" spans="2:12" ht="15" customHeight="1" x14ac:dyDescent="0.25">
      <c r="B3" s="12" t="s">
        <v>0</v>
      </c>
      <c r="C3" s="78"/>
      <c r="D3" s="72"/>
      <c r="E3" s="72"/>
      <c r="F3" s="73"/>
      <c r="G3" s="6"/>
      <c r="H3" s="7"/>
      <c r="I3" s="7"/>
      <c r="J3" s="11"/>
      <c r="K3" s="79" t="s">
        <v>104</v>
      </c>
      <c r="L3" s="80" t="s">
        <v>105</v>
      </c>
    </row>
    <row r="4" spans="2:12" ht="15" customHeight="1" x14ac:dyDescent="0.25">
      <c r="B4" s="12"/>
      <c r="C4" s="78"/>
      <c r="D4" s="72"/>
      <c r="E4" s="72"/>
      <c r="F4" s="73"/>
      <c r="G4" s="6"/>
      <c r="H4" s="7"/>
      <c r="I4" s="7"/>
      <c r="J4" s="11"/>
      <c r="K4" s="8"/>
      <c r="L4" s="8"/>
    </row>
    <row r="5" spans="2:12" s="86" customFormat="1" ht="25" x14ac:dyDescent="0.25">
      <c r="B5" s="81" t="s">
        <v>16</v>
      </c>
      <c r="C5" s="82" t="s">
        <v>17</v>
      </c>
      <c r="D5" s="83" t="s">
        <v>13</v>
      </c>
      <c r="E5" s="83" t="s">
        <v>14</v>
      </c>
      <c r="F5" s="84" t="s">
        <v>7</v>
      </c>
      <c r="G5" s="84" t="s">
        <v>19</v>
      </c>
      <c r="H5" s="84" t="s">
        <v>8</v>
      </c>
      <c r="I5" s="84" t="s">
        <v>9</v>
      </c>
      <c r="J5" s="84" t="s">
        <v>10</v>
      </c>
      <c r="K5" s="85" t="s">
        <v>76</v>
      </c>
      <c r="L5" s="85" t="s">
        <v>106</v>
      </c>
    </row>
    <row r="6" spans="2:12" ht="16" customHeight="1" x14ac:dyDescent="0.25">
      <c r="B6" s="87">
        <f ca="1">TODAY()</f>
        <v>45321</v>
      </c>
      <c r="C6" s="88">
        <v>0.33333333333333331</v>
      </c>
      <c r="D6" s="89">
        <v>31520</v>
      </c>
      <c r="E6" s="89">
        <v>31620</v>
      </c>
      <c r="F6" s="90" t="s">
        <v>81</v>
      </c>
      <c r="G6" s="91" t="s">
        <v>107</v>
      </c>
      <c r="H6" s="92" t="s">
        <v>78</v>
      </c>
      <c r="I6" s="92" t="s">
        <v>83</v>
      </c>
      <c r="J6" s="92" t="s">
        <v>108</v>
      </c>
      <c r="K6" s="93" t="s">
        <v>82</v>
      </c>
      <c r="L6" s="94" t="s">
        <v>109</v>
      </c>
    </row>
    <row r="7" spans="2:12" ht="9.9" customHeight="1" thickBot="1" x14ac:dyDescent="0.3">
      <c r="B7" s="27"/>
      <c r="C7" s="28"/>
      <c r="D7" s="72"/>
      <c r="E7" s="72"/>
      <c r="F7" s="73"/>
      <c r="G7" s="6"/>
      <c r="H7" s="7"/>
      <c r="I7" s="7"/>
      <c r="J7" s="7"/>
      <c r="K7" s="8"/>
      <c r="L7" s="8"/>
    </row>
    <row r="8" spans="2:12" ht="29.15" customHeight="1" thickBot="1" x14ac:dyDescent="0.3">
      <c r="B8" s="95"/>
      <c r="C8" s="96"/>
      <c r="D8" s="97"/>
      <c r="E8" s="97"/>
      <c r="F8" s="98"/>
      <c r="G8" s="99"/>
      <c r="H8" s="100"/>
      <c r="I8" s="100"/>
      <c r="J8" s="100"/>
      <c r="K8" s="101"/>
      <c r="L8" s="101"/>
    </row>
    <row r="9" spans="2:12" ht="29.15" customHeight="1" thickBot="1" x14ac:dyDescent="0.3">
      <c r="B9" s="95"/>
      <c r="C9" s="96"/>
      <c r="D9" s="97"/>
      <c r="E9" s="97"/>
      <c r="F9" s="98"/>
      <c r="G9" s="99"/>
      <c r="H9" s="100"/>
      <c r="I9" s="100"/>
      <c r="J9" s="100"/>
      <c r="K9" s="101"/>
      <c r="L9" s="101"/>
    </row>
    <row r="10" spans="2:12" ht="29.15" customHeight="1" thickBot="1" x14ac:dyDescent="0.3">
      <c r="B10" s="95"/>
      <c r="C10" s="96"/>
      <c r="D10" s="97"/>
      <c r="E10" s="97"/>
      <c r="F10" s="98"/>
      <c r="G10" s="99"/>
      <c r="H10" s="100"/>
      <c r="I10" s="100"/>
      <c r="J10" s="100"/>
      <c r="K10" s="101"/>
      <c r="L10" s="101"/>
    </row>
    <row r="11" spans="2:12" ht="29.15" customHeight="1" thickBot="1" x14ac:dyDescent="0.3">
      <c r="B11" s="95"/>
      <c r="C11" s="96"/>
      <c r="D11" s="97"/>
      <c r="E11" s="97"/>
      <c r="F11" s="98"/>
      <c r="G11" s="99"/>
      <c r="H11" s="100"/>
      <c r="I11" s="100"/>
      <c r="J11" s="100"/>
      <c r="K11" s="101"/>
      <c r="L11" s="101"/>
    </row>
    <row r="12" spans="2:12" ht="29.15" customHeight="1" thickBot="1" x14ac:dyDescent="0.3">
      <c r="B12" s="95"/>
      <c r="C12" s="96"/>
      <c r="D12" s="97"/>
      <c r="E12" s="97"/>
      <c r="F12" s="98"/>
      <c r="G12" s="99"/>
      <c r="H12" s="100"/>
      <c r="I12" s="100"/>
      <c r="J12" s="100"/>
      <c r="K12" s="101"/>
      <c r="L12" s="101"/>
    </row>
    <row r="13" spans="2:12" ht="29.15" customHeight="1" thickBot="1" x14ac:dyDescent="0.3">
      <c r="B13" s="95"/>
      <c r="C13" s="96"/>
      <c r="D13" s="97"/>
      <c r="E13" s="97"/>
      <c r="F13" s="98"/>
      <c r="G13" s="99"/>
      <c r="H13" s="100"/>
      <c r="I13" s="100"/>
      <c r="J13" s="100"/>
      <c r="K13" s="101"/>
      <c r="L13" s="101"/>
    </row>
    <row r="14" spans="2:12" ht="29.15" customHeight="1" thickBot="1" x14ac:dyDescent="0.3">
      <c r="B14" s="95"/>
      <c r="C14" s="96"/>
      <c r="D14" s="97"/>
      <c r="E14" s="97"/>
      <c r="F14" s="98"/>
      <c r="G14" s="99"/>
      <c r="H14" s="100"/>
      <c r="I14" s="100"/>
      <c r="J14" s="100"/>
      <c r="K14" s="101"/>
      <c r="L14" s="101"/>
    </row>
    <row r="15" spans="2:12" ht="29.15" customHeight="1" thickBot="1" x14ac:dyDescent="0.3">
      <c r="B15" s="95"/>
      <c r="C15" s="96"/>
      <c r="D15" s="97"/>
      <c r="E15" s="97"/>
      <c r="F15" s="98"/>
      <c r="G15" s="99"/>
      <c r="H15" s="100"/>
      <c r="I15" s="100"/>
      <c r="J15" s="100"/>
      <c r="K15" s="101"/>
      <c r="L15" s="101"/>
    </row>
    <row r="16" spans="2:12" ht="29.15" customHeight="1" thickBot="1" x14ac:dyDescent="0.3">
      <c r="B16" s="95"/>
      <c r="C16" s="96"/>
      <c r="D16" s="97"/>
      <c r="E16" s="97"/>
      <c r="F16" s="98"/>
      <c r="G16" s="99"/>
      <c r="H16" s="100"/>
      <c r="I16" s="100"/>
      <c r="J16" s="100"/>
      <c r="K16" s="101"/>
      <c r="L16" s="101"/>
    </row>
    <row r="17" spans="2:12" ht="29.15" customHeight="1" thickBot="1" x14ac:dyDescent="0.3">
      <c r="B17" s="95"/>
      <c r="C17" s="96"/>
      <c r="D17" s="97"/>
      <c r="E17" s="97"/>
      <c r="F17" s="98"/>
      <c r="G17" s="99"/>
      <c r="H17" s="100"/>
      <c r="I17" s="100"/>
      <c r="J17" s="100"/>
      <c r="K17" s="101"/>
      <c r="L17" s="101"/>
    </row>
    <row r="18" spans="2:12" ht="29.15" customHeight="1" thickBot="1" x14ac:dyDescent="0.3">
      <c r="B18" s="95"/>
      <c r="C18" s="96"/>
      <c r="D18" s="97"/>
      <c r="E18" s="97"/>
      <c r="F18" s="98"/>
      <c r="G18" s="99"/>
      <c r="H18" s="100"/>
      <c r="I18" s="100"/>
      <c r="J18" s="100"/>
      <c r="K18" s="101"/>
      <c r="L18" s="101"/>
    </row>
    <row r="19" spans="2:12" ht="29.15" customHeight="1" thickBot="1" x14ac:dyDescent="0.3">
      <c r="B19" s="95"/>
      <c r="C19" s="96"/>
      <c r="D19" s="97"/>
      <c r="E19" s="97"/>
      <c r="F19" s="98"/>
      <c r="G19" s="99"/>
      <c r="H19" s="100"/>
      <c r="I19" s="100"/>
      <c r="J19" s="100"/>
      <c r="K19" s="101"/>
      <c r="L19" s="101"/>
    </row>
    <row r="20" spans="2:12" ht="29.15" customHeight="1" thickBot="1" x14ac:dyDescent="0.3">
      <c r="B20" s="95"/>
      <c r="C20" s="96"/>
      <c r="D20" s="97"/>
      <c r="E20" s="97"/>
      <c r="F20" s="98"/>
      <c r="G20" s="99"/>
      <c r="H20" s="100"/>
      <c r="I20" s="100"/>
      <c r="J20" s="100"/>
      <c r="K20" s="101"/>
      <c r="L20" s="101"/>
    </row>
    <row r="21" spans="2:12" ht="29.15" customHeight="1" thickBot="1" x14ac:dyDescent="0.3">
      <c r="B21" s="95"/>
      <c r="C21" s="96"/>
      <c r="D21" s="97"/>
      <c r="E21" s="97"/>
      <c r="F21" s="98"/>
      <c r="G21" s="99"/>
      <c r="H21" s="100"/>
      <c r="I21" s="100"/>
      <c r="J21" s="100"/>
      <c r="K21" s="101"/>
      <c r="L21" s="101"/>
    </row>
    <row r="22" spans="2:12" ht="29.15" customHeight="1" thickBot="1" x14ac:dyDescent="0.3">
      <c r="B22" s="95"/>
      <c r="C22" s="96"/>
      <c r="D22" s="97"/>
      <c r="E22" s="97"/>
      <c r="F22" s="98"/>
      <c r="G22" s="99"/>
      <c r="H22" s="100"/>
      <c r="I22" s="100"/>
      <c r="J22" s="100"/>
      <c r="K22" s="101"/>
      <c r="L22" s="101"/>
    </row>
    <row r="23" spans="2:12" ht="29.15" customHeight="1" thickBot="1" x14ac:dyDescent="0.3">
      <c r="B23" s="95"/>
      <c r="C23" s="96"/>
      <c r="D23" s="97"/>
      <c r="E23" s="97"/>
      <c r="F23" s="98"/>
      <c r="G23" s="99"/>
      <c r="H23" s="100"/>
      <c r="I23" s="100"/>
      <c r="J23" s="100"/>
      <c r="K23" s="101"/>
      <c r="L23" s="101"/>
    </row>
    <row r="24" spans="2:12" ht="29.15" customHeight="1" thickBot="1" x14ac:dyDescent="0.3">
      <c r="B24" s="95"/>
      <c r="C24" s="96"/>
      <c r="D24" s="97"/>
      <c r="E24" s="97"/>
      <c r="F24" s="98"/>
      <c r="G24" s="99"/>
      <c r="H24" s="100"/>
      <c r="I24" s="100"/>
      <c r="J24" s="100"/>
      <c r="K24" s="101"/>
      <c r="L24" s="101"/>
    </row>
    <row r="25" spans="2:12" ht="29.15" customHeight="1" thickBot="1" x14ac:dyDescent="0.3">
      <c r="B25" s="95"/>
      <c r="C25" s="96"/>
      <c r="D25" s="97"/>
      <c r="E25" s="97"/>
      <c r="F25" s="98"/>
      <c r="G25" s="99"/>
      <c r="H25" s="100"/>
      <c r="I25" s="100"/>
      <c r="J25" s="100"/>
      <c r="K25" s="101"/>
      <c r="L25" s="101"/>
    </row>
    <row r="26" spans="2:12" ht="29.15" customHeight="1" thickBot="1" x14ac:dyDescent="0.3">
      <c r="B26" s="95"/>
      <c r="C26" s="96"/>
      <c r="D26" s="97"/>
      <c r="E26" s="97"/>
      <c r="F26" s="98"/>
      <c r="G26" s="99"/>
      <c r="H26" s="100"/>
      <c r="I26" s="100"/>
      <c r="J26" s="100"/>
      <c r="K26" s="101"/>
      <c r="L26" s="101"/>
    </row>
    <row r="27" spans="2:12" ht="29.15" customHeight="1" thickBot="1" x14ac:dyDescent="0.3">
      <c r="B27" s="95"/>
      <c r="C27" s="96"/>
      <c r="D27" s="97"/>
      <c r="E27" s="97"/>
      <c r="F27" s="98"/>
      <c r="G27" s="99"/>
      <c r="H27" s="100"/>
      <c r="I27" s="100"/>
      <c r="J27" s="100"/>
      <c r="K27" s="101"/>
      <c r="L27" s="101"/>
    </row>
    <row r="28" spans="2:12" ht="15" customHeight="1" x14ac:dyDescent="0.25">
      <c r="B28" s="27"/>
      <c r="C28" s="28"/>
      <c r="D28" s="72"/>
      <c r="E28" s="72"/>
      <c r="F28" s="73"/>
      <c r="G28" s="6"/>
      <c r="H28" s="7"/>
      <c r="I28" s="7"/>
      <c r="J28" s="7"/>
      <c r="K28" s="8"/>
      <c r="L28" s="8"/>
    </row>
  </sheetData>
  <pageMargins left="0.51181102362204722" right="0.51181102362204722" top="0.55118110236220474" bottom="0.55118110236220474" header="0.39370078740157483" footer="0.39370078740157483"/>
  <pageSetup paperSize="9" scale="75" orientation="landscape" r:id="rId1"/>
  <drawing r:id="rId2"/>
</worksheet>
</file>

<file path=customUI/customUI.xml><?xml version="1.0" encoding="utf-8"?>
<customUI xmlns="http://schemas.microsoft.com/office/2006/01/customui">
  <commands>
    <command idMso="FileSave" enabled="false"/>
    <command idMso="FileSaveAs" enabled="false"/>
    <command idMso="FileSaveAsMenu" enabled="false"/>
    <command idMso="FileSaveAsOtherFormats" enabled="false"/>
    <command idMso="FilePrintMenu" enabled="false"/>
    <command idMso="FilePrint" enabled="false"/>
    <command idMso="FilePrintQuick" enabled="false"/>
    <command idMso="FilePrintPreview" enabled="false"/>
    <command idMso="PageSetupPageDialog" enabled="false"/>
    <command idMso="FileSendMenu" enabled="false"/>
    <command idMso="ReviewSendForReview" enabled="false"/>
    <command idMso="SendCopySendNow" enabled="false"/>
    <command idMso="SendCopyToMailRecipient" enabled="false"/>
  </commands>
</customUI>
</file>

<file path=customUI/customUI14.xml><?xml version="1.0" encoding="utf-8"?>
<customUI xmlns="http://schemas.microsoft.com/office/2009/07/customui">
  <commands>
    <command idMso="FileSave" enabled="false"/>
    <command idMso="FileSaveAs" enabled="false"/>
    <command idMso="FileSaveAsMenu" enabled="false"/>
    <command idMso="FileSaveAsOtherFormats" enabled="false"/>
    <command idMso="FilePrintMenu" enabled="false"/>
    <command idMso="FilePrintQuick" enabled="false"/>
    <command idMso="FilePrintPreview" enabled="false"/>
    <command idMso="PrintPreviewAndPrint" enabled="false"/>
    <command idMso="GroupPrintPreviewPrint" enabled="false"/>
    <command idMso="FileSendMenu" enabled="false"/>
    <command idMso="ReviewSendForReview" enabled="false"/>
    <command idMso="SendCopySendNow" enabled="false"/>
    <command idMso="SendCopyToMailRecipient" enabled="false"/>
  </commands>
  <backstage>
    <tab idMso="TabShare" visible="false"/>
    <tab idMso="TabPrint" visible="false"/>
    <tab idMso="TabPublish" visible="false"/>
    <tab idMso="Publish2Tab" visible="false"/>
    <tab idMso="TabSave" visible="false"/>
  </backstage>
</customUI>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13</vt:i4>
      </vt:variant>
    </vt:vector>
  </HeadingPairs>
  <TitlesOfParts>
    <vt:vector size="14" baseType="lpstr">
      <vt:lpstr>Info</vt:lpstr>
      <vt:lpstr>LogClient</vt:lpstr>
      <vt:lpstr>LogCost</vt:lpstr>
      <vt:lpstr>LogDate</vt:lpstr>
      <vt:lpstr>LogDistance</vt:lpstr>
      <vt:lpstr>LogError</vt:lpstr>
      <vt:lpstr>LogType</vt:lpstr>
      <vt:lpstr>LogVehicle</vt:lpstr>
      <vt:lpstr>Form!Print_Area</vt:lpstr>
      <vt:lpstr>Clients!Print_Titles</vt:lpstr>
      <vt:lpstr>Form!Print_Titles</vt:lpstr>
      <vt:lpstr>Instructions!Print_Titles</vt:lpstr>
      <vt:lpstr>Logbook!Print_Titles</vt:lpstr>
      <vt:lpstr>Vehicles!Print_Titles</vt:lpstr>
    </vt:vector>
  </TitlesOfParts>
  <Company>Excel Skills International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Vehicle Logbook Template - Excel Skills</dc:title>
  <dc:subject>Logbook</dc:subject>
  <dc:creator>Excel Skills International</dc:creator>
  <cp:keywords>vehicle logbook</cp:keywords>
  <cp:lastModifiedBy>app</cp:lastModifiedBy>
  <cp:lastPrinted>2020-09-29T07:57:59Z</cp:lastPrinted>
  <dcterms:created xsi:type="dcterms:W3CDTF">2010-05-26T15:15:35Z</dcterms:created>
  <dcterms:modified xsi:type="dcterms:W3CDTF">2024-01-30T18:27:47Z</dcterms:modified>
  <cp:category>Excel 2007+</cp:category>
  <cp:contentStatus>Version 1.0</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8b02c0d8-ae8e-4a9e-9aa6-67802a0f5ab0</vt:lpwstr>
  </property>
</Properties>
</file>